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500" yWindow="65521" windowWidth="10545" windowHeight="12120" activeTab="4"/>
  </bookViews>
  <sheets>
    <sheet name="Statement of Activities" sheetId="6" r:id="rId1"/>
    <sheet name="Gen Rev" sheetId="7" r:id="rId2"/>
    <sheet name="Gen Exp" sheetId="1" r:id="rId3"/>
    <sheet name="Gov Rev" sheetId="8" r:id="rId4"/>
    <sheet name="Gov Exp" sheetId="2" r:id="rId5"/>
  </sheets>
  <definedNames>
    <definedName name="_xlnm.Print_Area" localSheetId="2">'Gen Exp'!$A$1:$AF$698</definedName>
    <definedName name="_xlnm.Print_Area" localSheetId="1">'Gen Rev'!$A$1:$AI$696</definedName>
    <definedName name="_xlnm.Print_Area" localSheetId="4">'Gov Exp'!$A$1:$AE$698</definedName>
    <definedName name="_xlnm.Print_Area" localSheetId="3">'Gov Rev'!$A$1:$AI$696</definedName>
    <definedName name="_xlnm.Print_Area" localSheetId="0">'Statement of Activities'!$A$1:$AP$220</definedName>
    <definedName name="_xlnm.Print_Titles" localSheetId="0">'Statement of Activities'!$1:$10</definedName>
    <definedName name="_xlnm.Print_Titles" localSheetId="1">'Gen Rev'!$1:$7</definedName>
    <definedName name="_xlnm.Print_Titles" localSheetId="2">'Gen Exp'!$1:$7</definedName>
    <definedName name="_xlnm.Print_Titles" localSheetId="3">'Gov Rev'!$1:$7</definedName>
    <definedName name="_xlnm.Print_Titles" localSheetId="4">'Gov Exp'!$1:$7</definedName>
  </definedNames>
  <calcPr calcId="125725"/>
</workbook>
</file>

<file path=xl/sharedStrings.xml><?xml version="1.0" encoding="utf-8"?>
<sst xmlns="http://schemas.openxmlformats.org/spreadsheetml/2006/main" count="6144" uniqueCount="975">
  <si>
    <t>West Union</t>
  </si>
  <si>
    <t>Winchester</t>
  </si>
  <si>
    <t>Beaverdam</t>
  </si>
  <si>
    <t>Elida</t>
  </si>
  <si>
    <t>Harrod</t>
  </si>
  <si>
    <t>Lafayette</t>
  </si>
  <si>
    <t>Spencerville</t>
  </si>
  <si>
    <t>Hayesville</t>
  </si>
  <si>
    <t>Mifflin</t>
  </si>
  <si>
    <t>Amesville</t>
  </si>
  <si>
    <t>Glouster</t>
  </si>
  <si>
    <t>Buckland</t>
  </si>
  <si>
    <t>New Knoxville</t>
  </si>
  <si>
    <t>Uniopolis</t>
  </si>
  <si>
    <t>Waynesfield</t>
  </si>
  <si>
    <t>Bethesda</t>
  </si>
  <si>
    <t>Brookside</t>
  </si>
  <si>
    <t>Holloway</t>
  </si>
  <si>
    <t>Morristown</t>
  </si>
  <si>
    <t>Powhatan Point</t>
  </si>
  <si>
    <t>Shadyside</t>
  </si>
  <si>
    <t>Fayetteville</t>
  </si>
  <si>
    <t>Georgetown</t>
  </si>
  <si>
    <t>Hamersville</t>
  </si>
  <si>
    <t>Mt. Orab</t>
  </si>
  <si>
    <t>Sardinia</t>
  </si>
  <si>
    <t>Millville</t>
  </si>
  <si>
    <t>Seven Mile</t>
  </si>
  <si>
    <t>Dellroy</t>
  </si>
  <si>
    <t>Leesville</t>
  </si>
  <si>
    <t>Malvern</t>
  </si>
  <si>
    <t>Sherrodsville</t>
  </si>
  <si>
    <t>Christiansburg</t>
  </si>
  <si>
    <t>St. Paris</t>
  </si>
  <si>
    <t>Catawba</t>
  </si>
  <si>
    <t>South Vienna</t>
  </si>
  <si>
    <t>Amelia</t>
  </si>
  <si>
    <t>Neville</t>
  </si>
  <si>
    <t>New Richmond</t>
  </si>
  <si>
    <t>Owensville</t>
  </si>
  <si>
    <t>Williamsburg</t>
  </si>
  <si>
    <t>New Vienna</t>
  </si>
  <si>
    <t>Hanoverton</t>
  </si>
  <si>
    <t>Leetonia</t>
  </si>
  <si>
    <t>Lisbon</t>
  </si>
  <si>
    <t>Rogers</t>
  </si>
  <si>
    <t>Salineville</t>
  </si>
  <si>
    <t>Summitville</t>
  </si>
  <si>
    <t>Washingtonville</t>
  </si>
  <si>
    <t>Glenwillow</t>
  </si>
  <si>
    <t>Walton Hills</t>
  </si>
  <si>
    <t>Castine</t>
  </si>
  <si>
    <t>Gettysburg</t>
  </si>
  <si>
    <t>New Madison</t>
  </si>
  <si>
    <t>Pitsburg</t>
  </si>
  <si>
    <t>Ney</t>
  </si>
  <si>
    <t>Sherwood</t>
  </si>
  <si>
    <t>Galena</t>
  </si>
  <si>
    <t>Bay View</t>
  </si>
  <si>
    <t>Berlin Heights</t>
  </si>
  <si>
    <t>Castalia</t>
  </si>
  <si>
    <t>Bremen</t>
  </si>
  <si>
    <t>Carroll</t>
  </si>
  <si>
    <t>Millersport</t>
  </si>
  <si>
    <t>Pleasantville</t>
  </si>
  <si>
    <t>Rushville</t>
  </si>
  <si>
    <t>Sugar Grove</t>
  </si>
  <si>
    <t>Thurston</t>
  </si>
  <si>
    <t>Bloomingburg</t>
  </si>
  <si>
    <t>Jeffersonville</t>
  </si>
  <si>
    <t>Milledgeville</t>
  </si>
  <si>
    <t>Octa</t>
  </si>
  <si>
    <t>Brice</t>
  </si>
  <si>
    <t>Marble Cliff</t>
  </si>
  <si>
    <t>Minerva Park</t>
  </si>
  <si>
    <t>Obetz</t>
  </si>
  <si>
    <t>Urbancrest</t>
  </si>
  <si>
    <t>Valleyview</t>
  </si>
  <si>
    <t>Lyons</t>
  </si>
  <si>
    <t>Cheshire</t>
  </si>
  <si>
    <t>Crown City</t>
  </si>
  <si>
    <t>Rio Grande</t>
  </si>
  <si>
    <t>Vinton</t>
  </si>
  <si>
    <t>Bowersville</t>
  </si>
  <si>
    <t>Jamestown</t>
  </si>
  <si>
    <t>Spring Valley</t>
  </si>
  <si>
    <t>Byesville</t>
  </si>
  <si>
    <t>Cumberland</t>
  </si>
  <si>
    <t>Lore City</t>
  </si>
  <si>
    <t>Quaker City</t>
  </si>
  <si>
    <t>Senecaville</t>
  </si>
  <si>
    <t>Addyston</t>
  </si>
  <si>
    <t>Elmwood Place</t>
  </si>
  <si>
    <t>Fairfax</t>
  </si>
  <si>
    <t>Greenhills</t>
  </si>
  <si>
    <t>Lockland</t>
  </si>
  <si>
    <t>Newtown</t>
  </si>
  <si>
    <t>North Bend</t>
  </si>
  <si>
    <t>Arlington</t>
  </si>
  <si>
    <t>Mount Victory</t>
  </si>
  <si>
    <t>Cadiz</t>
  </si>
  <si>
    <t>Hopedale</t>
  </si>
  <si>
    <t>Jewett</t>
  </si>
  <si>
    <t>New Athens</t>
  </si>
  <si>
    <t>Deshler</t>
  </si>
  <si>
    <t>Florida</t>
  </si>
  <si>
    <t>Liberty Center</t>
  </si>
  <si>
    <t>Malinta</t>
  </si>
  <si>
    <t>Mcclure</t>
  </si>
  <si>
    <t>New Bavaria</t>
  </si>
  <si>
    <t>Lynchburg</t>
  </si>
  <si>
    <t>Laurelville</t>
  </si>
  <si>
    <t>Murray City</t>
  </si>
  <si>
    <t>Greenwich</t>
  </si>
  <si>
    <t>Oak Hill</t>
  </si>
  <si>
    <t>Bloomingdale</t>
  </si>
  <si>
    <t>Dillonvale</t>
  </si>
  <si>
    <t>Empire</t>
  </si>
  <si>
    <t>Irondale</t>
  </si>
  <si>
    <t>Richmond</t>
  </si>
  <si>
    <t>Tiltonsville</t>
  </si>
  <si>
    <t>Centerburg</t>
  </si>
  <si>
    <t>Gann</t>
  </si>
  <si>
    <t>Martinsburg</t>
  </si>
  <si>
    <t>North Perry</t>
  </si>
  <si>
    <t>Coal Grove</t>
  </si>
  <si>
    <t>Hanging Rock</t>
  </si>
  <si>
    <t>Proctorville</t>
  </si>
  <si>
    <t>South Point</t>
  </si>
  <si>
    <t>Alexandria</t>
  </si>
  <si>
    <t>Buckeye Lake</t>
  </si>
  <si>
    <t>Johnstown</t>
  </si>
  <si>
    <t>Belle Center</t>
  </si>
  <si>
    <t>Huntsville</t>
  </si>
  <si>
    <t>Quincy</t>
  </si>
  <si>
    <t>West Liberty</t>
  </si>
  <si>
    <t>Kipton</t>
  </si>
  <si>
    <t>Lagrange</t>
  </si>
  <si>
    <t>Rochester</t>
  </si>
  <si>
    <t>Berkey</t>
  </si>
  <si>
    <t>Harbor View</t>
  </si>
  <si>
    <t>Mount Sterling</t>
  </si>
  <si>
    <t>South Solon</t>
  </si>
  <si>
    <t>Beloit</t>
  </si>
  <si>
    <t>Craig Beach</t>
  </si>
  <si>
    <t>New Middleton</t>
  </si>
  <si>
    <t>Poland</t>
  </si>
  <si>
    <t>Caledonia</t>
  </si>
  <si>
    <t>Green Camp</t>
  </si>
  <si>
    <t>New Bloomington</t>
  </si>
  <si>
    <t>Prospect</t>
  </si>
  <si>
    <t>Waldo</t>
  </si>
  <si>
    <t>Chippewa Lake</t>
  </si>
  <si>
    <t>Gloria Glens Park</t>
  </si>
  <si>
    <t>Seville</t>
  </si>
  <si>
    <t>Westfield Cente</t>
  </si>
  <si>
    <t>Middleport</t>
  </si>
  <si>
    <t>Pomeroy</t>
  </si>
  <si>
    <t>Racine</t>
  </si>
  <si>
    <t>Syracuse</t>
  </si>
  <si>
    <t>Montezuma</t>
  </si>
  <si>
    <t>Saint Henry</t>
  </si>
  <si>
    <t>Laura</t>
  </si>
  <si>
    <t>Pleasant Hill</t>
  </si>
  <si>
    <t>Beallsville</t>
  </si>
  <si>
    <t>Lewisville</t>
  </si>
  <si>
    <t>Woodsfield</t>
  </si>
  <si>
    <t>Farmersville</t>
  </si>
  <si>
    <t>Mcconnelsville</t>
  </si>
  <si>
    <t>Stockport</t>
  </si>
  <si>
    <t>Cardington</t>
  </si>
  <si>
    <t>Chesterville</t>
  </si>
  <si>
    <t>Edison</t>
  </si>
  <si>
    <t>Marengo</t>
  </si>
  <si>
    <t>Dresden</t>
  </si>
  <si>
    <t>Frazeysburg</t>
  </si>
  <si>
    <t>Norwich</t>
  </si>
  <si>
    <t>Caldwell</t>
  </si>
  <si>
    <t>Summerfield</t>
  </si>
  <si>
    <t>Clay Center</t>
  </si>
  <si>
    <t>Elmore</t>
  </si>
  <si>
    <t>Put-In-Bay</t>
  </si>
  <si>
    <t>Cecil</t>
  </si>
  <si>
    <t>Haviland</t>
  </si>
  <si>
    <t>Latty</t>
  </si>
  <si>
    <t>Melrose</t>
  </si>
  <si>
    <t>Corning</t>
  </si>
  <si>
    <t>Shawnee</t>
  </si>
  <si>
    <t>Commercial Poin</t>
  </si>
  <si>
    <t>New Holland</t>
  </si>
  <si>
    <t>Orient</t>
  </si>
  <si>
    <t>Tarlton</t>
  </si>
  <si>
    <t>Williamsport</t>
  </si>
  <si>
    <t>Beaver</t>
  </si>
  <si>
    <t>Hiram</t>
  </si>
  <si>
    <t>Mantua</t>
  </si>
  <si>
    <t>Sugar Bush Knolls</t>
  </si>
  <si>
    <t>Windham</t>
  </si>
  <si>
    <t>Camden</t>
  </si>
  <si>
    <t>College Corner</t>
  </si>
  <si>
    <t>Eldorado</t>
  </si>
  <si>
    <t>Gratis</t>
  </si>
  <si>
    <t>Continental</t>
  </si>
  <si>
    <t>Dupont</t>
  </si>
  <si>
    <t>Fort Jennings</t>
  </si>
  <si>
    <t>Gilboa</t>
  </si>
  <si>
    <t>Miller City</t>
  </si>
  <si>
    <t>Ottawa</t>
  </si>
  <si>
    <t>Bellville</t>
  </si>
  <si>
    <t>Plymouth</t>
  </si>
  <si>
    <t>Adelphi</t>
  </si>
  <si>
    <t>Clarksburg</t>
  </si>
  <si>
    <t>Frankfort</t>
  </si>
  <si>
    <t>Kingston</t>
  </si>
  <si>
    <t>Helena</t>
  </si>
  <si>
    <t>Lindsey</t>
  </si>
  <si>
    <t>Otway</t>
  </si>
  <si>
    <t>South Webster</t>
  </si>
  <si>
    <t>Attica</t>
  </si>
  <si>
    <t>Green Springs</t>
  </si>
  <si>
    <t>New Riegel</t>
  </si>
  <si>
    <t>Anna</t>
  </si>
  <si>
    <t>Fort Loramie</t>
  </si>
  <si>
    <t>Jackson Center</t>
  </si>
  <si>
    <t>East Sparta</t>
  </si>
  <si>
    <t>Hills And Dales</t>
  </si>
  <si>
    <t>Limaville</t>
  </si>
  <si>
    <t>Meyers Lake</t>
  </si>
  <si>
    <t>Reminderville</t>
  </si>
  <si>
    <t>Orangeville</t>
  </si>
  <si>
    <t>West Farmington</t>
  </si>
  <si>
    <t>Yankee Lake</t>
  </si>
  <si>
    <t>Dennison</t>
  </si>
  <si>
    <t>Midvale</t>
  </si>
  <si>
    <t>Mineral City</t>
  </si>
  <si>
    <t>Zoar</t>
  </si>
  <si>
    <t>Magnetic Springs</t>
  </si>
  <si>
    <t>Milford Center</t>
  </si>
  <si>
    <t>Richwood</t>
  </si>
  <si>
    <t>Convoy</t>
  </si>
  <si>
    <t>Wren</t>
  </si>
  <si>
    <t>Butlerville</t>
  </si>
  <si>
    <t>Maineville</t>
  </si>
  <si>
    <t>Morrow</t>
  </si>
  <si>
    <t>Pleasant Plain</t>
  </si>
  <si>
    <t>Lowell</t>
  </si>
  <si>
    <t>Lower Salem</t>
  </si>
  <si>
    <t>Matamoras</t>
  </si>
  <si>
    <t>Burbank</t>
  </si>
  <si>
    <t>Mount Eaton</t>
  </si>
  <si>
    <t>West Salem</t>
  </si>
  <si>
    <t>Alvordton</t>
  </si>
  <si>
    <t>Blakeslee</t>
  </si>
  <si>
    <t>Edon</t>
  </si>
  <si>
    <t>Custar</t>
  </si>
  <si>
    <t>Grand Rapids</t>
  </si>
  <si>
    <t>Haskins</t>
  </si>
  <si>
    <t>Hoytville</t>
  </si>
  <si>
    <t>Millbury</t>
  </si>
  <si>
    <t>Portage</t>
  </si>
  <si>
    <t>Risingsun</t>
  </si>
  <si>
    <t>Walbridge</t>
  </si>
  <si>
    <t>West Millgrove</t>
  </si>
  <si>
    <t>Weston</t>
  </si>
  <si>
    <t>Harpster</t>
  </si>
  <si>
    <t>Kirby</t>
  </si>
  <si>
    <t>Sycamore</t>
  </si>
  <si>
    <t>Holiday City</t>
  </si>
  <si>
    <t>South Bloomfield</t>
  </si>
  <si>
    <t>Geneva On The Lake</t>
  </si>
  <si>
    <t>Albany</t>
  </si>
  <si>
    <t>Athens</t>
  </si>
  <si>
    <t>Buchtel</t>
  </si>
  <si>
    <t>Chauncey</t>
  </si>
  <si>
    <t>Cridersville</t>
  </si>
  <si>
    <t>Auglaize</t>
  </si>
  <si>
    <t>Minster</t>
  </si>
  <si>
    <t>New Bremen</t>
  </si>
  <si>
    <t>Barnesville</t>
  </si>
  <si>
    <t>Belmont</t>
  </si>
  <si>
    <t>Bellaire</t>
  </si>
  <si>
    <t>Bridgeport</t>
  </si>
  <si>
    <t>Aberdeen</t>
  </si>
  <si>
    <t>Brown</t>
  </si>
  <si>
    <t>Ripley</t>
  </si>
  <si>
    <t>Carrollton</t>
  </si>
  <si>
    <t>Mechanicsburg</t>
  </si>
  <si>
    <t>Champaign</t>
  </si>
  <si>
    <t>Mutual</t>
  </si>
  <si>
    <t>North Lewisburg</t>
  </si>
  <si>
    <t>Woodstock</t>
  </si>
  <si>
    <t>Enon</t>
  </si>
  <si>
    <t>Clark</t>
  </si>
  <si>
    <t>North Hampton</t>
  </si>
  <si>
    <t>Batavia</t>
  </si>
  <si>
    <t>Clermont</t>
  </si>
  <si>
    <t>Bethel</t>
  </si>
  <si>
    <t>Felicity</t>
  </si>
  <si>
    <t>Moscow</t>
  </si>
  <si>
    <t>Clinton</t>
  </si>
  <si>
    <t>Clarksville</t>
  </si>
  <si>
    <t>Martinsville</t>
  </si>
  <si>
    <t>McArthur</t>
  </si>
  <si>
    <t>Port William</t>
  </si>
  <si>
    <t>Sabina</t>
  </si>
  <si>
    <t>Columbiana</t>
  </si>
  <si>
    <t>Wellsville</t>
  </si>
  <si>
    <t>Conesville</t>
  </si>
  <si>
    <t>Coshocton</t>
  </si>
  <si>
    <t>Nellie</t>
  </si>
  <si>
    <t>West Lafayette</t>
  </si>
  <si>
    <t>Chatfield</t>
  </si>
  <si>
    <t>Crawford</t>
  </si>
  <si>
    <t>New Washington</t>
  </si>
  <si>
    <t>North Robinson</t>
  </si>
  <si>
    <t>Bentleyville</t>
  </si>
  <si>
    <t>Cuyahoga</t>
  </si>
  <si>
    <t>Bratenahl</t>
  </si>
  <si>
    <t>Brooklyn Heights</t>
  </si>
  <si>
    <t>Chagrin Falls</t>
  </si>
  <si>
    <t>Gates Mills</t>
  </si>
  <si>
    <t>Hunting Valley</t>
  </si>
  <si>
    <t>Mayfield</t>
  </si>
  <si>
    <t>Moreland Hills</t>
  </si>
  <si>
    <t>Newburgh Heights</t>
  </si>
  <si>
    <t>Oakwood</t>
  </si>
  <si>
    <t>Valley View</t>
  </si>
  <si>
    <t>Woodmere</t>
  </si>
  <si>
    <t>Ansonia</t>
  </si>
  <si>
    <t>Darke</t>
  </si>
  <si>
    <t>Arcanum</t>
  </si>
  <si>
    <t>Gordon</t>
  </si>
  <si>
    <t>Hollansburg</t>
  </si>
  <si>
    <t>New Weston</t>
  </si>
  <si>
    <t xml:space="preserve">North Star </t>
  </si>
  <si>
    <t>Osgood</t>
  </si>
  <si>
    <t>Rossburg</t>
  </si>
  <si>
    <t>Union City</t>
  </si>
  <si>
    <t>Versailles</t>
  </si>
  <si>
    <t>Wayne Lakes</t>
  </si>
  <si>
    <t>Yorkshire</t>
  </si>
  <si>
    <t>Hicksville</t>
  </si>
  <si>
    <t>Defiance</t>
  </si>
  <si>
    <t>Delaware</t>
  </si>
  <si>
    <t>Ostrander</t>
  </si>
  <si>
    <t>Shawnee Hills</t>
  </si>
  <si>
    <t>Sunbury</t>
  </si>
  <si>
    <t>Milan</t>
  </si>
  <si>
    <t>Erie</t>
  </si>
  <si>
    <t>Baltimore</t>
  </si>
  <si>
    <t>Fairfield</t>
  </si>
  <si>
    <t>West Rushville</t>
  </si>
  <si>
    <t>Canal Winchester</t>
  </si>
  <si>
    <t>Franklin</t>
  </si>
  <si>
    <t>Groveport</t>
  </si>
  <si>
    <t>New Albany</t>
  </si>
  <si>
    <t>Riverlea</t>
  </si>
  <si>
    <t>Archbold</t>
  </si>
  <si>
    <t>Fulton</t>
  </si>
  <si>
    <t>Delta</t>
  </si>
  <si>
    <t>Fayette</t>
  </si>
  <si>
    <t>Metamora</t>
  </si>
  <si>
    <t>Swanton</t>
  </si>
  <si>
    <t>Gallipolis</t>
  </si>
  <si>
    <t>Gallia</t>
  </si>
  <si>
    <t>Hamden</t>
  </si>
  <si>
    <t>Geagua</t>
  </si>
  <si>
    <t>Middlefield</t>
  </si>
  <si>
    <t>Geauga</t>
  </si>
  <si>
    <t>South Russell</t>
  </si>
  <si>
    <t>Cedarville</t>
  </si>
  <si>
    <t>Greene</t>
  </si>
  <si>
    <t>Clifton</t>
  </si>
  <si>
    <t>Greene/Clark</t>
  </si>
  <si>
    <t>Yellow Springs</t>
  </si>
  <si>
    <t>Guernsey</t>
  </si>
  <si>
    <t>Pleasant City</t>
  </si>
  <si>
    <t>Amberley</t>
  </si>
  <si>
    <t>Hamilton</t>
  </si>
  <si>
    <t>Arlington Heights</t>
  </si>
  <si>
    <t>Evendale</t>
  </si>
  <si>
    <t>Glendale</t>
  </si>
  <si>
    <t>Golf Manor</t>
  </si>
  <si>
    <t>Lincoln Heights</t>
  </si>
  <si>
    <t>Mariemont</t>
  </si>
  <si>
    <t>Terrace Park</t>
  </si>
  <si>
    <t>Woodlawn</t>
  </si>
  <si>
    <t>Arcadia</t>
  </si>
  <si>
    <t>Hancock</t>
  </si>
  <si>
    <t>McComb</t>
  </si>
  <si>
    <t>Mt. Blanchard</t>
  </si>
  <si>
    <t>Mt. Cory</t>
  </si>
  <si>
    <t>Rawson</t>
  </si>
  <si>
    <t>Van Buren</t>
  </si>
  <si>
    <t>Vanlue</t>
  </si>
  <si>
    <t>Ada</t>
  </si>
  <si>
    <t>Hardin</t>
  </si>
  <si>
    <t>Dunkirk</t>
  </si>
  <si>
    <t>Forest</t>
  </si>
  <si>
    <t>Mcguffey</t>
  </si>
  <si>
    <t>Patterson</t>
  </si>
  <si>
    <t>Ridgeway</t>
  </si>
  <si>
    <t>Bowerston</t>
  </si>
  <si>
    <t>Harrison</t>
  </si>
  <si>
    <t>Deersville</t>
  </si>
  <si>
    <t>Freeport</t>
  </si>
  <si>
    <t>Scio</t>
  </si>
  <si>
    <t>Henry</t>
  </si>
  <si>
    <t>Holgate</t>
  </si>
  <si>
    <t>Highland</t>
  </si>
  <si>
    <t>Mowrystown</t>
  </si>
  <si>
    <t>Sinking Spring</t>
  </si>
  <si>
    <t>Holmes</t>
  </si>
  <si>
    <t>Holmesville</t>
  </si>
  <si>
    <t>Millersburg</t>
  </si>
  <si>
    <t>Monroeville</t>
  </si>
  <si>
    <t>Huron</t>
  </si>
  <si>
    <t>New London</t>
  </si>
  <si>
    <t>North Fairfield</t>
  </si>
  <si>
    <t>Wakeman</t>
  </si>
  <si>
    <t>Jefferson</t>
  </si>
  <si>
    <t>Amsterdam</t>
  </si>
  <si>
    <t>Bergholz</t>
  </si>
  <si>
    <t>Mingo Junction</t>
  </si>
  <si>
    <t>Stratton</t>
  </si>
  <si>
    <t>Yorkville</t>
  </si>
  <si>
    <t>Danville</t>
  </si>
  <si>
    <t>Knox</t>
  </si>
  <si>
    <t>Fredericktown</t>
  </si>
  <si>
    <t>Fairport Harbor</t>
  </si>
  <si>
    <t>Lake</t>
  </si>
  <si>
    <t>Grand River</t>
  </si>
  <si>
    <t>Madison</t>
  </si>
  <si>
    <t xml:space="preserve">Perry </t>
  </si>
  <si>
    <t>Timberlake</t>
  </si>
  <si>
    <t>Waite Hill</t>
  </si>
  <si>
    <t>Chesapeake</t>
  </si>
  <si>
    <t>Lawrence</t>
  </si>
  <si>
    <t>Granville</t>
  </si>
  <si>
    <t>Licking</t>
  </si>
  <si>
    <t>Gratiot</t>
  </si>
  <si>
    <t>Hartford</t>
  </si>
  <si>
    <t>Hebron</t>
  </si>
  <si>
    <t>St. Louisville</t>
  </si>
  <si>
    <t>Utica</t>
  </si>
  <si>
    <t>DeGraff</t>
  </si>
  <si>
    <t>Logan</t>
  </si>
  <si>
    <t>Russells Point</t>
  </si>
  <si>
    <t>Valley Hi</t>
  </si>
  <si>
    <t>Zanesfield</t>
  </si>
  <si>
    <t>Grafton</t>
  </si>
  <si>
    <t>Lorain</t>
  </si>
  <si>
    <t>Sheffield</t>
  </si>
  <si>
    <t>Wellington</t>
  </si>
  <si>
    <t>Holland</t>
  </si>
  <si>
    <t>Lucas</t>
  </si>
  <si>
    <t>Ottawa Hills</t>
  </si>
  <si>
    <t>Waterville</t>
  </si>
  <si>
    <t>Whitehouse</t>
  </si>
  <si>
    <t>Midway</t>
  </si>
  <si>
    <t>Plain City</t>
  </si>
  <si>
    <t>Sebring</t>
  </si>
  <si>
    <t>Mahoning</t>
  </si>
  <si>
    <t>Marion</t>
  </si>
  <si>
    <t>Meigs</t>
  </si>
  <si>
    <t>Burkettsville</t>
  </si>
  <si>
    <t>Mercer</t>
  </si>
  <si>
    <t>Fort Recovery</t>
  </si>
  <si>
    <t>Rockford</t>
  </si>
  <si>
    <t>Bradford</t>
  </si>
  <si>
    <t>Miami</t>
  </si>
  <si>
    <t>Potsdam</t>
  </si>
  <si>
    <t>West Milton</t>
  </si>
  <si>
    <t>Antioch</t>
  </si>
  <si>
    <t>Monroe</t>
  </si>
  <si>
    <t>Graysville</t>
  </si>
  <si>
    <t>Miltonsburg</t>
  </si>
  <si>
    <t>Stafford</t>
  </si>
  <si>
    <t>Wilson</t>
  </si>
  <si>
    <t>Montgomery</t>
  </si>
  <si>
    <t>Germantown</t>
  </si>
  <si>
    <t>New Lebanon</t>
  </si>
  <si>
    <t>Phillipsburg</t>
  </si>
  <si>
    <t>Mt. Giliad</t>
  </si>
  <si>
    <t>Adamsville</t>
  </si>
  <si>
    <t>Muskingum</t>
  </si>
  <si>
    <t>Fultonham</t>
  </si>
  <si>
    <t>New Concord</t>
  </si>
  <si>
    <t>Philo</t>
  </si>
  <si>
    <t>Roseville</t>
  </si>
  <si>
    <t>Batesville</t>
  </si>
  <si>
    <t>Noble</t>
  </si>
  <si>
    <t>Belle Valley</t>
  </si>
  <si>
    <t>Dexter City</t>
  </si>
  <si>
    <t>Genoa</t>
  </si>
  <si>
    <t>Oak Harbor</t>
  </si>
  <si>
    <t>Antwerp</t>
  </si>
  <si>
    <t>Paulding</t>
  </si>
  <si>
    <t>Broughton</t>
  </si>
  <si>
    <t>Payne</t>
  </si>
  <si>
    <t>Crooksville</t>
  </si>
  <si>
    <t>Perry</t>
  </si>
  <si>
    <t>Glenford</t>
  </si>
  <si>
    <t>Somerset</t>
  </si>
  <si>
    <t>Thornville</t>
  </si>
  <si>
    <t>Pickaway</t>
  </si>
  <si>
    <t>Piketon</t>
  </si>
  <si>
    <t>Pike</t>
  </si>
  <si>
    <t>Garrettsville</t>
  </si>
  <si>
    <t>Lewisburg</t>
  </si>
  <si>
    <t>Preble</t>
  </si>
  <si>
    <t>New Paris</t>
  </si>
  <si>
    <t>Verona</t>
  </si>
  <si>
    <t>West Alexandria</t>
  </si>
  <si>
    <t>Putnam</t>
  </si>
  <si>
    <t>Columbus Grove</t>
  </si>
  <si>
    <t>Glandorf</t>
  </si>
  <si>
    <t>Ottoville</t>
  </si>
  <si>
    <t>Pandora</t>
  </si>
  <si>
    <t>Butler</t>
  </si>
  <si>
    <t>Richland</t>
  </si>
  <si>
    <t>Lexington</t>
  </si>
  <si>
    <t xml:space="preserve">Lexington </t>
  </si>
  <si>
    <t>Shiloh</t>
  </si>
  <si>
    <t>South Salem</t>
  </si>
  <si>
    <t>Ross</t>
  </si>
  <si>
    <t>Burgoon</t>
  </si>
  <si>
    <t>Sandusky</t>
  </si>
  <si>
    <t>Gibsonburg</t>
  </si>
  <si>
    <t>Woodville</t>
  </si>
  <si>
    <t>New Boston</t>
  </si>
  <si>
    <t>Scioto</t>
  </si>
  <si>
    <t>Rarden</t>
  </si>
  <si>
    <t>Bettsville</t>
  </si>
  <si>
    <t>Seneca</t>
  </si>
  <si>
    <t>Bloomville</t>
  </si>
  <si>
    <t>Republic</t>
  </si>
  <si>
    <t>Botkins</t>
  </si>
  <si>
    <t>Shelby</t>
  </si>
  <si>
    <t xml:space="preserve">Lockington </t>
  </si>
  <si>
    <t>Russia</t>
  </si>
  <si>
    <t>Beach</t>
  </si>
  <si>
    <t>Stark</t>
  </si>
  <si>
    <t>Brewster</t>
  </si>
  <si>
    <t>East Canton</t>
  </si>
  <si>
    <t>Hartville</t>
  </si>
  <si>
    <t>Magnolia</t>
  </si>
  <si>
    <t xml:space="preserve">Minerva  </t>
  </si>
  <si>
    <t>Navarre</t>
  </si>
  <si>
    <t>Waynesburg</t>
  </si>
  <si>
    <t>Boston Heights</t>
  </si>
  <si>
    <t>Summit</t>
  </si>
  <si>
    <t>Mogadore</t>
  </si>
  <si>
    <t>Northfield</t>
  </si>
  <si>
    <t>Peninsula</t>
  </si>
  <si>
    <t>Richfield</t>
  </si>
  <si>
    <t>Silver Lake</t>
  </si>
  <si>
    <t>Lordstown</t>
  </si>
  <si>
    <t>Trumbell</t>
  </si>
  <si>
    <t>Trumbull</t>
  </si>
  <si>
    <t>McDonald</t>
  </si>
  <si>
    <t>Baltic</t>
  </si>
  <si>
    <t>Tuscarawas</t>
  </si>
  <si>
    <t>Barnhill</t>
  </si>
  <si>
    <t>Bolivar</t>
  </si>
  <si>
    <t>Gnadenhutten</t>
  </si>
  <si>
    <t>Newcomerstown</t>
  </si>
  <si>
    <t>Parral</t>
  </si>
  <si>
    <t>Stone Creek</t>
  </si>
  <si>
    <t>Strasburg</t>
  </si>
  <si>
    <t>Sugarcreek</t>
  </si>
  <si>
    <t>Unionville Center</t>
  </si>
  <si>
    <t>Union</t>
  </si>
  <si>
    <t>Elgin</t>
  </si>
  <si>
    <t>Van Wert</t>
  </si>
  <si>
    <t xml:space="preserve">Ohio City </t>
  </si>
  <si>
    <t>Scott</t>
  </si>
  <si>
    <t>Venedocia</t>
  </si>
  <si>
    <t>Willshire</t>
  </si>
  <si>
    <t>Wilkesville</t>
  </si>
  <si>
    <t>Zaleski</t>
  </si>
  <si>
    <t>Corwin</t>
  </si>
  <si>
    <t>Harveysburg</t>
  </si>
  <si>
    <t>Warren</t>
  </si>
  <si>
    <t>South Lebanon</t>
  </si>
  <si>
    <t>Waynesville</t>
  </si>
  <si>
    <t>Beverly</t>
  </si>
  <si>
    <t>Washington</t>
  </si>
  <si>
    <t>Marksburg</t>
  </si>
  <si>
    <t>Apple Creek</t>
  </si>
  <si>
    <t>Wayne</t>
  </si>
  <si>
    <t>Creston</t>
  </si>
  <si>
    <t>Wayne/Medina</t>
  </si>
  <si>
    <t>Dalton</t>
  </si>
  <si>
    <t>Doylestown</t>
  </si>
  <si>
    <t>Fredericksburg</t>
  </si>
  <si>
    <t>Smithville</t>
  </si>
  <si>
    <t>Edgerton</t>
  </si>
  <si>
    <t>Williams</t>
  </si>
  <si>
    <t>Montpelier</t>
  </si>
  <si>
    <t>Stryker</t>
  </si>
  <si>
    <t>West Unity</t>
  </si>
  <si>
    <t>Bairdstown</t>
  </si>
  <si>
    <t>Wood</t>
  </si>
  <si>
    <t>Bloomdale</t>
  </si>
  <si>
    <t>Bradner</t>
  </si>
  <si>
    <t>Luckey</t>
  </si>
  <si>
    <t>North Baltimore</t>
  </si>
  <si>
    <t>Pemberville</t>
  </si>
  <si>
    <t>Tontogany</t>
  </si>
  <si>
    <t>Carey</t>
  </si>
  <si>
    <t>Wyandot</t>
  </si>
  <si>
    <t>Nevada</t>
  </si>
  <si>
    <t>Miscellaneous</t>
  </si>
  <si>
    <t>Transportation</t>
  </si>
  <si>
    <t>Transfers-In</t>
  </si>
  <si>
    <t>Transfers-Out</t>
  </si>
  <si>
    <t>Villages</t>
  </si>
  <si>
    <t/>
  </si>
  <si>
    <t xml:space="preserve">Property </t>
  </si>
  <si>
    <t>and Other</t>
  </si>
  <si>
    <t xml:space="preserve"> Local Taxes</t>
  </si>
  <si>
    <t xml:space="preserve">Municipal </t>
  </si>
  <si>
    <t>Income Tax</t>
  </si>
  <si>
    <t>Intergovern-</t>
  </si>
  <si>
    <t>mental</t>
  </si>
  <si>
    <t xml:space="preserve">Special </t>
  </si>
  <si>
    <t>Assessments</t>
  </si>
  <si>
    <t>Charges for</t>
  </si>
  <si>
    <t>Services</t>
  </si>
  <si>
    <t xml:space="preserve">Fines, </t>
  </si>
  <si>
    <t>Licenses</t>
  </si>
  <si>
    <t>and Permits</t>
  </si>
  <si>
    <t>Earnings on</t>
  </si>
  <si>
    <t>Investments</t>
  </si>
  <si>
    <t xml:space="preserve">Sale of </t>
  </si>
  <si>
    <t>Fixed Assets</t>
  </si>
  <si>
    <t>Advances-In</t>
  </si>
  <si>
    <t xml:space="preserve">Other </t>
  </si>
  <si>
    <t>Financing</t>
  </si>
  <si>
    <t>Sources</t>
  </si>
  <si>
    <t xml:space="preserve">Security of </t>
  </si>
  <si>
    <t>Persons and</t>
  </si>
  <si>
    <t xml:space="preserve"> Property</t>
  </si>
  <si>
    <t>Public Health</t>
  </si>
  <si>
    <t xml:space="preserve"> Services</t>
  </si>
  <si>
    <t>Leisure Time</t>
  </si>
  <si>
    <t xml:space="preserve"> Activities</t>
  </si>
  <si>
    <t>Community</t>
  </si>
  <si>
    <t xml:space="preserve"> Environment</t>
  </si>
  <si>
    <t xml:space="preserve">Basic Utility </t>
  </si>
  <si>
    <t>General</t>
  </si>
  <si>
    <t xml:space="preserve"> Government</t>
  </si>
  <si>
    <t xml:space="preserve">Capital </t>
  </si>
  <si>
    <t>Outlay</t>
  </si>
  <si>
    <t>Redemption</t>
  </si>
  <si>
    <t xml:space="preserve"> of Principal</t>
  </si>
  <si>
    <t>Interest and</t>
  </si>
  <si>
    <t xml:space="preserve"> Other Fiscal</t>
  </si>
  <si>
    <t xml:space="preserve"> Charges</t>
  </si>
  <si>
    <t>Advances-Out</t>
  </si>
  <si>
    <t>Uses</t>
  </si>
  <si>
    <t>Adams</t>
  </si>
  <si>
    <t>Cherry Fork</t>
  </si>
  <si>
    <t xml:space="preserve">Adams </t>
  </si>
  <si>
    <t>Cloverdale</t>
  </si>
  <si>
    <t xml:space="preserve">Jackson </t>
  </si>
  <si>
    <t>Coalton</t>
  </si>
  <si>
    <t>Amanda</t>
  </si>
  <si>
    <t xml:space="preserve">Ashland </t>
  </si>
  <si>
    <t>Bailey Lakes</t>
  </si>
  <si>
    <t>Disbursements</t>
  </si>
  <si>
    <t>Receipts</t>
  </si>
  <si>
    <t>Roaming Shores</t>
  </si>
  <si>
    <t>Ashtabula</t>
  </si>
  <si>
    <t>Rock Creek</t>
  </si>
  <si>
    <t>Savannah</t>
  </si>
  <si>
    <t>Seaman</t>
  </si>
  <si>
    <t>Orwell</t>
  </si>
  <si>
    <t>Peebles</t>
  </si>
  <si>
    <t>Perrysville</t>
  </si>
  <si>
    <t>Polk</t>
  </si>
  <si>
    <t>Port Washington</t>
  </si>
  <si>
    <t>Marshallville</t>
  </si>
  <si>
    <t>Milton Center</t>
  </si>
  <si>
    <t>Bluffton</t>
  </si>
  <si>
    <t xml:space="preserve">Allen   </t>
  </si>
  <si>
    <t>Burton</t>
  </si>
  <si>
    <t>Newtonville</t>
  </si>
  <si>
    <t>North Kingsville</t>
  </si>
  <si>
    <t>Grower Hill</t>
  </si>
  <si>
    <t>Ithaca</t>
  </si>
  <si>
    <t xml:space="preserve">Butler    </t>
  </si>
  <si>
    <t>Jacksonburg</t>
  </si>
  <si>
    <t xml:space="preserve">Jefferson  </t>
  </si>
  <si>
    <t>Jenera</t>
  </si>
  <si>
    <t>Jeromesville</t>
  </si>
  <si>
    <t>Jerry City</t>
  </si>
  <si>
    <t>Junction City</t>
  </si>
  <si>
    <t>Kelley's Island</t>
  </si>
  <si>
    <t>Kettersville</t>
  </si>
  <si>
    <t>Kirkersville</t>
  </si>
  <si>
    <t>Lakeview</t>
  </si>
  <si>
    <t>Lakeline</t>
  </si>
  <si>
    <t>LaRue</t>
  </si>
  <si>
    <t>Mercer/Darke</t>
  </si>
  <si>
    <t>Rutland</t>
  </si>
  <si>
    <t>New Straitsville</t>
  </si>
  <si>
    <t>Cairo</t>
  </si>
  <si>
    <t>Allen</t>
  </si>
  <si>
    <t>Alger</t>
  </si>
  <si>
    <t>Aquilla</t>
  </si>
  <si>
    <t>Summary Information from the Statement of Activities - Modified Cash Basis</t>
  </si>
  <si>
    <t>Governmental Activities</t>
  </si>
  <si>
    <t xml:space="preserve">All Villages Reporting Using GASB 34 Format </t>
  </si>
  <si>
    <t>Program Receipts</t>
  </si>
  <si>
    <t>Transfers</t>
  </si>
  <si>
    <t>Special</t>
  </si>
  <si>
    <t>Operating Grants</t>
  </si>
  <si>
    <t>Net</t>
  </si>
  <si>
    <t>Property</t>
  </si>
  <si>
    <t>and/or</t>
  </si>
  <si>
    <t>Change</t>
  </si>
  <si>
    <t>Cash</t>
  </si>
  <si>
    <t>Contributions</t>
  </si>
  <si>
    <t>Capital</t>
  </si>
  <si>
    <t>and Other Local</t>
  </si>
  <si>
    <t>Income</t>
  </si>
  <si>
    <t>Unrestricted</t>
  </si>
  <si>
    <t>Investment</t>
  </si>
  <si>
    <t>Debt</t>
  </si>
  <si>
    <t>Avances</t>
  </si>
  <si>
    <t>Extraordinary</t>
  </si>
  <si>
    <t>in Net</t>
  </si>
  <si>
    <t>Village</t>
  </si>
  <si>
    <t>County</t>
  </si>
  <si>
    <t>and Interest</t>
  </si>
  <si>
    <t>Grants</t>
  </si>
  <si>
    <t>(Disbursements)</t>
  </si>
  <si>
    <t>Taxes</t>
  </si>
  <si>
    <t>Earnings</t>
  </si>
  <si>
    <t>Other</t>
  </si>
  <si>
    <t>Proceeds</t>
  </si>
  <si>
    <t>In/(Out)</t>
  </si>
  <si>
    <t>Items</t>
  </si>
  <si>
    <t>Assets</t>
  </si>
  <si>
    <t xml:space="preserve">Allen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</si>
  <si>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</si>
  <si>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</si>
  <si>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</si>
  <si>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</si>
  <si>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</t>
  </si>
  <si>
    <t xml:space="preserve">Butler </t>
  </si>
  <si>
    <t xml:space="preserve">Carroll </t>
  </si>
  <si>
    <t xml:space="preserve">Champaign </t>
  </si>
  <si>
    <t xml:space="preserve">Clark </t>
  </si>
  <si>
    <t xml:space="preserve">Clermont </t>
  </si>
  <si>
    <t xml:space="preserve">Clinton </t>
  </si>
  <si>
    <t xml:space="preserve">Columbiana </t>
  </si>
  <si>
    <t xml:space="preserve">Coshocton </t>
  </si>
  <si>
    <t xml:space="preserve">Crawford </t>
  </si>
  <si>
    <t xml:space="preserve">Cuyahoga </t>
  </si>
  <si>
    <t xml:space="preserve">Darke </t>
  </si>
  <si>
    <t xml:space="preserve">Defiance </t>
  </si>
  <si>
    <t xml:space="preserve">Delaware </t>
  </si>
  <si>
    <t xml:space="preserve">Erie </t>
  </si>
  <si>
    <t xml:space="preserve">Fairfield </t>
  </si>
  <si>
    <t xml:space="preserve">Fayette </t>
  </si>
  <si>
    <t xml:space="preserve">Franklin </t>
  </si>
  <si>
    <t xml:space="preserve">Fulton </t>
  </si>
  <si>
    <t xml:space="preserve">Gallia </t>
  </si>
  <si>
    <t xml:space="preserve">Greene </t>
  </si>
  <si>
    <t xml:space="preserve">Guernsey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</si>
  <si>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</si>
  <si>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</si>
  <si>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</si>
  <si>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</si>
  <si>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</si>
  <si>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Highland </t>
  </si>
  <si>
    <t xml:space="preserve">Hocking </t>
  </si>
  <si>
    <t xml:space="preserve">Huron </t>
  </si>
  <si>
    <t xml:space="preserve">Jefferson </t>
  </si>
  <si>
    <t xml:space="preserve">Knox </t>
  </si>
  <si>
    <t xml:space="preserve">Lake </t>
  </si>
  <si>
    <t xml:space="preserve">Lawrence </t>
  </si>
  <si>
    <t xml:space="preserve">Licking </t>
  </si>
  <si>
    <t xml:space="preserve">Logan </t>
  </si>
  <si>
    <t xml:space="preserve">Lorain </t>
  </si>
  <si>
    <t xml:space="preserve">Lucas </t>
  </si>
  <si>
    <t xml:space="preserve">Madison </t>
  </si>
  <si>
    <t xml:space="preserve">Mahoning </t>
  </si>
  <si>
    <t xml:space="preserve">Marion </t>
  </si>
  <si>
    <t xml:space="preserve">Medina </t>
  </si>
  <si>
    <t xml:space="preserve">Meigs </t>
  </si>
  <si>
    <t xml:space="preserve">Mercer </t>
  </si>
  <si>
    <t xml:space="preserve">Miami </t>
  </si>
  <si>
    <t xml:space="preserve">Monroe </t>
  </si>
  <si>
    <t xml:space="preserve">Montgomery </t>
  </si>
  <si>
    <t xml:space="preserve">Morgan </t>
  </si>
  <si>
    <t xml:space="preserve">Morrow </t>
  </si>
  <si>
    <t xml:space="preserve">Muskingum </t>
  </si>
  <si>
    <t xml:space="preserve">Noble </t>
  </si>
  <si>
    <t xml:space="preserve">Ottawa </t>
  </si>
  <si>
    <t xml:space="preserve">Paulding </t>
  </si>
  <si>
    <t xml:space="preserve">Pickaway </t>
  </si>
  <si>
    <t xml:space="preserve">Pike </t>
  </si>
  <si>
    <t xml:space="preserve">Portage </t>
  </si>
  <si>
    <t xml:space="preserve">Preble </t>
  </si>
  <si>
    <t xml:space="preserve">Putnam </t>
  </si>
  <si>
    <t xml:space="preserve">Richland </t>
  </si>
  <si>
    <t xml:space="preserve">Ross </t>
  </si>
  <si>
    <t xml:space="preserve">Sandusky </t>
  </si>
  <si>
    <t xml:space="preserve">Scioto </t>
  </si>
  <si>
    <t xml:space="preserve">Seneca </t>
  </si>
  <si>
    <t xml:space="preserve">Shelby </t>
  </si>
  <si>
    <t xml:space="preserve">Stark </t>
  </si>
  <si>
    <t xml:space="preserve">Summit </t>
  </si>
  <si>
    <t xml:space="preserve">Trumbull </t>
  </si>
  <si>
    <t xml:space="preserve">Tuscarawas </t>
  </si>
  <si>
    <t xml:space="preserve">Union </t>
  </si>
  <si>
    <t xml:space="preserve">Van Wert </t>
  </si>
  <si>
    <t xml:space="preserve">Warren </t>
  </si>
  <si>
    <t xml:space="preserve">Washington </t>
  </si>
  <si>
    <t xml:space="preserve">Wayne </t>
  </si>
  <si>
    <t xml:space="preserve">Williams </t>
  </si>
  <si>
    <t xml:space="preserve">Wood </t>
  </si>
  <si>
    <t xml:space="preserve">Wyandot </t>
  </si>
  <si>
    <t>Total</t>
  </si>
  <si>
    <t>Item</t>
  </si>
  <si>
    <t>Donnelsville</t>
  </si>
  <si>
    <t>Lakemore</t>
  </si>
  <si>
    <t>Rocky Ridge</t>
  </si>
  <si>
    <t>Rome</t>
  </si>
  <si>
    <t>Hanover</t>
  </si>
  <si>
    <t>South Charleston</t>
  </si>
  <si>
    <t>Cable</t>
  </si>
  <si>
    <t>Franchise Fees</t>
  </si>
  <si>
    <t>Net Assets</t>
  </si>
  <si>
    <t>End of Year</t>
  </si>
  <si>
    <t>Centerville</t>
  </si>
  <si>
    <t>Sparta</t>
  </si>
  <si>
    <t>Marblehead</t>
  </si>
  <si>
    <t>Kalida</t>
  </si>
  <si>
    <t>Cygnet</t>
  </si>
  <si>
    <t>North Randall</t>
  </si>
  <si>
    <t>Harrisville</t>
  </si>
  <si>
    <t>Linndale</t>
  </si>
  <si>
    <t>Mendon</t>
  </si>
  <si>
    <t>Warsaw</t>
  </si>
  <si>
    <t>Ashville</t>
  </si>
  <si>
    <t>Bainbridge</t>
  </si>
  <si>
    <t>Chickasaw</t>
  </si>
  <si>
    <t>Cleves</t>
  </si>
  <si>
    <t>Lowellville</t>
  </si>
  <si>
    <t>New Waterford</t>
  </si>
  <si>
    <t>Rushsylvania</t>
  </si>
  <si>
    <t>Spencer</t>
  </si>
  <si>
    <t>Tiro</t>
  </si>
  <si>
    <t>Wilmot</t>
  </si>
  <si>
    <t>Wintersville</t>
  </si>
  <si>
    <t>South Zanesville</t>
  </si>
  <si>
    <t>General Receipts</t>
  </si>
  <si>
    <t>General Fund Revenues</t>
  </si>
  <si>
    <t>General Fund Expenditures</t>
  </si>
  <si>
    <t>(Continued)</t>
  </si>
  <si>
    <t>Glenmont</t>
  </si>
  <si>
    <t>Sale of</t>
  </si>
  <si>
    <t>Bonds</t>
  </si>
  <si>
    <t>Notes</t>
  </si>
  <si>
    <t>Government</t>
  </si>
  <si>
    <t>Environment</t>
  </si>
  <si>
    <t>Governmental Fund Revenues</t>
  </si>
  <si>
    <t>Governmental Fund Expenditures</t>
  </si>
  <si>
    <t xml:space="preserve">This is a </t>
  </si>
  <si>
    <t xml:space="preserve">Calculation </t>
  </si>
  <si>
    <t>Used for Testing</t>
  </si>
  <si>
    <t xml:space="preserve">Hide columns </t>
  </si>
  <si>
    <t xml:space="preserve">General </t>
  </si>
  <si>
    <t>Reconciliation</t>
  </si>
  <si>
    <t>EOY</t>
  </si>
  <si>
    <t>Change in</t>
  </si>
  <si>
    <t>Receipt</t>
  </si>
  <si>
    <t xml:space="preserve">Fund </t>
  </si>
  <si>
    <t>Balance</t>
  </si>
  <si>
    <t>BOY</t>
  </si>
  <si>
    <t>Fund</t>
  </si>
  <si>
    <t xml:space="preserve">Balance </t>
  </si>
  <si>
    <t xml:space="preserve">Fill in these amount but they </t>
  </si>
  <si>
    <t>are not to be included as part</t>
  </si>
  <si>
    <t>of the print area</t>
  </si>
  <si>
    <t>Adena</t>
  </si>
  <si>
    <t>Athalia</t>
  </si>
  <si>
    <t>Benton Ridge</t>
  </si>
  <si>
    <t>Blufton</t>
  </si>
  <si>
    <t>.</t>
  </si>
  <si>
    <t>Brady Lake</t>
  </si>
  <si>
    <t>Chesterhill</t>
  </si>
  <si>
    <t>Morgan</t>
  </si>
  <si>
    <t>Chilo</t>
  </si>
  <si>
    <t>Coldwater</t>
  </si>
  <si>
    <t>Covington</t>
  </si>
  <si>
    <t>Fairview</t>
  </si>
  <si>
    <t>Gambier</t>
  </si>
  <si>
    <t>Hemlock</t>
  </si>
  <si>
    <t>Killbuck</t>
  </si>
  <si>
    <t>Leipsic</t>
  </si>
  <si>
    <t>Midland</t>
  </si>
  <si>
    <t>Palestine</t>
  </si>
  <si>
    <t>Pioneer</t>
  </si>
  <si>
    <t>Plainfield</t>
  </si>
  <si>
    <t>Coshcoton</t>
  </si>
  <si>
    <t>Port Jefferson</t>
  </si>
  <si>
    <t>Roswell</t>
  </si>
  <si>
    <t>Shreve</t>
  </si>
  <si>
    <t>Summit Lake</t>
  </si>
  <si>
    <t>South Amherst</t>
  </si>
  <si>
    <t>West Leipsic</t>
  </si>
  <si>
    <t>West Manchester</t>
  </si>
  <si>
    <t>Wharton</t>
  </si>
  <si>
    <t>Miami/Darke</t>
  </si>
  <si>
    <t>Beginning of Year</t>
  </si>
  <si>
    <t>Kirtland Hills</t>
  </si>
  <si>
    <t xml:space="preserve">Orange </t>
  </si>
  <si>
    <t>Sarahsville</t>
  </si>
  <si>
    <t>Loudonville</t>
  </si>
  <si>
    <t>Evandale</t>
  </si>
  <si>
    <t>Minerva</t>
  </si>
  <si>
    <t>Cuyahoga Heights</t>
  </si>
  <si>
    <t>Blanchester</t>
  </si>
  <si>
    <t>Larue</t>
  </si>
  <si>
    <t>Hocking</t>
  </si>
  <si>
    <t>Lithopolis</t>
  </si>
  <si>
    <t>Manchester</t>
  </si>
  <si>
    <t>Ashley</t>
  </si>
  <si>
    <t>Andover</t>
  </si>
  <si>
    <t>Belmore</t>
  </si>
  <si>
    <t>Casstown</t>
  </si>
  <si>
    <t>Congress</t>
  </si>
  <si>
    <t>Coolville</t>
  </si>
  <si>
    <t>Corp of South Zanesville</t>
  </si>
  <si>
    <t>Fletcher</t>
  </si>
  <si>
    <t>Flushing</t>
  </si>
  <si>
    <t>Fort Shawnee</t>
  </si>
  <si>
    <t>Hamler</t>
  </si>
  <si>
    <t>Harrisburg</t>
  </si>
  <si>
    <t>Holiday</t>
  </si>
  <si>
    <t>Leesburg</t>
  </si>
  <si>
    <t>Lockbourne</t>
  </si>
  <si>
    <t>Malta</t>
  </si>
  <si>
    <t>Middle Point</t>
  </si>
  <si>
    <t>Morral</t>
  </si>
  <si>
    <t>Nashville</t>
  </si>
  <si>
    <t>New Miami</t>
  </si>
  <si>
    <t>Russellville</t>
  </si>
  <si>
    <t>Salesville</t>
  </si>
  <si>
    <t>Somerville</t>
  </si>
  <si>
    <t>Stoutsville</t>
  </si>
  <si>
    <t>West Elkton</t>
  </si>
  <si>
    <t>West Jefferson</t>
  </si>
  <si>
    <t>West Mansfield</t>
  </si>
  <si>
    <t>For the Year Ended December 31, 2011</t>
  </si>
  <si>
    <t>Trimble</t>
  </si>
  <si>
    <t>Silverton</t>
  </si>
  <si>
    <t>Carlisle</t>
  </si>
  <si>
    <t>Newton Falls</t>
  </si>
  <si>
    <t>East Palestine</t>
  </si>
  <si>
    <t>Rayland</t>
  </si>
  <si>
    <t>Greenfield</t>
  </si>
  <si>
    <t>Highland Hills</t>
  </si>
  <si>
    <t>Lodi</t>
  </si>
  <si>
    <t>Medina</t>
  </si>
  <si>
    <t>to a Permanent</t>
  </si>
  <si>
    <t>Old Washington</t>
  </si>
  <si>
    <t>Crestline</t>
  </si>
  <si>
    <t>(continued)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</si>
</sst>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Times New Roman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3" fillId="0" borderId="0">
      <alignment horizontal="right"/>
      <protection/>
    </xf>
    <xf numFmtId="5" fontId="3" fillId="0" borderId="0">
      <alignment horizontal="right"/>
      <protection/>
    </xf>
    <xf numFmtId="0" fontId="1" fillId="0" borderId="0">
      <alignment/>
      <protection/>
    </xf>
  </cellStyleXfs>
  <cellXfs count="103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/>
    <xf numFmtId="37" fontId="6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 wrapText="1"/>
    </xf>
    <xf numFmtId="37" fontId="3" fillId="0" borderId="0" xfId="0" applyNumberFormat="1" applyFont="1" applyBorder="1" applyAlignment="1">
      <alignment horizontal="center" wrapText="1"/>
    </xf>
    <xf numFmtId="0" fontId="3" fillId="0" borderId="0" xfId="0" applyFont="1" applyFill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7" fontId="6" fillId="0" borderId="0" xfId="0" applyNumberFormat="1" applyFont="1"/>
    <xf numFmtId="37" fontId="3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Font="1"/>
    <xf numFmtId="37" fontId="3" fillId="0" borderId="0" xfId="0" applyNumberFormat="1" applyFont="1" applyFill="1"/>
    <xf numFmtId="0" fontId="3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37" fontId="6" fillId="0" borderId="0" xfId="0" applyNumberFormat="1" applyFont="1" applyFill="1"/>
    <xf numFmtId="0" fontId="3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/>
    <xf numFmtId="0" fontId="0" fillId="0" borderId="0" xfId="0" applyFont="1" applyAlignment="1">
      <alignment horizontal="center"/>
    </xf>
    <xf numFmtId="0" fontId="9" fillId="0" borderId="0" xfId="0" applyFont="1"/>
    <xf numFmtId="37" fontId="3" fillId="0" borderId="0" xfId="0" applyNumberFormat="1" applyFont="1" applyBorder="1" applyAlignment="1">
      <alignment horizontal="right"/>
    </xf>
    <xf numFmtId="37" fontId="9" fillId="0" borderId="0" xfId="0" applyNumberFormat="1" applyFont="1" applyFill="1"/>
    <xf numFmtId="5" fontId="3" fillId="0" borderId="0" xfId="0" applyNumberFormat="1" applyFont="1"/>
    <xf numFmtId="5" fontId="3" fillId="0" borderId="0" xfId="0" applyNumberFormat="1" applyFont="1" applyFill="1"/>
    <xf numFmtId="0" fontId="0" fillId="0" borderId="0" xfId="0" applyBorder="1"/>
    <xf numFmtId="37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Border="1"/>
    <xf numFmtId="5" fontId="3" fillId="0" borderId="0" xfId="0" applyNumberFormat="1" applyFont="1" applyFill="1" applyBorder="1"/>
    <xf numFmtId="37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7" fontId="3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5" fontId="6" fillId="0" borderId="0" xfId="0" applyNumberFormat="1" applyFont="1"/>
    <xf numFmtId="5" fontId="0" fillId="0" borderId="0" xfId="0" applyNumberFormat="1" applyFont="1"/>
    <xf numFmtId="37" fontId="0" fillId="0" borderId="0" xfId="0" applyNumberFormat="1" applyFont="1"/>
    <xf numFmtId="37" fontId="3" fillId="0" borderId="0" xfId="0" applyNumberFormat="1" applyFont="1" applyBorder="1" applyAlignment="1">
      <alignment/>
    </xf>
    <xf numFmtId="3" fontId="3" fillId="0" borderId="0" xfId="0" applyNumberFormat="1" applyFont="1" applyFill="1"/>
    <xf numFmtId="3" fontId="6" fillId="0" borderId="0" xfId="0" applyNumberFormat="1" applyFont="1" applyFill="1"/>
    <xf numFmtId="10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7" fontId="3" fillId="0" borderId="1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5" fontId="0" fillId="0" borderId="0" xfId="0" applyNumberFormat="1" applyFont="1" applyFill="1"/>
    <xf numFmtId="5" fontId="6" fillId="0" borderId="0" xfId="0" applyNumberFormat="1" applyFont="1" applyFill="1"/>
    <xf numFmtId="37" fontId="0" fillId="0" borderId="0" xfId="0" applyNumberFormat="1" applyFont="1" applyFill="1"/>
    <xf numFmtId="37" fontId="6" fillId="0" borderId="0" xfId="0" applyNumberFormat="1" applyFont="1" applyFill="1" applyBorder="1"/>
    <xf numFmtId="0" fontId="0" fillId="0" borderId="0" xfId="0" applyFill="1"/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/>
    <xf numFmtId="5" fontId="6" fillId="0" borderId="0" xfId="0" applyNumberFormat="1" applyFont="1" applyFill="1" applyBorder="1"/>
    <xf numFmtId="0" fontId="3" fillId="0" borderId="0" xfId="0" applyFont="1" applyBorder="1" applyAlignment="1">
      <alignment horizontal="centerContinuous"/>
    </xf>
    <xf numFmtId="37" fontId="3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9" fillId="0" borderId="0" xfId="0" applyNumberFormat="1" applyFont="1" applyFill="1" applyAlignment="1">
      <alignment horizontal="right"/>
    </xf>
    <xf numFmtId="37" fontId="9" fillId="0" borderId="0" xfId="0" applyNumberFormat="1" applyFont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left"/>
    </xf>
    <xf numFmtId="164" fontId="3" fillId="0" borderId="0" xfId="18" applyNumberFormat="1" applyFont="1" applyFill="1"/>
    <xf numFmtId="164" fontId="3" fillId="0" borderId="0" xfId="18" applyNumberFormat="1" applyFont="1"/>
    <xf numFmtId="37" fontId="3" fillId="0" borderId="0" xfId="20" applyAlignment="1">
      <alignment horizontal="right"/>
      <protection/>
    </xf>
    <xf numFmtId="37" fontId="3" fillId="0" borderId="0" xfId="21" applyNumberFormat="1" applyFont="1" applyBorder="1" applyAlignment="1">
      <alignment horizontal="right"/>
      <protection/>
    </xf>
    <xf numFmtId="5" fontId="3" fillId="0" borderId="0" xfId="21" applyAlignment="1">
      <alignment horizontal="right"/>
      <protection/>
    </xf>
    <xf numFmtId="37" fontId="3" fillId="0" borderId="0" xfId="22" applyNumberFormat="1" applyFont="1" applyBorder="1" applyAlignment="1">
      <alignment horizontal="right"/>
      <protection/>
    </xf>
    <xf numFmtId="37" fontId="3" fillId="0" borderId="0" xfId="20" applyFont="1" applyAlignment="1">
      <alignment horizontal="right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5" fontId="3" fillId="0" borderId="0" xfId="0" applyNumberFormat="1" applyFont="1" applyBorder="1" applyAlignment="1">
      <alignment horizontal="right"/>
    </xf>
    <xf numFmtId="5" fontId="3" fillId="0" borderId="0" xfId="21" applyFont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HE format" xfId="20"/>
    <cellStyle name="Currency good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4"/>
  <sheetViews>
    <sheetView view="pageBreakPreview" zoomScale="80" zoomScaleSheetLayoutView="80" workbookViewId="0" topLeftCell="A1">
      <pane xSplit="4" ySplit="10" topLeftCell="E11" activePane="bottomRight" state="frozen"/>
      <selection pane="topRight" activeCell="E1" sqref="E1"/>
      <selection pane="bottomLeft" activeCell="A11" sqref="A11"/>
      <selection pane="bottomRight" activeCell="E41" sqref="E41"/>
    </sheetView>
  </sheetViews>
  <sheetFormatPr defaultColWidth="9.33203125" defaultRowHeight="12.75"/>
  <cols>
    <col min="1" max="1" width="24.16015625" style="23" customWidth="1"/>
    <col min="2" max="2" width="1.83203125" style="23" customWidth="1"/>
    <col min="3" max="3" width="13.83203125" style="23" customWidth="1"/>
    <col min="4" max="4" width="1.83203125" style="23" customWidth="1"/>
    <col min="5" max="5" width="14.5" style="0" bestFit="1" customWidth="1"/>
    <col min="6" max="6" width="1.83203125" style="0" customWidth="1"/>
    <col min="7" max="7" width="11.83203125" style="0" customWidth="1"/>
    <col min="8" max="8" width="1.83203125" style="0" customWidth="1"/>
    <col min="9" max="9" width="12.83203125" style="0" customWidth="1"/>
    <col min="10" max="10" width="1.83203125" style="0" customWidth="1"/>
    <col min="11" max="11" width="11.83203125" style="0" customWidth="1"/>
    <col min="12" max="12" width="1.83203125" style="0" customWidth="1"/>
    <col min="13" max="13" width="13.16015625" style="23" customWidth="1"/>
    <col min="14" max="14" width="1.83203125" style="23" customWidth="1"/>
    <col min="15" max="15" width="16.16015625" style="23" hidden="1" customWidth="1"/>
    <col min="16" max="16" width="1.83203125" style="23" hidden="1" customWidth="1"/>
    <col min="17" max="17" width="15.83203125" style="23" customWidth="1"/>
    <col min="18" max="18" width="1.83203125" style="23" customWidth="1"/>
    <col min="19" max="19" width="11.83203125" style="23" customWidth="1"/>
    <col min="20" max="20" width="1.83203125" style="23" customWidth="1"/>
    <col min="21" max="22" width="11.83203125" style="23" customWidth="1"/>
    <col min="23" max="23" width="1.83203125" style="23" customWidth="1"/>
    <col min="24" max="24" width="13.66015625" style="23" customWidth="1"/>
    <col min="25" max="25" width="1.83203125" style="23" customWidth="1"/>
    <col min="26" max="26" width="11.83203125" style="23" customWidth="1"/>
    <col min="27" max="27" width="1.83203125" style="23" customWidth="1"/>
    <col min="28" max="28" width="11.83203125" style="23" customWidth="1"/>
    <col min="29" max="29" width="1.83203125" style="23" customWidth="1"/>
    <col min="30" max="30" width="13.83203125" style="23" customWidth="1"/>
    <col min="31" max="31" width="1.83203125" style="23" customWidth="1"/>
    <col min="32" max="32" width="13.66015625" style="23" customWidth="1"/>
    <col min="33" max="33" width="1.83203125" style="23" customWidth="1"/>
    <col min="34" max="34" width="13.83203125" style="23" customWidth="1"/>
    <col min="35" max="35" width="1.83203125" style="23" customWidth="1"/>
    <col min="36" max="36" width="13.83203125" style="23" customWidth="1"/>
    <col min="37" max="37" width="1.83203125" style="23" customWidth="1"/>
    <col min="38" max="38" width="13.83203125" style="23" customWidth="1"/>
    <col min="39" max="39" width="1.83203125" style="23" customWidth="1"/>
    <col min="40" max="40" width="15.66015625" style="0" customWidth="1"/>
    <col min="41" max="41" width="1.83203125" style="0" customWidth="1"/>
    <col min="42" max="42" width="13.83203125" style="0" customWidth="1"/>
    <col min="43" max="43" width="2.66015625" style="0" customWidth="1"/>
    <col min="44" max="44" width="16.66015625" style="0" bestFit="1" customWidth="1"/>
    <col min="45" max="45" width="1.83203125" style="0" customWidth="1"/>
    <col min="46" max="46" width="10.66015625" style="0" bestFit="1" customWidth="1"/>
    <col min="47" max="47" width="1.83203125" style="0" customWidth="1"/>
    <col min="48" max="48" width="13.83203125" style="0" bestFit="1" customWidth="1"/>
    <col min="49" max="49" width="1.83203125" style="0" customWidth="1"/>
    <col min="50" max="50" width="13.83203125" style="0" bestFit="1" customWidth="1"/>
  </cols>
  <sheetData>
    <row r="1" spans="1:17" s="23" customFormat="1" ht="12.75">
      <c r="A1" s="23" t="s">
        <v>712</v>
      </c>
      <c r="M1" s="49"/>
      <c r="N1" s="49"/>
      <c r="O1" s="49"/>
      <c r="P1" s="49"/>
      <c r="Q1" s="49"/>
    </row>
    <row r="2" spans="1:15" s="23" customFormat="1" ht="12.75">
      <c r="A2" s="23" t="s">
        <v>713</v>
      </c>
      <c r="O2" s="23" t="s">
        <v>873</v>
      </c>
    </row>
    <row r="3" spans="1:15" s="23" customFormat="1" ht="12.75">
      <c r="A3" s="23" t="s">
        <v>960</v>
      </c>
      <c r="O3" s="23" t="s">
        <v>874</v>
      </c>
    </row>
    <row r="4" spans="1:15" s="23" customFormat="1" ht="12.75">
      <c r="A4" s="89" t="s">
        <v>864</v>
      </c>
      <c r="O4" s="23" t="s">
        <v>875</v>
      </c>
    </row>
    <row r="5" spans="1:15" s="23" customFormat="1" ht="12.75">
      <c r="A5" s="23" t="s">
        <v>714</v>
      </c>
      <c r="O5" s="23" t="s">
        <v>876</v>
      </c>
    </row>
    <row r="6" spans="1:33" ht="12.75">
      <c r="A6" s="33"/>
      <c r="B6" s="33"/>
      <c r="E6" s="1"/>
      <c r="F6" s="1"/>
      <c r="G6" s="1"/>
      <c r="H6" s="1"/>
      <c r="K6" s="1"/>
      <c r="L6" s="1"/>
      <c r="AD6" s="34"/>
      <c r="AE6" s="34"/>
      <c r="AF6" s="34"/>
      <c r="AG6" s="34"/>
    </row>
    <row r="7" spans="7:50" s="1" customFormat="1" ht="12">
      <c r="G7" s="99" t="s">
        <v>715</v>
      </c>
      <c r="H7" s="99"/>
      <c r="I7" s="99"/>
      <c r="J7" s="99"/>
      <c r="K7" s="99"/>
      <c r="L7" s="4"/>
      <c r="M7" s="82"/>
      <c r="N7" s="82"/>
      <c r="O7" s="82"/>
      <c r="P7" s="82"/>
      <c r="Q7" s="99" t="s">
        <v>861</v>
      </c>
      <c r="R7" s="99"/>
      <c r="S7" s="99"/>
      <c r="T7" s="25"/>
      <c r="U7" s="99" t="s">
        <v>861</v>
      </c>
      <c r="V7" s="99"/>
      <c r="W7" s="99"/>
      <c r="X7" s="99"/>
      <c r="Y7" s="99"/>
      <c r="Z7" s="99"/>
      <c r="AA7" s="99"/>
      <c r="AB7" s="99"/>
      <c r="AC7" s="4"/>
      <c r="AD7" s="3" t="s">
        <v>716</v>
      </c>
      <c r="AE7" s="3"/>
      <c r="AG7" s="3"/>
      <c r="AH7" s="4" t="s">
        <v>717</v>
      </c>
      <c r="AI7" s="4"/>
      <c r="AJ7" s="4"/>
      <c r="AK7" s="4"/>
      <c r="AL7" s="4"/>
      <c r="AM7" s="4"/>
      <c r="AR7" s="100" t="s">
        <v>878</v>
      </c>
      <c r="AS7" s="100"/>
      <c r="AT7" s="100"/>
      <c r="AU7" s="100"/>
      <c r="AV7" s="100"/>
      <c r="AW7" s="100"/>
      <c r="AX7" s="100"/>
    </row>
    <row r="8" spans="9:50" s="1" customFormat="1" ht="12">
      <c r="I8" s="3" t="s">
        <v>718</v>
      </c>
      <c r="J8" s="3"/>
      <c r="M8" s="3" t="s">
        <v>719</v>
      </c>
      <c r="N8" s="3"/>
      <c r="O8" s="3" t="s">
        <v>719</v>
      </c>
      <c r="P8" s="3"/>
      <c r="Q8" s="4" t="s">
        <v>720</v>
      </c>
      <c r="R8" s="4"/>
      <c r="AD8" s="60" t="s">
        <v>721</v>
      </c>
      <c r="AE8" s="60"/>
      <c r="AF8" s="60" t="s">
        <v>724</v>
      </c>
      <c r="AG8" s="60"/>
      <c r="AH8" s="60" t="s">
        <v>721</v>
      </c>
      <c r="AI8" s="60"/>
      <c r="AJ8" s="60" t="s">
        <v>827</v>
      </c>
      <c r="AK8" s="60"/>
      <c r="AL8" s="4" t="s">
        <v>722</v>
      </c>
      <c r="AM8" s="4"/>
      <c r="AR8" s="4" t="s">
        <v>719</v>
      </c>
      <c r="AS8" s="4"/>
      <c r="AT8" s="4"/>
      <c r="AU8" s="4"/>
      <c r="AV8" s="4"/>
      <c r="AW8" s="4"/>
      <c r="AX8" s="4"/>
    </row>
    <row r="9" spans="1:50" s="1" customFormat="1" ht="12">
      <c r="A9" s="47"/>
      <c r="B9" s="47"/>
      <c r="C9" s="47"/>
      <c r="D9" s="47"/>
      <c r="E9" s="26" t="s">
        <v>723</v>
      </c>
      <c r="F9" s="26"/>
      <c r="G9" s="3" t="s">
        <v>628</v>
      </c>
      <c r="H9" s="3"/>
      <c r="I9" s="3" t="s">
        <v>724</v>
      </c>
      <c r="J9" s="3"/>
      <c r="K9" s="3" t="s">
        <v>725</v>
      </c>
      <c r="L9" s="3"/>
      <c r="M9" s="3" t="s">
        <v>672</v>
      </c>
      <c r="N9" s="3"/>
      <c r="O9" s="3" t="s">
        <v>672</v>
      </c>
      <c r="P9" s="3"/>
      <c r="Q9" s="4" t="s">
        <v>726</v>
      </c>
      <c r="R9" s="4"/>
      <c r="S9" s="4" t="s">
        <v>727</v>
      </c>
      <c r="T9" s="4"/>
      <c r="U9" s="4" t="s">
        <v>728</v>
      </c>
      <c r="V9" s="3" t="s">
        <v>729</v>
      </c>
      <c r="W9" s="3"/>
      <c r="X9" s="3" t="s">
        <v>835</v>
      </c>
      <c r="Y9" s="3"/>
      <c r="Z9" s="3"/>
      <c r="AA9" s="3"/>
      <c r="AB9" s="3" t="s">
        <v>730</v>
      </c>
      <c r="AC9" s="3"/>
      <c r="AD9" s="3" t="s">
        <v>731</v>
      </c>
      <c r="AE9" s="3"/>
      <c r="AF9" s="3" t="s">
        <v>971</v>
      </c>
      <c r="AG9" s="3"/>
      <c r="AH9" s="3" t="s">
        <v>732</v>
      </c>
      <c r="AI9" s="3"/>
      <c r="AJ9" s="3" t="s">
        <v>877</v>
      </c>
      <c r="AK9" s="3"/>
      <c r="AL9" s="4" t="s">
        <v>733</v>
      </c>
      <c r="AM9" s="4"/>
      <c r="AN9" s="60" t="s">
        <v>837</v>
      </c>
      <c r="AO9" s="60"/>
      <c r="AP9" s="60" t="s">
        <v>837</v>
      </c>
      <c r="AR9" s="4" t="s">
        <v>881</v>
      </c>
      <c r="AS9" s="4"/>
      <c r="AT9" s="4" t="s">
        <v>651</v>
      </c>
      <c r="AU9" s="4"/>
      <c r="AV9" s="4" t="s">
        <v>880</v>
      </c>
      <c r="AW9" s="4"/>
      <c r="AX9" s="4" t="s">
        <v>879</v>
      </c>
    </row>
    <row r="10" spans="1:50" s="1" customFormat="1" ht="12">
      <c r="A10" s="27" t="s">
        <v>734</v>
      </c>
      <c r="B10" s="45"/>
      <c r="C10" s="27" t="s">
        <v>735</v>
      </c>
      <c r="D10" s="45"/>
      <c r="E10" s="27" t="s">
        <v>671</v>
      </c>
      <c r="F10" s="45"/>
      <c r="G10" s="97" t="s">
        <v>629</v>
      </c>
      <c r="H10" s="4"/>
      <c r="I10" s="97" t="s">
        <v>736</v>
      </c>
      <c r="J10" s="4"/>
      <c r="K10" s="97" t="s">
        <v>737</v>
      </c>
      <c r="L10" s="4"/>
      <c r="M10" s="97" t="s">
        <v>738</v>
      </c>
      <c r="N10" s="4"/>
      <c r="O10" s="4" t="s">
        <v>738</v>
      </c>
      <c r="P10" s="4"/>
      <c r="Q10" s="97" t="s">
        <v>739</v>
      </c>
      <c r="R10" s="4"/>
      <c r="S10" s="97" t="s">
        <v>739</v>
      </c>
      <c r="T10" s="4"/>
      <c r="U10" s="97" t="s">
        <v>737</v>
      </c>
      <c r="V10" s="98" t="s">
        <v>740</v>
      </c>
      <c r="W10" s="60"/>
      <c r="X10" s="98" t="s">
        <v>836</v>
      </c>
      <c r="Y10" s="60"/>
      <c r="Z10" s="98" t="s">
        <v>741</v>
      </c>
      <c r="AA10" s="60"/>
      <c r="AB10" s="98" t="s">
        <v>742</v>
      </c>
      <c r="AC10" s="60"/>
      <c r="AD10" s="97" t="s">
        <v>743</v>
      </c>
      <c r="AE10" s="4"/>
      <c r="AF10" s="97" t="s">
        <v>885</v>
      </c>
      <c r="AG10" s="4"/>
      <c r="AH10" s="98" t="s">
        <v>744</v>
      </c>
      <c r="AI10" s="60"/>
      <c r="AJ10" s="98" t="s">
        <v>672</v>
      </c>
      <c r="AK10" s="60"/>
      <c r="AL10" s="97" t="s">
        <v>745</v>
      </c>
      <c r="AM10" s="4"/>
      <c r="AN10" s="98" t="s">
        <v>920</v>
      </c>
      <c r="AO10" s="60"/>
      <c r="AP10" s="98" t="s">
        <v>838</v>
      </c>
      <c r="AR10" s="25" t="s">
        <v>738</v>
      </c>
      <c r="AS10" s="25"/>
      <c r="AT10" s="25" t="s">
        <v>672</v>
      </c>
      <c r="AU10" s="25"/>
      <c r="AV10" s="25" t="s">
        <v>837</v>
      </c>
      <c r="AW10" s="25"/>
      <c r="AX10" s="25" t="s">
        <v>837</v>
      </c>
    </row>
    <row r="11" spans="1:50" s="1" customFormat="1" ht="12">
      <c r="A11" s="7" t="s">
        <v>395</v>
      </c>
      <c r="B11" s="45"/>
      <c r="C11" s="7" t="s">
        <v>396</v>
      </c>
      <c r="D11" s="45"/>
      <c r="E11" s="101">
        <v>2337361</v>
      </c>
      <c r="F11" s="101"/>
      <c r="G11" s="101">
        <v>76450</v>
      </c>
      <c r="H11" s="101"/>
      <c r="I11" s="101">
        <v>207815</v>
      </c>
      <c r="J11" s="101"/>
      <c r="K11" s="101">
        <v>712705</v>
      </c>
      <c r="L11" s="101"/>
      <c r="M11" s="101">
        <v>-1340391</v>
      </c>
      <c r="N11" s="101"/>
      <c r="O11" s="101">
        <f>-E11+G11+I11+K11</f>
        <v>-1340391</v>
      </c>
      <c r="P11" s="101"/>
      <c r="Q11" s="101">
        <v>1079600</v>
      </c>
      <c r="R11" s="101"/>
      <c r="S11" s="101">
        <v>0</v>
      </c>
      <c r="T11" s="101"/>
      <c r="U11" s="101">
        <v>0</v>
      </c>
      <c r="V11" s="101">
        <v>0</v>
      </c>
      <c r="W11" s="101"/>
      <c r="X11" s="101">
        <v>0</v>
      </c>
      <c r="Y11" s="101"/>
      <c r="Z11" s="101">
        <f>119205+73403+17057+46185</f>
        <v>255850</v>
      </c>
      <c r="AA11" s="101"/>
      <c r="AB11" s="101">
        <v>0</v>
      </c>
      <c r="AC11" s="101"/>
      <c r="AD11" s="101">
        <v>-1026491</v>
      </c>
      <c r="AE11" s="101"/>
      <c r="AF11" s="101">
        <v>0</v>
      </c>
      <c r="AG11" s="101"/>
      <c r="AH11" s="101">
        <v>0</v>
      </c>
      <c r="AI11" s="101"/>
      <c r="AJ11" s="36">
        <f aca="true" t="shared" si="0" ref="AJ11:AJ37">Q11+S11+U11+V11+X11+Z11+AB11+AD11+AH11+AF11</f>
        <v>308959</v>
      </c>
      <c r="AK11" s="101"/>
      <c r="AL11" s="101">
        <v>-1031430</v>
      </c>
      <c r="AM11" s="101"/>
      <c r="AN11" s="101">
        <v>1395889</v>
      </c>
      <c r="AO11" s="101"/>
      <c r="AP11" s="101">
        <v>1277709</v>
      </c>
      <c r="AR11" s="42">
        <f>+M11-O11</f>
        <v>0</v>
      </c>
      <c r="AS11" s="42"/>
      <c r="AT11" s="42">
        <f aca="true" t="shared" si="1" ref="AT11:AT75">+Q11+S11+U11+V11+X11+Z11+AB11+AD11+AH11-AJ11+AF11</f>
        <v>0</v>
      </c>
      <c r="AU11" s="42"/>
      <c r="AV11" s="42">
        <f aca="true" t="shared" si="2" ref="AV11:AV75">+O11+AJ11-AL11</f>
        <v>-2</v>
      </c>
      <c r="AW11" s="42"/>
      <c r="AX11" s="42">
        <f aca="true" t="shared" si="3" ref="AX11:AX75">+O11+AJ11+AN11-AP11</f>
        <v>-913252</v>
      </c>
    </row>
    <row r="12" spans="1:50" s="7" customFormat="1" ht="12" customHeight="1" hidden="1">
      <c r="A12" s="7" t="s">
        <v>129</v>
      </c>
      <c r="C12" s="7" t="s">
        <v>785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>
        <f>-E12+G12+I12+K12</f>
        <v>0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>
        <f t="shared" si="0"/>
        <v>0</v>
      </c>
      <c r="AK12" s="36"/>
      <c r="AL12" s="36"/>
      <c r="AM12" s="36"/>
      <c r="AN12" s="36"/>
      <c r="AO12" s="36"/>
      <c r="AP12" s="36"/>
      <c r="AR12" s="42">
        <f>+M12-O12</f>
        <v>0</v>
      </c>
      <c r="AS12" s="42"/>
      <c r="AT12" s="42">
        <f t="shared" si="1"/>
        <v>0</v>
      </c>
      <c r="AU12" s="42"/>
      <c r="AV12" s="42">
        <f t="shared" si="2"/>
        <v>0</v>
      </c>
      <c r="AW12" s="42"/>
      <c r="AX12" s="42">
        <f t="shared" si="3"/>
        <v>0</v>
      </c>
    </row>
    <row r="13" spans="1:50" s="7" customFormat="1" ht="12" hidden="1">
      <c r="A13" s="7" t="s">
        <v>710</v>
      </c>
      <c r="C13" s="7" t="s">
        <v>396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>
        <f aca="true" t="shared" si="4" ref="O13:O127">-E13+G13+I13+K13</f>
        <v>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>
        <f t="shared" si="0"/>
        <v>0</v>
      </c>
      <c r="AK13" s="36"/>
      <c r="AL13" s="36"/>
      <c r="AM13" s="36"/>
      <c r="AN13" s="36"/>
      <c r="AO13" s="36"/>
      <c r="AP13" s="36"/>
      <c r="AR13" s="42">
        <f aca="true" t="shared" si="5" ref="AR13:AR123">+M13-O13</f>
        <v>0</v>
      </c>
      <c r="AS13" s="42"/>
      <c r="AT13" s="42">
        <f t="shared" si="1"/>
        <v>0</v>
      </c>
      <c r="AU13" s="42"/>
      <c r="AV13" s="42">
        <f t="shared" si="2"/>
        <v>0</v>
      </c>
      <c r="AW13" s="42"/>
      <c r="AX13" s="42">
        <f t="shared" si="3"/>
        <v>0</v>
      </c>
    </row>
    <row r="14" spans="1:50" s="7" customFormat="1" ht="12" hidden="1">
      <c r="A14" s="7" t="s">
        <v>668</v>
      </c>
      <c r="C14" s="7" t="s">
        <v>350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>
        <f t="shared" si="4"/>
        <v>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>
        <f t="shared" si="0"/>
        <v>0</v>
      </c>
      <c r="AK14" s="36"/>
      <c r="AL14" s="36"/>
      <c r="AM14" s="36"/>
      <c r="AN14" s="36"/>
      <c r="AO14" s="36"/>
      <c r="AP14" s="36"/>
      <c r="AR14" s="42">
        <f t="shared" si="5"/>
        <v>0</v>
      </c>
      <c r="AS14" s="42"/>
      <c r="AT14" s="42">
        <f t="shared" si="1"/>
        <v>0</v>
      </c>
      <c r="AU14" s="42"/>
      <c r="AV14" s="42">
        <f t="shared" si="2"/>
        <v>0</v>
      </c>
      <c r="AW14" s="42"/>
      <c r="AX14" s="42">
        <f t="shared" si="3"/>
        <v>0</v>
      </c>
    </row>
    <row r="15" spans="1:50" s="7" customFormat="1" ht="12" hidden="1">
      <c r="A15" s="7" t="s">
        <v>387</v>
      </c>
      <c r="C15" s="7" t="s">
        <v>388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>
        <f t="shared" si="4"/>
        <v>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f t="shared" si="0"/>
        <v>0</v>
      </c>
      <c r="AK15" s="36"/>
      <c r="AL15" s="36"/>
      <c r="AM15" s="36"/>
      <c r="AN15" s="36"/>
      <c r="AO15" s="36"/>
      <c r="AP15" s="36"/>
      <c r="AR15" s="42">
        <f t="shared" si="5"/>
        <v>0</v>
      </c>
      <c r="AS15" s="42"/>
      <c r="AT15" s="42">
        <f t="shared" si="1"/>
        <v>0</v>
      </c>
      <c r="AU15" s="42"/>
      <c r="AV15" s="42">
        <f t="shared" si="2"/>
        <v>0</v>
      </c>
      <c r="AW15" s="42"/>
      <c r="AX15" s="42">
        <f t="shared" si="3"/>
        <v>0</v>
      </c>
    </row>
    <row r="16" spans="1:50" s="7" customFormat="1" ht="12">
      <c r="A16" s="7" t="s">
        <v>330</v>
      </c>
      <c r="C16" s="7" t="s">
        <v>329</v>
      </c>
      <c r="E16" s="36">
        <v>900681</v>
      </c>
      <c r="F16" s="36"/>
      <c r="G16" s="36">
        <v>79794</v>
      </c>
      <c r="H16" s="36"/>
      <c r="I16" s="36">
        <v>256728</v>
      </c>
      <c r="J16" s="36"/>
      <c r="K16" s="36">
        <v>0</v>
      </c>
      <c r="L16" s="36"/>
      <c r="M16" s="36">
        <v>-564159</v>
      </c>
      <c r="N16" s="36"/>
      <c r="O16" s="36">
        <f t="shared" si="4"/>
        <v>-564159</v>
      </c>
      <c r="P16" s="36"/>
      <c r="Q16" s="36">
        <f>61133+8466+9477+30095</f>
        <v>109171</v>
      </c>
      <c r="R16" s="36"/>
      <c r="S16" s="36">
        <v>394566</v>
      </c>
      <c r="T16" s="36"/>
      <c r="U16" s="36">
        <v>88988</v>
      </c>
      <c r="V16" s="36">
        <v>34805</v>
      </c>
      <c r="W16" s="36"/>
      <c r="X16" s="36">
        <v>0</v>
      </c>
      <c r="Y16" s="36"/>
      <c r="Z16" s="36">
        <v>21927</v>
      </c>
      <c r="AA16" s="36"/>
      <c r="AB16" s="36">
        <v>0</v>
      </c>
      <c r="AC16" s="36"/>
      <c r="AD16" s="36">
        <f>17956+7500</f>
        <v>25456</v>
      </c>
      <c r="AE16" s="36"/>
      <c r="AF16" s="36">
        <v>0</v>
      </c>
      <c r="AG16" s="36"/>
      <c r="AH16" s="36">
        <v>0</v>
      </c>
      <c r="AI16" s="36"/>
      <c r="AJ16" s="36">
        <f t="shared" si="0"/>
        <v>674913</v>
      </c>
      <c r="AK16" s="36"/>
      <c r="AL16" s="36">
        <v>110754</v>
      </c>
      <c r="AM16" s="36"/>
      <c r="AN16" s="36">
        <v>1444192</v>
      </c>
      <c r="AO16" s="36"/>
      <c r="AP16" s="36">
        <v>1554946</v>
      </c>
      <c r="AR16" s="42">
        <f aca="true" t="shared" si="6" ref="AR16">+M16-O16</f>
        <v>0</v>
      </c>
      <c r="AS16" s="42"/>
      <c r="AT16" s="42">
        <f t="shared" si="1"/>
        <v>0</v>
      </c>
      <c r="AU16" s="42"/>
      <c r="AV16" s="42">
        <f t="shared" si="2"/>
        <v>0</v>
      </c>
      <c r="AW16" s="42"/>
      <c r="AX16" s="42">
        <f t="shared" si="3"/>
        <v>0</v>
      </c>
    </row>
    <row r="17" spans="1:50" s="42" customFormat="1" ht="12">
      <c r="A17" s="42" t="s">
        <v>98</v>
      </c>
      <c r="C17" s="42" t="s">
        <v>774</v>
      </c>
      <c r="E17" s="36">
        <v>451389.61</v>
      </c>
      <c r="F17" s="36"/>
      <c r="G17" s="36">
        <v>35994</v>
      </c>
      <c r="H17" s="36"/>
      <c r="I17" s="36">
        <v>64455.27</v>
      </c>
      <c r="J17" s="36"/>
      <c r="K17" s="36">
        <v>20000</v>
      </c>
      <c r="L17" s="36"/>
      <c r="M17" s="36">
        <v>-330940.34</v>
      </c>
      <c r="N17" s="36"/>
      <c r="O17" s="36">
        <f>M17</f>
        <v>-330940.34</v>
      </c>
      <c r="P17" s="36"/>
      <c r="Q17" s="36">
        <v>164888.07</v>
      </c>
      <c r="R17" s="36"/>
      <c r="S17" s="36">
        <v>192509.67</v>
      </c>
      <c r="T17" s="36"/>
      <c r="U17" s="36">
        <v>76773.22</v>
      </c>
      <c r="V17" s="36">
        <v>19778.87</v>
      </c>
      <c r="W17" s="36"/>
      <c r="X17" s="36">
        <v>0</v>
      </c>
      <c r="Y17" s="36"/>
      <c r="Z17" s="36">
        <v>15748.93</v>
      </c>
      <c r="AA17" s="36"/>
      <c r="AB17" s="36">
        <v>0</v>
      </c>
      <c r="AC17" s="36"/>
      <c r="AD17" s="36">
        <v>-98000</v>
      </c>
      <c r="AE17" s="36"/>
      <c r="AF17" s="36">
        <v>0</v>
      </c>
      <c r="AG17" s="36"/>
      <c r="AH17" s="36">
        <v>0</v>
      </c>
      <c r="AI17" s="36"/>
      <c r="AJ17" s="36">
        <f t="shared" si="0"/>
        <v>371698.75999999995</v>
      </c>
      <c r="AK17" s="36"/>
      <c r="AL17" s="36">
        <v>40758.42</v>
      </c>
      <c r="AM17" s="36"/>
      <c r="AN17" s="36">
        <v>431784.63</v>
      </c>
      <c r="AO17" s="36"/>
      <c r="AP17" s="36">
        <v>472543.05</v>
      </c>
      <c r="AR17" s="42">
        <f t="shared" si="5"/>
        <v>0</v>
      </c>
      <c r="AT17" s="42">
        <f t="shared" si="1"/>
        <v>0</v>
      </c>
      <c r="AV17" s="42">
        <f t="shared" si="2"/>
        <v>-7.275957614183426E-11</v>
      </c>
      <c r="AX17" s="42">
        <f t="shared" si="3"/>
        <v>0</v>
      </c>
    </row>
    <row r="18" spans="1:50" s="42" customFormat="1" ht="12">
      <c r="A18" s="42" t="s">
        <v>850</v>
      </c>
      <c r="C18" s="42" t="s">
        <v>525</v>
      </c>
      <c r="E18" s="36">
        <v>229770.66</v>
      </c>
      <c r="F18" s="36"/>
      <c r="G18" s="36">
        <v>29943.76</v>
      </c>
      <c r="H18" s="36"/>
      <c r="I18" s="36">
        <v>0</v>
      </c>
      <c r="J18" s="36"/>
      <c r="K18" s="36">
        <v>0</v>
      </c>
      <c r="L18" s="36"/>
      <c r="M18" s="36">
        <v>-199826.9</v>
      </c>
      <c r="N18" s="36"/>
      <c r="O18" s="36">
        <f aca="true" t="shared" si="7" ref="O18:O19">M18</f>
        <v>-199826.9</v>
      </c>
      <c r="P18" s="36"/>
      <c r="Q18" s="36">
        <v>169915.99</v>
      </c>
      <c r="R18" s="36"/>
      <c r="S18" s="36">
        <v>0</v>
      </c>
      <c r="T18" s="36"/>
      <c r="U18" s="36">
        <v>0</v>
      </c>
      <c r="V18" s="36">
        <v>4958.54</v>
      </c>
      <c r="W18" s="36"/>
      <c r="X18" s="36">
        <v>0</v>
      </c>
      <c r="Y18" s="36"/>
      <c r="Z18" s="36">
        <v>16716.13</v>
      </c>
      <c r="AA18" s="36"/>
      <c r="AB18" s="36">
        <v>0</v>
      </c>
      <c r="AC18" s="36"/>
      <c r="AD18" s="36">
        <v>0</v>
      </c>
      <c r="AE18" s="36"/>
      <c r="AF18" s="36">
        <v>0</v>
      </c>
      <c r="AG18" s="36"/>
      <c r="AH18" s="36">
        <v>0</v>
      </c>
      <c r="AI18" s="36"/>
      <c r="AJ18" s="36">
        <f t="shared" si="0"/>
        <v>191590.66</v>
      </c>
      <c r="AK18" s="36"/>
      <c r="AL18" s="36">
        <v>-8236.24</v>
      </c>
      <c r="AM18" s="36"/>
      <c r="AN18" s="36">
        <v>590555.84</v>
      </c>
      <c r="AO18" s="36"/>
      <c r="AP18" s="36">
        <v>582319.6</v>
      </c>
      <c r="AR18" s="42">
        <f aca="true" t="shared" si="8" ref="AR18">+M18-O18</f>
        <v>0</v>
      </c>
      <c r="AT18" s="42">
        <f t="shared" si="1"/>
        <v>0</v>
      </c>
      <c r="AV18" s="42">
        <f t="shared" si="2"/>
        <v>0</v>
      </c>
      <c r="AX18" s="42">
        <f t="shared" si="3"/>
        <v>0</v>
      </c>
    </row>
    <row r="19" spans="1:50" s="7" customFormat="1" ht="12">
      <c r="A19" s="7" t="s">
        <v>132</v>
      </c>
      <c r="C19" s="7" t="s">
        <v>786</v>
      </c>
      <c r="E19" s="36">
        <v>259897.94</v>
      </c>
      <c r="F19" s="36"/>
      <c r="G19" s="36">
        <v>119</v>
      </c>
      <c r="H19" s="36"/>
      <c r="I19" s="36">
        <v>32142.38</v>
      </c>
      <c r="J19" s="36"/>
      <c r="K19" s="36">
        <v>0</v>
      </c>
      <c r="L19" s="36"/>
      <c r="M19" s="36">
        <v>-227636.56</v>
      </c>
      <c r="N19" s="36"/>
      <c r="O19" s="36">
        <f t="shared" si="7"/>
        <v>-227636.56</v>
      </c>
      <c r="P19" s="36"/>
      <c r="Q19" s="36">
        <v>102429.21</v>
      </c>
      <c r="R19" s="36"/>
      <c r="S19" s="36">
        <v>102023.71</v>
      </c>
      <c r="T19" s="36"/>
      <c r="U19" s="36">
        <v>8545.69</v>
      </c>
      <c r="V19" s="36">
        <v>2658.92</v>
      </c>
      <c r="W19" s="36"/>
      <c r="X19" s="36">
        <v>0</v>
      </c>
      <c r="Y19" s="36"/>
      <c r="Z19" s="36">
        <v>16201.2</v>
      </c>
      <c r="AA19" s="36"/>
      <c r="AB19" s="36">
        <v>0</v>
      </c>
      <c r="AC19" s="36"/>
      <c r="AD19" s="36">
        <v>-2091.67</v>
      </c>
      <c r="AE19" s="36"/>
      <c r="AF19" s="36">
        <v>0</v>
      </c>
      <c r="AG19" s="36"/>
      <c r="AH19" s="36">
        <v>0</v>
      </c>
      <c r="AI19" s="36"/>
      <c r="AJ19" s="36">
        <f t="shared" si="0"/>
        <v>229767.06000000003</v>
      </c>
      <c r="AK19" s="36"/>
      <c r="AL19" s="36">
        <v>2130.5</v>
      </c>
      <c r="AM19" s="36"/>
      <c r="AN19" s="36">
        <v>131318.12</v>
      </c>
      <c r="AO19" s="36"/>
      <c r="AP19" s="36">
        <v>133448.62</v>
      </c>
      <c r="AR19" s="42">
        <f t="shared" si="5"/>
        <v>0</v>
      </c>
      <c r="AS19" s="42"/>
      <c r="AT19" s="42">
        <f t="shared" si="1"/>
        <v>0</v>
      </c>
      <c r="AU19" s="42"/>
      <c r="AV19" s="42">
        <f t="shared" si="2"/>
        <v>2.9103830456733704E-11</v>
      </c>
      <c r="AW19" s="42"/>
      <c r="AX19" s="42">
        <f t="shared" si="3"/>
        <v>0</v>
      </c>
    </row>
    <row r="20" spans="1:50" s="7" customFormat="1" ht="12" hidden="1">
      <c r="A20" s="7" t="s">
        <v>208</v>
      </c>
      <c r="C20" s="7" t="s">
        <v>809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f t="shared" si="4"/>
        <v>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>
        <v>0</v>
      </c>
      <c r="AG20" s="36"/>
      <c r="AH20" s="36"/>
      <c r="AI20" s="36"/>
      <c r="AJ20" s="36">
        <f t="shared" si="0"/>
        <v>0</v>
      </c>
      <c r="AK20" s="36"/>
      <c r="AL20" s="36"/>
      <c r="AM20" s="36"/>
      <c r="AN20" s="36"/>
      <c r="AO20" s="36"/>
      <c r="AP20" s="36"/>
      <c r="AR20" s="42">
        <f t="shared" si="5"/>
        <v>0</v>
      </c>
      <c r="AS20" s="42"/>
      <c r="AT20" s="42">
        <f t="shared" si="1"/>
        <v>0</v>
      </c>
      <c r="AU20" s="42"/>
      <c r="AV20" s="42">
        <f t="shared" si="2"/>
        <v>0</v>
      </c>
      <c r="AW20" s="42"/>
      <c r="AX20" s="42">
        <f t="shared" si="3"/>
        <v>0</v>
      </c>
    </row>
    <row r="21" spans="1:50" s="7" customFormat="1" ht="12" hidden="1">
      <c r="A21" s="7" t="s">
        <v>143</v>
      </c>
      <c r="C21" s="7" t="s">
        <v>790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f t="shared" si="4"/>
        <v>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>
        <v>0</v>
      </c>
      <c r="AG21" s="36"/>
      <c r="AH21" s="36"/>
      <c r="AI21" s="36"/>
      <c r="AJ21" s="36">
        <f t="shared" si="0"/>
        <v>0</v>
      </c>
      <c r="AK21" s="36"/>
      <c r="AL21" s="36"/>
      <c r="AM21" s="36"/>
      <c r="AN21" s="36"/>
      <c r="AO21" s="36"/>
      <c r="AP21" s="36"/>
      <c r="AQ21" s="42"/>
      <c r="AR21" s="42">
        <f t="shared" si="5"/>
        <v>0</v>
      </c>
      <c r="AS21" s="42"/>
      <c r="AT21" s="42">
        <f t="shared" si="1"/>
        <v>0</v>
      </c>
      <c r="AU21" s="42"/>
      <c r="AV21" s="42">
        <f t="shared" si="2"/>
        <v>0</v>
      </c>
      <c r="AW21" s="42"/>
      <c r="AX21" s="42">
        <f t="shared" si="3"/>
        <v>0</v>
      </c>
    </row>
    <row r="22" spans="1:50" s="7" customFormat="1" ht="12">
      <c r="A22" s="7" t="s">
        <v>315</v>
      </c>
      <c r="C22" s="7" t="s">
        <v>316</v>
      </c>
      <c r="E22" s="36">
        <v>1840239</v>
      </c>
      <c r="F22" s="36"/>
      <c r="G22" s="36">
        <v>16966</v>
      </c>
      <c r="H22" s="36"/>
      <c r="I22" s="36">
        <v>34150</v>
      </c>
      <c r="J22" s="36"/>
      <c r="K22" s="36">
        <v>175757</v>
      </c>
      <c r="L22" s="36"/>
      <c r="M22" s="36">
        <v>-1613366</v>
      </c>
      <c r="N22" s="36"/>
      <c r="O22" s="36">
        <f>-E22+G22+I22+K22</f>
        <v>-1613366</v>
      </c>
      <c r="P22" s="36"/>
      <c r="Q22" s="36">
        <v>420525</v>
      </c>
      <c r="R22" s="36"/>
      <c r="S22" s="36">
        <v>944361</v>
      </c>
      <c r="T22" s="36"/>
      <c r="U22" s="36">
        <v>117717</v>
      </c>
      <c r="V22" s="36">
        <v>11161</v>
      </c>
      <c r="W22" s="36"/>
      <c r="X22" s="36">
        <v>14764</v>
      </c>
      <c r="Y22" s="36"/>
      <c r="Z22" s="36">
        <v>7367</v>
      </c>
      <c r="AA22" s="36"/>
      <c r="AB22" s="36">
        <v>0</v>
      </c>
      <c r="AC22" s="36"/>
      <c r="AD22" s="36">
        <v>0</v>
      </c>
      <c r="AE22" s="36"/>
      <c r="AF22" s="36">
        <v>0</v>
      </c>
      <c r="AG22" s="36"/>
      <c r="AH22" s="36">
        <v>0</v>
      </c>
      <c r="AI22" s="36"/>
      <c r="AJ22" s="36">
        <f t="shared" si="0"/>
        <v>1515895</v>
      </c>
      <c r="AK22" s="36"/>
      <c r="AL22" s="36">
        <v>-97471</v>
      </c>
      <c r="AM22" s="36"/>
      <c r="AN22" s="36">
        <v>1336324</v>
      </c>
      <c r="AO22" s="36"/>
      <c r="AP22" s="36">
        <v>1238853</v>
      </c>
      <c r="AR22" s="42">
        <f>+M22-O22</f>
        <v>0</v>
      </c>
      <c r="AS22" s="42"/>
      <c r="AT22" s="42">
        <f t="shared" si="1"/>
        <v>0</v>
      </c>
      <c r="AU22" s="42"/>
      <c r="AV22" s="42">
        <f t="shared" si="2"/>
        <v>0</v>
      </c>
      <c r="AW22" s="42"/>
      <c r="AX22" s="42">
        <f t="shared" si="3"/>
        <v>0</v>
      </c>
    </row>
    <row r="23" spans="1:50" s="7" customFormat="1" ht="12">
      <c r="A23" s="7" t="s">
        <v>422</v>
      </c>
      <c r="C23" s="7" t="s">
        <v>781</v>
      </c>
      <c r="E23" s="96">
        <v>102471.15</v>
      </c>
      <c r="F23" s="96"/>
      <c r="G23" s="96">
        <v>2865</v>
      </c>
      <c r="H23" s="96"/>
      <c r="I23" s="96">
        <v>31724.72</v>
      </c>
      <c r="J23" s="96"/>
      <c r="K23" s="96">
        <v>545.48</v>
      </c>
      <c r="L23" s="96"/>
      <c r="M23" s="96">
        <v>-67335.95</v>
      </c>
      <c r="N23" s="96"/>
      <c r="O23" s="36">
        <f>-E23+G23+I23+K23</f>
        <v>-67335.95</v>
      </c>
      <c r="P23" s="96"/>
      <c r="Q23" s="96">
        <v>22943.01</v>
      </c>
      <c r="R23" s="96"/>
      <c r="S23" s="96">
        <v>0</v>
      </c>
      <c r="T23" s="96"/>
      <c r="U23" s="96">
        <v>15032.86</v>
      </c>
      <c r="V23" s="96">
        <v>61.5</v>
      </c>
      <c r="W23" s="96"/>
      <c r="X23" s="96">
        <v>145.24</v>
      </c>
      <c r="Y23" s="96"/>
      <c r="Z23" s="96">
        <v>6921.23</v>
      </c>
      <c r="AA23" s="96"/>
      <c r="AB23" s="96">
        <v>0</v>
      </c>
      <c r="AC23" s="96"/>
      <c r="AD23" s="96">
        <v>0</v>
      </c>
      <c r="AE23" s="96"/>
      <c r="AF23" s="96">
        <v>9850</v>
      </c>
      <c r="AG23" s="96"/>
      <c r="AH23" s="96">
        <v>0</v>
      </c>
      <c r="AI23" s="96"/>
      <c r="AJ23" s="36">
        <f t="shared" si="0"/>
        <v>54953.84</v>
      </c>
      <c r="AK23" s="96"/>
      <c r="AL23" s="96">
        <v>-12382.11</v>
      </c>
      <c r="AM23" s="96"/>
      <c r="AN23" s="96">
        <v>132811.67</v>
      </c>
      <c r="AO23" s="96"/>
      <c r="AP23" s="96">
        <v>120429.56</v>
      </c>
      <c r="AR23" s="42">
        <f>+M23-O23</f>
        <v>0</v>
      </c>
      <c r="AS23" s="42"/>
      <c r="AT23" s="42">
        <f t="shared" si="1"/>
        <v>0</v>
      </c>
      <c r="AU23" s="42"/>
      <c r="AV23" s="42">
        <f t="shared" si="2"/>
        <v>0</v>
      </c>
      <c r="AW23" s="42"/>
      <c r="AX23" s="42">
        <f t="shared" si="3"/>
        <v>0</v>
      </c>
    </row>
    <row r="24" spans="1:50" s="7" customFormat="1" ht="12" hidden="1">
      <c r="A24" s="7" t="s">
        <v>15</v>
      </c>
      <c r="C24" s="7" t="s">
        <v>750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f t="shared" si="4"/>
        <v>0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>
        <v>0</v>
      </c>
      <c r="AG24" s="36"/>
      <c r="AH24" s="36"/>
      <c r="AI24" s="36"/>
      <c r="AJ24" s="36">
        <f t="shared" si="0"/>
        <v>0</v>
      </c>
      <c r="AK24" s="36"/>
      <c r="AL24" s="36"/>
      <c r="AM24" s="36"/>
      <c r="AN24" s="36"/>
      <c r="AO24" s="36"/>
      <c r="AP24" s="36"/>
      <c r="AR24" s="42">
        <f t="shared" si="5"/>
        <v>0</v>
      </c>
      <c r="AS24" s="42"/>
      <c r="AT24" s="42">
        <f t="shared" si="1"/>
        <v>0</v>
      </c>
      <c r="AU24" s="42"/>
      <c r="AV24" s="42">
        <f t="shared" si="2"/>
        <v>0</v>
      </c>
      <c r="AW24" s="42"/>
      <c r="AX24" s="42">
        <f t="shared" si="3"/>
        <v>0</v>
      </c>
    </row>
    <row r="25" spans="1:50" s="7" customFormat="1" ht="12">
      <c r="A25" s="7" t="s">
        <v>586</v>
      </c>
      <c r="C25" s="7" t="s">
        <v>587</v>
      </c>
      <c r="E25" s="96">
        <v>634981.65</v>
      </c>
      <c r="F25" s="96"/>
      <c r="G25" s="96">
        <v>171453.53</v>
      </c>
      <c r="H25" s="96"/>
      <c r="I25" s="96">
        <v>52767.37</v>
      </c>
      <c r="J25" s="96"/>
      <c r="K25" s="96">
        <v>0</v>
      </c>
      <c r="L25" s="96"/>
      <c r="M25" s="96">
        <v>-410760.75</v>
      </c>
      <c r="N25" s="96"/>
      <c r="O25" s="36">
        <f t="shared" si="4"/>
        <v>-410760.75</v>
      </c>
      <c r="P25" s="96"/>
      <c r="Q25" s="96">
        <v>115405.31</v>
      </c>
      <c r="R25" s="96"/>
      <c r="S25" s="96">
        <v>276121.69</v>
      </c>
      <c r="T25" s="96"/>
      <c r="U25" s="96">
        <v>0</v>
      </c>
      <c r="V25" s="96">
        <v>0</v>
      </c>
      <c r="W25" s="96"/>
      <c r="X25" s="96">
        <v>0</v>
      </c>
      <c r="Y25" s="96"/>
      <c r="Z25" s="96">
        <v>12455.82</v>
      </c>
      <c r="AA25" s="96"/>
      <c r="AB25" s="96">
        <v>0</v>
      </c>
      <c r="AC25" s="96"/>
      <c r="AD25" s="96">
        <v>5300</v>
      </c>
      <c r="AE25" s="96"/>
      <c r="AF25" s="96">
        <v>0</v>
      </c>
      <c r="AG25" s="96"/>
      <c r="AH25" s="96">
        <v>0</v>
      </c>
      <c r="AI25" s="96"/>
      <c r="AJ25" s="36">
        <f t="shared" si="0"/>
        <v>409282.82</v>
      </c>
      <c r="AK25" s="96"/>
      <c r="AL25" s="96">
        <v>-1477.93</v>
      </c>
      <c r="AM25" s="96"/>
      <c r="AN25" s="96">
        <v>402527.5</v>
      </c>
      <c r="AO25" s="96"/>
      <c r="AP25" s="96">
        <v>401049.57</v>
      </c>
      <c r="AR25" s="42">
        <f t="shared" si="5"/>
        <v>0</v>
      </c>
      <c r="AS25" s="42"/>
      <c r="AT25" s="42">
        <f t="shared" si="1"/>
        <v>0</v>
      </c>
      <c r="AU25" s="42"/>
      <c r="AV25" s="42">
        <f t="shared" si="2"/>
        <v>7.048583938740194E-12</v>
      </c>
      <c r="AW25" s="42"/>
      <c r="AX25" s="42">
        <f t="shared" si="3"/>
        <v>0</v>
      </c>
    </row>
    <row r="26" spans="1:50" s="7" customFormat="1" ht="12">
      <c r="A26" s="7" t="s">
        <v>893</v>
      </c>
      <c r="C26" s="7" t="s">
        <v>709</v>
      </c>
      <c r="E26" s="36">
        <v>2511550</v>
      </c>
      <c r="F26" s="36"/>
      <c r="G26" s="36">
        <v>331675</v>
      </c>
      <c r="H26" s="36"/>
      <c r="I26" s="36">
        <v>284670</v>
      </c>
      <c r="J26" s="36"/>
      <c r="K26" s="36">
        <v>29629</v>
      </c>
      <c r="L26" s="36"/>
      <c r="M26" s="36">
        <v>-1865575</v>
      </c>
      <c r="N26" s="36"/>
      <c r="O26" s="36">
        <f>-E26+G26+I26+K26</f>
        <v>-1865576</v>
      </c>
      <c r="P26" s="36"/>
      <c r="Q26" s="36">
        <f>161479+138170</f>
        <v>299649</v>
      </c>
      <c r="R26" s="36"/>
      <c r="S26" s="36">
        <v>1710016</v>
      </c>
      <c r="T26" s="36"/>
      <c r="U26" s="36">
        <v>0</v>
      </c>
      <c r="V26" s="36">
        <v>6585</v>
      </c>
      <c r="W26" s="36"/>
      <c r="X26" s="36">
        <v>0</v>
      </c>
      <c r="Y26" s="36"/>
      <c r="Z26" s="36">
        <f>6548+162353</f>
        <v>168901</v>
      </c>
      <c r="AA26" s="36"/>
      <c r="AB26" s="36">
        <v>0</v>
      </c>
      <c r="AC26" s="36"/>
      <c r="AD26" s="36">
        <f>-772750-82890</f>
        <v>-855640</v>
      </c>
      <c r="AE26" s="36"/>
      <c r="AF26" s="36">
        <v>0</v>
      </c>
      <c r="AG26" s="36"/>
      <c r="AH26" s="36">
        <v>0</v>
      </c>
      <c r="AI26" s="36"/>
      <c r="AJ26" s="36">
        <f t="shared" si="0"/>
        <v>1329511</v>
      </c>
      <c r="AK26" s="36"/>
      <c r="AL26" s="36">
        <v>-536065</v>
      </c>
      <c r="AM26" s="36"/>
      <c r="AN26" s="36">
        <v>2875886</v>
      </c>
      <c r="AO26" s="36"/>
      <c r="AP26" s="36">
        <v>2339821</v>
      </c>
      <c r="AR26" s="42">
        <f>+M26-O26</f>
        <v>1</v>
      </c>
      <c r="AS26" s="42"/>
      <c r="AT26" s="42">
        <f t="shared" si="1"/>
        <v>0</v>
      </c>
      <c r="AU26" s="42"/>
      <c r="AV26" s="42">
        <f t="shared" si="2"/>
        <v>0</v>
      </c>
      <c r="AW26" s="42"/>
      <c r="AX26" s="42">
        <f t="shared" si="3"/>
        <v>0</v>
      </c>
    </row>
    <row r="27" spans="1:50" s="7" customFormat="1" ht="12">
      <c r="A27" s="7" t="s">
        <v>318</v>
      </c>
      <c r="C27" s="7" t="s">
        <v>316</v>
      </c>
      <c r="E27" s="36">
        <v>5610002</v>
      </c>
      <c r="F27" s="36"/>
      <c r="G27" s="36">
        <v>224095</v>
      </c>
      <c r="H27" s="36"/>
      <c r="I27" s="36">
        <v>135774</v>
      </c>
      <c r="J27" s="36"/>
      <c r="K27" s="36">
        <v>398219</v>
      </c>
      <c r="L27" s="36"/>
      <c r="M27" s="36">
        <v>-4851914</v>
      </c>
      <c r="N27" s="36"/>
      <c r="O27" s="36">
        <f>-E27+G27+I27+K27</f>
        <v>-4851914</v>
      </c>
      <c r="P27" s="36"/>
      <c r="Q27" s="36">
        <f>324467+15811+23741+69691</f>
        <v>433710</v>
      </c>
      <c r="R27" s="36"/>
      <c r="S27" s="36">
        <v>3936293</v>
      </c>
      <c r="T27" s="36"/>
      <c r="U27" s="36">
        <v>237119</v>
      </c>
      <c r="V27" s="36">
        <v>2107</v>
      </c>
      <c r="W27" s="36"/>
      <c r="X27" s="36">
        <v>0</v>
      </c>
      <c r="Y27" s="36"/>
      <c r="Z27" s="36">
        <f>1306+31678</f>
        <v>32984</v>
      </c>
      <c r="AA27" s="36"/>
      <c r="AB27" s="36">
        <v>0</v>
      </c>
      <c r="AC27" s="36"/>
      <c r="AD27" s="36">
        <v>31162</v>
      </c>
      <c r="AE27" s="36"/>
      <c r="AF27" s="36">
        <v>0</v>
      </c>
      <c r="AG27" s="36"/>
      <c r="AH27" s="36">
        <v>0</v>
      </c>
      <c r="AI27" s="36"/>
      <c r="AJ27" s="36">
        <f t="shared" si="0"/>
        <v>4673375</v>
      </c>
      <c r="AK27" s="36"/>
      <c r="AL27" s="36">
        <v>-178539</v>
      </c>
      <c r="AM27" s="36"/>
      <c r="AN27" s="36">
        <v>4347133</v>
      </c>
      <c r="AO27" s="36"/>
      <c r="AP27" s="36">
        <v>4168595</v>
      </c>
      <c r="AR27" s="42">
        <f>+M27-O27</f>
        <v>0</v>
      </c>
      <c r="AS27" s="42"/>
      <c r="AT27" s="42">
        <f t="shared" si="1"/>
        <v>0</v>
      </c>
      <c r="AU27" s="42"/>
      <c r="AV27" s="42">
        <f t="shared" si="2"/>
        <v>0</v>
      </c>
      <c r="AW27" s="42"/>
      <c r="AX27" s="42">
        <f t="shared" si="3"/>
        <v>-1</v>
      </c>
    </row>
    <row r="28" spans="1:50" s="7" customFormat="1" ht="12">
      <c r="A28" s="7" t="s">
        <v>130</v>
      </c>
      <c r="C28" s="7" t="s">
        <v>785</v>
      </c>
      <c r="E28" s="36">
        <v>850293.9</v>
      </c>
      <c r="F28" s="36"/>
      <c r="G28" s="36">
        <v>80506.84</v>
      </c>
      <c r="H28" s="36"/>
      <c r="I28" s="36">
        <v>184127.89</v>
      </c>
      <c r="J28" s="36"/>
      <c r="K28" s="36">
        <v>2660</v>
      </c>
      <c r="L28" s="36"/>
      <c r="M28" s="36">
        <v>-582999.17</v>
      </c>
      <c r="N28" s="36"/>
      <c r="O28" s="36">
        <f aca="true" t="shared" si="9" ref="O28:O30">M28</f>
        <v>-582999.17</v>
      </c>
      <c r="P28" s="36"/>
      <c r="Q28" s="36">
        <v>442376.17</v>
      </c>
      <c r="R28" s="36"/>
      <c r="S28" s="36">
        <v>0</v>
      </c>
      <c r="T28" s="36"/>
      <c r="U28" s="36">
        <v>16981.28</v>
      </c>
      <c r="V28" s="36">
        <v>1824.23</v>
      </c>
      <c r="W28" s="36"/>
      <c r="X28" s="36">
        <v>28102.58</v>
      </c>
      <c r="Y28" s="36"/>
      <c r="Z28" s="36">
        <v>52930.35</v>
      </c>
      <c r="AA28" s="36"/>
      <c r="AB28" s="36">
        <v>0</v>
      </c>
      <c r="AC28" s="36"/>
      <c r="AD28" s="36">
        <v>10000</v>
      </c>
      <c r="AE28" s="36"/>
      <c r="AF28" s="36">
        <v>0</v>
      </c>
      <c r="AG28" s="36"/>
      <c r="AH28" s="36">
        <v>10</v>
      </c>
      <c r="AI28" s="36"/>
      <c r="AJ28" s="36">
        <f t="shared" si="0"/>
        <v>552224.61</v>
      </c>
      <c r="AK28" s="36"/>
      <c r="AL28" s="36">
        <v>-30774.56</v>
      </c>
      <c r="AM28" s="36"/>
      <c r="AN28" s="36">
        <v>759668.35</v>
      </c>
      <c r="AO28" s="36"/>
      <c r="AP28" s="36">
        <v>728893.79</v>
      </c>
      <c r="AR28" s="42">
        <f t="shared" si="5"/>
        <v>0</v>
      </c>
      <c r="AS28" s="42"/>
      <c r="AT28" s="42">
        <f t="shared" si="1"/>
        <v>0</v>
      </c>
      <c r="AU28" s="42"/>
      <c r="AV28" s="42">
        <f t="shared" si="2"/>
        <v>-5.4569682106375694E-11</v>
      </c>
      <c r="AW28" s="42"/>
      <c r="AX28" s="42">
        <f t="shared" si="3"/>
        <v>0</v>
      </c>
    </row>
    <row r="29" spans="1:50" s="7" customFormat="1" ht="12">
      <c r="A29" s="7" t="s">
        <v>241</v>
      </c>
      <c r="C29" s="7" t="s">
        <v>821</v>
      </c>
      <c r="E29" s="36">
        <v>12255.36</v>
      </c>
      <c r="F29" s="36"/>
      <c r="G29" s="36">
        <v>0</v>
      </c>
      <c r="H29" s="36"/>
      <c r="I29" s="36">
        <v>1635.06</v>
      </c>
      <c r="J29" s="36"/>
      <c r="K29" s="36">
        <v>0</v>
      </c>
      <c r="L29" s="36"/>
      <c r="M29" s="36">
        <v>-10620.3</v>
      </c>
      <c r="N29" s="36"/>
      <c r="O29" s="36">
        <f t="shared" si="9"/>
        <v>-10620.3</v>
      </c>
      <c r="P29" s="36"/>
      <c r="Q29" s="36">
        <v>10957.94</v>
      </c>
      <c r="R29" s="36"/>
      <c r="S29" s="36">
        <v>0</v>
      </c>
      <c r="T29" s="36"/>
      <c r="U29" s="36">
        <v>3645.46</v>
      </c>
      <c r="V29" s="36">
        <v>0</v>
      </c>
      <c r="W29" s="36"/>
      <c r="X29" s="36">
        <v>5382.63</v>
      </c>
      <c r="Y29" s="36"/>
      <c r="Z29" s="36">
        <v>6</v>
      </c>
      <c r="AA29" s="36"/>
      <c r="AB29" s="36">
        <v>0</v>
      </c>
      <c r="AC29" s="36"/>
      <c r="AD29" s="36">
        <v>0</v>
      </c>
      <c r="AE29" s="36"/>
      <c r="AF29" s="36">
        <v>0</v>
      </c>
      <c r="AG29" s="36"/>
      <c r="AH29" s="36">
        <v>0</v>
      </c>
      <c r="AI29" s="36"/>
      <c r="AJ29" s="36">
        <f t="shared" si="0"/>
        <v>19992.030000000002</v>
      </c>
      <c r="AK29" s="36"/>
      <c r="AL29" s="36">
        <v>9371.73</v>
      </c>
      <c r="AM29" s="36"/>
      <c r="AN29" s="36">
        <v>45548.99</v>
      </c>
      <c r="AO29" s="36"/>
      <c r="AP29" s="36">
        <v>54920.72</v>
      </c>
      <c r="AR29" s="42">
        <f t="shared" si="5"/>
        <v>0</v>
      </c>
      <c r="AS29" s="42"/>
      <c r="AT29" s="42">
        <f t="shared" si="1"/>
        <v>0</v>
      </c>
      <c r="AU29" s="42"/>
      <c r="AV29" s="42">
        <f t="shared" si="2"/>
        <v>0</v>
      </c>
      <c r="AW29" s="42"/>
      <c r="AX29" s="42">
        <f t="shared" si="3"/>
        <v>0</v>
      </c>
    </row>
    <row r="30" spans="1:50" s="7" customFormat="1" ht="12">
      <c r="A30" s="7" t="s">
        <v>86</v>
      </c>
      <c r="C30" s="7" t="s">
        <v>772</v>
      </c>
      <c r="E30" s="36">
        <v>778219.22</v>
      </c>
      <c r="F30" s="36"/>
      <c r="G30" s="36">
        <v>61981.1</v>
      </c>
      <c r="H30" s="36"/>
      <c r="I30" s="36">
        <v>90845.33</v>
      </c>
      <c r="J30" s="36"/>
      <c r="K30" s="36">
        <v>0</v>
      </c>
      <c r="L30" s="36"/>
      <c r="M30" s="36">
        <v>-625392.79</v>
      </c>
      <c r="N30" s="36"/>
      <c r="O30" s="36">
        <f t="shared" si="9"/>
        <v>-625392.79</v>
      </c>
      <c r="P30" s="36"/>
      <c r="Q30" s="36">
        <v>153043.52000000002</v>
      </c>
      <c r="R30" s="36"/>
      <c r="S30" s="36">
        <v>326671.23</v>
      </c>
      <c r="T30" s="36"/>
      <c r="U30" s="36">
        <v>113751.34</v>
      </c>
      <c r="V30" s="36">
        <v>2817.63</v>
      </c>
      <c r="W30" s="36"/>
      <c r="X30" s="36">
        <v>0</v>
      </c>
      <c r="Y30" s="36"/>
      <c r="Z30" s="36">
        <v>104613.97</v>
      </c>
      <c r="AA30" s="36"/>
      <c r="AB30" s="36">
        <v>0</v>
      </c>
      <c r="AC30" s="36"/>
      <c r="AD30" s="36">
        <v>0</v>
      </c>
      <c r="AE30" s="36"/>
      <c r="AF30" s="36">
        <v>0</v>
      </c>
      <c r="AG30" s="36"/>
      <c r="AH30" s="36">
        <v>0</v>
      </c>
      <c r="AI30" s="36"/>
      <c r="AJ30" s="36">
        <f t="shared" si="0"/>
        <v>700897.69</v>
      </c>
      <c r="AK30" s="36"/>
      <c r="AL30" s="36">
        <v>75504.9</v>
      </c>
      <c r="AM30" s="36"/>
      <c r="AN30" s="36">
        <v>159494.53</v>
      </c>
      <c r="AO30" s="36"/>
      <c r="AP30" s="36">
        <v>234999.43</v>
      </c>
      <c r="AR30" s="42">
        <f t="shared" si="5"/>
        <v>0</v>
      </c>
      <c r="AS30" s="42"/>
      <c r="AT30" s="42">
        <f t="shared" si="1"/>
        <v>0</v>
      </c>
      <c r="AU30" s="42"/>
      <c r="AV30" s="42">
        <f t="shared" si="2"/>
        <v>0</v>
      </c>
      <c r="AW30" s="42"/>
      <c r="AX30" s="42">
        <f t="shared" si="3"/>
        <v>0</v>
      </c>
    </row>
    <row r="31" spans="1:50" s="7" customFormat="1" ht="12" hidden="1">
      <c r="A31" s="7" t="s">
        <v>177</v>
      </c>
      <c r="C31" s="7" t="s">
        <v>801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f t="shared" si="4"/>
        <v>0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>
        <v>0</v>
      </c>
      <c r="AG31" s="36"/>
      <c r="AH31" s="36"/>
      <c r="AI31" s="36"/>
      <c r="AJ31" s="36">
        <f t="shared" si="0"/>
        <v>0</v>
      </c>
      <c r="AK31" s="36"/>
      <c r="AL31" s="36"/>
      <c r="AM31" s="36"/>
      <c r="AN31" s="36"/>
      <c r="AO31" s="36"/>
      <c r="AP31" s="36"/>
      <c r="AR31" s="42">
        <f t="shared" si="5"/>
        <v>0</v>
      </c>
      <c r="AS31" s="42"/>
      <c r="AT31" s="42">
        <f t="shared" si="1"/>
        <v>0</v>
      </c>
      <c r="AU31" s="42"/>
      <c r="AV31" s="42">
        <f t="shared" si="2"/>
        <v>0</v>
      </c>
      <c r="AW31" s="42"/>
      <c r="AX31" s="42">
        <f t="shared" si="3"/>
        <v>0</v>
      </c>
    </row>
    <row r="32" spans="1:50" s="7" customFormat="1" ht="12" hidden="1">
      <c r="A32" s="7" t="s">
        <v>352</v>
      </c>
      <c r="C32" s="7" t="s">
        <v>768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>
        <f>-E32+G32+I32+K32</f>
        <v>0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>
        <v>0</v>
      </c>
      <c r="AG32" s="36"/>
      <c r="AH32" s="36"/>
      <c r="AI32" s="36"/>
      <c r="AJ32" s="36">
        <f t="shared" si="0"/>
        <v>0</v>
      </c>
      <c r="AK32" s="36"/>
      <c r="AL32" s="36"/>
      <c r="AM32" s="36"/>
      <c r="AN32" s="36"/>
      <c r="AO32" s="36"/>
      <c r="AP32" s="36"/>
      <c r="AR32" s="42">
        <f>+M32-O32</f>
        <v>0</v>
      </c>
      <c r="AS32" s="42"/>
      <c r="AT32" s="42">
        <f t="shared" si="1"/>
        <v>0</v>
      </c>
      <c r="AU32" s="42"/>
      <c r="AV32" s="42">
        <f t="shared" si="2"/>
        <v>0</v>
      </c>
      <c r="AW32" s="42"/>
      <c r="AX32" s="42">
        <f t="shared" si="3"/>
        <v>0</v>
      </c>
    </row>
    <row r="33" spans="1:50" s="7" customFormat="1" ht="12" hidden="1">
      <c r="A33" s="7" t="s">
        <v>170</v>
      </c>
      <c r="C33" s="7" t="s">
        <v>799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>
        <f>-E33+G33+I33+K33</f>
        <v>0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>
        <v>0</v>
      </c>
      <c r="AG33" s="36"/>
      <c r="AH33" s="36"/>
      <c r="AI33" s="36"/>
      <c r="AJ33" s="36">
        <f t="shared" si="0"/>
        <v>0</v>
      </c>
      <c r="AK33" s="36"/>
      <c r="AL33" s="36"/>
      <c r="AM33" s="36"/>
      <c r="AN33" s="36"/>
      <c r="AO33" s="36"/>
      <c r="AP33" s="36"/>
      <c r="AR33" s="42">
        <f>+M33-O33</f>
        <v>0</v>
      </c>
      <c r="AS33" s="42"/>
      <c r="AT33" s="42">
        <f t="shared" si="1"/>
        <v>0</v>
      </c>
      <c r="AU33" s="42"/>
      <c r="AV33" s="42">
        <f t="shared" si="2"/>
        <v>0</v>
      </c>
      <c r="AW33" s="42"/>
      <c r="AX33" s="42">
        <f t="shared" si="3"/>
        <v>0</v>
      </c>
    </row>
    <row r="34" spans="1:50" s="7" customFormat="1" ht="12">
      <c r="A34" s="7" t="s">
        <v>610</v>
      </c>
      <c r="C34" s="7" t="s">
        <v>611</v>
      </c>
      <c r="E34" s="36">
        <v>1658048</v>
      </c>
      <c r="F34" s="36"/>
      <c r="G34" s="36">
        <v>86946</v>
      </c>
      <c r="H34" s="36"/>
      <c r="I34" s="36">
        <v>192902</v>
      </c>
      <c r="J34" s="36"/>
      <c r="K34" s="36">
        <v>239996</v>
      </c>
      <c r="L34" s="36"/>
      <c r="M34" s="36">
        <v>-1138204</v>
      </c>
      <c r="N34" s="36"/>
      <c r="O34" s="36">
        <f>-E34+G34+I34+K34</f>
        <v>-1138204</v>
      </c>
      <c r="P34" s="36"/>
      <c r="Q34" s="36">
        <f>77955+288428</f>
        <v>366383</v>
      </c>
      <c r="R34" s="36"/>
      <c r="S34" s="36">
        <v>689547</v>
      </c>
      <c r="T34" s="36"/>
      <c r="U34" s="36">
        <v>152253</v>
      </c>
      <c r="V34" s="36">
        <v>3872</v>
      </c>
      <c r="W34" s="36"/>
      <c r="X34" s="36">
        <v>0</v>
      </c>
      <c r="Y34" s="36"/>
      <c r="Z34" s="36">
        <v>68594</v>
      </c>
      <c r="AA34" s="36"/>
      <c r="AB34" s="36">
        <v>0</v>
      </c>
      <c r="AC34" s="36"/>
      <c r="AD34" s="36">
        <v>0</v>
      </c>
      <c r="AE34" s="36"/>
      <c r="AF34" s="36">
        <v>0</v>
      </c>
      <c r="AG34" s="36"/>
      <c r="AH34" s="36">
        <v>0</v>
      </c>
      <c r="AI34" s="36"/>
      <c r="AJ34" s="36">
        <f t="shared" si="0"/>
        <v>1280649</v>
      </c>
      <c r="AK34" s="36"/>
      <c r="AL34" s="36">
        <v>142445</v>
      </c>
      <c r="AM34" s="36"/>
      <c r="AN34" s="36">
        <v>1125834</v>
      </c>
      <c r="AO34" s="36"/>
      <c r="AP34" s="36">
        <v>1268279</v>
      </c>
      <c r="AR34" s="42">
        <f>+M34-O34</f>
        <v>0</v>
      </c>
      <c r="AS34" s="42"/>
      <c r="AT34" s="42">
        <f t="shared" si="1"/>
        <v>0</v>
      </c>
      <c r="AU34" s="42"/>
      <c r="AV34" s="42">
        <f t="shared" si="2"/>
        <v>0</v>
      </c>
      <c r="AW34" s="42"/>
      <c r="AX34" s="42">
        <f t="shared" si="3"/>
        <v>0</v>
      </c>
    </row>
    <row r="35" spans="1:50" s="7" customFormat="1" ht="12">
      <c r="A35" s="7" t="s">
        <v>963</v>
      </c>
      <c r="C35" s="7" t="s">
        <v>583</v>
      </c>
      <c r="E35" s="36">
        <v>2122871</v>
      </c>
      <c r="F35" s="36"/>
      <c r="G35" s="36">
        <v>225465</v>
      </c>
      <c r="H35" s="36"/>
      <c r="I35" s="36">
        <v>807994</v>
      </c>
      <c r="J35" s="36"/>
      <c r="K35" s="36">
        <v>52597</v>
      </c>
      <c r="L35" s="36"/>
      <c r="M35" s="36">
        <v>-1036815</v>
      </c>
      <c r="N35" s="36"/>
      <c r="O35" s="36">
        <f>-E35+G35+I35+K35</f>
        <v>-1036815</v>
      </c>
      <c r="P35" s="36"/>
      <c r="Q35" s="36">
        <f>67726+132892</f>
        <v>200618</v>
      </c>
      <c r="R35" s="36"/>
      <c r="S35" s="36">
        <f>587339+299230</f>
        <v>886569</v>
      </c>
      <c r="T35" s="36"/>
      <c r="U35" s="36">
        <v>129084</v>
      </c>
      <c r="V35" s="36">
        <v>24377</v>
      </c>
      <c r="W35" s="36"/>
      <c r="X35" s="36">
        <v>0</v>
      </c>
      <c r="Y35" s="36"/>
      <c r="Z35" s="36">
        <f>116707+124092</f>
        <v>240799</v>
      </c>
      <c r="AA35" s="36"/>
      <c r="AB35" s="36">
        <v>0</v>
      </c>
      <c r="AC35" s="36"/>
      <c r="AD35" s="36">
        <v>15098</v>
      </c>
      <c r="AE35" s="36"/>
      <c r="AF35" s="36">
        <v>0</v>
      </c>
      <c r="AG35" s="36"/>
      <c r="AH35" s="36">
        <v>0</v>
      </c>
      <c r="AI35" s="36"/>
      <c r="AJ35" s="36">
        <f t="shared" si="0"/>
        <v>1496545</v>
      </c>
      <c r="AK35" s="36"/>
      <c r="AL35" s="36">
        <v>459727</v>
      </c>
      <c r="AM35" s="36"/>
      <c r="AN35" s="36">
        <v>3382895</v>
      </c>
      <c r="AO35" s="36"/>
      <c r="AP35" s="36">
        <v>3842622</v>
      </c>
      <c r="AR35" s="42">
        <f>+M35-O35</f>
        <v>0</v>
      </c>
      <c r="AS35" s="42"/>
      <c r="AT35" s="42">
        <f t="shared" si="1"/>
        <v>0</v>
      </c>
      <c r="AU35" s="42"/>
      <c r="AV35" s="42">
        <f t="shared" si="2"/>
        <v>3</v>
      </c>
      <c r="AW35" s="42"/>
      <c r="AX35" s="42">
        <f t="shared" si="3"/>
        <v>3</v>
      </c>
    </row>
    <row r="36" spans="1:50" s="7" customFormat="1" ht="12" hidden="1">
      <c r="A36" s="7" t="s">
        <v>62</v>
      </c>
      <c r="C36" s="7" t="s">
        <v>766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>
        <f t="shared" si="4"/>
        <v>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0</v>
      </c>
      <c r="AG36" s="36"/>
      <c r="AH36" s="36"/>
      <c r="AI36" s="36"/>
      <c r="AJ36" s="36">
        <f t="shared" si="0"/>
        <v>0</v>
      </c>
      <c r="AK36" s="36"/>
      <c r="AL36" s="36"/>
      <c r="AM36" s="36"/>
      <c r="AN36" s="36"/>
      <c r="AO36" s="36"/>
      <c r="AP36" s="36"/>
      <c r="AR36" s="42">
        <f t="shared" si="5"/>
        <v>0</v>
      </c>
      <c r="AS36" s="42"/>
      <c r="AT36" s="42">
        <f t="shared" si="1"/>
        <v>0</v>
      </c>
      <c r="AU36" s="42"/>
      <c r="AV36" s="42">
        <f t="shared" si="2"/>
        <v>0</v>
      </c>
      <c r="AW36" s="42"/>
      <c r="AX36" s="42">
        <f t="shared" si="3"/>
        <v>0</v>
      </c>
    </row>
    <row r="37" spans="1:50" s="7" customFormat="1" ht="12" hidden="1">
      <c r="A37" s="7" t="s">
        <v>285</v>
      </c>
      <c r="C37" s="7" t="s">
        <v>753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f t="shared" si="4"/>
        <v>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>
        <v>0</v>
      </c>
      <c r="AG37" s="36"/>
      <c r="AH37" s="36"/>
      <c r="AI37" s="36"/>
      <c r="AJ37" s="36">
        <f t="shared" si="0"/>
        <v>0</v>
      </c>
      <c r="AK37" s="36"/>
      <c r="AL37" s="36"/>
      <c r="AM37" s="36"/>
      <c r="AN37" s="36"/>
      <c r="AO37" s="36"/>
      <c r="AP37" s="36"/>
      <c r="AR37" s="42">
        <f aca="true" t="shared" si="10" ref="AR37">+M37-O37</f>
        <v>0</v>
      </c>
      <c r="AS37" s="42"/>
      <c r="AT37" s="42">
        <f t="shared" si="1"/>
        <v>0</v>
      </c>
      <c r="AU37" s="42"/>
      <c r="AV37" s="42">
        <f t="shared" si="2"/>
        <v>0</v>
      </c>
      <c r="AW37" s="42"/>
      <c r="AX37" s="42">
        <f t="shared" si="3"/>
        <v>0</v>
      </c>
    </row>
    <row r="38" spans="1:50" s="7" customFormat="1" ht="12">
      <c r="A38" s="7" t="s">
        <v>51</v>
      </c>
      <c r="C38" s="7" t="s">
        <v>329</v>
      </c>
      <c r="E38" s="96">
        <v>34614.67</v>
      </c>
      <c r="F38" s="96"/>
      <c r="G38" s="96">
        <v>0</v>
      </c>
      <c r="H38" s="96"/>
      <c r="I38" s="96">
        <v>5044.56</v>
      </c>
      <c r="J38" s="96"/>
      <c r="K38" s="96">
        <v>0</v>
      </c>
      <c r="L38" s="96"/>
      <c r="M38" s="96">
        <v>-29570.11</v>
      </c>
      <c r="N38" s="96"/>
      <c r="O38" s="96">
        <f aca="true" t="shared" si="11" ref="O38">M38</f>
        <v>-29570.11</v>
      </c>
      <c r="P38" s="96"/>
      <c r="Q38" s="96">
        <v>736.8</v>
      </c>
      <c r="R38" s="96"/>
      <c r="S38" s="96">
        <v>0</v>
      </c>
      <c r="T38" s="96"/>
      <c r="U38" s="96">
        <v>23379.85</v>
      </c>
      <c r="V38" s="96">
        <v>52.32</v>
      </c>
      <c r="W38" s="96"/>
      <c r="X38" s="96">
        <v>0</v>
      </c>
      <c r="Y38" s="96"/>
      <c r="Z38" s="96">
        <v>806.85</v>
      </c>
      <c r="AA38" s="96"/>
      <c r="AB38" s="96">
        <v>0</v>
      </c>
      <c r="AC38" s="96"/>
      <c r="AD38" s="96">
        <v>0</v>
      </c>
      <c r="AE38" s="96"/>
      <c r="AF38" s="96">
        <v>0</v>
      </c>
      <c r="AG38" s="96"/>
      <c r="AH38" s="96">
        <v>0</v>
      </c>
      <c r="AI38" s="96"/>
      <c r="AJ38" s="96">
        <f aca="true" t="shared" si="12" ref="AJ38">SUM(Q38:AH38)</f>
        <v>24975.819999999996</v>
      </c>
      <c r="AK38" s="96"/>
      <c r="AL38" s="96">
        <v>-4594.29</v>
      </c>
      <c r="AM38" s="96"/>
      <c r="AN38" s="96">
        <v>96057.23</v>
      </c>
      <c r="AO38" s="96"/>
      <c r="AP38" s="96">
        <v>91462.94</v>
      </c>
      <c r="AR38" s="42">
        <f aca="true" t="shared" si="13" ref="AR38">+M38-O38</f>
        <v>0</v>
      </c>
      <c r="AS38" s="42"/>
      <c r="AT38" s="42">
        <f t="shared" si="1"/>
        <v>0</v>
      </c>
      <c r="AU38" s="42"/>
      <c r="AV38" s="42">
        <f t="shared" si="2"/>
        <v>0</v>
      </c>
      <c r="AW38" s="42"/>
      <c r="AX38" s="42">
        <f t="shared" si="3"/>
        <v>0</v>
      </c>
    </row>
    <row r="39" spans="1:50" s="7" customFormat="1" ht="12" hidden="1">
      <c r="A39" s="7" t="s">
        <v>34</v>
      </c>
      <c r="C39" s="7" t="s">
        <v>755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>
        <f t="shared" si="4"/>
        <v>0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>
        <v>0</v>
      </c>
      <c r="AG39" s="36"/>
      <c r="AH39" s="36"/>
      <c r="AI39" s="36"/>
      <c r="AJ39" s="36">
        <f aca="true" t="shared" si="14" ref="AJ39:AJ47">Q39+S39+U39+V39+X39+Z39+AB39+AD39+AH39+AF39</f>
        <v>0</v>
      </c>
      <c r="AK39" s="36"/>
      <c r="AL39" s="36"/>
      <c r="AM39" s="36"/>
      <c r="AN39" s="36"/>
      <c r="AO39" s="36"/>
      <c r="AP39" s="36"/>
      <c r="AR39" s="42">
        <f t="shared" si="5"/>
        <v>0</v>
      </c>
      <c r="AS39" s="42"/>
      <c r="AT39" s="42">
        <f t="shared" si="1"/>
        <v>0</v>
      </c>
      <c r="AU39" s="42"/>
      <c r="AV39" s="42">
        <f t="shared" si="2"/>
        <v>0</v>
      </c>
      <c r="AW39" s="42"/>
      <c r="AX39" s="42">
        <f t="shared" si="3"/>
        <v>0</v>
      </c>
    </row>
    <row r="40" spans="1:50" s="7" customFormat="1" ht="12">
      <c r="A40" s="7" t="s">
        <v>121</v>
      </c>
      <c r="C40" s="7" t="s">
        <v>782</v>
      </c>
      <c r="E40" s="36">
        <v>710500.27</v>
      </c>
      <c r="F40" s="36"/>
      <c r="G40" s="36">
        <v>27301.39</v>
      </c>
      <c r="H40" s="36"/>
      <c r="I40" s="36">
        <v>135068.58</v>
      </c>
      <c r="J40" s="36"/>
      <c r="K40" s="36">
        <v>0</v>
      </c>
      <c r="L40" s="36"/>
      <c r="M40" s="36">
        <v>-548130.3</v>
      </c>
      <c r="N40" s="36"/>
      <c r="O40" s="36">
        <f aca="true" t="shared" si="15" ref="O40:O42">M40</f>
        <v>-548130.3</v>
      </c>
      <c r="P40" s="36"/>
      <c r="Q40" s="36">
        <v>124373.01</v>
      </c>
      <c r="R40" s="36"/>
      <c r="S40" s="36">
        <v>330872.58</v>
      </c>
      <c r="T40" s="36"/>
      <c r="U40" s="36">
        <v>42481.7</v>
      </c>
      <c r="V40" s="36">
        <v>1134.31</v>
      </c>
      <c r="W40" s="36"/>
      <c r="X40" s="36">
        <v>0</v>
      </c>
      <c r="Y40" s="36"/>
      <c r="Z40" s="36">
        <v>7994.79</v>
      </c>
      <c r="AA40" s="36"/>
      <c r="AB40" s="36">
        <v>0</v>
      </c>
      <c r="AC40" s="36"/>
      <c r="AD40" s="36">
        <v>-652.89</v>
      </c>
      <c r="AE40" s="36"/>
      <c r="AF40" s="36">
        <v>0</v>
      </c>
      <c r="AG40" s="36"/>
      <c r="AH40" s="36">
        <v>0</v>
      </c>
      <c r="AI40" s="36"/>
      <c r="AJ40" s="36">
        <f t="shared" si="14"/>
        <v>506203.5</v>
      </c>
      <c r="AK40" s="36"/>
      <c r="AL40" s="36">
        <v>-41926.8</v>
      </c>
      <c r="AM40" s="36"/>
      <c r="AN40" s="36">
        <v>479013.76</v>
      </c>
      <c r="AO40" s="36"/>
      <c r="AP40" s="36">
        <v>437086.96</v>
      </c>
      <c r="AR40" s="42">
        <f t="shared" si="5"/>
        <v>0</v>
      </c>
      <c r="AS40" s="42"/>
      <c r="AT40" s="42">
        <f t="shared" si="1"/>
        <v>0</v>
      </c>
      <c r="AU40" s="42"/>
      <c r="AV40" s="42">
        <f t="shared" si="2"/>
        <v>0</v>
      </c>
      <c r="AW40" s="42"/>
      <c r="AX40" s="42">
        <f t="shared" si="3"/>
        <v>0</v>
      </c>
    </row>
    <row r="41" spans="1:50" s="7" customFormat="1" ht="12">
      <c r="A41" s="7" t="s">
        <v>839</v>
      </c>
      <c r="C41" s="7" t="s">
        <v>770</v>
      </c>
      <c r="E41" s="36">
        <v>85560.96</v>
      </c>
      <c r="F41" s="36"/>
      <c r="G41" s="36">
        <v>4982.36</v>
      </c>
      <c r="H41" s="36"/>
      <c r="I41" s="36">
        <v>13286.97</v>
      </c>
      <c r="J41" s="36"/>
      <c r="K41" s="36">
        <v>0</v>
      </c>
      <c r="L41" s="36"/>
      <c r="M41" s="36">
        <v>-67291.63</v>
      </c>
      <c r="N41" s="36"/>
      <c r="O41" s="36">
        <f t="shared" si="15"/>
        <v>-67291.63</v>
      </c>
      <c r="P41" s="36"/>
      <c r="Q41" s="36">
        <v>2451.97</v>
      </c>
      <c r="R41" s="36"/>
      <c r="S41" s="36">
        <v>0</v>
      </c>
      <c r="T41" s="36"/>
      <c r="U41" s="36">
        <v>56100.22</v>
      </c>
      <c r="V41" s="36">
        <v>0</v>
      </c>
      <c r="W41" s="36"/>
      <c r="X41" s="36">
        <v>0</v>
      </c>
      <c r="Y41" s="36"/>
      <c r="Z41" s="36">
        <v>14678.84</v>
      </c>
      <c r="AA41" s="36"/>
      <c r="AB41" s="36">
        <v>0</v>
      </c>
      <c r="AC41" s="36"/>
      <c r="AD41" s="36">
        <v>0</v>
      </c>
      <c r="AE41" s="36"/>
      <c r="AF41" s="36">
        <v>0</v>
      </c>
      <c r="AG41" s="36"/>
      <c r="AH41" s="36">
        <v>0</v>
      </c>
      <c r="AI41" s="36"/>
      <c r="AJ41" s="36">
        <f t="shared" si="14"/>
        <v>73231.03</v>
      </c>
      <c r="AK41" s="36"/>
      <c r="AL41" s="36">
        <v>5939.4</v>
      </c>
      <c r="AM41" s="36"/>
      <c r="AN41" s="36">
        <v>13061.46</v>
      </c>
      <c r="AO41" s="36"/>
      <c r="AP41" s="36">
        <v>19000.86</v>
      </c>
      <c r="AR41" s="42">
        <f aca="true" t="shared" si="16" ref="AR41">+M41-O41</f>
        <v>0</v>
      </c>
      <c r="AS41" s="42"/>
      <c r="AT41" s="42">
        <f t="shared" si="1"/>
        <v>0</v>
      </c>
      <c r="AU41" s="42"/>
      <c r="AV41" s="42">
        <f t="shared" si="2"/>
        <v>0</v>
      </c>
      <c r="AW41" s="42"/>
      <c r="AX41" s="42">
        <f t="shared" si="3"/>
        <v>0</v>
      </c>
    </row>
    <row r="42" spans="1:50" s="7" customFormat="1" ht="12" hidden="1">
      <c r="A42" s="7" t="s">
        <v>319</v>
      </c>
      <c r="C42" s="7" t="s">
        <v>316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f t="shared" si="15"/>
        <v>0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>
        <v>0</v>
      </c>
      <c r="AG42" s="36"/>
      <c r="AH42" s="36"/>
      <c r="AI42" s="36"/>
      <c r="AJ42" s="36">
        <f t="shared" si="14"/>
        <v>0</v>
      </c>
      <c r="AK42" s="36"/>
      <c r="AL42" s="36"/>
      <c r="AM42" s="36"/>
      <c r="AN42" s="36"/>
      <c r="AO42" s="36"/>
      <c r="AP42" s="36"/>
      <c r="AR42" s="42">
        <f aca="true" t="shared" si="17" ref="AR42">+M42-O42</f>
        <v>0</v>
      </c>
      <c r="AS42" s="42"/>
      <c r="AT42" s="42">
        <f t="shared" si="1"/>
        <v>0</v>
      </c>
      <c r="AU42" s="42"/>
      <c r="AV42" s="42">
        <f t="shared" si="2"/>
        <v>0</v>
      </c>
      <c r="AW42" s="42"/>
      <c r="AX42" s="42">
        <f t="shared" si="3"/>
        <v>0</v>
      </c>
    </row>
    <row r="43" spans="1:50" s="7" customFormat="1" ht="12">
      <c r="A43" s="7" t="s">
        <v>79</v>
      </c>
      <c r="C43" s="7" t="s">
        <v>770</v>
      </c>
      <c r="E43" s="36">
        <v>130557.65</v>
      </c>
      <c r="F43" s="36"/>
      <c r="G43" s="36">
        <v>402.17</v>
      </c>
      <c r="H43" s="36"/>
      <c r="I43" s="36">
        <v>12131.74</v>
      </c>
      <c r="J43" s="36"/>
      <c r="K43" s="36">
        <v>39293.57</v>
      </c>
      <c r="L43" s="36"/>
      <c r="M43" s="36">
        <v>-78730.17</v>
      </c>
      <c r="N43" s="36"/>
      <c r="O43" s="36">
        <f aca="true" t="shared" si="18" ref="O43">M43</f>
        <v>-78730.17</v>
      </c>
      <c r="P43" s="36"/>
      <c r="Q43" s="36">
        <v>2928.02</v>
      </c>
      <c r="R43" s="36"/>
      <c r="S43" s="36">
        <v>0</v>
      </c>
      <c r="T43" s="36"/>
      <c r="U43" s="36">
        <v>60756.18</v>
      </c>
      <c r="V43" s="36">
        <v>10000</v>
      </c>
      <c r="W43" s="36"/>
      <c r="X43" s="36">
        <v>268.15</v>
      </c>
      <c r="Y43" s="36"/>
      <c r="Z43" s="36">
        <v>14060.97</v>
      </c>
      <c r="AA43" s="36"/>
      <c r="AB43" s="36">
        <v>0</v>
      </c>
      <c r="AC43" s="36"/>
      <c r="AD43" s="36">
        <v>0</v>
      </c>
      <c r="AE43" s="36"/>
      <c r="AF43" s="36">
        <v>0</v>
      </c>
      <c r="AG43" s="36"/>
      <c r="AH43" s="36">
        <v>100</v>
      </c>
      <c r="AI43" s="36"/>
      <c r="AJ43" s="36">
        <f t="shared" si="14"/>
        <v>88113.31999999999</v>
      </c>
      <c r="AK43" s="36"/>
      <c r="AL43" s="36">
        <v>9383.15</v>
      </c>
      <c r="AM43" s="36"/>
      <c r="AN43" s="36">
        <v>106728.31</v>
      </c>
      <c r="AO43" s="36"/>
      <c r="AP43" s="36">
        <v>116111.46</v>
      </c>
      <c r="AR43" s="42">
        <f t="shared" si="5"/>
        <v>0</v>
      </c>
      <c r="AS43" s="42"/>
      <c r="AT43" s="42">
        <f t="shared" si="1"/>
        <v>0</v>
      </c>
      <c r="AU43" s="42"/>
      <c r="AV43" s="42">
        <f t="shared" si="2"/>
        <v>0</v>
      </c>
      <c r="AW43" s="42"/>
      <c r="AX43" s="42">
        <f t="shared" si="3"/>
        <v>0</v>
      </c>
    </row>
    <row r="44" spans="1:50" s="7" customFormat="1" ht="12" hidden="1">
      <c r="A44" s="7" t="s">
        <v>152</v>
      </c>
      <c r="C44" s="7" t="s">
        <v>792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>
        <f t="shared" si="4"/>
        <v>0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>
        <v>0</v>
      </c>
      <c r="AG44" s="36"/>
      <c r="AH44" s="36"/>
      <c r="AI44" s="36"/>
      <c r="AJ44" s="36">
        <f t="shared" si="14"/>
        <v>0</v>
      </c>
      <c r="AK44" s="36"/>
      <c r="AL44" s="36"/>
      <c r="AM44" s="36"/>
      <c r="AN44" s="36"/>
      <c r="AO44" s="36"/>
      <c r="AP44" s="36"/>
      <c r="AR44" s="42">
        <f t="shared" si="5"/>
        <v>0</v>
      </c>
      <c r="AS44" s="42"/>
      <c r="AT44" s="42">
        <f t="shared" si="1"/>
        <v>0</v>
      </c>
      <c r="AU44" s="42"/>
      <c r="AV44" s="42">
        <f t="shared" si="2"/>
        <v>0</v>
      </c>
      <c r="AW44" s="42"/>
      <c r="AX44" s="42">
        <f t="shared" si="3"/>
        <v>0</v>
      </c>
    </row>
    <row r="45" spans="1:50" s="7" customFormat="1" ht="12">
      <c r="A45" s="7" t="s">
        <v>125</v>
      </c>
      <c r="C45" s="7" t="s">
        <v>784</v>
      </c>
      <c r="E45" s="36">
        <v>1146804.17</v>
      </c>
      <c r="F45" s="36"/>
      <c r="G45" s="36">
        <v>272494.11</v>
      </c>
      <c r="H45" s="36"/>
      <c r="I45" s="36">
        <v>74553.81</v>
      </c>
      <c r="J45" s="36"/>
      <c r="K45" s="36">
        <v>386543.23</v>
      </c>
      <c r="L45" s="36"/>
      <c r="M45" s="36">
        <v>-413213.02</v>
      </c>
      <c r="N45" s="36"/>
      <c r="O45" s="36">
        <f t="shared" si="4"/>
        <v>-413213.02</v>
      </c>
      <c r="P45" s="36"/>
      <c r="Q45" s="36">
        <v>43167.14</v>
      </c>
      <c r="R45" s="36"/>
      <c r="S45" s="36">
        <v>246321.96</v>
      </c>
      <c r="T45" s="36"/>
      <c r="U45" s="36">
        <v>111794.7</v>
      </c>
      <c r="V45" s="36">
        <v>0</v>
      </c>
      <c r="W45" s="36"/>
      <c r="X45" s="36">
        <v>6045.38</v>
      </c>
      <c r="Y45" s="36"/>
      <c r="Z45" s="36">
        <v>54290</v>
      </c>
      <c r="AA45" s="36"/>
      <c r="AB45" s="36">
        <v>0</v>
      </c>
      <c r="AC45" s="36"/>
      <c r="AD45" s="36">
        <v>-7658.2300000000005</v>
      </c>
      <c r="AE45" s="36"/>
      <c r="AF45" s="36">
        <v>0</v>
      </c>
      <c r="AG45" s="36"/>
      <c r="AH45" s="36">
        <v>0</v>
      </c>
      <c r="AI45" s="36"/>
      <c r="AJ45" s="36">
        <f t="shared" si="14"/>
        <v>453960.95</v>
      </c>
      <c r="AK45" s="36"/>
      <c r="AL45" s="36">
        <v>40747.93</v>
      </c>
      <c r="AM45" s="36"/>
      <c r="AN45" s="36">
        <v>83189.4</v>
      </c>
      <c r="AO45" s="36"/>
      <c r="AP45" s="36">
        <v>123937.33</v>
      </c>
      <c r="AR45" s="42">
        <f t="shared" si="5"/>
        <v>0</v>
      </c>
      <c r="AS45" s="42"/>
      <c r="AT45" s="42">
        <f t="shared" si="1"/>
        <v>0</v>
      </c>
      <c r="AU45" s="42"/>
      <c r="AV45" s="42">
        <f t="shared" si="2"/>
        <v>0</v>
      </c>
      <c r="AW45" s="42"/>
      <c r="AX45" s="42">
        <f t="shared" si="3"/>
        <v>0</v>
      </c>
    </row>
    <row r="46" spans="1:50" s="7" customFormat="1" ht="12">
      <c r="A46" s="7" t="s">
        <v>899</v>
      </c>
      <c r="C46" s="7" t="s">
        <v>794</v>
      </c>
      <c r="E46" s="36">
        <v>3647324</v>
      </c>
      <c r="F46" s="36"/>
      <c r="G46" s="36">
        <v>268805</v>
      </c>
      <c r="H46" s="36"/>
      <c r="I46" s="36">
        <v>71656</v>
      </c>
      <c r="J46" s="36"/>
      <c r="K46" s="36">
        <v>10875</v>
      </c>
      <c r="L46" s="36"/>
      <c r="M46" s="36">
        <v>-3295988</v>
      </c>
      <c r="N46" s="36"/>
      <c r="O46" s="36">
        <f t="shared" si="4"/>
        <v>-3295988</v>
      </c>
      <c r="P46" s="36"/>
      <c r="Q46" s="36">
        <v>1689043</v>
      </c>
      <c r="R46" s="36"/>
      <c r="S46" s="36">
        <v>0</v>
      </c>
      <c r="T46" s="36"/>
      <c r="U46" s="36">
        <v>0</v>
      </c>
      <c r="V46" s="36">
        <v>521</v>
      </c>
      <c r="W46" s="36"/>
      <c r="X46" s="36">
        <v>0</v>
      </c>
      <c r="Y46" s="36"/>
      <c r="Z46" s="36">
        <f>481918+2113+111965+27133+146</f>
        <v>623275</v>
      </c>
      <c r="AA46" s="36"/>
      <c r="AB46" s="36">
        <v>0</v>
      </c>
      <c r="AC46" s="36"/>
      <c r="AD46" s="36">
        <v>255367</v>
      </c>
      <c r="AE46" s="36"/>
      <c r="AF46" s="36">
        <v>0</v>
      </c>
      <c r="AG46" s="36"/>
      <c r="AH46" s="36">
        <v>0</v>
      </c>
      <c r="AI46" s="36"/>
      <c r="AJ46" s="36">
        <f t="shared" si="14"/>
        <v>2568206</v>
      </c>
      <c r="AK46" s="36"/>
      <c r="AL46" s="36">
        <v>-727782</v>
      </c>
      <c r="AM46" s="36"/>
      <c r="AN46" s="36">
        <v>600948</v>
      </c>
      <c r="AO46" s="36"/>
      <c r="AP46" s="36">
        <v>765990</v>
      </c>
      <c r="AR46" s="42">
        <f aca="true" t="shared" si="19" ref="AR46">+M46-O46</f>
        <v>0</v>
      </c>
      <c r="AS46" s="42"/>
      <c r="AT46" s="42">
        <f t="shared" si="1"/>
        <v>0</v>
      </c>
      <c r="AU46" s="42"/>
      <c r="AV46" s="42">
        <f t="shared" si="2"/>
        <v>0</v>
      </c>
      <c r="AW46" s="42"/>
      <c r="AX46" s="42">
        <f t="shared" si="3"/>
        <v>-892824</v>
      </c>
    </row>
    <row r="47" spans="1:50" s="7" customFormat="1" ht="12" hidden="1">
      <c r="A47" s="7" t="s">
        <v>188</v>
      </c>
      <c r="C47" s="7" t="s">
        <v>804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>
        <f t="shared" si="4"/>
        <v>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>
        <v>0</v>
      </c>
      <c r="AG47" s="36"/>
      <c r="AH47" s="36"/>
      <c r="AI47" s="36"/>
      <c r="AJ47" s="36">
        <f t="shared" si="14"/>
        <v>0</v>
      </c>
      <c r="AK47" s="36"/>
      <c r="AL47" s="36"/>
      <c r="AM47" s="36"/>
      <c r="AN47" s="36"/>
      <c r="AO47" s="36"/>
      <c r="AP47" s="36"/>
      <c r="AR47" s="42">
        <f t="shared" si="5"/>
        <v>0</v>
      </c>
      <c r="AS47" s="42"/>
      <c r="AT47" s="42">
        <f t="shared" si="1"/>
        <v>0</v>
      </c>
      <c r="AU47" s="42"/>
      <c r="AV47" s="42">
        <f t="shared" si="2"/>
        <v>0</v>
      </c>
      <c r="AW47" s="42"/>
      <c r="AX47" s="42">
        <f t="shared" si="3"/>
        <v>0</v>
      </c>
    </row>
    <row r="48" spans="1:50" s="7" customFormat="1" ht="12">
      <c r="A48" s="7" t="s">
        <v>937</v>
      </c>
      <c r="C48" s="7" t="s">
        <v>590</v>
      </c>
      <c r="E48" s="96">
        <v>30590.46</v>
      </c>
      <c r="F48" s="96"/>
      <c r="G48" s="96">
        <v>0</v>
      </c>
      <c r="H48" s="96"/>
      <c r="I48" s="96">
        <v>7638.68</v>
      </c>
      <c r="J48" s="96"/>
      <c r="K48" s="96">
        <v>0</v>
      </c>
      <c r="L48" s="96"/>
      <c r="M48" s="96">
        <v>-22951.78</v>
      </c>
      <c r="N48" s="96"/>
      <c r="O48" s="96">
        <f aca="true" t="shared" si="20" ref="O48">M48</f>
        <v>-22951.78</v>
      </c>
      <c r="P48" s="96"/>
      <c r="Q48" s="96">
        <v>20179.53</v>
      </c>
      <c r="R48" s="96"/>
      <c r="S48" s="96">
        <v>0</v>
      </c>
      <c r="T48" s="96"/>
      <c r="U48" s="96">
        <v>5670.67</v>
      </c>
      <c r="V48" s="96">
        <v>0</v>
      </c>
      <c r="W48" s="96"/>
      <c r="X48" s="96">
        <v>0</v>
      </c>
      <c r="Y48" s="96"/>
      <c r="Z48" s="96">
        <v>6820.59</v>
      </c>
      <c r="AA48" s="96"/>
      <c r="AB48" s="96">
        <v>0</v>
      </c>
      <c r="AC48" s="96"/>
      <c r="AD48" s="96">
        <v>0</v>
      </c>
      <c r="AE48" s="96"/>
      <c r="AF48" s="96">
        <v>0</v>
      </c>
      <c r="AG48" s="96"/>
      <c r="AH48" s="96">
        <v>0</v>
      </c>
      <c r="AI48" s="96"/>
      <c r="AJ48" s="96">
        <f aca="true" t="shared" si="21" ref="AJ48">SUM(Q48:AH48)</f>
        <v>32670.789999999997</v>
      </c>
      <c r="AK48" s="96"/>
      <c r="AL48" s="96">
        <v>9719.01</v>
      </c>
      <c r="AM48" s="96"/>
      <c r="AN48" s="96">
        <v>8859.08</v>
      </c>
      <c r="AO48" s="96"/>
      <c r="AP48" s="96">
        <v>18578.09</v>
      </c>
      <c r="AR48" s="42">
        <f aca="true" t="shared" si="22" ref="AR48">+M48-O48</f>
        <v>0</v>
      </c>
      <c r="AS48" s="42"/>
      <c r="AT48" s="42">
        <f t="shared" si="1"/>
        <v>0</v>
      </c>
      <c r="AU48" s="42"/>
      <c r="AV48" s="42">
        <f t="shared" si="2"/>
        <v>0</v>
      </c>
      <c r="AW48" s="42"/>
      <c r="AX48" s="42">
        <f t="shared" si="3"/>
        <v>0</v>
      </c>
    </row>
    <row r="49" spans="1:50" s="7" customFormat="1" ht="12">
      <c r="A49" s="7" t="s">
        <v>202</v>
      </c>
      <c r="C49" s="7" t="s">
        <v>808</v>
      </c>
      <c r="E49" s="36">
        <v>750399.67</v>
      </c>
      <c r="F49" s="36"/>
      <c r="G49" s="36">
        <v>100731.63</v>
      </c>
      <c r="H49" s="36"/>
      <c r="I49" s="36">
        <v>59137.86</v>
      </c>
      <c r="J49" s="36"/>
      <c r="K49" s="36">
        <v>0</v>
      </c>
      <c r="L49" s="36"/>
      <c r="M49" s="36">
        <v>-590530.18</v>
      </c>
      <c r="N49" s="36"/>
      <c r="O49" s="36">
        <f t="shared" si="4"/>
        <v>-590530.18</v>
      </c>
      <c r="P49" s="36"/>
      <c r="Q49" s="36">
        <v>201718.06</v>
      </c>
      <c r="R49" s="36"/>
      <c r="S49" s="36">
        <v>0</v>
      </c>
      <c r="T49" s="36"/>
      <c r="U49" s="36">
        <v>139704.96</v>
      </c>
      <c r="V49" s="36">
        <v>280.63</v>
      </c>
      <c r="W49" s="36"/>
      <c r="X49" s="36">
        <v>0</v>
      </c>
      <c r="Y49" s="36"/>
      <c r="Z49" s="36">
        <v>310234.1</v>
      </c>
      <c r="AA49" s="36"/>
      <c r="AB49" s="36">
        <v>0</v>
      </c>
      <c r="AC49" s="36"/>
      <c r="AD49" s="36">
        <v>20500</v>
      </c>
      <c r="AE49" s="36"/>
      <c r="AF49" s="36">
        <v>0</v>
      </c>
      <c r="AG49" s="36"/>
      <c r="AH49" s="36">
        <v>0</v>
      </c>
      <c r="AI49" s="36"/>
      <c r="AJ49" s="36">
        <f aca="true" t="shared" si="23" ref="AJ49:AJ79">Q49+S49+U49+V49+X49+Z49+AB49+AD49+AH49+AF49</f>
        <v>672437.75</v>
      </c>
      <c r="AK49" s="36"/>
      <c r="AL49" s="36">
        <v>81907.57</v>
      </c>
      <c r="AM49" s="36"/>
      <c r="AN49" s="36">
        <v>259981.08</v>
      </c>
      <c r="AO49" s="36"/>
      <c r="AP49" s="36">
        <v>341888.65</v>
      </c>
      <c r="AR49" s="42">
        <f aca="true" t="shared" si="24" ref="AR49:AR50">+M49-O49</f>
        <v>0</v>
      </c>
      <c r="AS49" s="42"/>
      <c r="AT49" s="42">
        <f t="shared" si="1"/>
        <v>0</v>
      </c>
      <c r="AU49" s="42"/>
      <c r="AV49" s="42">
        <f t="shared" si="2"/>
        <v>0</v>
      </c>
      <c r="AW49" s="42"/>
      <c r="AX49" s="42">
        <f t="shared" si="3"/>
        <v>0</v>
      </c>
    </row>
    <row r="50" spans="1:50" s="7" customFormat="1" ht="12">
      <c r="A50" s="7" t="s">
        <v>973</v>
      </c>
      <c r="C50" s="7" t="s">
        <v>312</v>
      </c>
      <c r="E50" s="36">
        <v>2888632</v>
      </c>
      <c r="F50" s="36"/>
      <c r="G50" s="36">
        <v>281532</v>
      </c>
      <c r="H50" s="36"/>
      <c r="I50" s="36">
        <v>708845</v>
      </c>
      <c r="J50" s="36"/>
      <c r="K50" s="36">
        <v>143398</v>
      </c>
      <c r="L50" s="36"/>
      <c r="M50" s="36">
        <v>-1754857</v>
      </c>
      <c r="N50" s="36"/>
      <c r="O50" s="36">
        <f t="shared" si="4"/>
        <v>-1754857</v>
      </c>
      <c r="P50" s="36"/>
      <c r="Q50" s="36">
        <f>161774+12632+12632</f>
        <v>187038</v>
      </c>
      <c r="R50" s="36"/>
      <c r="S50" s="36">
        <f>804481+89033+176657</f>
        <v>1070171</v>
      </c>
      <c r="T50" s="36"/>
      <c r="U50" s="36">
        <v>296058</v>
      </c>
      <c r="V50" s="36">
        <v>16714</v>
      </c>
      <c r="W50" s="36"/>
      <c r="X50" s="36">
        <v>0</v>
      </c>
      <c r="Y50" s="36"/>
      <c r="Z50" s="36">
        <v>60836</v>
      </c>
      <c r="AA50" s="36"/>
      <c r="AB50" s="36">
        <v>0</v>
      </c>
      <c r="AC50" s="36"/>
      <c r="AD50" s="36">
        <v>0</v>
      </c>
      <c r="AE50" s="36"/>
      <c r="AF50" s="36">
        <v>0</v>
      </c>
      <c r="AG50" s="36"/>
      <c r="AH50" s="36">
        <v>0</v>
      </c>
      <c r="AI50" s="36"/>
      <c r="AJ50" s="36">
        <f aca="true" t="shared" si="25" ref="AJ50">Q50+S50+U50+V50+X50+Z50+AB50+AD50+AH50+AF50</f>
        <v>1630817</v>
      </c>
      <c r="AK50" s="36"/>
      <c r="AL50" s="36">
        <v>-124040</v>
      </c>
      <c r="AM50" s="36"/>
      <c r="AN50" s="36">
        <v>670152</v>
      </c>
      <c r="AO50" s="36"/>
      <c r="AP50" s="36">
        <v>546112</v>
      </c>
      <c r="AR50" s="42">
        <f t="shared" si="24"/>
        <v>0</v>
      </c>
      <c r="AS50" s="42"/>
      <c r="AT50" s="42">
        <f aca="true" t="shared" si="26" ref="AT50">+Q50+S50+U50+V50+X50+Z50+AB50+AD50+AH50-AJ50+AF50</f>
        <v>0</v>
      </c>
      <c r="AU50" s="42"/>
      <c r="AV50" s="42">
        <f aca="true" t="shared" si="27" ref="AV50">+O50+AJ50-AL50</f>
        <v>0</v>
      </c>
      <c r="AW50" s="42"/>
      <c r="AX50" s="42">
        <f aca="true" t="shared" si="28" ref="AX50">+O50+AJ50+AN50-AP50</f>
        <v>0</v>
      </c>
    </row>
    <row r="51" spans="1:50" s="7" customFormat="1" ht="12">
      <c r="A51" s="7" t="s">
        <v>500</v>
      </c>
      <c r="C51" s="7" t="s">
        <v>501</v>
      </c>
      <c r="E51" s="36">
        <v>1789327</v>
      </c>
      <c r="F51" s="36"/>
      <c r="G51" s="36">
        <v>499760</v>
      </c>
      <c r="H51" s="36"/>
      <c r="I51" s="36">
        <v>8186</v>
      </c>
      <c r="J51" s="36"/>
      <c r="K51" s="36">
        <v>0</v>
      </c>
      <c r="L51" s="36"/>
      <c r="M51" s="36">
        <v>-1281382</v>
      </c>
      <c r="N51" s="36"/>
      <c r="O51" s="36">
        <f t="shared" si="4"/>
        <v>-1281381</v>
      </c>
      <c r="P51" s="36"/>
      <c r="Q51" s="36">
        <v>90077</v>
      </c>
      <c r="R51" s="36"/>
      <c r="S51" s="36">
        <v>475012</v>
      </c>
      <c r="T51" s="36"/>
      <c r="U51" s="36">
        <v>0</v>
      </c>
      <c r="V51" s="36">
        <v>9722</v>
      </c>
      <c r="W51" s="36"/>
      <c r="X51" s="36">
        <v>0</v>
      </c>
      <c r="Y51" s="36"/>
      <c r="Z51" s="36">
        <f>172748+1215+1603+216</f>
        <v>175782</v>
      </c>
      <c r="AA51" s="36"/>
      <c r="AB51" s="36">
        <v>0</v>
      </c>
      <c r="AC51" s="36"/>
      <c r="AD51" s="36">
        <v>182276</v>
      </c>
      <c r="AE51" s="36"/>
      <c r="AF51" s="36">
        <v>0</v>
      </c>
      <c r="AG51" s="36"/>
      <c r="AH51" s="36">
        <v>0</v>
      </c>
      <c r="AI51" s="36"/>
      <c r="AJ51" s="36">
        <f t="shared" si="23"/>
        <v>932869</v>
      </c>
      <c r="AK51" s="36"/>
      <c r="AL51" s="36">
        <v>-348511</v>
      </c>
      <c r="AM51" s="36"/>
      <c r="AN51" s="36">
        <v>509080</v>
      </c>
      <c r="AO51" s="36"/>
      <c r="AP51" s="36">
        <v>618543</v>
      </c>
      <c r="AR51" s="42">
        <f aca="true" t="shared" si="29" ref="AR51">+M51-O51</f>
        <v>-1</v>
      </c>
      <c r="AS51" s="42"/>
      <c r="AT51" s="42">
        <f t="shared" si="1"/>
        <v>0</v>
      </c>
      <c r="AU51" s="42"/>
      <c r="AV51" s="42">
        <f t="shared" si="2"/>
        <v>-1</v>
      </c>
      <c r="AW51" s="42"/>
      <c r="AX51" s="42">
        <f t="shared" si="3"/>
        <v>-457975</v>
      </c>
    </row>
    <row r="52" spans="1:50" s="7" customFormat="1" ht="12">
      <c r="A52" s="7" t="s">
        <v>87</v>
      </c>
      <c r="C52" s="7" t="s">
        <v>772</v>
      </c>
      <c r="E52" s="36">
        <v>470177.28</v>
      </c>
      <c r="F52" s="36"/>
      <c r="G52" s="36">
        <v>5414.2</v>
      </c>
      <c r="H52" s="36"/>
      <c r="I52" s="36">
        <v>17062.81</v>
      </c>
      <c r="J52" s="36"/>
      <c r="K52" s="36">
        <v>410213.45</v>
      </c>
      <c r="L52" s="36"/>
      <c r="M52" s="36">
        <v>-37486.82</v>
      </c>
      <c r="N52" s="36"/>
      <c r="O52" s="36">
        <f aca="true" t="shared" si="30" ref="O52:O57">M52</f>
        <v>-37486.82</v>
      </c>
      <c r="P52" s="36"/>
      <c r="Q52" s="36">
        <v>33285.86</v>
      </c>
      <c r="R52" s="36"/>
      <c r="S52" s="36">
        <v>0</v>
      </c>
      <c r="T52" s="36"/>
      <c r="U52" s="36">
        <v>14272.45</v>
      </c>
      <c r="V52" s="36">
        <v>621.91</v>
      </c>
      <c r="W52" s="36"/>
      <c r="X52" s="36">
        <v>0</v>
      </c>
      <c r="Y52" s="36"/>
      <c r="Z52" s="36">
        <v>5574.8</v>
      </c>
      <c r="AA52" s="36"/>
      <c r="AB52" s="36">
        <v>0</v>
      </c>
      <c r="AC52" s="36"/>
      <c r="AD52" s="36">
        <v>0</v>
      </c>
      <c r="AE52" s="36"/>
      <c r="AF52" s="36">
        <v>0</v>
      </c>
      <c r="AG52" s="36"/>
      <c r="AH52" s="36">
        <v>0</v>
      </c>
      <c r="AI52" s="36"/>
      <c r="AJ52" s="36">
        <f t="shared" si="23"/>
        <v>53755.020000000004</v>
      </c>
      <c r="AK52" s="36"/>
      <c r="AL52" s="36">
        <v>16268.2</v>
      </c>
      <c r="AM52" s="36"/>
      <c r="AN52" s="36">
        <v>93817.64</v>
      </c>
      <c r="AO52" s="36"/>
      <c r="AP52" s="36">
        <v>110085.84</v>
      </c>
      <c r="AR52" s="42">
        <f aca="true" t="shared" si="31" ref="AR52">+M52-O52</f>
        <v>0</v>
      </c>
      <c r="AS52" s="42"/>
      <c r="AT52" s="42">
        <f t="shared" si="1"/>
        <v>0</v>
      </c>
      <c r="AU52" s="42"/>
      <c r="AV52" s="42">
        <f t="shared" si="2"/>
        <v>0</v>
      </c>
      <c r="AW52" s="42"/>
      <c r="AX52" s="42">
        <f t="shared" si="3"/>
        <v>0</v>
      </c>
    </row>
    <row r="53" spans="1:50" s="7" customFormat="1" ht="12">
      <c r="A53" s="7" t="s">
        <v>843</v>
      </c>
      <c r="C53" s="7" t="s">
        <v>825</v>
      </c>
      <c r="E53" s="36">
        <v>289367.75</v>
      </c>
      <c r="F53" s="36"/>
      <c r="G53" s="36">
        <v>31410.53</v>
      </c>
      <c r="H53" s="36"/>
      <c r="I53" s="36">
        <v>19876.97</v>
      </c>
      <c r="J53" s="36"/>
      <c r="K53" s="36">
        <v>0</v>
      </c>
      <c r="L53" s="36"/>
      <c r="M53" s="36">
        <v>-238080.25</v>
      </c>
      <c r="N53" s="36"/>
      <c r="O53" s="36">
        <f t="shared" si="30"/>
        <v>-238080.25</v>
      </c>
      <c r="P53" s="36"/>
      <c r="Q53" s="36">
        <v>15117.24</v>
      </c>
      <c r="R53" s="36"/>
      <c r="S53" s="36">
        <v>79145.72</v>
      </c>
      <c r="T53" s="36"/>
      <c r="U53" s="36">
        <v>58035.19</v>
      </c>
      <c r="V53" s="36">
        <v>787.43</v>
      </c>
      <c r="W53" s="36"/>
      <c r="X53" s="36">
        <v>0</v>
      </c>
      <c r="Y53" s="36"/>
      <c r="Z53" s="36">
        <v>9259.09</v>
      </c>
      <c r="AA53" s="36"/>
      <c r="AB53" s="36">
        <v>0</v>
      </c>
      <c r="AC53" s="36"/>
      <c r="AD53" s="36">
        <v>98923.72</v>
      </c>
      <c r="AE53" s="36"/>
      <c r="AF53" s="36">
        <v>0</v>
      </c>
      <c r="AG53" s="36"/>
      <c r="AH53" s="36">
        <v>0</v>
      </c>
      <c r="AI53" s="36"/>
      <c r="AJ53" s="36">
        <f t="shared" si="23"/>
        <v>261268.39</v>
      </c>
      <c r="AK53" s="36"/>
      <c r="AL53" s="36">
        <v>23188.14</v>
      </c>
      <c r="AM53" s="36"/>
      <c r="AN53" s="36">
        <v>230449.81</v>
      </c>
      <c r="AO53" s="36"/>
      <c r="AP53" s="36">
        <v>253637.95</v>
      </c>
      <c r="AR53" s="42">
        <f t="shared" si="5"/>
        <v>0</v>
      </c>
      <c r="AS53" s="42"/>
      <c r="AT53" s="42">
        <f t="shared" si="1"/>
        <v>0</v>
      </c>
      <c r="AU53" s="42"/>
      <c r="AV53" s="42">
        <f t="shared" si="2"/>
        <v>0</v>
      </c>
      <c r="AW53" s="42"/>
      <c r="AX53" s="42">
        <f t="shared" si="3"/>
        <v>0</v>
      </c>
    </row>
    <row r="54" spans="1:50" s="7" customFormat="1" ht="12">
      <c r="A54" s="7" t="s">
        <v>445</v>
      </c>
      <c r="C54" s="7" t="s">
        <v>446</v>
      </c>
      <c r="E54" s="36">
        <v>415499.96</v>
      </c>
      <c r="F54" s="36"/>
      <c r="G54" s="36">
        <v>21313.7</v>
      </c>
      <c r="H54" s="36"/>
      <c r="I54" s="36">
        <v>171794.29</v>
      </c>
      <c r="J54" s="36"/>
      <c r="K54" s="36">
        <v>0</v>
      </c>
      <c r="L54" s="36"/>
      <c r="M54" s="36">
        <v>-222391.97</v>
      </c>
      <c r="N54" s="36"/>
      <c r="O54" s="36">
        <f t="shared" si="30"/>
        <v>-222391.97</v>
      </c>
      <c r="P54" s="36"/>
      <c r="Q54" s="36">
        <v>37232.08</v>
      </c>
      <c r="R54" s="36"/>
      <c r="S54" s="36">
        <v>147147.89</v>
      </c>
      <c r="T54" s="36"/>
      <c r="U54" s="36">
        <v>32719.08</v>
      </c>
      <c r="V54" s="36">
        <v>1560.98</v>
      </c>
      <c r="W54" s="36"/>
      <c r="X54" s="36">
        <v>6390.82</v>
      </c>
      <c r="Y54" s="36"/>
      <c r="Z54" s="36">
        <v>4036.63</v>
      </c>
      <c r="AA54" s="36"/>
      <c r="AB54" s="36">
        <v>0</v>
      </c>
      <c r="AC54" s="36"/>
      <c r="AD54" s="36">
        <v>-561</v>
      </c>
      <c r="AE54" s="36"/>
      <c r="AF54" s="36">
        <v>0</v>
      </c>
      <c r="AG54" s="36"/>
      <c r="AH54" s="36">
        <v>0</v>
      </c>
      <c r="AI54" s="36"/>
      <c r="AJ54" s="36">
        <f t="shared" si="23"/>
        <v>228526.48000000007</v>
      </c>
      <c r="AK54" s="36"/>
      <c r="AL54" s="36">
        <v>6134.51</v>
      </c>
      <c r="AM54" s="36"/>
      <c r="AN54" s="36">
        <v>100795.95</v>
      </c>
      <c r="AO54" s="36"/>
      <c r="AP54" s="36">
        <v>106930.46</v>
      </c>
      <c r="AR54" s="42">
        <f t="shared" si="5"/>
        <v>0</v>
      </c>
      <c r="AS54" s="42"/>
      <c r="AT54" s="42">
        <f t="shared" si="1"/>
        <v>0</v>
      </c>
      <c r="AU54" s="42"/>
      <c r="AV54" s="42">
        <f t="shared" si="2"/>
        <v>6.730260793119669E-11</v>
      </c>
      <c r="AW54" s="42"/>
      <c r="AX54" s="42">
        <f t="shared" si="3"/>
        <v>0</v>
      </c>
    </row>
    <row r="55" spans="1:50" s="7" customFormat="1" ht="12">
      <c r="A55" s="7" t="s">
        <v>28</v>
      </c>
      <c r="C55" s="7" t="s">
        <v>753</v>
      </c>
      <c r="E55" s="36">
        <v>92703.03</v>
      </c>
      <c r="F55" s="36"/>
      <c r="G55" s="36">
        <v>1010</v>
      </c>
      <c r="H55" s="36"/>
      <c r="I55" s="36">
        <v>15081.12</v>
      </c>
      <c r="J55" s="36"/>
      <c r="K55" s="36">
        <v>0</v>
      </c>
      <c r="L55" s="36"/>
      <c r="M55" s="36">
        <v>-76611.91</v>
      </c>
      <c r="N55" s="36"/>
      <c r="O55" s="36">
        <f t="shared" si="30"/>
        <v>-76611.91</v>
      </c>
      <c r="P55" s="36"/>
      <c r="Q55" s="36">
        <v>30487.36</v>
      </c>
      <c r="R55" s="36"/>
      <c r="S55" s="36">
        <v>0</v>
      </c>
      <c r="T55" s="36"/>
      <c r="U55" s="36">
        <v>40353.58</v>
      </c>
      <c r="V55" s="36">
        <v>69.55</v>
      </c>
      <c r="W55" s="36"/>
      <c r="X55" s="36">
        <v>1004.59</v>
      </c>
      <c r="Y55" s="36"/>
      <c r="Z55" s="36">
        <v>10155.869999999999</v>
      </c>
      <c r="AA55" s="36"/>
      <c r="AB55" s="36">
        <v>0</v>
      </c>
      <c r="AC55" s="36"/>
      <c r="AD55" s="36">
        <v>0</v>
      </c>
      <c r="AE55" s="36"/>
      <c r="AF55" s="36">
        <v>0</v>
      </c>
      <c r="AG55" s="36"/>
      <c r="AH55" s="36">
        <v>0</v>
      </c>
      <c r="AI55" s="36"/>
      <c r="AJ55" s="36">
        <f t="shared" si="23"/>
        <v>82070.95</v>
      </c>
      <c r="AK55" s="36"/>
      <c r="AL55" s="36">
        <v>5459.04</v>
      </c>
      <c r="AM55" s="36"/>
      <c r="AN55" s="36">
        <v>61226.25</v>
      </c>
      <c r="AO55" s="36"/>
      <c r="AP55" s="36">
        <v>66685.29</v>
      </c>
      <c r="AR55" s="42">
        <f t="shared" si="5"/>
        <v>0</v>
      </c>
      <c r="AS55" s="42"/>
      <c r="AT55" s="42">
        <f t="shared" si="1"/>
        <v>0</v>
      </c>
      <c r="AU55" s="42"/>
      <c r="AV55" s="42">
        <f t="shared" si="2"/>
        <v>0</v>
      </c>
      <c r="AW55" s="42"/>
      <c r="AX55" s="42">
        <f t="shared" si="3"/>
        <v>0</v>
      </c>
    </row>
    <row r="56" spans="1:50" s="7" customFormat="1" ht="12">
      <c r="A56" s="7" t="s">
        <v>116</v>
      </c>
      <c r="C56" s="7" t="s">
        <v>781</v>
      </c>
      <c r="E56" s="36">
        <v>217809.47</v>
      </c>
      <c r="F56" s="36"/>
      <c r="G56" s="36">
        <v>8517.63</v>
      </c>
      <c r="H56" s="36"/>
      <c r="I56" s="36">
        <v>36273.69</v>
      </c>
      <c r="J56" s="36"/>
      <c r="K56" s="36">
        <v>0</v>
      </c>
      <c r="L56" s="36"/>
      <c r="M56" s="36">
        <v>-173018.15</v>
      </c>
      <c r="N56" s="36"/>
      <c r="O56" s="36">
        <f t="shared" si="30"/>
        <v>-173018.15</v>
      </c>
      <c r="P56" s="36"/>
      <c r="Q56" s="36">
        <v>54903.85</v>
      </c>
      <c r="R56" s="36"/>
      <c r="S56" s="36">
        <v>0</v>
      </c>
      <c r="T56" s="36"/>
      <c r="U56" s="36">
        <v>107592.43</v>
      </c>
      <c r="V56" s="36">
        <v>1667.14</v>
      </c>
      <c r="W56" s="36"/>
      <c r="X56" s="36">
        <v>5952.77</v>
      </c>
      <c r="Y56" s="36"/>
      <c r="Z56" s="36">
        <v>1216</v>
      </c>
      <c r="AA56" s="36"/>
      <c r="AB56" s="36">
        <v>0</v>
      </c>
      <c r="AC56" s="36"/>
      <c r="AD56" s="36">
        <v>-1442.88</v>
      </c>
      <c r="AE56" s="36"/>
      <c r="AF56" s="36">
        <v>0</v>
      </c>
      <c r="AG56" s="36"/>
      <c r="AH56" s="36">
        <v>0</v>
      </c>
      <c r="AI56" s="36"/>
      <c r="AJ56" s="36">
        <f t="shared" si="23"/>
        <v>169889.31</v>
      </c>
      <c r="AK56" s="36"/>
      <c r="AL56" s="36">
        <v>-3128.84</v>
      </c>
      <c r="AM56" s="36"/>
      <c r="AN56" s="36">
        <v>46742.53</v>
      </c>
      <c r="AO56" s="36"/>
      <c r="AP56" s="36">
        <v>43613.69</v>
      </c>
      <c r="AR56" s="42">
        <f t="shared" si="5"/>
        <v>0</v>
      </c>
      <c r="AS56" s="42"/>
      <c r="AT56" s="42">
        <f t="shared" si="1"/>
        <v>0</v>
      </c>
      <c r="AU56" s="42"/>
      <c r="AV56" s="42">
        <f t="shared" si="2"/>
        <v>3.637978807091713E-12</v>
      </c>
      <c r="AW56" s="42"/>
      <c r="AX56" s="42">
        <f t="shared" si="3"/>
        <v>0</v>
      </c>
    </row>
    <row r="57" spans="1:50" s="7" customFormat="1" ht="12">
      <c r="A57" s="7" t="s">
        <v>594</v>
      </c>
      <c r="C57" s="7" t="s">
        <v>590</v>
      </c>
      <c r="E57" s="36">
        <v>1604314.41</v>
      </c>
      <c r="F57" s="36"/>
      <c r="G57" s="36">
        <v>70421.52</v>
      </c>
      <c r="H57" s="36"/>
      <c r="I57" s="36">
        <v>200996.92</v>
      </c>
      <c r="J57" s="36"/>
      <c r="K57" s="36">
        <v>13208.45</v>
      </c>
      <c r="L57" s="36"/>
      <c r="M57" s="36">
        <v>-1319687.52</v>
      </c>
      <c r="N57" s="36"/>
      <c r="O57" s="36">
        <f t="shared" si="30"/>
        <v>-1319687.52</v>
      </c>
      <c r="P57" s="36"/>
      <c r="Q57" s="36">
        <v>326659.13</v>
      </c>
      <c r="R57" s="36"/>
      <c r="S57" s="36">
        <v>782297.87</v>
      </c>
      <c r="T57" s="36"/>
      <c r="U57" s="36">
        <v>127379.06</v>
      </c>
      <c r="V57" s="36">
        <v>5160.09</v>
      </c>
      <c r="W57" s="36"/>
      <c r="X57" s="36">
        <v>0</v>
      </c>
      <c r="Y57" s="36"/>
      <c r="Z57" s="36">
        <v>22810.14</v>
      </c>
      <c r="AA57" s="36"/>
      <c r="AB57" s="36">
        <v>0</v>
      </c>
      <c r="AC57" s="36"/>
      <c r="AD57" s="36">
        <v>40000</v>
      </c>
      <c r="AE57" s="36"/>
      <c r="AF57" s="36">
        <v>0</v>
      </c>
      <c r="AG57" s="36"/>
      <c r="AH57" s="36">
        <v>0</v>
      </c>
      <c r="AI57" s="36"/>
      <c r="AJ57" s="36">
        <f t="shared" si="23"/>
        <v>1304306.29</v>
      </c>
      <c r="AK57" s="36"/>
      <c r="AL57" s="36">
        <v>-15381.23</v>
      </c>
      <c r="AM57" s="36"/>
      <c r="AN57" s="36">
        <v>1526912.38</v>
      </c>
      <c r="AO57" s="36"/>
      <c r="AP57" s="36">
        <v>1511531.15</v>
      </c>
      <c r="AR57" s="42">
        <f t="shared" si="5"/>
        <v>0</v>
      </c>
      <c r="AS57" s="42"/>
      <c r="AT57" s="42">
        <f t="shared" si="1"/>
        <v>0</v>
      </c>
      <c r="AU57" s="42"/>
      <c r="AV57" s="42">
        <f t="shared" si="2"/>
        <v>1.8189894035458565E-11</v>
      </c>
      <c r="AW57" s="42"/>
      <c r="AX57" s="42">
        <f t="shared" si="3"/>
        <v>0</v>
      </c>
    </row>
    <row r="58" spans="1:50" s="7" customFormat="1" ht="12" hidden="1">
      <c r="A58" s="7" t="s">
        <v>397</v>
      </c>
      <c r="C58" s="7" t="s">
        <v>396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>
        <f t="shared" si="4"/>
        <v>0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>
        <v>0</v>
      </c>
      <c r="AG58" s="36"/>
      <c r="AH58" s="36"/>
      <c r="AI58" s="36"/>
      <c r="AJ58" s="36">
        <f t="shared" si="23"/>
        <v>0</v>
      </c>
      <c r="AK58" s="36"/>
      <c r="AL58" s="36"/>
      <c r="AM58" s="36"/>
      <c r="AN58" s="36"/>
      <c r="AO58" s="36"/>
      <c r="AP58" s="36"/>
      <c r="AR58" s="42">
        <f aca="true" t="shared" si="32" ref="AR58:AR60">+M58-O58</f>
        <v>0</v>
      </c>
      <c r="AS58" s="42"/>
      <c r="AT58" s="42">
        <f t="shared" si="1"/>
        <v>0</v>
      </c>
      <c r="AU58" s="42"/>
      <c r="AV58" s="42">
        <f t="shared" si="2"/>
        <v>0</v>
      </c>
      <c r="AW58" s="42"/>
      <c r="AX58" s="42">
        <f t="shared" si="3"/>
        <v>0</v>
      </c>
    </row>
    <row r="59" spans="1:50" s="7" customFormat="1" ht="12" hidden="1">
      <c r="A59" s="7" t="s">
        <v>544</v>
      </c>
      <c r="C59" s="7" t="s">
        <v>542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>
        <f t="shared" si="4"/>
        <v>0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>
        <v>0</v>
      </c>
      <c r="AG59" s="36"/>
      <c r="AH59" s="36"/>
      <c r="AI59" s="36"/>
      <c r="AJ59" s="36">
        <f t="shared" si="23"/>
        <v>0</v>
      </c>
      <c r="AK59" s="36"/>
      <c r="AL59" s="36"/>
      <c r="AM59" s="36"/>
      <c r="AN59" s="36"/>
      <c r="AO59" s="36"/>
      <c r="AP59" s="36"/>
      <c r="AR59" s="42">
        <f t="shared" si="32"/>
        <v>0</v>
      </c>
      <c r="AS59" s="42"/>
      <c r="AT59" s="42">
        <f t="shared" si="1"/>
        <v>0</v>
      </c>
      <c r="AU59" s="42"/>
      <c r="AV59" s="42">
        <f t="shared" si="2"/>
        <v>0</v>
      </c>
      <c r="AW59" s="42"/>
      <c r="AX59" s="42">
        <f t="shared" si="3"/>
        <v>0</v>
      </c>
    </row>
    <row r="60" spans="1:50" s="7" customFormat="1" ht="12">
      <c r="A60" s="7" t="s">
        <v>965</v>
      </c>
      <c r="C60" s="7" t="s">
        <v>305</v>
      </c>
      <c r="E60" s="36">
        <v>2651143</v>
      </c>
      <c r="F60" s="36"/>
      <c r="G60" s="36">
        <v>423373</v>
      </c>
      <c r="H60" s="36"/>
      <c r="I60" s="36">
        <v>292601</v>
      </c>
      <c r="J60" s="36"/>
      <c r="K60" s="36">
        <v>509476</v>
      </c>
      <c r="L60" s="36"/>
      <c r="M60" s="36">
        <v>-1425693</v>
      </c>
      <c r="N60" s="36"/>
      <c r="O60" s="36">
        <f t="shared" si="4"/>
        <v>-1425693</v>
      </c>
      <c r="P60" s="36"/>
      <c r="Q60" s="36">
        <f>111977+560184+654</f>
        <v>672815</v>
      </c>
      <c r="R60" s="36"/>
      <c r="S60" s="36">
        <v>887182</v>
      </c>
      <c r="T60" s="36"/>
      <c r="U60" s="36">
        <v>201290</v>
      </c>
      <c r="V60" s="36">
        <v>620</v>
      </c>
      <c r="W60" s="36"/>
      <c r="X60" s="36">
        <v>0</v>
      </c>
      <c r="Y60" s="36"/>
      <c r="Z60" s="36">
        <v>70951</v>
      </c>
      <c r="AA60" s="36"/>
      <c r="AB60" s="36">
        <v>0</v>
      </c>
      <c r="AC60" s="36"/>
      <c r="AD60" s="36">
        <v>0</v>
      </c>
      <c r="AE60" s="36"/>
      <c r="AF60" s="36">
        <v>0</v>
      </c>
      <c r="AG60" s="36"/>
      <c r="AH60" s="36">
        <v>0</v>
      </c>
      <c r="AI60" s="36"/>
      <c r="AJ60" s="36">
        <f t="shared" si="23"/>
        <v>1832858</v>
      </c>
      <c r="AK60" s="36"/>
      <c r="AL60" s="36">
        <v>407165</v>
      </c>
      <c r="AM60" s="36"/>
      <c r="AN60" s="36">
        <v>5245390</v>
      </c>
      <c r="AO60" s="36"/>
      <c r="AP60" s="36">
        <v>5652555</v>
      </c>
      <c r="AR60" s="42">
        <f t="shared" si="32"/>
        <v>0</v>
      </c>
      <c r="AS60" s="42"/>
      <c r="AT60" s="42">
        <f t="shared" si="1"/>
        <v>0</v>
      </c>
      <c r="AU60" s="42"/>
      <c r="AV60" s="42">
        <f t="shared" si="2"/>
        <v>0</v>
      </c>
      <c r="AW60" s="42"/>
      <c r="AX60" s="42">
        <f t="shared" si="3"/>
        <v>0</v>
      </c>
    </row>
    <row r="61" spans="1:50" s="7" customFormat="1" ht="12" hidden="1">
      <c r="A61" s="7" t="s">
        <v>224</v>
      </c>
      <c r="C61" s="7" t="s">
        <v>815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f t="shared" si="4"/>
        <v>0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>
        <v>0</v>
      </c>
      <c r="AG61" s="36"/>
      <c r="AH61" s="36"/>
      <c r="AI61" s="36"/>
      <c r="AJ61" s="36">
        <f t="shared" si="23"/>
        <v>0</v>
      </c>
      <c r="AK61" s="36"/>
      <c r="AL61" s="36"/>
      <c r="AM61" s="36"/>
      <c r="AN61" s="36"/>
      <c r="AO61" s="36"/>
      <c r="AP61" s="36"/>
      <c r="AR61" s="42">
        <f t="shared" si="5"/>
        <v>0</v>
      </c>
      <c r="AS61" s="42"/>
      <c r="AT61" s="42">
        <f t="shared" si="1"/>
        <v>0</v>
      </c>
      <c r="AU61" s="42"/>
      <c r="AV61" s="42">
        <f t="shared" si="2"/>
        <v>0</v>
      </c>
      <c r="AW61" s="42"/>
      <c r="AX61" s="42">
        <f t="shared" si="3"/>
        <v>0</v>
      </c>
    </row>
    <row r="62" spans="1:50" s="7" customFormat="1" ht="12" hidden="1">
      <c r="A62" s="7" t="s">
        <v>925</v>
      </c>
      <c r="C62" s="7" t="s">
        <v>378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>
        <f t="shared" si="4"/>
        <v>0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>
        <v>0</v>
      </c>
      <c r="AG62" s="36"/>
      <c r="AH62" s="36"/>
      <c r="AI62" s="36"/>
      <c r="AJ62" s="36">
        <f t="shared" si="23"/>
        <v>0</v>
      </c>
      <c r="AK62" s="36"/>
      <c r="AL62" s="36"/>
      <c r="AM62" s="36"/>
      <c r="AN62" s="36"/>
      <c r="AO62" s="36"/>
      <c r="AP62" s="36"/>
      <c r="AR62" s="42">
        <f aca="true" t="shared" si="33" ref="AR62">+M62-O62</f>
        <v>0</v>
      </c>
      <c r="AS62" s="42"/>
      <c r="AT62" s="42">
        <f t="shared" si="1"/>
        <v>0</v>
      </c>
      <c r="AU62" s="42"/>
      <c r="AV62" s="42">
        <f t="shared" si="2"/>
        <v>0</v>
      </c>
      <c r="AW62" s="42"/>
      <c r="AX62" s="42">
        <f t="shared" si="3"/>
        <v>0</v>
      </c>
    </row>
    <row r="63" spans="1:50" s="7" customFormat="1" ht="12" hidden="1">
      <c r="A63" s="7" t="s">
        <v>93</v>
      </c>
      <c r="C63" s="7" t="s">
        <v>773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>
        <f t="shared" si="4"/>
        <v>0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>
        <v>0</v>
      </c>
      <c r="AG63" s="36"/>
      <c r="AH63" s="36"/>
      <c r="AI63" s="36"/>
      <c r="AJ63" s="36">
        <f t="shared" si="23"/>
        <v>0</v>
      </c>
      <c r="AK63" s="36"/>
      <c r="AL63" s="36"/>
      <c r="AM63" s="36"/>
      <c r="AN63" s="36"/>
      <c r="AO63" s="36"/>
      <c r="AP63" s="36"/>
      <c r="AR63" s="42">
        <f t="shared" si="5"/>
        <v>0</v>
      </c>
      <c r="AS63" s="42"/>
      <c r="AT63" s="42">
        <f t="shared" si="1"/>
        <v>0</v>
      </c>
      <c r="AU63" s="42"/>
      <c r="AV63" s="42">
        <f t="shared" si="2"/>
        <v>0</v>
      </c>
      <c r="AW63" s="42"/>
      <c r="AX63" s="42">
        <f t="shared" si="3"/>
        <v>0</v>
      </c>
    </row>
    <row r="64" spans="1:50" s="7" customFormat="1" ht="12" hidden="1">
      <c r="A64" s="7" t="s">
        <v>222</v>
      </c>
      <c r="C64" s="7" t="s">
        <v>814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>
        <f t="shared" si="4"/>
        <v>0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>
        <v>0</v>
      </c>
      <c r="AG64" s="36"/>
      <c r="AH64" s="36"/>
      <c r="AI64" s="36"/>
      <c r="AJ64" s="36">
        <f t="shared" si="23"/>
        <v>0</v>
      </c>
      <c r="AK64" s="36"/>
      <c r="AL64" s="36"/>
      <c r="AM64" s="36"/>
      <c r="AN64" s="36"/>
      <c r="AO64" s="36"/>
      <c r="AP64" s="36"/>
      <c r="AR64" s="42">
        <f t="shared" si="5"/>
        <v>0</v>
      </c>
      <c r="AS64" s="42"/>
      <c r="AT64" s="42">
        <f t="shared" si="1"/>
        <v>0</v>
      </c>
      <c r="AU64" s="42"/>
      <c r="AV64" s="42">
        <f t="shared" si="2"/>
        <v>0</v>
      </c>
      <c r="AW64" s="42"/>
      <c r="AX64" s="42">
        <f t="shared" si="3"/>
        <v>0</v>
      </c>
    </row>
    <row r="65" spans="1:50" s="7" customFormat="1" ht="12">
      <c r="A65" s="7" t="s">
        <v>212</v>
      </c>
      <c r="C65" s="7" t="s">
        <v>525</v>
      </c>
      <c r="E65" s="36">
        <v>121926.43</v>
      </c>
      <c r="F65" s="36"/>
      <c r="G65" s="36">
        <v>0</v>
      </c>
      <c r="H65" s="36"/>
      <c r="I65" s="36">
        <v>43843.13</v>
      </c>
      <c r="J65" s="36"/>
      <c r="K65" s="36">
        <v>0</v>
      </c>
      <c r="L65" s="36"/>
      <c r="M65" s="36">
        <v>-78083.3</v>
      </c>
      <c r="N65" s="36"/>
      <c r="O65" s="36">
        <f t="shared" si="4"/>
        <v>-78083.29999999999</v>
      </c>
      <c r="P65" s="36"/>
      <c r="Q65" s="36">
        <v>55954.670000000006</v>
      </c>
      <c r="R65" s="36"/>
      <c r="S65" s="36">
        <v>0</v>
      </c>
      <c r="T65" s="36"/>
      <c r="U65" s="36">
        <v>55125.7</v>
      </c>
      <c r="V65" s="36">
        <v>0</v>
      </c>
      <c r="W65" s="36"/>
      <c r="X65" s="36">
        <v>22574.27</v>
      </c>
      <c r="Y65" s="36"/>
      <c r="Z65" s="36">
        <v>47689.39</v>
      </c>
      <c r="AA65" s="36"/>
      <c r="AB65" s="36">
        <v>0</v>
      </c>
      <c r="AC65" s="36"/>
      <c r="AD65" s="36">
        <v>-12500</v>
      </c>
      <c r="AE65" s="36"/>
      <c r="AF65" s="36">
        <v>0</v>
      </c>
      <c r="AG65" s="36"/>
      <c r="AH65" s="36">
        <v>0</v>
      </c>
      <c r="AI65" s="36"/>
      <c r="AJ65" s="36">
        <f t="shared" si="23"/>
        <v>168844.02999999997</v>
      </c>
      <c r="AK65" s="36"/>
      <c r="AL65" s="36">
        <v>90760.73</v>
      </c>
      <c r="AM65" s="36"/>
      <c r="AN65" s="36">
        <v>749860.47</v>
      </c>
      <c r="AO65" s="36"/>
      <c r="AP65" s="36">
        <v>840621.2</v>
      </c>
      <c r="AR65" s="42">
        <f aca="true" t="shared" si="34" ref="AR65">+M65-O65</f>
        <v>0</v>
      </c>
      <c r="AS65" s="42"/>
      <c r="AT65" s="42">
        <f t="shared" si="1"/>
        <v>0</v>
      </c>
      <c r="AU65" s="42"/>
      <c r="AV65" s="42">
        <f t="shared" si="2"/>
        <v>0</v>
      </c>
      <c r="AW65" s="42"/>
      <c r="AX65" s="42">
        <f t="shared" si="3"/>
        <v>0</v>
      </c>
    </row>
    <row r="66" spans="1:50" s="7" customFormat="1" ht="12">
      <c r="A66" s="7" t="s">
        <v>363</v>
      </c>
      <c r="C66" s="7" t="s">
        <v>770</v>
      </c>
      <c r="E66" s="36">
        <v>5669795</v>
      </c>
      <c r="F66" s="36"/>
      <c r="G66" s="36">
        <v>1575237</v>
      </c>
      <c r="H66" s="36"/>
      <c r="I66" s="36">
        <v>501893</v>
      </c>
      <c r="J66" s="36"/>
      <c r="K66" s="36">
        <v>114175</v>
      </c>
      <c r="L66" s="36"/>
      <c r="M66" s="36">
        <v>-3478490</v>
      </c>
      <c r="N66" s="36"/>
      <c r="O66" s="36">
        <f>-E66+G66+I66+K66</f>
        <v>-3478490</v>
      </c>
      <c r="P66" s="36"/>
      <c r="Q66" s="36">
        <f>213742+117638</f>
        <v>331380</v>
      </c>
      <c r="R66" s="36"/>
      <c r="S66" s="36">
        <v>1595135</v>
      </c>
      <c r="T66" s="36"/>
      <c r="U66" s="36">
        <v>312192</v>
      </c>
      <c r="V66" s="36">
        <v>82155</v>
      </c>
      <c r="W66" s="36"/>
      <c r="X66" s="36">
        <v>60937</v>
      </c>
      <c r="Y66" s="36"/>
      <c r="Z66" s="36">
        <f>130734+46050+3000+31092</f>
        <v>210876</v>
      </c>
      <c r="AA66" s="36"/>
      <c r="AB66" s="36">
        <v>2342000</v>
      </c>
      <c r="AC66" s="36"/>
      <c r="AD66" s="36">
        <v>0</v>
      </c>
      <c r="AE66" s="36"/>
      <c r="AF66" s="36">
        <v>0</v>
      </c>
      <c r="AG66" s="36"/>
      <c r="AH66" s="36">
        <v>0</v>
      </c>
      <c r="AI66" s="36"/>
      <c r="AJ66" s="36">
        <f t="shared" si="23"/>
        <v>4934675</v>
      </c>
      <c r="AK66" s="36"/>
      <c r="AL66" s="36">
        <v>1456185</v>
      </c>
      <c r="AM66" s="36"/>
      <c r="AN66" s="36">
        <v>2852595</v>
      </c>
      <c r="AO66" s="36"/>
      <c r="AP66" s="36">
        <v>4308780</v>
      </c>
      <c r="AR66" s="42">
        <f>+M66-O66</f>
        <v>0</v>
      </c>
      <c r="AS66" s="42"/>
      <c r="AT66" s="42">
        <f t="shared" si="1"/>
        <v>0</v>
      </c>
      <c r="AU66" s="42"/>
      <c r="AV66" s="42">
        <f t="shared" si="2"/>
        <v>0</v>
      </c>
      <c r="AW66" s="42"/>
      <c r="AX66" s="42">
        <f t="shared" si="3"/>
        <v>0</v>
      </c>
    </row>
    <row r="67" spans="1:50" s="7" customFormat="1" ht="12">
      <c r="A67" s="7" t="s">
        <v>57</v>
      </c>
      <c r="C67" s="7" t="s">
        <v>764</v>
      </c>
      <c r="E67" s="36">
        <v>1266856.35</v>
      </c>
      <c r="F67" s="36"/>
      <c r="G67" s="36">
        <v>2125</v>
      </c>
      <c r="H67" s="36"/>
      <c r="I67" s="36">
        <v>44520.1</v>
      </c>
      <c r="J67" s="36"/>
      <c r="K67" s="36">
        <v>0</v>
      </c>
      <c r="L67" s="36"/>
      <c r="M67" s="36">
        <v>-1220211.25</v>
      </c>
      <c r="N67" s="36"/>
      <c r="O67" s="36">
        <f>-E67+G67+I67+K67</f>
        <v>-1220211.25</v>
      </c>
      <c r="P67" s="36"/>
      <c r="Q67" s="36">
        <v>68331.61</v>
      </c>
      <c r="R67" s="36"/>
      <c r="S67" s="36">
        <v>265924.51</v>
      </c>
      <c r="T67" s="36"/>
      <c r="U67" s="36">
        <v>15509.25</v>
      </c>
      <c r="V67" s="36">
        <v>0</v>
      </c>
      <c r="W67" s="36"/>
      <c r="X67" s="36">
        <v>0</v>
      </c>
      <c r="Y67" s="36"/>
      <c r="Z67" s="36">
        <v>903030.27</v>
      </c>
      <c r="AA67" s="36"/>
      <c r="AB67" s="36">
        <v>0</v>
      </c>
      <c r="AC67" s="36"/>
      <c r="AD67" s="36">
        <v>0</v>
      </c>
      <c r="AE67" s="36"/>
      <c r="AF67" s="36">
        <v>0</v>
      </c>
      <c r="AG67" s="36"/>
      <c r="AH67" s="36">
        <v>0</v>
      </c>
      <c r="AI67" s="36"/>
      <c r="AJ67" s="36">
        <f t="shared" si="23"/>
        <v>1252795.6400000001</v>
      </c>
      <c r="AK67" s="36"/>
      <c r="AL67" s="36">
        <v>32584.39</v>
      </c>
      <c r="AM67" s="36"/>
      <c r="AN67" s="36">
        <v>481645.78</v>
      </c>
      <c r="AO67" s="36"/>
      <c r="AP67" s="36">
        <v>514230.17</v>
      </c>
      <c r="AR67" s="42">
        <f t="shared" si="5"/>
        <v>0</v>
      </c>
      <c r="AS67" s="42"/>
      <c r="AT67" s="42">
        <f t="shared" si="1"/>
        <v>0</v>
      </c>
      <c r="AU67" s="42"/>
      <c r="AV67" s="42">
        <f t="shared" si="2"/>
        <v>1.3096723705530167E-10</v>
      </c>
      <c r="AW67" s="42"/>
      <c r="AX67" s="42">
        <f t="shared" si="3"/>
        <v>0</v>
      </c>
    </row>
    <row r="68" spans="1:50" s="7" customFormat="1" ht="12" hidden="1">
      <c r="A68" s="7" t="s">
        <v>122</v>
      </c>
      <c r="C68" s="7" t="s">
        <v>782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>
        <f t="shared" si="4"/>
        <v>0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>
        <v>0</v>
      </c>
      <c r="AG68" s="36"/>
      <c r="AH68" s="36"/>
      <c r="AI68" s="36"/>
      <c r="AJ68" s="36">
        <f t="shared" si="23"/>
        <v>0</v>
      </c>
      <c r="AK68" s="36"/>
      <c r="AL68" s="36"/>
      <c r="AM68" s="36"/>
      <c r="AN68" s="36"/>
      <c r="AO68" s="36"/>
      <c r="AP68" s="36"/>
      <c r="AR68" s="42">
        <f t="shared" si="5"/>
        <v>0</v>
      </c>
      <c r="AS68" s="42"/>
      <c r="AT68" s="42">
        <f t="shared" si="1"/>
        <v>0</v>
      </c>
      <c r="AU68" s="42"/>
      <c r="AV68" s="42">
        <f t="shared" si="2"/>
        <v>0</v>
      </c>
      <c r="AW68" s="42"/>
      <c r="AX68" s="42">
        <f t="shared" si="3"/>
        <v>0</v>
      </c>
    </row>
    <row r="69" spans="1:50" s="7" customFormat="1" ht="12">
      <c r="A69" s="7" t="s">
        <v>320</v>
      </c>
      <c r="C69" s="7" t="s">
        <v>316</v>
      </c>
      <c r="E69" s="36">
        <v>5998140</v>
      </c>
      <c r="F69" s="36"/>
      <c r="G69" s="36">
        <v>612818</v>
      </c>
      <c r="H69" s="36"/>
      <c r="I69" s="36">
        <v>82179</v>
      </c>
      <c r="J69" s="36"/>
      <c r="K69" s="36">
        <v>5745</v>
      </c>
      <c r="L69" s="36"/>
      <c r="M69" s="36">
        <v>-5297398</v>
      </c>
      <c r="N69" s="36"/>
      <c r="O69" s="36">
        <f t="shared" si="4"/>
        <v>-5297398</v>
      </c>
      <c r="P69" s="36"/>
      <c r="Q69" s="36">
        <f>2075106+54407+181358+1316416</f>
        <v>3627287</v>
      </c>
      <c r="R69" s="36"/>
      <c r="S69" s="36">
        <v>1627549</v>
      </c>
      <c r="T69" s="36"/>
      <c r="U69" s="36">
        <v>538578</v>
      </c>
      <c r="V69" s="36">
        <f>13225</f>
        <v>13225</v>
      </c>
      <c r="W69" s="36"/>
      <c r="X69" s="36">
        <v>0</v>
      </c>
      <c r="Y69" s="36"/>
      <c r="Z69" s="36">
        <v>450000</v>
      </c>
      <c r="AA69" s="36"/>
      <c r="AB69" s="36">
        <v>1778</v>
      </c>
      <c r="AC69" s="36"/>
      <c r="AD69" s="36">
        <v>-158350</v>
      </c>
      <c r="AE69" s="36"/>
      <c r="AF69" s="36">
        <v>0</v>
      </c>
      <c r="AG69" s="36"/>
      <c r="AH69" s="36">
        <v>0</v>
      </c>
      <c r="AI69" s="36"/>
      <c r="AJ69" s="36">
        <f t="shared" si="23"/>
        <v>6100067</v>
      </c>
      <c r="AK69" s="36"/>
      <c r="AL69" s="36">
        <v>802669</v>
      </c>
      <c r="AM69" s="36"/>
      <c r="AN69" s="36">
        <v>3523601</v>
      </c>
      <c r="AO69" s="41"/>
      <c r="AP69" s="36">
        <v>4326270</v>
      </c>
      <c r="AR69" s="42">
        <f t="shared" si="5"/>
        <v>0</v>
      </c>
      <c r="AS69" s="42"/>
      <c r="AT69" s="42">
        <f t="shared" si="1"/>
        <v>0</v>
      </c>
      <c r="AU69" s="42"/>
      <c r="AV69" s="42">
        <f t="shared" si="2"/>
        <v>0</v>
      </c>
      <c r="AW69" s="42"/>
      <c r="AX69" s="42">
        <f t="shared" si="3"/>
        <v>0</v>
      </c>
    </row>
    <row r="70" spans="1:50" s="7" customFormat="1" ht="12">
      <c r="A70" s="7" t="s">
        <v>494</v>
      </c>
      <c r="C70" s="7" t="s">
        <v>802</v>
      </c>
      <c r="E70" s="36">
        <v>2031637</v>
      </c>
      <c r="F70" s="36"/>
      <c r="G70" s="36">
        <v>8867</v>
      </c>
      <c r="H70" s="36"/>
      <c r="I70" s="36">
        <v>18253</v>
      </c>
      <c r="J70" s="36"/>
      <c r="K70" s="36">
        <v>0</v>
      </c>
      <c r="L70" s="36"/>
      <c r="M70" s="36">
        <v>-2004517</v>
      </c>
      <c r="N70" s="36"/>
      <c r="O70" s="36">
        <f t="shared" si="4"/>
        <v>-2004517</v>
      </c>
      <c r="P70" s="36"/>
      <c r="Q70" s="36">
        <f>102636+68632+65825</f>
        <v>237093</v>
      </c>
      <c r="R70" s="36"/>
      <c r="S70" s="36">
        <v>799705</v>
      </c>
      <c r="T70" s="36"/>
      <c r="U70" s="36">
        <v>116608</v>
      </c>
      <c r="V70" s="36">
        <v>22281</v>
      </c>
      <c r="W70" s="36"/>
      <c r="X70" s="36">
        <v>0</v>
      </c>
      <c r="Y70" s="36"/>
      <c r="Z70" s="36">
        <v>42984</v>
      </c>
      <c r="AA70" s="36"/>
      <c r="AB70" s="36">
        <v>24332</v>
      </c>
      <c r="AC70" s="36"/>
      <c r="AD70" s="36">
        <f>75000+411000</f>
        <v>486000</v>
      </c>
      <c r="AE70" s="36"/>
      <c r="AF70" s="36">
        <v>0</v>
      </c>
      <c r="AG70" s="36"/>
      <c r="AH70" s="36">
        <v>0</v>
      </c>
      <c r="AI70" s="36"/>
      <c r="AJ70" s="36">
        <f t="shared" si="23"/>
        <v>1729003</v>
      </c>
      <c r="AK70" s="36"/>
      <c r="AL70" s="36">
        <v>-275514</v>
      </c>
      <c r="AM70" s="36"/>
      <c r="AN70" s="36">
        <v>1304053</v>
      </c>
      <c r="AO70" s="41"/>
      <c r="AP70" s="36">
        <v>1028539</v>
      </c>
      <c r="AR70" s="42">
        <f aca="true" t="shared" si="35" ref="AR70">+M70-O70</f>
        <v>0</v>
      </c>
      <c r="AS70" s="42"/>
      <c r="AT70" s="42">
        <f t="shared" si="1"/>
        <v>0</v>
      </c>
      <c r="AU70" s="42"/>
      <c r="AV70" s="42">
        <f t="shared" si="2"/>
        <v>0</v>
      </c>
      <c r="AW70" s="42"/>
      <c r="AX70" s="42">
        <f t="shared" si="3"/>
        <v>0</v>
      </c>
    </row>
    <row r="71" spans="1:50" s="7" customFormat="1" ht="12" hidden="1">
      <c r="A71" s="7" t="s">
        <v>528</v>
      </c>
      <c r="C71" s="7" t="s">
        <v>527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>
        <f t="shared" si="4"/>
        <v>0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>
        <v>0</v>
      </c>
      <c r="AG71" s="36"/>
      <c r="AH71" s="36"/>
      <c r="AI71" s="36"/>
      <c r="AJ71" s="36">
        <f t="shared" si="23"/>
        <v>0</v>
      </c>
      <c r="AK71" s="36"/>
      <c r="AL71" s="36"/>
      <c r="AM71" s="36"/>
      <c r="AN71" s="36"/>
      <c r="AO71" s="36"/>
      <c r="AP71" s="36"/>
      <c r="AR71" s="42">
        <f t="shared" si="5"/>
        <v>0</v>
      </c>
      <c r="AS71" s="42"/>
      <c r="AT71" s="42">
        <f t="shared" si="1"/>
        <v>0</v>
      </c>
      <c r="AU71" s="42"/>
      <c r="AV71" s="42">
        <f t="shared" si="2"/>
        <v>0</v>
      </c>
      <c r="AW71" s="42"/>
      <c r="AX71" s="42">
        <f t="shared" si="3"/>
        <v>0</v>
      </c>
    </row>
    <row r="72" spans="1:50" s="7" customFormat="1" ht="12">
      <c r="A72" s="7" t="s">
        <v>153</v>
      </c>
      <c r="C72" s="7" t="s">
        <v>792</v>
      </c>
      <c r="E72" s="36">
        <v>127870.35</v>
      </c>
      <c r="F72" s="36"/>
      <c r="G72" s="36">
        <v>1781</v>
      </c>
      <c r="H72" s="36"/>
      <c r="I72" s="36">
        <v>21106.39</v>
      </c>
      <c r="J72" s="36"/>
      <c r="K72" s="36">
        <v>0</v>
      </c>
      <c r="L72" s="36"/>
      <c r="M72" s="36">
        <v>-104982.96</v>
      </c>
      <c r="N72" s="36"/>
      <c r="O72" s="36">
        <f t="shared" si="4"/>
        <v>-104982.96</v>
      </c>
      <c r="P72" s="36"/>
      <c r="Q72" s="36">
        <v>89181.92</v>
      </c>
      <c r="R72" s="36"/>
      <c r="S72" s="36">
        <v>0</v>
      </c>
      <c r="T72" s="36"/>
      <c r="U72" s="36">
        <v>19605.37</v>
      </c>
      <c r="V72" s="36">
        <v>0</v>
      </c>
      <c r="W72" s="36"/>
      <c r="X72" s="36">
        <v>0</v>
      </c>
      <c r="Y72" s="36"/>
      <c r="Z72" s="36">
        <v>1073.82</v>
      </c>
      <c r="AA72" s="36"/>
      <c r="AB72" s="36">
        <v>0</v>
      </c>
      <c r="AC72" s="36"/>
      <c r="AD72" s="36">
        <v>0</v>
      </c>
      <c r="AE72" s="36"/>
      <c r="AF72" s="36">
        <v>0</v>
      </c>
      <c r="AG72" s="36"/>
      <c r="AH72" s="36">
        <v>0</v>
      </c>
      <c r="AI72" s="36"/>
      <c r="AJ72" s="36">
        <f t="shared" si="23"/>
        <v>109861.11</v>
      </c>
      <c r="AK72" s="36"/>
      <c r="AL72" s="36">
        <v>4878.15</v>
      </c>
      <c r="AM72" s="36"/>
      <c r="AN72" s="36">
        <v>245318.32</v>
      </c>
      <c r="AO72" s="36"/>
      <c r="AP72" s="36">
        <v>250196.47</v>
      </c>
      <c r="AR72" s="42">
        <f t="shared" si="5"/>
        <v>0</v>
      </c>
      <c r="AS72" s="42"/>
      <c r="AT72" s="42">
        <f t="shared" si="1"/>
        <v>0</v>
      </c>
      <c r="AU72" s="42"/>
      <c r="AV72" s="42">
        <f t="shared" si="2"/>
        <v>0</v>
      </c>
      <c r="AW72" s="42"/>
      <c r="AX72" s="42">
        <f t="shared" si="3"/>
        <v>0</v>
      </c>
    </row>
    <row r="73" spans="1:50" s="7" customFormat="1" ht="12">
      <c r="A73" s="7" t="s">
        <v>450</v>
      </c>
      <c r="C73" s="7" t="s">
        <v>787</v>
      </c>
      <c r="E73" s="36">
        <v>2448718</v>
      </c>
      <c r="F73" s="36"/>
      <c r="G73" s="36">
        <v>331317</v>
      </c>
      <c r="H73" s="36"/>
      <c r="I73" s="36">
        <v>146000</v>
      </c>
      <c r="J73" s="36"/>
      <c r="K73" s="36">
        <v>165688</v>
      </c>
      <c r="L73" s="36"/>
      <c r="M73" s="36">
        <v>-1805713</v>
      </c>
      <c r="N73" s="36"/>
      <c r="O73" s="36">
        <f t="shared" si="4"/>
        <v>-1805713</v>
      </c>
      <c r="P73" s="36"/>
      <c r="Q73" s="36">
        <f>228356+15380</f>
        <v>243736</v>
      </c>
      <c r="R73" s="36"/>
      <c r="S73" s="36">
        <f>849660+424766</f>
        <v>1274426</v>
      </c>
      <c r="T73" s="36"/>
      <c r="U73" s="36">
        <v>166440</v>
      </c>
      <c r="V73" s="36">
        <v>35047</v>
      </c>
      <c r="W73" s="36"/>
      <c r="X73" s="36">
        <v>0</v>
      </c>
      <c r="Y73" s="36"/>
      <c r="Z73" s="36">
        <v>41615</v>
      </c>
      <c r="AA73" s="36"/>
      <c r="AB73" s="36">
        <v>37189</v>
      </c>
      <c r="AC73" s="36"/>
      <c r="AD73" s="36">
        <v>0</v>
      </c>
      <c r="AE73" s="36"/>
      <c r="AF73" s="36">
        <v>0</v>
      </c>
      <c r="AG73" s="36"/>
      <c r="AH73" s="36">
        <v>0</v>
      </c>
      <c r="AI73" s="36"/>
      <c r="AJ73" s="36">
        <f t="shared" si="23"/>
        <v>1798453</v>
      </c>
      <c r="AK73" s="36"/>
      <c r="AL73" s="36">
        <v>-7260</v>
      </c>
      <c r="AM73" s="36"/>
      <c r="AN73" s="36">
        <v>2285373</v>
      </c>
      <c r="AO73" s="36"/>
      <c r="AP73" s="36">
        <v>2278113</v>
      </c>
      <c r="AR73" s="42">
        <f aca="true" t="shared" si="36" ref="AR73">+M73-O73</f>
        <v>0</v>
      </c>
      <c r="AS73" s="42"/>
      <c r="AT73" s="42">
        <f t="shared" si="1"/>
        <v>0</v>
      </c>
      <c r="AU73" s="42"/>
      <c r="AV73" s="42">
        <f t="shared" si="2"/>
        <v>0</v>
      </c>
      <c r="AW73" s="42"/>
      <c r="AX73" s="42">
        <f t="shared" si="3"/>
        <v>0</v>
      </c>
    </row>
    <row r="74" spans="1:50" s="7" customFormat="1" ht="12" hidden="1">
      <c r="A74" s="7" t="s">
        <v>475</v>
      </c>
      <c r="C74" s="7" t="s">
        <v>474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>
        <f t="shared" si="4"/>
        <v>0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>
        <v>0</v>
      </c>
      <c r="AG74" s="36"/>
      <c r="AH74" s="36"/>
      <c r="AI74" s="36"/>
      <c r="AJ74" s="36">
        <f t="shared" si="23"/>
        <v>0</v>
      </c>
      <c r="AK74" s="36"/>
      <c r="AL74" s="36"/>
      <c r="AM74" s="36"/>
      <c r="AN74" s="36"/>
      <c r="AO74" s="36"/>
      <c r="AP74" s="36"/>
      <c r="AR74" s="42">
        <f aca="true" t="shared" si="37" ref="AR74">+M74-O74</f>
        <v>0</v>
      </c>
      <c r="AS74" s="42"/>
      <c r="AT74" s="42">
        <f t="shared" si="1"/>
        <v>0</v>
      </c>
      <c r="AU74" s="42"/>
      <c r="AV74" s="42">
        <f t="shared" si="2"/>
        <v>0</v>
      </c>
      <c r="AW74" s="42"/>
      <c r="AX74" s="42">
        <f t="shared" si="3"/>
        <v>0</v>
      </c>
    </row>
    <row r="75" spans="1:50" s="7" customFormat="1" ht="12">
      <c r="A75" s="7" t="s">
        <v>148</v>
      </c>
      <c r="C75" s="7" t="s">
        <v>791</v>
      </c>
      <c r="E75" s="36">
        <v>98315.28</v>
      </c>
      <c r="F75" s="36"/>
      <c r="G75" s="36">
        <v>31739.68</v>
      </c>
      <c r="H75" s="36"/>
      <c r="I75" s="36">
        <v>15077.52</v>
      </c>
      <c r="J75" s="36"/>
      <c r="K75" s="36">
        <v>0</v>
      </c>
      <c r="L75" s="36"/>
      <c r="M75" s="36">
        <v>-51498.08</v>
      </c>
      <c r="N75" s="36"/>
      <c r="O75" s="36">
        <f t="shared" si="4"/>
        <v>-51498.08</v>
      </c>
      <c r="P75" s="36"/>
      <c r="Q75" s="36">
        <v>55636.81</v>
      </c>
      <c r="R75" s="36"/>
      <c r="S75" s="36">
        <v>0</v>
      </c>
      <c r="T75" s="36"/>
      <c r="U75" s="36">
        <v>16016.36</v>
      </c>
      <c r="V75" s="36">
        <v>0</v>
      </c>
      <c r="W75" s="36"/>
      <c r="X75" s="36">
        <v>0</v>
      </c>
      <c r="Y75" s="36"/>
      <c r="Z75" s="36">
        <v>70.48</v>
      </c>
      <c r="AA75" s="36"/>
      <c r="AB75" s="36">
        <v>0</v>
      </c>
      <c r="AC75" s="36"/>
      <c r="AD75" s="36">
        <v>0</v>
      </c>
      <c r="AE75" s="36"/>
      <c r="AF75" s="36">
        <v>0</v>
      </c>
      <c r="AG75" s="36"/>
      <c r="AH75" s="36">
        <v>0</v>
      </c>
      <c r="AI75" s="36"/>
      <c r="AJ75" s="36">
        <f t="shared" si="23"/>
        <v>71723.65</v>
      </c>
      <c r="AK75" s="36"/>
      <c r="AL75" s="36">
        <v>20225.57</v>
      </c>
      <c r="AM75" s="36"/>
      <c r="AN75" s="36">
        <v>100653.45</v>
      </c>
      <c r="AO75" s="36"/>
      <c r="AP75" s="36">
        <v>120879.02</v>
      </c>
      <c r="AR75" s="42">
        <f t="shared" si="5"/>
        <v>0</v>
      </c>
      <c r="AS75" s="42"/>
      <c r="AT75" s="42">
        <f t="shared" si="1"/>
        <v>0</v>
      </c>
      <c r="AU75" s="42"/>
      <c r="AV75" s="42">
        <f t="shared" si="2"/>
        <v>0</v>
      </c>
      <c r="AW75" s="42"/>
      <c r="AX75" s="42">
        <f t="shared" si="3"/>
        <v>0</v>
      </c>
    </row>
    <row r="76" spans="1:50" s="7" customFormat="1" ht="12" hidden="1">
      <c r="A76" s="7" t="s">
        <v>94</v>
      </c>
      <c r="C76" s="7" t="s">
        <v>773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>
        <f t="shared" si="4"/>
        <v>0</v>
      </c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>
        <v>0</v>
      </c>
      <c r="AG76" s="36"/>
      <c r="AH76" s="36"/>
      <c r="AI76" s="36"/>
      <c r="AJ76" s="36">
        <f t="shared" si="23"/>
        <v>0</v>
      </c>
      <c r="AK76" s="36"/>
      <c r="AL76" s="36"/>
      <c r="AM76" s="36"/>
      <c r="AN76" s="36"/>
      <c r="AO76" s="36"/>
      <c r="AP76" s="36"/>
      <c r="AR76" s="42">
        <f t="shared" si="5"/>
        <v>0</v>
      </c>
      <c r="AS76" s="42"/>
      <c r="AT76" s="42">
        <f aca="true" t="shared" si="38" ref="AT76:AT139">+Q76+S76+U76+V76+X76+Z76+AB76+AD76+AH76-AJ76+AF76</f>
        <v>0</v>
      </c>
      <c r="AU76" s="42"/>
      <c r="AV76" s="42">
        <f aca="true" t="shared" si="39" ref="AV76:AV139">+O76+AJ76-AL76</f>
        <v>0</v>
      </c>
      <c r="AW76" s="42"/>
      <c r="AX76" s="42">
        <f aca="true" t="shared" si="40" ref="AX76:AX139">+O76+AJ76+AN76-AP76</f>
        <v>0</v>
      </c>
    </row>
    <row r="77" spans="1:50" s="7" customFormat="1" ht="12" hidden="1">
      <c r="A77" s="7" t="s">
        <v>113</v>
      </c>
      <c r="C77" s="7" t="s">
        <v>780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>
        <f t="shared" si="4"/>
        <v>0</v>
      </c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>
        <v>0</v>
      </c>
      <c r="AG77" s="36"/>
      <c r="AH77" s="36"/>
      <c r="AI77" s="36"/>
      <c r="AJ77" s="36">
        <f t="shared" si="23"/>
        <v>0</v>
      </c>
      <c r="AK77" s="36"/>
      <c r="AL77" s="36"/>
      <c r="AM77" s="36"/>
      <c r="AN77" s="36"/>
      <c r="AO77" s="36"/>
      <c r="AP77" s="36"/>
      <c r="AR77" s="42">
        <f t="shared" si="5"/>
        <v>0</v>
      </c>
      <c r="AS77" s="42"/>
      <c r="AT77" s="42">
        <f t="shared" si="38"/>
        <v>0</v>
      </c>
      <c r="AU77" s="42"/>
      <c r="AV77" s="42">
        <f t="shared" si="39"/>
        <v>0</v>
      </c>
      <c r="AW77" s="42"/>
      <c r="AX77" s="42">
        <f t="shared" si="40"/>
        <v>0</v>
      </c>
    </row>
    <row r="78" spans="1:50" s="7" customFormat="1" ht="12" hidden="1">
      <c r="A78" s="7" t="s">
        <v>354</v>
      </c>
      <c r="C78" s="7" t="s">
        <v>768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>
        <f>-E78+G78+I78+K78</f>
        <v>0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>
        <v>0</v>
      </c>
      <c r="AG78" s="36"/>
      <c r="AH78" s="36"/>
      <c r="AI78" s="36"/>
      <c r="AJ78" s="36">
        <f t="shared" si="23"/>
        <v>0</v>
      </c>
      <c r="AK78" s="36"/>
      <c r="AL78" s="36"/>
      <c r="AM78" s="36"/>
      <c r="AN78" s="36"/>
      <c r="AO78" s="36"/>
      <c r="AP78" s="36"/>
      <c r="AR78" s="42">
        <f>+M78-O78</f>
        <v>0</v>
      </c>
      <c r="AS78" s="42"/>
      <c r="AT78" s="42">
        <f t="shared" si="38"/>
        <v>0</v>
      </c>
      <c r="AU78" s="42"/>
      <c r="AV78" s="42">
        <f t="shared" si="39"/>
        <v>0</v>
      </c>
      <c r="AW78" s="42"/>
      <c r="AX78" s="42">
        <f t="shared" si="40"/>
        <v>0</v>
      </c>
    </row>
    <row r="79" spans="1:50" s="7" customFormat="1" ht="12">
      <c r="A79" s="7" t="s">
        <v>126</v>
      </c>
      <c r="C79" s="7" t="s">
        <v>784</v>
      </c>
      <c r="E79" s="36">
        <v>326122.62</v>
      </c>
      <c r="F79" s="36"/>
      <c r="G79" s="36">
        <v>166754.37</v>
      </c>
      <c r="H79" s="36"/>
      <c r="I79" s="36">
        <v>11728.96</v>
      </c>
      <c r="J79" s="36"/>
      <c r="K79" s="36">
        <v>0</v>
      </c>
      <c r="L79" s="36"/>
      <c r="M79" s="36">
        <v>-147639.29</v>
      </c>
      <c r="N79" s="36"/>
      <c r="O79" s="36">
        <f>-E79+G79+I79+K79</f>
        <v>-147639.29</v>
      </c>
      <c r="P79" s="36"/>
      <c r="Q79" s="36">
        <v>4174.95</v>
      </c>
      <c r="R79" s="36"/>
      <c r="S79" s="36">
        <v>0</v>
      </c>
      <c r="T79" s="36"/>
      <c r="U79" s="36">
        <v>14711.01</v>
      </c>
      <c r="V79" s="36">
        <v>0</v>
      </c>
      <c r="W79" s="36"/>
      <c r="X79" s="36">
        <v>0</v>
      </c>
      <c r="Y79" s="36"/>
      <c r="Z79" s="36">
        <v>22346.31</v>
      </c>
      <c r="AA79" s="36"/>
      <c r="AB79" s="36">
        <v>0</v>
      </c>
      <c r="AC79" s="36"/>
      <c r="AD79" s="36">
        <v>0</v>
      </c>
      <c r="AE79" s="36"/>
      <c r="AF79" s="36">
        <v>0</v>
      </c>
      <c r="AG79" s="36"/>
      <c r="AH79" s="36">
        <v>0</v>
      </c>
      <c r="AI79" s="36"/>
      <c r="AJ79" s="36">
        <f t="shared" si="23"/>
        <v>41232.270000000004</v>
      </c>
      <c r="AK79" s="36"/>
      <c r="AL79" s="36">
        <v>-106407.02</v>
      </c>
      <c r="AM79" s="36"/>
      <c r="AN79" s="36">
        <v>125376.95</v>
      </c>
      <c r="AO79" s="36"/>
      <c r="AP79" s="36">
        <v>18969.93</v>
      </c>
      <c r="AR79" s="42">
        <f>+M79-O79</f>
        <v>0</v>
      </c>
      <c r="AS79" s="42"/>
      <c r="AT79" s="42">
        <f t="shared" si="38"/>
        <v>0</v>
      </c>
      <c r="AU79" s="42"/>
      <c r="AV79" s="42">
        <f t="shared" si="39"/>
        <v>0</v>
      </c>
      <c r="AW79" s="42"/>
      <c r="AX79" s="42">
        <f t="shared" si="40"/>
        <v>0</v>
      </c>
    </row>
    <row r="80" spans="1:50" s="7" customFormat="1" ht="12">
      <c r="A80" s="7" t="s">
        <v>42</v>
      </c>
      <c r="C80" s="7" t="s">
        <v>758</v>
      </c>
      <c r="E80" s="96">
        <v>70847.96</v>
      </c>
      <c r="F80" s="96"/>
      <c r="G80" s="96">
        <v>11304.1</v>
      </c>
      <c r="H80" s="96"/>
      <c r="I80" s="96">
        <v>23315.78</v>
      </c>
      <c r="J80" s="96"/>
      <c r="K80" s="96">
        <v>0</v>
      </c>
      <c r="L80" s="96"/>
      <c r="M80" s="96">
        <v>-36228.08</v>
      </c>
      <c r="N80" s="96"/>
      <c r="O80" s="96">
        <f aca="true" t="shared" si="41" ref="O80:O81">M80</f>
        <v>-36228.08</v>
      </c>
      <c r="P80" s="96"/>
      <c r="Q80" s="96">
        <v>20468.36</v>
      </c>
      <c r="R80" s="96"/>
      <c r="S80" s="96">
        <v>0</v>
      </c>
      <c r="T80" s="96"/>
      <c r="U80" s="96">
        <v>21687.72</v>
      </c>
      <c r="V80" s="96">
        <v>83.23</v>
      </c>
      <c r="W80" s="96"/>
      <c r="X80" s="96">
        <v>0</v>
      </c>
      <c r="Y80" s="96"/>
      <c r="Z80" s="96">
        <v>6248.42</v>
      </c>
      <c r="AA80" s="96"/>
      <c r="AB80" s="96">
        <v>0</v>
      </c>
      <c r="AC80" s="96"/>
      <c r="AD80" s="96">
        <v>0</v>
      </c>
      <c r="AE80" s="96"/>
      <c r="AF80" s="96">
        <v>0</v>
      </c>
      <c r="AG80" s="96"/>
      <c r="AH80" s="96">
        <v>0</v>
      </c>
      <c r="AI80" s="96"/>
      <c r="AJ80" s="96">
        <f aca="true" t="shared" si="42" ref="AJ80:AJ81">SUM(Q80:AH80)</f>
        <v>48487.73</v>
      </c>
      <c r="AK80" s="96"/>
      <c r="AL80" s="96">
        <v>12259.65</v>
      </c>
      <c r="AM80" s="96"/>
      <c r="AN80" s="96">
        <v>84018.61</v>
      </c>
      <c r="AO80" s="96"/>
      <c r="AP80" s="96">
        <v>96278.26</v>
      </c>
      <c r="AR80" s="42">
        <f t="shared" si="5"/>
        <v>0</v>
      </c>
      <c r="AS80" s="42"/>
      <c r="AT80" s="42">
        <f t="shared" si="38"/>
        <v>0</v>
      </c>
      <c r="AU80" s="42"/>
      <c r="AV80" s="42">
        <f t="shared" si="39"/>
        <v>0</v>
      </c>
      <c r="AW80" s="42"/>
      <c r="AX80" s="42">
        <f t="shared" si="40"/>
        <v>0</v>
      </c>
    </row>
    <row r="81" spans="1:50" s="7" customFormat="1" ht="12">
      <c r="A81" s="7" t="s">
        <v>264</v>
      </c>
      <c r="C81" s="7" t="s">
        <v>611</v>
      </c>
      <c r="E81" s="96">
        <v>28866.15</v>
      </c>
      <c r="F81" s="96"/>
      <c r="G81" s="96">
        <v>1608.31</v>
      </c>
      <c r="H81" s="96"/>
      <c r="I81" s="96">
        <v>8427.14</v>
      </c>
      <c r="J81" s="96"/>
      <c r="K81" s="96">
        <v>0</v>
      </c>
      <c r="L81" s="96"/>
      <c r="M81" s="96">
        <v>-18830.7</v>
      </c>
      <c r="N81" s="96"/>
      <c r="O81" s="96">
        <f t="shared" si="41"/>
        <v>-18830.7</v>
      </c>
      <c r="P81" s="96"/>
      <c r="Q81" s="96">
        <v>17765.82</v>
      </c>
      <c r="R81" s="96"/>
      <c r="S81" s="96">
        <v>0</v>
      </c>
      <c r="T81" s="96"/>
      <c r="U81" s="96">
        <v>3988.05</v>
      </c>
      <c r="V81" s="96">
        <v>28.08</v>
      </c>
      <c r="W81" s="96"/>
      <c r="X81" s="96">
        <v>0</v>
      </c>
      <c r="Y81" s="96"/>
      <c r="Z81" s="96">
        <v>631.4</v>
      </c>
      <c r="AA81" s="96"/>
      <c r="AB81" s="96">
        <v>0</v>
      </c>
      <c r="AC81" s="96"/>
      <c r="AD81" s="96">
        <v>0</v>
      </c>
      <c r="AE81" s="96"/>
      <c r="AF81" s="96">
        <v>0</v>
      </c>
      <c r="AG81" s="96"/>
      <c r="AH81" s="96">
        <v>0</v>
      </c>
      <c r="AI81" s="96"/>
      <c r="AJ81" s="96">
        <f t="shared" si="42"/>
        <v>22413.350000000002</v>
      </c>
      <c r="AK81" s="96"/>
      <c r="AL81" s="96">
        <v>3582.65</v>
      </c>
      <c r="AM81" s="96"/>
      <c r="AN81" s="96">
        <v>47550.92</v>
      </c>
      <c r="AO81" s="96"/>
      <c r="AP81" s="96">
        <v>51133.57</v>
      </c>
      <c r="AR81" s="42">
        <f aca="true" t="shared" si="43" ref="AR81">+M81-O81</f>
        <v>0</v>
      </c>
      <c r="AS81" s="42"/>
      <c r="AT81" s="42">
        <f t="shared" si="38"/>
        <v>0</v>
      </c>
      <c r="AU81" s="42"/>
      <c r="AV81" s="42">
        <f t="shared" si="39"/>
        <v>0</v>
      </c>
      <c r="AW81" s="42"/>
      <c r="AX81" s="42">
        <f t="shared" si="40"/>
        <v>0</v>
      </c>
    </row>
    <row r="82" spans="1:50" s="7" customFormat="1" ht="12" hidden="1">
      <c r="A82" s="7" t="s">
        <v>845</v>
      </c>
      <c r="C82" s="7" t="s">
        <v>776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>
        <f t="shared" si="4"/>
        <v>0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>
        <f>Q82+S82+U82+V82+X82+Z82+AB82+AD82+AH82+AF82</f>
        <v>0</v>
      </c>
      <c r="AK82" s="36"/>
      <c r="AL82" s="36"/>
      <c r="AM82" s="36"/>
      <c r="AN82" s="36"/>
      <c r="AO82" s="36"/>
      <c r="AP82" s="36"/>
      <c r="AR82" s="42">
        <f t="shared" si="5"/>
        <v>0</v>
      </c>
      <c r="AS82" s="42"/>
      <c r="AT82" s="42">
        <f t="shared" si="38"/>
        <v>0</v>
      </c>
      <c r="AU82" s="42"/>
      <c r="AV82" s="42">
        <f t="shared" si="39"/>
        <v>0</v>
      </c>
      <c r="AW82" s="42"/>
      <c r="AX82" s="42">
        <f t="shared" si="40"/>
        <v>0</v>
      </c>
    </row>
    <row r="83" spans="1:50" s="7" customFormat="1" ht="12">
      <c r="A83" s="7" t="s">
        <v>582</v>
      </c>
      <c r="C83" s="7" t="s">
        <v>583</v>
      </c>
      <c r="E83" s="36">
        <v>364703.95</v>
      </c>
      <c r="F83" s="36"/>
      <c r="G83" s="36">
        <v>166606.1</v>
      </c>
      <c r="H83" s="36"/>
      <c r="I83" s="36">
        <v>30568.38</v>
      </c>
      <c r="J83" s="36"/>
      <c r="K83" s="36">
        <v>0</v>
      </c>
      <c r="L83" s="36"/>
      <c r="M83" s="36">
        <v>-167529.47</v>
      </c>
      <c r="N83" s="36"/>
      <c r="O83" s="36">
        <f t="shared" si="4"/>
        <v>-167529.47</v>
      </c>
      <c r="P83" s="36"/>
      <c r="Q83" s="36">
        <v>112154.54</v>
      </c>
      <c r="R83" s="36"/>
      <c r="S83" s="36">
        <v>0</v>
      </c>
      <c r="T83" s="36"/>
      <c r="U83" s="36">
        <v>19969.06</v>
      </c>
      <c r="V83" s="36">
        <v>738.35</v>
      </c>
      <c r="W83" s="36"/>
      <c r="X83" s="36">
        <v>0</v>
      </c>
      <c r="Y83" s="36"/>
      <c r="Z83" s="36">
        <f>1477.12</f>
        <v>1477.12</v>
      </c>
      <c r="AA83" s="36"/>
      <c r="AB83" s="36">
        <v>0</v>
      </c>
      <c r="AC83" s="36"/>
      <c r="AD83" s="36">
        <v>0</v>
      </c>
      <c r="AE83" s="36"/>
      <c r="AF83" s="36">
        <v>2570</v>
      </c>
      <c r="AG83" s="36"/>
      <c r="AH83" s="36">
        <v>0</v>
      </c>
      <c r="AI83" s="36"/>
      <c r="AJ83" s="36">
        <f>Q83+S83+U83+V83+X83+Z83+AB83+AD83+AH83+AF83</f>
        <v>136909.07</v>
      </c>
      <c r="AK83" s="36"/>
      <c r="AL83" s="36">
        <v>-30620.4</v>
      </c>
      <c r="AM83" s="36"/>
      <c r="AN83" s="36">
        <v>220374.34</v>
      </c>
      <c r="AO83" s="36"/>
      <c r="AP83" s="36">
        <v>189753.94</v>
      </c>
      <c r="AR83" s="42">
        <f aca="true" t="shared" si="44" ref="AR83:AR85">+M83-O83</f>
        <v>0</v>
      </c>
      <c r="AS83" s="42"/>
      <c r="AT83" s="42">
        <f t="shared" si="38"/>
        <v>0</v>
      </c>
      <c r="AU83" s="42"/>
      <c r="AV83" s="42">
        <f t="shared" si="39"/>
        <v>0</v>
      </c>
      <c r="AW83" s="42"/>
      <c r="AX83" s="42">
        <f t="shared" si="40"/>
        <v>0</v>
      </c>
    </row>
    <row r="84" spans="1:50" s="7" customFormat="1" ht="12">
      <c r="A84" s="7" t="s">
        <v>183</v>
      </c>
      <c r="C84" s="7" t="s">
        <v>497</v>
      </c>
      <c r="E84" s="96">
        <v>52228.17</v>
      </c>
      <c r="F84" s="96"/>
      <c r="G84" s="96">
        <v>0</v>
      </c>
      <c r="H84" s="96"/>
      <c r="I84" s="96">
        <v>9382.77</v>
      </c>
      <c r="J84" s="96"/>
      <c r="K84" s="96">
        <v>0</v>
      </c>
      <c r="L84" s="96"/>
      <c r="M84" s="96">
        <v>-42845.4</v>
      </c>
      <c r="N84" s="96"/>
      <c r="O84" s="96">
        <f aca="true" t="shared" si="45" ref="O84">M84</f>
        <v>-42845.4</v>
      </c>
      <c r="P84" s="96"/>
      <c r="Q84" s="96">
        <v>24546.09</v>
      </c>
      <c r="R84" s="96"/>
      <c r="S84" s="96">
        <v>0</v>
      </c>
      <c r="T84" s="96"/>
      <c r="U84" s="96">
        <v>32816.09</v>
      </c>
      <c r="V84" s="96">
        <v>2438.56</v>
      </c>
      <c r="W84" s="96"/>
      <c r="X84" s="96">
        <v>0</v>
      </c>
      <c r="Y84" s="96"/>
      <c r="Z84" s="96">
        <v>162</v>
      </c>
      <c r="AA84" s="96"/>
      <c r="AB84" s="96">
        <v>0</v>
      </c>
      <c r="AC84" s="96"/>
      <c r="AD84" s="96">
        <v>0</v>
      </c>
      <c r="AE84" s="96"/>
      <c r="AF84" s="96">
        <v>0</v>
      </c>
      <c r="AG84" s="96"/>
      <c r="AH84" s="96">
        <v>0</v>
      </c>
      <c r="AI84" s="96"/>
      <c r="AJ84" s="96">
        <f aca="true" t="shared" si="46" ref="AJ84">SUM(Q84:AH84)</f>
        <v>59962.73999999999</v>
      </c>
      <c r="AK84" s="96"/>
      <c r="AL84" s="96">
        <v>17117.34</v>
      </c>
      <c r="AM84" s="96"/>
      <c r="AN84" s="96">
        <v>199487.74</v>
      </c>
      <c r="AO84" s="96"/>
      <c r="AP84" s="96">
        <v>216605.08</v>
      </c>
      <c r="AR84" s="42">
        <f aca="true" t="shared" si="47" ref="AR84">+M84-O84</f>
        <v>0</v>
      </c>
      <c r="AS84" s="42"/>
      <c r="AT84" s="42">
        <f t="shared" si="38"/>
        <v>0</v>
      </c>
      <c r="AU84" s="42"/>
      <c r="AV84" s="42">
        <f t="shared" si="39"/>
        <v>0</v>
      </c>
      <c r="AW84" s="42"/>
      <c r="AX84" s="42">
        <f t="shared" si="40"/>
        <v>0</v>
      </c>
    </row>
    <row r="85" spans="1:50" s="7" customFormat="1" ht="12">
      <c r="A85" s="7" t="s">
        <v>968</v>
      </c>
      <c r="C85" s="7" t="s">
        <v>316</v>
      </c>
      <c r="E85" s="36">
        <v>4156064</v>
      </c>
      <c r="F85" s="36"/>
      <c r="G85" s="36">
        <v>366133</v>
      </c>
      <c r="H85" s="36"/>
      <c r="I85" s="36">
        <v>0</v>
      </c>
      <c r="J85" s="36"/>
      <c r="K85" s="36">
        <v>0</v>
      </c>
      <c r="L85" s="36"/>
      <c r="M85" s="36">
        <v>-3789931</v>
      </c>
      <c r="N85" s="36"/>
      <c r="O85" s="36">
        <f t="shared" si="4"/>
        <v>-3789931</v>
      </c>
      <c r="P85" s="36"/>
      <c r="Q85" s="36">
        <v>327717</v>
      </c>
      <c r="R85" s="36"/>
      <c r="S85" s="36">
        <v>3080888</v>
      </c>
      <c r="T85" s="36"/>
      <c r="U85" s="36">
        <v>79396</v>
      </c>
      <c r="V85" s="36">
        <v>2467</v>
      </c>
      <c r="W85" s="36"/>
      <c r="X85" s="36">
        <v>0</v>
      </c>
      <c r="Y85" s="36"/>
      <c r="Z85" s="36">
        <v>85826</v>
      </c>
      <c r="AA85" s="36"/>
      <c r="AB85" s="36">
        <v>0</v>
      </c>
      <c r="AC85" s="36"/>
      <c r="AD85" s="36">
        <v>396467</v>
      </c>
      <c r="AE85" s="36"/>
      <c r="AF85" s="36">
        <v>0</v>
      </c>
      <c r="AG85" s="36"/>
      <c r="AH85" s="36">
        <v>0</v>
      </c>
      <c r="AI85" s="36"/>
      <c r="AJ85" s="36">
        <f aca="true" t="shared" si="48" ref="AJ85:AJ97">Q85+S85+U85+V85+X85+Z85+AB85+AD85+AH85+AF85</f>
        <v>3972761</v>
      </c>
      <c r="AK85" s="36"/>
      <c r="AL85" s="36">
        <v>182830</v>
      </c>
      <c r="AM85" s="36"/>
      <c r="AN85" s="36">
        <v>34327</v>
      </c>
      <c r="AO85" s="36"/>
      <c r="AP85" s="36">
        <v>217157</v>
      </c>
      <c r="AR85" s="42">
        <f t="shared" si="44"/>
        <v>0</v>
      </c>
      <c r="AS85" s="42"/>
      <c r="AT85" s="42">
        <f t="shared" si="38"/>
        <v>0</v>
      </c>
      <c r="AU85" s="42"/>
      <c r="AV85" s="42">
        <f t="shared" si="39"/>
        <v>0</v>
      </c>
      <c r="AW85" s="42"/>
      <c r="AX85" s="42">
        <f t="shared" si="40"/>
        <v>0</v>
      </c>
    </row>
    <row r="86" spans="1:50" s="7" customFormat="1" ht="12">
      <c r="A86" s="7" t="s">
        <v>225</v>
      </c>
      <c r="C86" s="7" t="s">
        <v>815</v>
      </c>
      <c r="E86" s="36">
        <v>487304.73</v>
      </c>
      <c r="F86" s="36"/>
      <c r="G86" s="36">
        <v>0</v>
      </c>
      <c r="H86" s="36"/>
      <c r="I86" s="36">
        <v>100363.23</v>
      </c>
      <c r="J86" s="36"/>
      <c r="K86" s="36">
        <v>0</v>
      </c>
      <c r="L86" s="36"/>
      <c r="M86" s="36">
        <v>-386941.5</v>
      </c>
      <c r="N86" s="36"/>
      <c r="O86" s="36">
        <f aca="true" t="shared" si="49" ref="O86:O88">M86</f>
        <v>-386941.5</v>
      </c>
      <c r="P86" s="36"/>
      <c r="Q86" s="36">
        <v>264120.56</v>
      </c>
      <c r="R86" s="36"/>
      <c r="S86" s="36">
        <v>0</v>
      </c>
      <c r="T86" s="36"/>
      <c r="U86" s="36">
        <v>63639.31</v>
      </c>
      <c r="V86" s="36">
        <v>0</v>
      </c>
      <c r="W86" s="36"/>
      <c r="X86" s="36">
        <v>0</v>
      </c>
      <c r="Y86" s="36"/>
      <c r="Z86" s="36">
        <v>13867.32</v>
      </c>
      <c r="AA86" s="36"/>
      <c r="AB86" s="36">
        <v>0</v>
      </c>
      <c r="AC86" s="36"/>
      <c r="AD86" s="36">
        <v>0</v>
      </c>
      <c r="AE86" s="36"/>
      <c r="AF86" s="36">
        <v>0</v>
      </c>
      <c r="AG86" s="36"/>
      <c r="AH86" s="36">
        <v>0</v>
      </c>
      <c r="AI86" s="36"/>
      <c r="AJ86" s="36">
        <f t="shared" si="48"/>
        <v>341627.19</v>
      </c>
      <c r="AK86" s="36"/>
      <c r="AL86" s="36">
        <v>-45314.31</v>
      </c>
      <c r="AM86" s="36"/>
      <c r="AN86" s="36">
        <v>2035908.96</v>
      </c>
      <c r="AO86" s="36"/>
      <c r="AP86" s="36">
        <v>1990594.65</v>
      </c>
      <c r="AR86" s="42">
        <f t="shared" si="5"/>
        <v>0</v>
      </c>
      <c r="AS86" s="42"/>
      <c r="AT86" s="42">
        <f t="shared" si="38"/>
        <v>0</v>
      </c>
      <c r="AU86" s="42"/>
      <c r="AV86" s="42">
        <f t="shared" si="39"/>
        <v>0</v>
      </c>
      <c r="AW86" s="42"/>
      <c r="AX86" s="42">
        <f t="shared" si="40"/>
        <v>0</v>
      </c>
    </row>
    <row r="87" spans="1:50" s="7" customFormat="1" ht="12">
      <c r="A87" s="7" t="s">
        <v>194</v>
      </c>
      <c r="C87" s="7" t="s">
        <v>806</v>
      </c>
      <c r="E87" s="36">
        <v>1490678.59</v>
      </c>
      <c r="F87" s="36"/>
      <c r="G87" s="36">
        <v>351203.65</v>
      </c>
      <c r="H87" s="36"/>
      <c r="I87" s="36">
        <v>84459.16</v>
      </c>
      <c r="J87" s="36"/>
      <c r="K87" s="36">
        <v>147254.62</v>
      </c>
      <c r="L87" s="36"/>
      <c r="M87" s="36">
        <v>-907761.16</v>
      </c>
      <c r="N87" s="36"/>
      <c r="O87" s="36">
        <f t="shared" si="49"/>
        <v>-907761.16</v>
      </c>
      <c r="P87" s="36"/>
      <c r="Q87" s="36">
        <v>72765.87</v>
      </c>
      <c r="R87" s="36"/>
      <c r="S87" s="36">
        <v>407566.58</v>
      </c>
      <c r="T87" s="36"/>
      <c r="U87" s="36">
        <v>279591.12</v>
      </c>
      <c r="V87" s="36">
        <v>26932.57</v>
      </c>
      <c r="W87" s="36"/>
      <c r="X87" s="36">
        <v>6806.84</v>
      </c>
      <c r="Y87" s="36"/>
      <c r="Z87" s="36">
        <v>149880.22</v>
      </c>
      <c r="AA87" s="36"/>
      <c r="AB87" s="36">
        <v>0</v>
      </c>
      <c r="AC87" s="36"/>
      <c r="AD87" s="36">
        <v>0</v>
      </c>
      <c r="AE87" s="36"/>
      <c r="AF87" s="36">
        <v>0</v>
      </c>
      <c r="AG87" s="36"/>
      <c r="AH87" s="36">
        <v>0</v>
      </c>
      <c r="AI87" s="36"/>
      <c r="AJ87" s="36">
        <f t="shared" si="48"/>
        <v>943543.2</v>
      </c>
      <c r="AK87" s="36"/>
      <c r="AL87" s="36">
        <v>35782.04</v>
      </c>
      <c r="AM87" s="36"/>
      <c r="AN87" s="36">
        <v>1325574.8</v>
      </c>
      <c r="AO87" s="36"/>
      <c r="AP87" s="36">
        <v>1361356.84</v>
      </c>
      <c r="AR87" s="42">
        <f t="shared" si="5"/>
        <v>0</v>
      </c>
      <c r="AS87" s="42"/>
      <c r="AT87" s="42">
        <f t="shared" si="38"/>
        <v>0</v>
      </c>
      <c r="AU87" s="42"/>
      <c r="AV87" s="42">
        <f t="shared" si="39"/>
        <v>-8.003553375601768E-11</v>
      </c>
      <c r="AW87" s="42"/>
      <c r="AX87" s="42">
        <f t="shared" si="40"/>
        <v>0</v>
      </c>
    </row>
    <row r="88" spans="1:50" s="7" customFormat="1" ht="12">
      <c r="A88" s="7" t="s">
        <v>267</v>
      </c>
      <c r="C88" s="7" t="s">
        <v>824</v>
      </c>
      <c r="E88" s="36">
        <v>418374.39</v>
      </c>
      <c r="F88" s="36"/>
      <c r="G88" s="36">
        <v>600</v>
      </c>
      <c r="H88" s="36"/>
      <c r="I88" s="36">
        <v>5617.32</v>
      </c>
      <c r="J88" s="36"/>
      <c r="K88" s="36">
        <v>0</v>
      </c>
      <c r="L88" s="36"/>
      <c r="M88" s="36">
        <v>-412157.07</v>
      </c>
      <c r="N88" s="36"/>
      <c r="O88" s="36">
        <f t="shared" si="49"/>
        <v>-412157.07</v>
      </c>
      <c r="P88" s="36"/>
      <c r="Q88" s="36">
        <v>388780.75</v>
      </c>
      <c r="R88" s="36"/>
      <c r="S88" s="36">
        <v>0</v>
      </c>
      <c r="T88" s="36"/>
      <c r="U88" s="36">
        <v>21997.44</v>
      </c>
      <c r="V88" s="36">
        <v>3998.25</v>
      </c>
      <c r="W88" s="36"/>
      <c r="X88" s="36">
        <v>0</v>
      </c>
      <c r="Y88" s="36"/>
      <c r="Z88" s="36">
        <v>74895.1</v>
      </c>
      <c r="AA88" s="36"/>
      <c r="AB88" s="36">
        <v>0</v>
      </c>
      <c r="AC88" s="36"/>
      <c r="AD88" s="36">
        <v>0</v>
      </c>
      <c r="AE88" s="36"/>
      <c r="AF88" s="36">
        <v>0</v>
      </c>
      <c r="AG88" s="36"/>
      <c r="AH88" s="36">
        <v>0</v>
      </c>
      <c r="AI88" s="36"/>
      <c r="AJ88" s="36">
        <f t="shared" si="48"/>
        <v>489671.54000000004</v>
      </c>
      <c r="AK88" s="36"/>
      <c r="AL88" s="36">
        <v>77514.47</v>
      </c>
      <c r="AM88" s="36"/>
      <c r="AN88" s="36">
        <v>1188703.13</v>
      </c>
      <c r="AO88" s="36"/>
      <c r="AP88" s="36">
        <v>1266217.6</v>
      </c>
      <c r="AR88" s="42">
        <f t="shared" si="5"/>
        <v>0</v>
      </c>
      <c r="AS88" s="42"/>
      <c r="AT88" s="42">
        <f t="shared" si="38"/>
        <v>0</v>
      </c>
      <c r="AU88" s="42"/>
      <c r="AV88" s="42">
        <f t="shared" si="39"/>
        <v>0</v>
      </c>
      <c r="AW88" s="42"/>
      <c r="AX88" s="42">
        <f t="shared" si="40"/>
        <v>0</v>
      </c>
    </row>
    <row r="89" spans="1:50" s="7" customFormat="1" ht="12" hidden="1">
      <c r="A89" s="7" t="s">
        <v>101</v>
      </c>
      <c r="C89" s="7" t="s">
        <v>776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>
        <f t="shared" si="4"/>
        <v>0</v>
      </c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>
        <v>0</v>
      </c>
      <c r="AG89" s="36"/>
      <c r="AH89" s="36"/>
      <c r="AI89" s="36"/>
      <c r="AJ89" s="36">
        <f t="shared" si="48"/>
        <v>0</v>
      </c>
      <c r="AK89" s="36"/>
      <c r="AL89" s="36"/>
      <c r="AM89" s="36"/>
      <c r="AN89" s="36"/>
      <c r="AO89" s="36"/>
      <c r="AP89" s="36"/>
      <c r="AR89" s="42">
        <f t="shared" si="5"/>
        <v>0</v>
      </c>
      <c r="AS89" s="42"/>
      <c r="AT89" s="42">
        <f t="shared" si="38"/>
        <v>0</v>
      </c>
      <c r="AU89" s="42"/>
      <c r="AV89" s="42">
        <f t="shared" si="39"/>
        <v>0</v>
      </c>
      <c r="AW89" s="42"/>
      <c r="AX89" s="42">
        <f t="shared" si="40"/>
        <v>0</v>
      </c>
    </row>
    <row r="90" spans="1:50" s="7" customFormat="1" ht="12">
      <c r="A90" s="7" t="s">
        <v>133</v>
      </c>
      <c r="C90" s="7" t="s">
        <v>786</v>
      </c>
      <c r="E90" s="36">
        <v>271959.53</v>
      </c>
      <c r="F90" s="36"/>
      <c r="G90" s="36">
        <v>74439.89</v>
      </c>
      <c r="H90" s="36"/>
      <c r="I90" s="36">
        <v>33105.33</v>
      </c>
      <c r="J90" s="36"/>
      <c r="K90" s="36">
        <v>82799.56</v>
      </c>
      <c r="L90" s="36"/>
      <c r="M90" s="36">
        <v>-81614.75</v>
      </c>
      <c r="N90" s="36"/>
      <c r="O90" s="36">
        <f t="shared" si="4"/>
        <v>-81614.75</v>
      </c>
      <c r="P90" s="36"/>
      <c r="Q90" s="36">
        <v>12576.64</v>
      </c>
      <c r="R90" s="36"/>
      <c r="S90" s="36">
        <v>53773.88</v>
      </c>
      <c r="T90" s="36"/>
      <c r="U90" s="36">
        <v>14838.26</v>
      </c>
      <c r="V90" s="36">
        <v>645.19</v>
      </c>
      <c r="W90" s="36"/>
      <c r="X90" s="36">
        <v>1656</v>
      </c>
      <c r="Y90" s="36"/>
      <c r="Z90" s="36">
        <v>4242.8</v>
      </c>
      <c r="AA90" s="36"/>
      <c r="AB90" s="36">
        <v>0</v>
      </c>
      <c r="AC90" s="36"/>
      <c r="AD90" s="36">
        <v>0</v>
      </c>
      <c r="AE90" s="36"/>
      <c r="AF90" s="36">
        <v>0</v>
      </c>
      <c r="AG90" s="36"/>
      <c r="AH90" s="36">
        <v>0</v>
      </c>
      <c r="AI90" s="36"/>
      <c r="AJ90" s="36">
        <f t="shared" si="48"/>
        <v>87732.76999999999</v>
      </c>
      <c r="AK90" s="36"/>
      <c r="AL90" s="36">
        <v>6118.02</v>
      </c>
      <c r="AM90" s="36"/>
      <c r="AN90" s="36">
        <v>451890.88</v>
      </c>
      <c r="AO90" s="36"/>
      <c r="AP90" s="36">
        <v>458008.9</v>
      </c>
      <c r="AR90" s="42">
        <f t="shared" si="5"/>
        <v>0</v>
      </c>
      <c r="AS90" s="42"/>
      <c r="AT90" s="42">
        <f t="shared" si="38"/>
        <v>0</v>
      </c>
      <c r="AU90" s="42"/>
      <c r="AV90" s="42">
        <f t="shared" si="39"/>
        <v>-1.0913936421275139E-11</v>
      </c>
      <c r="AW90" s="42"/>
      <c r="AX90" s="42">
        <f t="shared" si="40"/>
        <v>0</v>
      </c>
    </row>
    <row r="91" spans="1:50" s="7" customFormat="1" ht="12" hidden="1">
      <c r="A91" s="7" t="s">
        <v>223</v>
      </c>
      <c r="C91" s="7" t="s">
        <v>814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>
        <f t="shared" si="4"/>
        <v>0</v>
      </c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>
        <v>0</v>
      </c>
      <c r="AG91" s="36"/>
      <c r="AH91" s="36"/>
      <c r="AI91" s="36"/>
      <c r="AJ91" s="36">
        <f t="shared" si="48"/>
        <v>0</v>
      </c>
      <c r="AK91" s="36"/>
      <c r="AL91" s="36"/>
      <c r="AM91" s="36"/>
      <c r="AN91" s="36"/>
      <c r="AO91" s="36"/>
      <c r="AP91" s="36"/>
      <c r="AR91" s="42">
        <f t="shared" si="5"/>
        <v>0</v>
      </c>
      <c r="AS91" s="42"/>
      <c r="AT91" s="42">
        <f t="shared" si="38"/>
        <v>0</v>
      </c>
      <c r="AU91" s="42"/>
      <c r="AV91" s="42">
        <f t="shared" si="39"/>
        <v>0</v>
      </c>
      <c r="AW91" s="42"/>
      <c r="AX91" s="42">
        <f t="shared" si="40"/>
        <v>0</v>
      </c>
    </row>
    <row r="92" spans="1:50" s="7" customFormat="1" ht="12">
      <c r="A92" s="7" t="s">
        <v>84</v>
      </c>
      <c r="C92" s="7" t="s">
        <v>371</v>
      </c>
      <c r="E92" s="36">
        <v>1299040.05</v>
      </c>
      <c r="F92" s="36"/>
      <c r="G92" s="36">
        <v>30080.88</v>
      </c>
      <c r="H92" s="36"/>
      <c r="I92" s="36">
        <v>189948.07</v>
      </c>
      <c r="J92" s="36"/>
      <c r="K92" s="36">
        <v>0</v>
      </c>
      <c r="L92" s="36"/>
      <c r="M92" s="36">
        <v>-1079011.1</v>
      </c>
      <c r="N92" s="36"/>
      <c r="O92" s="36">
        <f t="shared" si="4"/>
        <v>-1079011.1</v>
      </c>
      <c r="P92" s="36"/>
      <c r="Q92" s="36">
        <v>326800.84</v>
      </c>
      <c r="R92" s="36"/>
      <c r="S92" s="36">
        <v>161415.56</v>
      </c>
      <c r="T92" s="36"/>
      <c r="U92" s="36">
        <v>650911.41</v>
      </c>
      <c r="V92" s="36">
        <v>1250.34</v>
      </c>
      <c r="W92" s="36"/>
      <c r="X92" s="36">
        <v>17616.76</v>
      </c>
      <c r="Y92" s="36"/>
      <c r="Z92" s="36">
        <v>7340.95</v>
      </c>
      <c r="AA92" s="36"/>
      <c r="AB92" s="36">
        <v>0</v>
      </c>
      <c r="AC92" s="36"/>
      <c r="AD92" s="36">
        <v>0</v>
      </c>
      <c r="AE92" s="36"/>
      <c r="AF92" s="36">
        <v>0</v>
      </c>
      <c r="AG92" s="36"/>
      <c r="AH92" s="36">
        <v>0</v>
      </c>
      <c r="AI92" s="36"/>
      <c r="AJ92" s="36">
        <f t="shared" si="48"/>
        <v>1165335.86</v>
      </c>
      <c r="AK92" s="36"/>
      <c r="AL92" s="36">
        <v>86324.76</v>
      </c>
      <c r="AM92" s="36"/>
      <c r="AN92" s="36">
        <v>408688.55</v>
      </c>
      <c r="AO92" s="36"/>
      <c r="AP92" s="36">
        <v>495013.31</v>
      </c>
      <c r="AR92" s="42">
        <f aca="true" t="shared" si="50" ref="AR92">+M92-O92</f>
        <v>0</v>
      </c>
      <c r="AS92" s="42"/>
      <c r="AT92" s="42">
        <f t="shared" si="38"/>
        <v>0</v>
      </c>
      <c r="AU92" s="42"/>
      <c r="AV92" s="42">
        <f t="shared" si="39"/>
        <v>0</v>
      </c>
      <c r="AW92" s="42"/>
      <c r="AX92" s="42">
        <f t="shared" si="40"/>
        <v>0</v>
      </c>
    </row>
    <row r="93" spans="1:50" s="7" customFormat="1" ht="12">
      <c r="A93" s="7" t="s">
        <v>420</v>
      </c>
      <c r="C93" s="7" t="s">
        <v>674</v>
      </c>
      <c r="E93" s="36">
        <v>2584824</v>
      </c>
      <c r="F93" s="36"/>
      <c r="G93" s="36">
        <v>228538</v>
      </c>
      <c r="H93" s="36"/>
      <c r="I93" s="36">
        <v>15352</v>
      </c>
      <c r="J93" s="36"/>
      <c r="K93" s="36">
        <v>0</v>
      </c>
      <c r="L93" s="36"/>
      <c r="M93" s="36">
        <v>-2340933</v>
      </c>
      <c r="N93" s="36"/>
      <c r="O93" s="36">
        <f t="shared" si="4"/>
        <v>-2340934</v>
      </c>
      <c r="P93" s="36"/>
      <c r="Q93" s="36">
        <v>1874953</v>
      </c>
      <c r="R93" s="36"/>
      <c r="S93" s="36">
        <v>0</v>
      </c>
      <c r="T93" s="36"/>
      <c r="U93" s="36">
        <v>0</v>
      </c>
      <c r="V93" s="36">
        <v>1218</v>
      </c>
      <c r="W93" s="36"/>
      <c r="X93" s="36">
        <v>0</v>
      </c>
      <c r="Y93" s="36"/>
      <c r="Z93" s="36">
        <f>73604+162892+73+39774+19171</f>
        <v>295514</v>
      </c>
      <c r="AA93" s="36"/>
      <c r="AB93" s="36">
        <v>0</v>
      </c>
      <c r="AC93" s="36"/>
      <c r="AD93" s="36">
        <v>3931</v>
      </c>
      <c r="AE93" s="36"/>
      <c r="AF93" s="36">
        <v>0</v>
      </c>
      <c r="AG93" s="36"/>
      <c r="AH93" s="36">
        <v>0</v>
      </c>
      <c r="AI93" s="36"/>
      <c r="AJ93" s="36">
        <f t="shared" si="48"/>
        <v>2175616</v>
      </c>
      <c r="AK93" s="36"/>
      <c r="AL93" s="36">
        <v>-165318</v>
      </c>
      <c r="AM93" s="36"/>
      <c r="AN93" s="36">
        <v>575843</v>
      </c>
      <c r="AO93" s="36"/>
      <c r="AP93" s="36">
        <v>684668</v>
      </c>
      <c r="AR93" s="42">
        <f>+M93-O93</f>
        <v>1</v>
      </c>
      <c r="AS93" s="42"/>
      <c r="AT93" s="42">
        <f t="shared" si="38"/>
        <v>0</v>
      </c>
      <c r="AU93" s="42"/>
      <c r="AV93" s="42">
        <f t="shared" si="39"/>
        <v>0</v>
      </c>
      <c r="AW93" s="42"/>
      <c r="AX93" s="42">
        <f t="shared" si="40"/>
        <v>-274143</v>
      </c>
    </row>
    <row r="94" spans="1:50" s="7" customFormat="1" ht="12">
      <c r="A94" s="7" t="s">
        <v>69</v>
      </c>
      <c r="C94" s="7" t="s">
        <v>21</v>
      </c>
      <c r="E94" s="36">
        <v>603797</v>
      </c>
      <c r="F94" s="36"/>
      <c r="G94" s="36">
        <v>73551</v>
      </c>
      <c r="H94" s="36"/>
      <c r="I94" s="36">
        <v>99678</v>
      </c>
      <c r="J94" s="36"/>
      <c r="K94" s="36">
        <v>0</v>
      </c>
      <c r="L94" s="36"/>
      <c r="M94" s="36">
        <v>-430568</v>
      </c>
      <c r="N94" s="36"/>
      <c r="O94" s="36">
        <f t="shared" si="4"/>
        <v>-430568</v>
      </c>
      <c r="P94" s="36"/>
      <c r="Q94" s="36">
        <v>168632</v>
      </c>
      <c r="R94" s="36"/>
      <c r="S94" s="36">
        <v>206710</v>
      </c>
      <c r="T94" s="36"/>
      <c r="U94" s="36">
        <v>55006</v>
      </c>
      <c r="V94" s="36">
        <v>67</v>
      </c>
      <c r="W94" s="36"/>
      <c r="X94" s="36">
        <v>0</v>
      </c>
      <c r="Y94" s="36"/>
      <c r="Z94" s="36">
        <v>18176</v>
      </c>
      <c r="AA94" s="36"/>
      <c r="AB94" s="36">
        <v>0</v>
      </c>
      <c r="AC94" s="36"/>
      <c r="AD94" s="36">
        <v>0</v>
      </c>
      <c r="AE94" s="36"/>
      <c r="AF94" s="36">
        <v>0</v>
      </c>
      <c r="AG94" s="36"/>
      <c r="AH94" s="36">
        <v>0</v>
      </c>
      <c r="AI94" s="36"/>
      <c r="AJ94" s="36">
        <f t="shared" si="48"/>
        <v>448591</v>
      </c>
      <c r="AK94" s="36"/>
      <c r="AL94" s="36">
        <v>18023</v>
      </c>
      <c r="AM94" s="36"/>
      <c r="AN94" s="36">
        <v>117698</v>
      </c>
      <c r="AO94" s="36"/>
      <c r="AP94" s="36">
        <v>135721</v>
      </c>
      <c r="AR94" s="42">
        <f>+M94-O94</f>
        <v>0</v>
      </c>
      <c r="AS94" s="42"/>
      <c r="AT94" s="42">
        <f t="shared" si="38"/>
        <v>0</v>
      </c>
      <c r="AU94" s="42"/>
      <c r="AV94" s="42">
        <f t="shared" si="39"/>
        <v>0</v>
      </c>
      <c r="AW94" s="42"/>
      <c r="AX94" s="42">
        <f t="shared" si="40"/>
        <v>0</v>
      </c>
    </row>
    <row r="95" spans="1:50" s="7" customFormat="1" ht="12" hidden="1">
      <c r="A95" s="1" t="s">
        <v>131</v>
      </c>
      <c r="B95" s="1"/>
      <c r="C95" s="1" t="s">
        <v>785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>
        <f>-E95+G95+I95+K95</f>
        <v>0</v>
      </c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>
        <v>0</v>
      </c>
      <c r="AG95" s="36"/>
      <c r="AH95" s="36"/>
      <c r="AI95" s="36"/>
      <c r="AJ95" s="36">
        <f t="shared" si="48"/>
        <v>0</v>
      </c>
      <c r="AK95" s="36"/>
      <c r="AL95" s="36"/>
      <c r="AM95" s="36"/>
      <c r="AN95" s="36"/>
      <c r="AO95" s="36"/>
      <c r="AP95" s="36"/>
      <c r="AR95" s="42">
        <f>+M95-O95</f>
        <v>0</v>
      </c>
      <c r="AS95" s="42"/>
      <c r="AT95" s="42">
        <f t="shared" si="38"/>
        <v>0</v>
      </c>
      <c r="AU95" s="42"/>
      <c r="AV95" s="42">
        <f t="shared" si="39"/>
        <v>0</v>
      </c>
      <c r="AW95" s="42"/>
      <c r="AX95" s="42">
        <f t="shared" si="40"/>
        <v>0</v>
      </c>
    </row>
    <row r="96" spans="1:50" s="7" customFormat="1" ht="12">
      <c r="A96" s="7" t="s">
        <v>137</v>
      </c>
      <c r="C96" s="7" t="s">
        <v>787</v>
      </c>
      <c r="E96" s="36">
        <v>1356582.15</v>
      </c>
      <c r="F96" s="36"/>
      <c r="G96" s="36">
        <v>211785.87</v>
      </c>
      <c r="H96" s="36"/>
      <c r="I96" s="36">
        <v>121788.59</v>
      </c>
      <c r="J96" s="36"/>
      <c r="K96" s="36">
        <v>0</v>
      </c>
      <c r="L96" s="36"/>
      <c r="M96" s="36">
        <v>-1023007.69</v>
      </c>
      <c r="N96" s="36"/>
      <c r="O96" s="36">
        <f aca="true" t="shared" si="51" ref="O96:O98">M96</f>
        <v>-1023007.69</v>
      </c>
      <c r="P96" s="36"/>
      <c r="Q96" s="36">
        <v>289363.42</v>
      </c>
      <c r="R96" s="36"/>
      <c r="S96" s="36">
        <v>803663.77</v>
      </c>
      <c r="T96" s="36"/>
      <c r="U96" s="36">
        <v>64634.34</v>
      </c>
      <c r="V96" s="36">
        <v>4251.89</v>
      </c>
      <c r="W96" s="36"/>
      <c r="X96" s="36">
        <v>8559.41</v>
      </c>
      <c r="Y96" s="36"/>
      <c r="Z96" s="36">
        <v>17593.01</v>
      </c>
      <c r="AA96" s="36"/>
      <c r="AB96" s="36">
        <v>0</v>
      </c>
      <c r="AC96" s="36"/>
      <c r="AD96" s="36">
        <v>-70342.16</v>
      </c>
      <c r="AE96" s="36"/>
      <c r="AF96" s="36">
        <v>0</v>
      </c>
      <c r="AG96" s="36"/>
      <c r="AH96" s="36">
        <v>0</v>
      </c>
      <c r="AI96" s="36"/>
      <c r="AJ96" s="36">
        <f t="shared" si="48"/>
        <v>1117723.68</v>
      </c>
      <c r="AK96" s="36"/>
      <c r="AL96" s="36">
        <v>94715.99</v>
      </c>
      <c r="AM96" s="36"/>
      <c r="AN96" s="36">
        <v>1225680.73</v>
      </c>
      <c r="AO96" s="36"/>
      <c r="AP96" s="36">
        <v>1320396.72</v>
      </c>
      <c r="AR96" s="42">
        <f t="shared" si="5"/>
        <v>0</v>
      </c>
      <c r="AS96" s="42"/>
      <c r="AT96" s="42">
        <f t="shared" si="38"/>
        <v>0</v>
      </c>
      <c r="AU96" s="42"/>
      <c r="AV96" s="42">
        <f t="shared" si="39"/>
        <v>0</v>
      </c>
      <c r="AW96" s="42"/>
      <c r="AX96" s="42">
        <f t="shared" si="40"/>
        <v>0</v>
      </c>
    </row>
    <row r="97" spans="1:50" s="7" customFormat="1" ht="12">
      <c r="A97" s="7" t="s">
        <v>830</v>
      </c>
      <c r="C97" s="7" t="s">
        <v>551</v>
      </c>
      <c r="E97" s="36">
        <v>1484610.93</v>
      </c>
      <c r="F97" s="36"/>
      <c r="G97" s="36">
        <v>205865.93</v>
      </c>
      <c r="H97" s="36"/>
      <c r="I97" s="36">
        <v>123659</v>
      </c>
      <c r="J97" s="36"/>
      <c r="K97" s="36">
        <v>0</v>
      </c>
      <c r="L97" s="36"/>
      <c r="M97" s="36">
        <v>-1155086</v>
      </c>
      <c r="N97" s="36"/>
      <c r="O97" s="36">
        <f t="shared" si="51"/>
        <v>-1155086</v>
      </c>
      <c r="P97" s="36"/>
      <c r="Q97" s="36">
        <v>243756.27000000002</v>
      </c>
      <c r="R97" s="36"/>
      <c r="S97" s="36">
        <v>581212.48</v>
      </c>
      <c r="T97" s="36"/>
      <c r="U97" s="36">
        <v>344333.44</v>
      </c>
      <c r="V97" s="36">
        <v>0</v>
      </c>
      <c r="W97" s="36"/>
      <c r="X97" s="36">
        <v>43316.51</v>
      </c>
      <c r="Y97" s="36"/>
      <c r="Z97" s="36">
        <v>57397.17</v>
      </c>
      <c r="AA97" s="36"/>
      <c r="AB97" s="36">
        <v>0</v>
      </c>
      <c r="AC97" s="36"/>
      <c r="AD97" s="36">
        <v>0</v>
      </c>
      <c r="AE97" s="36"/>
      <c r="AF97" s="36">
        <v>0</v>
      </c>
      <c r="AG97" s="36"/>
      <c r="AH97" s="36">
        <v>2000</v>
      </c>
      <c r="AI97" s="36"/>
      <c r="AJ97" s="36">
        <f t="shared" si="48"/>
        <v>1272015.8699999999</v>
      </c>
      <c r="AK97" s="36"/>
      <c r="AL97" s="36">
        <v>116929.87</v>
      </c>
      <c r="AM97" s="36"/>
      <c r="AN97" s="36">
        <v>-977271.4</v>
      </c>
      <c r="AO97" s="36"/>
      <c r="AP97" s="36">
        <v>-860341.53</v>
      </c>
      <c r="AR97" s="42">
        <f aca="true" t="shared" si="52" ref="AR97:AR100">+M97-O97</f>
        <v>0</v>
      </c>
      <c r="AS97" s="42"/>
      <c r="AT97" s="42">
        <f t="shared" si="38"/>
        <v>0</v>
      </c>
      <c r="AU97" s="42"/>
      <c r="AV97" s="42">
        <f t="shared" si="39"/>
        <v>-1.1641532182693481E-10</v>
      </c>
      <c r="AW97" s="42"/>
      <c r="AX97" s="42">
        <f t="shared" si="40"/>
        <v>0</v>
      </c>
    </row>
    <row r="98" spans="1:50" s="7" customFormat="1" ht="12">
      <c r="A98" s="7" t="s">
        <v>929</v>
      </c>
      <c r="C98" s="7" t="s">
        <v>791</v>
      </c>
      <c r="E98" s="96">
        <v>202868.56</v>
      </c>
      <c r="F98" s="96"/>
      <c r="G98" s="96">
        <v>27873.25</v>
      </c>
      <c r="H98" s="96"/>
      <c r="I98" s="96">
        <v>29016.38</v>
      </c>
      <c r="J98" s="96"/>
      <c r="K98" s="96">
        <v>0</v>
      </c>
      <c r="L98" s="96"/>
      <c r="M98" s="96">
        <v>-145978.93</v>
      </c>
      <c r="N98" s="96"/>
      <c r="O98" s="96">
        <f t="shared" si="51"/>
        <v>-145978.93</v>
      </c>
      <c r="P98" s="96"/>
      <c r="Q98" s="96">
        <v>84675.87</v>
      </c>
      <c r="R98" s="96"/>
      <c r="S98" s="96">
        <v>0</v>
      </c>
      <c r="T98" s="96"/>
      <c r="U98" s="96">
        <v>27874.1</v>
      </c>
      <c r="V98" s="96">
        <v>432.57</v>
      </c>
      <c r="W98" s="96"/>
      <c r="X98" s="96">
        <v>2921.32</v>
      </c>
      <c r="Y98" s="96"/>
      <c r="Z98" s="96">
        <v>6483.23</v>
      </c>
      <c r="AA98" s="96"/>
      <c r="AB98" s="96">
        <v>0</v>
      </c>
      <c r="AC98" s="96"/>
      <c r="AD98" s="96">
        <v>0</v>
      </c>
      <c r="AE98" s="96"/>
      <c r="AF98" s="96">
        <v>0</v>
      </c>
      <c r="AG98" s="96"/>
      <c r="AH98" s="96">
        <v>0</v>
      </c>
      <c r="AI98" s="96"/>
      <c r="AJ98" s="96">
        <f aca="true" t="shared" si="53" ref="AJ98">SUM(Q98:AH98)</f>
        <v>122387.09000000001</v>
      </c>
      <c r="AK98" s="96"/>
      <c r="AL98" s="96">
        <v>-23591.84</v>
      </c>
      <c r="AM98" s="96"/>
      <c r="AN98" s="96">
        <v>43125.56</v>
      </c>
      <c r="AO98" s="96"/>
      <c r="AP98" s="96">
        <v>19533.72</v>
      </c>
      <c r="AR98" s="42">
        <f t="shared" si="52"/>
        <v>0</v>
      </c>
      <c r="AS98" s="42"/>
      <c r="AT98" s="42">
        <f t="shared" si="38"/>
        <v>0</v>
      </c>
      <c r="AU98" s="42"/>
      <c r="AV98" s="42">
        <f t="shared" si="39"/>
        <v>0</v>
      </c>
      <c r="AW98" s="42"/>
      <c r="AX98" s="42">
        <f t="shared" si="40"/>
        <v>0</v>
      </c>
    </row>
    <row r="99" spans="1:50" s="7" customFormat="1" ht="12" hidden="1">
      <c r="A99" s="7" t="s">
        <v>184</v>
      </c>
      <c r="C99" s="7" t="s">
        <v>803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>
        <f t="shared" si="4"/>
        <v>0</v>
      </c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>
        <v>0</v>
      </c>
      <c r="AG99" s="36"/>
      <c r="AH99" s="36"/>
      <c r="AI99" s="36"/>
      <c r="AJ99" s="36">
        <f>Q99+S99+U99+V99+X99+Z99+AB99+AD99+AH99+AF99</f>
        <v>0</v>
      </c>
      <c r="AK99" s="36"/>
      <c r="AL99" s="36"/>
      <c r="AM99" s="36"/>
      <c r="AN99" s="36"/>
      <c r="AO99" s="36"/>
      <c r="AP99" s="36"/>
      <c r="AR99" s="42">
        <f t="shared" si="52"/>
        <v>0</v>
      </c>
      <c r="AS99" s="42"/>
      <c r="AT99" s="42">
        <f t="shared" si="38"/>
        <v>0</v>
      </c>
      <c r="AU99" s="42"/>
      <c r="AV99" s="42">
        <f t="shared" si="39"/>
        <v>0</v>
      </c>
      <c r="AW99" s="42"/>
      <c r="AX99" s="42">
        <f t="shared" si="40"/>
        <v>0</v>
      </c>
    </row>
    <row r="100" spans="1:50" s="7" customFormat="1" ht="12">
      <c r="A100" s="7" t="s">
        <v>111</v>
      </c>
      <c r="C100" s="7" t="s">
        <v>930</v>
      </c>
      <c r="E100" s="36">
        <v>250846.19</v>
      </c>
      <c r="F100" s="36"/>
      <c r="G100" s="36">
        <v>165840.71</v>
      </c>
      <c r="H100" s="36"/>
      <c r="I100" s="36">
        <v>10951.72</v>
      </c>
      <c r="J100" s="36"/>
      <c r="K100" s="36">
        <v>0</v>
      </c>
      <c r="L100" s="36"/>
      <c r="M100" s="36">
        <v>-74053.76</v>
      </c>
      <c r="N100" s="36"/>
      <c r="O100" s="36">
        <f t="shared" si="4"/>
        <v>-74053.76000000001</v>
      </c>
      <c r="P100" s="36"/>
      <c r="Q100" s="36">
        <v>55500.47</v>
      </c>
      <c r="R100" s="36"/>
      <c r="S100" s="36">
        <v>0</v>
      </c>
      <c r="T100" s="36"/>
      <c r="U100" s="36">
        <v>52245.59</v>
      </c>
      <c r="V100" s="36">
        <v>64.62</v>
      </c>
      <c r="W100" s="36"/>
      <c r="X100" s="36">
        <v>0</v>
      </c>
      <c r="Y100" s="36"/>
      <c r="Z100" s="36">
        <v>4332.18</v>
      </c>
      <c r="AA100" s="36"/>
      <c r="AB100" s="36">
        <v>0</v>
      </c>
      <c r="AC100" s="36"/>
      <c r="AD100" s="36">
        <v>0</v>
      </c>
      <c r="AE100" s="36"/>
      <c r="AF100" s="36">
        <v>0</v>
      </c>
      <c r="AG100" s="36"/>
      <c r="AH100" s="36">
        <v>0</v>
      </c>
      <c r="AI100" s="36"/>
      <c r="AJ100" s="36">
        <f>Q100+S100+U100+V100+X100+Z100+AB100+AD100+AH100+AF100</f>
        <v>112142.85999999999</v>
      </c>
      <c r="AK100" s="36"/>
      <c r="AL100" s="36">
        <v>38089.1</v>
      </c>
      <c r="AM100" s="36"/>
      <c r="AN100" s="36">
        <v>134980.17</v>
      </c>
      <c r="AO100" s="36"/>
      <c r="AP100" s="36">
        <v>173069.27</v>
      </c>
      <c r="AR100" s="42">
        <f t="shared" si="52"/>
        <v>0</v>
      </c>
      <c r="AS100" s="42"/>
      <c r="AT100" s="42">
        <f t="shared" si="38"/>
        <v>0</v>
      </c>
      <c r="AU100" s="42"/>
      <c r="AV100" s="42">
        <f t="shared" si="39"/>
        <v>0</v>
      </c>
      <c r="AW100" s="42"/>
      <c r="AX100" s="42">
        <f t="shared" si="40"/>
        <v>0</v>
      </c>
    </row>
    <row r="101" spans="1:50" s="7" customFormat="1" ht="12">
      <c r="A101" s="7" t="s">
        <v>521</v>
      </c>
      <c r="C101" s="7" t="s">
        <v>809</v>
      </c>
      <c r="E101" s="36">
        <v>3484000</v>
      </c>
      <c r="F101" s="36"/>
      <c r="G101" s="36">
        <v>0</v>
      </c>
      <c r="H101" s="36"/>
      <c r="I101" s="36">
        <v>0</v>
      </c>
      <c r="J101" s="36"/>
      <c r="K101" s="36">
        <v>0</v>
      </c>
      <c r="L101" s="36"/>
      <c r="M101" s="36">
        <v>-3484000</v>
      </c>
      <c r="N101" s="36"/>
      <c r="O101" s="36">
        <f t="shared" si="4"/>
        <v>-3484000</v>
      </c>
      <c r="P101" s="36"/>
      <c r="Q101" s="36">
        <v>0</v>
      </c>
      <c r="R101" s="36"/>
      <c r="S101" s="36">
        <v>0</v>
      </c>
      <c r="T101" s="36"/>
      <c r="U101" s="36">
        <v>0</v>
      </c>
      <c r="V101" s="36">
        <v>0</v>
      </c>
      <c r="W101" s="36"/>
      <c r="X101" s="36">
        <v>0</v>
      </c>
      <c r="Y101" s="36"/>
      <c r="Z101" s="36">
        <v>0</v>
      </c>
      <c r="AA101" s="36"/>
      <c r="AB101" s="36">
        <v>0</v>
      </c>
      <c r="AC101" s="36"/>
      <c r="AD101" s="36">
        <v>-568618</v>
      </c>
      <c r="AE101" s="36"/>
      <c r="AF101" s="36">
        <v>0</v>
      </c>
      <c r="AG101" s="36"/>
      <c r="AH101" s="36">
        <v>0</v>
      </c>
      <c r="AI101" s="36"/>
      <c r="AJ101" s="36">
        <f>Q101+S101+U101+V101+X101+Z101+AB101+AD101+AH101+AF101</f>
        <v>-568618</v>
      </c>
      <c r="AK101" s="36"/>
      <c r="AL101" s="36">
        <v>-4052618</v>
      </c>
      <c r="AM101" s="36"/>
      <c r="AN101" s="36">
        <v>1032867</v>
      </c>
      <c r="AO101" s="36"/>
      <c r="AP101" s="36">
        <v>0</v>
      </c>
      <c r="AR101" s="42">
        <f aca="true" t="shared" si="54" ref="AR101">+M101-O101</f>
        <v>0</v>
      </c>
      <c r="AS101" s="42"/>
      <c r="AT101" s="42">
        <f t="shared" si="38"/>
        <v>0</v>
      </c>
      <c r="AU101" s="42"/>
      <c r="AV101" s="42">
        <f t="shared" si="39"/>
        <v>0</v>
      </c>
      <c r="AW101" s="42"/>
      <c r="AX101" s="42">
        <f t="shared" si="40"/>
        <v>-3019751</v>
      </c>
    </row>
    <row r="102" spans="1:50" s="7" customFormat="1" ht="12">
      <c r="A102" s="7" t="s">
        <v>846</v>
      </c>
      <c r="C102" s="7" t="s">
        <v>761</v>
      </c>
      <c r="E102" s="36">
        <v>1175555</v>
      </c>
      <c r="F102" s="36"/>
      <c r="G102" s="36">
        <v>1016434</v>
      </c>
      <c r="H102" s="36"/>
      <c r="I102" s="36">
        <v>0</v>
      </c>
      <c r="J102" s="36"/>
      <c r="K102" s="36">
        <v>0</v>
      </c>
      <c r="L102" s="36"/>
      <c r="M102" s="36">
        <v>-159121</v>
      </c>
      <c r="N102" s="36"/>
      <c r="O102" s="36">
        <f t="shared" si="4"/>
        <v>-159121</v>
      </c>
      <c r="P102" s="36"/>
      <c r="Q102" s="36">
        <v>6612</v>
      </c>
      <c r="R102" s="36"/>
      <c r="S102" s="36">
        <v>80324</v>
      </c>
      <c r="T102" s="36"/>
      <c r="U102" s="36">
        <v>121162</v>
      </c>
      <c r="V102" s="36">
        <v>2</v>
      </c>
      <c r="W102" s="36"/>
      <c r="X102" s="36">
        <v>0</v>
      </c>
      <c r="Y102" s="36"/>
      <c r="Z102" s="36">
        <v>9673</v>
      </c>
      <c r="AA102" s="36"/>
      <c r="AB102" s="36">
        <v>0</v>
      </c>
      <c r="AC102" s="36"/>
      <c r="AD102" s="36">
        <v>0</v>
      </c>
      <c r="AE102" s="36"/>
      <c r="AF102" s="36">
        <v>0</v>
      </c>
      <c r="AG102" s="36"/>
      <c r="AH102" s="36">
        <v>0</v>
      </c>
      <c r="AI102" s="36"/>
      <c r="AJ102" s="36">
        <f>Q102+S102+U102+V102+X102+Z102+AB102+AD102+AH102+AF102</f>
        <v>217773</v>
      </c>
      <c r="AK102" s="36"/>
      <c r="AL102" s="36">
        <v>58652</v>
      </c>
      <c r="AM102" s="36"/>
      <c r="AN102" s="36">
        <v>312380</v>
      </c>
      <c r="AO102" s="36"/>
      <c r="AP102" s="36">
        <v>371032</v>
      </c>
      <c r="AR102" s="42">
        <f t="shared" si="5"/>
        <v>0</v>
      </c>
      <c r="AS102" s="42"/>
      <c r="AT102" s="42">
        <f t="shared" si="38"/>
        <v>0</v>
      </c>
      <c r="AU102" s="42"/>
      <c r="AV102" s="42">
        <f t="shared" si="39"/>
        <v>0</v>
      </c>
      <c r="AW102" s="42"/>
      <c r="AX102" s="42">
        <f t="shared" si="40"/>
        <v>0</v>
      </c>
    </row>
    <row r="103" spans="1:50" s="7" customFormat="1" ht="12">
      <c r="A103" s="7" t="s">
        <v>931</v>
      </c>
      <c r="C103" s="7" t="s">
        <v>350</v>
      </c>
      <c r="E103" s="96">
        <v>1519760.9</v>
      </c>
      <c r="F103" s="96"/>
      <c r="G103" s="96">
        <v>228273.84</v>
      </c>
      <c r="H103" s="96"/>
      <c r="I103" s="96">
        <v>52428.8</v>
      </c>
      <c r="J103" s="96"/>
      <c r="K103" s="96">
        <v>761526.92</v>
      </c>
      <c r="L103" s="96"/>
      <c r="M103" s="96">
        <v>-477531.34</v>
      </c>
      <c r="N103" s="96"/>
      <c r="O103" s="96">
        <f aca="true" t="shared" si="55" ref="O103">M103</f>
        <v>-477531.34</v>
      </c>
      <c r="P103" s="96"/>
      <c r="Q103" s="96">
        <v>62570.49</v>
      </c>
      <c r="R103" s="96"/>
      <c r="S103" s="96">
        <v>297302.91</v>
      </c>
      <c r="T103" s="96"/>
      <c r="U103" s="96">
        <v>24020.42</v>
      </c>
      <c r="V103" s="96">
        <v>0</v>
      </c>
      <c r="W103" s="96"/>
      <c r="X103" s="96">
        <v>9653.87</v>
      </c>
      <c r="Y103" s="96"/>
      <c r="Z103" s="96">
        <v>32910.98</v>
      </c>
      <c r="AA103" s="96"/>
      <c r="AB103" s="96">
        <v>0</v>
      </c>
      <c r="AC103" s="96"/>
      <c r="AD103" s="96">
        <v>-14000</v>
      </c>
      <c r="AE103" s="96"/>
      <c r="AF103" s="96">
        <v>0</v>
      </c>
      <c r="AG103" s="96"/>
      <c r="AH103" s="96">
        <v>0</v>
      </c>
      <c r="AI103" s="96"/>
      <c r="AJ103" s="96">
        <f aca="true" t="shared" si="56" ref="AJ103">SUM(Q103:AH103)</f>
        <v>412458.6699999999</v>
      </c>
      <c r="AK103" s="96"/>
      <c r="AL103" s="96">
        <v>-65072.67</v>
      </c>
      <c r="AM103" s="96"/>
      <c r="AN103" s="96">
        <v>129818.43</v>
      </c>
      <c r="AO103" s="96"/>
      <c r="AP103" s="96">
        <v>64745.76</v>
      </c>
      <c r="AR103" s="42">
        <f aca="true" t="shared" si="57" ref="AR103">+M103-O103</f>
        <v>0</v>
      </c>
      <c r="AS103" s="42"/>
      <c r="AT103" s="42">
        <f t="shared" si="38"/>
        <v>0</v>
      </c>
      <c r="AU103" s="42"/>
      <c r="AV103" s="42">
        <f t="shared" si="39"/>
        <v>-1.0186340659856796E-10</v>
      </c>
      <c r="AW103" s="42"/>
      <c r="AX103" s="42">
        <f t="shared" si="40"/>
        <v>-1.0913936421275139E-10</v>
      </c>
    </row>
    <row r="104" spans="1:50" s="7" customFormat="1" ht="12" hidden="1">
      <c r="A104" s="7" t="s">
        <v>95</v>
      </c>
      <c r="C104" s="7" t="s">
        <v>773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>
        <f t="shared" si="4"/>
        <v>0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>
        <v>0</v>
      </c>
      <c r="AG104" s="36"/>
      <c r="AH104" s="36"/>
      <c r="AI104" s="36"/>
      <c r="AJ104" s="36">
        <f aca="true" t="shared" si="58" ref="AJ104:AJ113">Q104+S104+U104+V104+X104+Z104+AB104+AD104+AH104+AF104</f>
        <v>0</v>
      </c>
      <c r="AK104" s="36"/>
      <c r="AL104" s="36"/>
      <c r="AM104" s="36"/>
      <c r="AN104" s="36"/>
      <c r="AO104" s="36"/>
      <c r="AP104" s="36"/>
      <c r="AR104" s="42">
        <f t="shared" si="5"/>
        <v>0</v>
      </c>
      <c r="AS104" s="42"/>
      <c r="AT104" s="42">
        <f t="shared" si="38"/>
        <v>0</v>
      </c>
      <c r="AU104" s="42"/>
      <c r="AV104" s="42">
        <f t="shared" si="39"/>
        <v>0</v>
      </c>
      <c r="AW104" s="42"/>
      <c r="AX104" s="42">
        <f t="shared" si="40"/>
        <v>0</v>
      </c>
    </row>
    <row r="105" spans="1:50" s="7" customFormat="1" ht="12">
      <c r="A105" s="7" t="s">
        <v>245</v>
      </c>
      <c r="C105" s="7" t="s">
        <v>822</v>
      </c>
      <c r="E105" s="36">
        <v>115437.03</v>
      </c>
      <c r="F105" s="36"/>
      <c r="G105" s="36">
        <v>1418.5</v>
      </c>
      <c r="H105" s="36"/>
      <c r="I105" s="36">
        <v>25256.61</v>
      </c>
      <c r="J105" s="36"/>
      <c r="K105" s="36">
        <v>0</v>
      </c>
      <c r="L105" s="36"/>
      <c r="M105" s="36">
        <v>-88761.92</v>
      </c>
      <c r="N105" s="36"/>
      <c r="O105" s="36">
        <f t="shared" si="4"/>
        <v>-88761.92</v>
      </c>
      <c r="P105" s="36"/>
      <c r="Q105" s="36">
        <v>14833.06</v>
      </c>
      <c r="R105" s="36"/>
      <c r="S105" s="36">
        <v>0</v>
      </c>
      <c r="T105" s="36"/>
      <c r="U105" s="36">
        <v>46130.92</v>
      </c>
      <c r="V105" s="36">
        <v>636.7</v>
      </c>
      <c r="W105" s="36"/>
      <c r="X105" s="36">
        <v>0</v>
      </c>
      <c r="Y105" s="36"/>
      <c r="Z105" s="36">
        <v>7516.03</v>
      </c>
      <c r="AA105" s="36"/>
      <c r="AB105" s="36">
        <v>0</v>
      </c>
      <c r="AC105" s="36"/>
      <c r="AD105" s="36">
        <v>-3600</v>
      </c>
      <c r="AE105" s="36"/>
      <c r="AF105" s="36">
        <v>0</v>
      </c>
      <c r="AG105" s="36"/>
      <c r="AH105" s="36">
        <v>0</v>
      </c>
      <c r="AI105" s="36"/>
      <c r="AJ105" s="36">
        <f t="shared" si="58"/>
        <v>65516.70999999999</v>
      </c>
      <c r="AK105" s="36"/>
      <c r="AL105" s="36">
        <v>-23245.21</v>
      </c>
      <c r="AM105" s="36"/>
      <c r="AN105" s="36">
        <v>80506.21</v>
      </c>
      <c r="AO105" s="36"/>
      <c r="AP105" s="36">
        <v>57261</v>
      </c>
      <c r="AR105" s="42">
        <f t="shared" si="5"/>
        <v>0</v>
      </c>
      <c r="AS105" s="42"/>
      <c r="AT105" s="42">
        <f t="shared" si="38"/>
        <v>0</v>
      </c>
      <c r="AU105" s="42"/>
      <c r="AV105" s="42">
        <f t="shared" si="39"/>
        <v>0</v>
      </c>
      <c r="AW105" s="42"/>
      <c r="AX105" s="42">
        <f t="shared" si="40"/>
        <v>0</v>
      </c>
    </row>
    <row r="106" spans="1:50" s="7" customFormat="1" ht="12" hidden="1">
      <c r="A106" s="7" t="s">
        <v>606</v>
      </c>
      <c r="C106" s="7" t="s">
        <v>603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>
        <f t="shared" si="4"/>
        <v>0</v>
      </c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>
        <v>0</v>
      </c>
      <c r="AG106" s="36"/>
      <c r="AH106" s="36"/>
      <c r="AI106" s="36"/>
      <c r="AJ106" s="36">
        <f t="shared" si="58"/>
        <v>0</v>
      </c>
      <c r="AK106" s="36"/>
      <c r="AL106" s="36"/>
      <c r="AM106" s="36"/>
      <c r="AN106" s="36"/>
      <c r="AO106" s="36"/>
      <c r="AP106" s="36"/>
      <c r="AR106" s="42">
        <f t="shared" si="5"/>
        <v>0</v>
      </c>
      <c r="AS106" s="42"/>
      <c r="AT106" s="42">
        <f t="shared" si="38"/>
        <v>0</v>
      </c>
      <c r="AU106" s="42"/>
      <c r="AV106" s="42">
        <f t="shared" si="39"/>
        <v>0</v>
      </c>
      <c r="AW106" s="42"/>
      <c r="AX106" s="42">
        <f t="shared" si="40"/>
        <v>0</v>
      </c>
    </row>
    <row r="107" spans="1:50" s="7" customFormat="1" ht="12">
      <c r="A107" s="7" t="s">
        <v>110</v>
      </c>
      <c r="C107" s="7" t="s">
        <v>409</v>
      </c>
      <c r="E107" s="36">
        <v>633179.25</v>
      </c>
      <c r="F107" s="36"/>
      <c r="G107" s="36">
        <v>54182.15</v>
      </c>
      <c r="H107" s="36"/>
      <c r="I107" s="36">
        <v>81966.22</v>
      </c>
      <c r="J107" s="36"/>
      <c r="K107" s="36">
        <v>0</v>
      </c>
      <c r="L107" s="36"/>
      <c r="M107" s="36">
        <v>-497030.88</v>
      </c>
      <c r="N107" s="36"/>
      <c r="O107" s="36">
        <f t="shared" si="4"/>
        <v>-497030.88</v>
      </c>
      <c r="P107" s="36"/>
      <c r="Q107" s="36">
        <v>247313.1</v>
      </c>
      <c r="R107" s="36"/>
      <c r="S107" s="36">
        <v>0</v>
      </c>
      <c r="T107" s="36"/>
      <c r="U107" s="36">
        <v>107235.59</v>
      </c>
      <c r="V107" s="36">
        <v>3802.73</v>
      </c>
      <c r="W107" s="36"/>
      <c r="X107" s="36">
        <v>15405.55</v>
      </c>
      <c r="Y107" s="36"/>
      <c r="Z107" s="36">
        <v>53239.89</v>
      </c>
      <c r="AA107" s="36"/>
      <c r="AB107" s="36">
        <v>0</v>
      </c>
      <c r="AC107" s="36"/>
      <c r="AD107" s="36">
        <v>180596.42</v>
      </c>
      <c r="AE107" s="36"/>
      <c r="AF107" s="36">
        <v>0</v>
      </c>
      <c r="AG107" s="36"/>
      <c r="AH107" s="36">
        <v>0</v>
      </c>
      <c r="AI107" s="36"/>
      <c r="AJ107" s="36">
        <f t="shared" si="58"/>
        <v>607593.28</v>
      </c>
      <c r="AK107" s="36"/>
      <c r="AL107" s="36">
        <v>110562.4</v>
      </c>
      <c r="AM107" s="36"/>
      <c r="AN107" s="36">
        <v>157142.29</v>
      </c>
      <c r="AO107" s="36"/>
      <c r="AP107" s="36">
        <v>267704.69</v>
      </c>
      <c r="AR107" s="42">
        <f aca="true" t="shared" si="59" ref="AR107">+M107-O107</f>
        <v>0</v>
      </c>
      <c r="AS107" s="42"/>
      <c r="AT107" s="42">
        <f t="shared" si="38"/>
        <v>0</v>
      </c>
      <c r="AU107" s="42"/>
      <c r="AV107" s="42">
        <f t="shared" si="39"/>
        <v>0</v>
      </c>
      <c r="AW107" s="42"/>
      <c r="AX107" s="42">
        <f t="shared" si="40"/>
        <v>0</v>
      </c>
    </row>
    <row r="108" spans="1:50" s="7" customFormat="1" ht="12" hidden="1">
      <c r="A108" s="7" t="s">
        <v>242</v>
      </c>
      <c r="C108" s="7" t="s">
        <v>821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>
        <f t="shared" si="4"/>
        <v>0</v>
      </c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>
        <v>0</v>
      </c>
      <c r="AG108" s="36"/>
      <c r="AH108" s="36"/>
      <c r="AI108" s="36"/>
      <c r="AJ108" s="36">
        <f t="shared" si="58"/>
        <v>0</v>
      </c>
      <c r="AK108" s="36"/>
      <c r="AL108" s="36"/>
      <c r="AM108" s="36"/>
      <c r="AN108" s="36"/>
      <c r="AO108" s="36"/>
      <c r="AP108" s="36"/>
      <c r="AR108" s="42">
        <f t="shared" si="5"/>
        <v>0</v>
      </c>
      <c r="AS108" s="42"/>
      <c r="AT108" s="42">
        <f t="shared" si="38"/>
        <v>0</v>
      </c>
      <c r="AU108" s="42"/>
      <c r="AV108" s="42">
        <f t="shared" si="39"/>
        <v>0</v>
      </c>
      <c r="AW108" s="42"/>
      <c r="AX108" s="42">
        <f t="shared" si="40"/>
        <v>0</v>
      </c>
    </row>
    <row r="109" spans="1:50" s="7" customFormat="1" ht="12">
      <c r="A109" s="7" t="s">
        <v>932</v>
      </c>
      <c r="C109" s="7" t="s">
        <v>662</v>
      </c>
      <c r="E109" s="36">
        <v>755748.56</v>
      </c>
      <c r="F109" s="36"/>
      <c r="G109" s="36">
        <v>278014.45</v>
      </c>
      <c r="H109" s="36"/>
      <c r="I109" s="36">
        <v>221095.79</v>
      </c>
      <c r="J109" s="36"/>
      <c r="K109" s="36">
        <v>0</v>
      </c>
      <c r="L109" s="36"/>
      <c r="M109" s="36">
        <v>-256638.32</v>
      </c>
      <c r="N109" s="36"/>
      <c r="O109" s="36">
        <f t="shared" si="4"/>
        <v>-256638.32000000004</v>
      </c>
      <c r="P109" s="36"/>
      <c r="Q109" s="36">
        <v>151503.08</v>
      </c>
      <c r="R109" s="36"/>
      <c r="S109" s="36">
        <v>144422.98</v>
      </c>
      <c r="T109" s="36"/>
      <c r="U109" s="36">
        <v>74069.08</v>
      </c>
      <c r="V109" s="36">
        <v>328.72</v>
      </c>
      <c r="W109" s="36"/>
      <c r="X109" s="36">
        <v>9164.92</v>
      </c>
      <c r="Y109" s="36"/>
      <c r="Z109" s="36">
        <v>38531.7</v>
      </c>
      <c r="AA109" s="36"/>
      <c r="AB109" s="36">
        <v>0</v>
      </c>
      <c r="AC109" s="36"/>
      <c r="AD109" s="36">
        <v>-28000</v>
      </c>
      <c r="AE109" s="36"/>
      <c r="AF109" s="36">
        <v>0</v>
      </c>
      <c r="AG109" s="36"/>
      <c r="AH109" s="36">
        <v>0</v>
      </c>
      <c r="AI109" s="36"/>
      <c r="AJ109" s="36">
        <f t="shared" si="58"/>
        <v>390020.48</v>
      </c>
      <c r="AK109" s="36"/>
      <c r="AL109" s="36">
        <v>133382.16</v>
      </c>
      <c r="AM109" s="36"/>
      <c r="AN109" s="36">
        <v>139677.19</v>
      </c>
      <c r="AO109" s="36"/>
      <c r="AP109" s="36">
        <v>273059.35</v>
      </c>
      <c r="AR109" s="42">
        <f aca="true" t="shared" si="60" ref="AR109">+M109-O109</f>
        <v>0</v>
      </c>
      <c r="AS109" s="42"/>
      <c r="AT109" s="42">
        <f t="shared" si="38"/>
        <v>0</v>
      </c>
      <c r="AU109" s="42"/>
      <c r="AV109" s="42">
        <f t="shared" si="39"/>
        <v>0</v>
      </c>
      <c r="AW109" s="42"/>
      <c r="AX109" s="42">
        <f t="shared" si="40"/>
        <v>0</v>
      </c>
    </row>
    <row r="110" spans="1:50" s="7" customFormat="1" ht="12" hidden="1">
      <c r="A110" s="7" t="s">
        <v>173</v>
      </c>
      <c r="C110" s="7" t="s">
        <v>799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>
        <f t="shared" si="4"/>
        <v>0</v>
      </c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>
        <v>0</v>
      </c>
      <c r="AG110" s="36"/>
      <c r="AH110" s="36"/>
      <c r="AI110" s="36"/>
      <c r="AJ110" s="36">
        <f t="shared" si="58"/>
        <v>0</v>
      </c>
      <c r="AK110" s="36"/>
      <c r="AL110" s="36"/>
      <c r="AM110" s="36"/>
      <c r="AN110" s="36"/>
      <c r="AO110" s="36"/>
      <c r="AP110" s="36"/>
      <c r="AQ110" s="44"/>
      <c r="AR110" s="42">
        <f t="shared" si="5"/>
        <v>0</v>
      </c>
      <c r="AS110" s="42"/>
      <c r="AT110" s="42">
        <f t="shared" si="38"/>
        <v>0</v>
      </c>
      <c r="AU110" s="42"/>
      <c r="AV110" s="42">
        <f t="shared" si="39"/>
        <v>0</v>
      </c>
      <c r="AW110" s="42"/>
      <c r="AX110" s="42">
        <f t="shared" si="40"/>
        <v>0</v>
      </c>
    </row>
    <row r="111" spans="1:50" s="7" customFormat="1" ht="12">
      <c r="A111" s="7" t="s">
        <v>123</v>
      </c>
      <c r="C111" s="7" t="s">
        <v>782</v>
      </c>
      <c r="E111" s="36">
        <v>25077.19</v>
      </c>
      <c r="F111" s="36"/>
      <c r="G111" s="36">
        <v>317.2</v>
      </c>
      <c r="H111" s="36"/>
      <c r="I111" s="36">
        <v>1800.13</v>
      </c>
      <c r="J111" s="36"/>
      <c r="K111" s="36">
        <v>0</v>
      </c>
      <c r="L111" s="36"/>
      <c r="M111" s="36">
        <v>-22959.86</v>
      </c>
      <c r="N111" s="36"/>
      <c r="O111" s="36">
        <f t="shared" si="4"/>
        <v>-22959.859999999997</v>
      </c>
      <c r="P111" s="36"/>
      <c r="Q111" s="36">
        <v>10482.03</v>
      </c>
      <c r="R111" s="36"/>
      <c r="S111" s="36">
        <v>0</v>
      </c>
      <c r="T111" s="36"/>
      <c r="U111" s="36">
        <v>14834.76</v>
      </c>
      <c r="V111" s="36">
        <v>0</v>
      </c>
      <c r="W111" s="36"/>
      <c r="X111" s="36">
        <v>0</v>
      </c>
      <c r="Y111" s="36"/>
      <c r="Z111" s="36">
        <v>5.41</v>
      </c>
      <c r="AA111" s="36"/>
      <c r="AB111" s="36">
        <v>0</v>
      </c>
      <c r="AC111" s="36"/>
      <c r="AD111" s="36">
        <v>0</v>
      </c>
      <c r="AE111" s="36"/>
      <c r="AF111" s="36">
        <v>0</v>
      </c>
      <c r="AG111" s="36"/>
      <c r="AH111" s="36">
        <v>0</v>
      </c>
      <c r="AI111" s="36"/>
      <c r="AJ111" s="36">
        <f t="shared" si="58"/>
        <v>25322.2</v>
      </c>
      <c r="AK111" s="36"/>
      <c r="AL111" s="36">
        <v>2362.34</v>
      </c>
      <c r="AM111" s="36"/>
      <c r="AN111" s="36">
        <v>8859.92</v>
      </c>
      <c r="AO111" s="36"/>
      <c r="AP111" s="36">
        <v>11222.26</v>
      </c>
      <c r="AQ111" s="44"/>
      <c r="AR111" s="42">
        <f aca="true" t="shared" si="61" ref="AR111">+M111-O111</f>
        <v>0</v>
      </c>
      <c r="AS111" s="42"/>
      <c r="AT111" s="42">
        <f t="shared" si="38"/>
        <v>0</v>
      </c>
      <c r="AU111" s="42"/>
      <c r="AV111" s="42">
        <f t="shared" si="39"/>
        <v>3.637978807091713E-12</v>
      </c>
      <c r="AW111" s="42"/>
      <c r="AX111" s="42">
        <f t="shared" si="40"/>
        <v>0</v>
      </c>
    </row>
    <row r="112" spans="1:50" s="7" customFormat="1" ht="12">
      <c r="A112" s="7" t="s">
        <v>322</v>
      </c>
      <c r="C112" s="7" t="s">
        <v>316</v>
      </c>
      <c r="E112" s="36">
        <v>18729517</v>
      </c>
      <c r="F112" s="36"/>
      <c r="G112" s="36">
        <v>1356864</v>
      </c>
      <c r="H112" s="36"/>
      <c r="I112" s="36">
        <v>8868</v>
      </c>
      <c r="J112" s="36"/>
      <c r="K112" s="36">
        <v>202694</v>
      </c>
      <c r="L112" s="36"/>
      <c r="M112" s="36">
        <v>-17161091</v>
      </c>
      <c r="N112" s="36"/>
      <c r="O112" s="36">
        <f t="shared" si="4"/>
        <v>-17161091</v>
      </c>
      <c r="P112" s="36"/>
      <c r="Q112" s="36">
        <f>165190+424637+104157+235559+55561</f>
        <v>985104</v>
      </c>
      <c r="R112" s="36"/>
      <c r="S112" s="36">
        <v>14758495</v>
      </c>
      <c r="T112" s="36"/>
      <c r="U112" s="36">
        <v>998618</v>
      </c>
      <c r="V112" s="36">
        <v>0</v>
      </c>
      <c r="W112" s="36"/>
      <c r="X112" s="36">
        <v>0</v>
      </c>
      <c r="Y112" s="36"/>
      <c r="Z112" s="36">
        <f>948377+2946+2900000+8943+364361</f>
        <v>4224627</v>
      </c>
      <c r="AA112" s="36"/>
      <c r="AB112" s="36">
        <v>0</v>
      </c>
      <c r="AC112" s="36"/>
      <c r="AD112" s="36">
        <v>52573</v>
      </c>
      <c r="AE112" s="36"/>
      <c r="AF112" s="36">
        <v>0</v>
      </c>
      <c r="AG112" s="36"/>
      <c r="AH112" s="36">
        <v>0</v>
      </c>
      <c r="AI112" s="36"/>
      <c r="AJ112" s="36">
        <f t="shared" si="58"/>
        <v>21019417</v>
      </c>
      <c r="AK112" s="36"/>
      <c r="AL112" s="36">
        <v>3858326</v>
      </c>
      <c r="AM112" s="36"/>
      <c r="AN112" s="36">
        <v>4646388</v>
      </c>
      <c r="AO112" s="36"/>
      <c r="AP112" s="36">
        <v>8504714</v>
      </c>
      <c r="AQ112" s="44"/>
      <c r="AR112" s="42">
        <f aca="true" t="shared" si="62" ref="AR112">+M112-O112</f>
        <v>0</v>
      </c>
      <c r="AS112" s="42"/>
      <c r="AT112" s="42">
        <f t="shared" si="38"/>
        <v>0</v>
      </c>
      <c r="AU112" s="42"/>
      <c r="AV112" s="42">
        <f t="shared" si="39"/>
        <v>0</v>
      </c>
      <c r="AW112" s="42"/>
      <c r="AX112" s="42">
        <f t="shared" si="40"/>
        <v>0</v>
      </c>
    </row>
    <row r="113" spans="1:50" s="7" customFormat="1" ht="12" hidden="1">
      <c r="A113" s="7" t="s">
        <v>168</v>
      </c>
      <c r="C113" s="7" t="s">
        <v>798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>
        <f t="shared" si="4"/>
        <v>0</v>
      </c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0</v>
      </c>
      <c r="AG113" s="36"/>
      <c r="AH113" s="36"/>
      <c r="AI113" s="36"/>
      <c r="AJ113" s="36">
        <f t="shared" si="58"/>
        <v>0</v>
      </c>
      <c r="AK113" s="36"/>
      <c r="AL113" s="36"/>
      <c r="AM113" s="36"/>
      <c r="AN113" s="36"/>
      <c r="AO113" s="36"/>
      <c r="AP113" s="36"/>
      <c r="AR113" s="42">
        <f t="shared" si="5"/>
        <v>0</v>
      </c>
      <c r="AS113" s="42"/>
      <c r="AT113" s="42">
        <f t="shared" si="38"/>
        <v>0</v>
      </c>
      <c r="AU113" s="42"/>
      <c r="AV113" s="42">
        <f t="shared" si="39"/>
        <v>0</v>
      </c>
      <c r="AW113" s="42"/>
      <c r="AX113" s="42">
        <f t="shared" si="40"/>
        <v>0</v>
      </c>
    </row>
    <row r="114" spans="1:50" s="7" customFormat="1" ht="12">
      <c r="A114" s="7" t="s">
        <v>847</v>
      </c>
      <c r="C114" s="7" t="s">
        <v>794</v>
      </c>
      <c r="E114" s="96">
        <v>128436.14</v>
      </c>
      <c r="F114" s="96"/>
      <c r="G114" s="96">
        <v>19245.08</v>
      </c>
      <c r="H114" s="96"/>
      <c r="I114" s="96">
        <v>68520.81</v>
      </c>
      <c r="J114" s="96"/>
      <c r="K114" s="96">
        <v>0</v>
      </c>
      <c r="L114" s="96"/>
      <c r="M114" s="96">
        <v>-40670.25</v>
      </c>
      <c r="N114" s="96"/>
      <c r="O114" s="96">
        <f aca="true" t="shared" si="63" ref="O114">M114</f>
        <v>-40670.25</v>
      </c>
      <c r="P114" s="96"/>
      <c r="Q114" s="96">
        <v>43067.04</v>
      </c>
      <c r="R114" s="96"/>
      <c r="S114" s="96">
        <v>0</v>
      </c>
      <c r="T114" s="96"/>
      <c r="U114" s="96">
        <v>219.8</v>
      </c>
      <c r="V114" s="96">
        <v>0</v>
      </c>
      <c r="W114" s="96"/>
      <c r="X114" s="96">
        <v>3873.6</v>
      </c>
      <c r="Y114" s="96"/>
      <c r="Z114" s="96">
        <v>5111.37</v>
      </c>
      <c r="AA114" s="96"/>
      <c r="AB114" s="96">
        <v>0</v>
      </c>
      <c r="AC114" s="96"/>
      <c r="AD114" s="96">
        <v>0</v>
      </c>
      <c r="AE114" s="96"/>
      <c r="AF114" s="96">
        <v>2545</v>
      </c>
      <c r="AG114" s="96"/>
      <c r="AH114" s="96">
        <v>0</v>
      </c>
      <c r="AI114" s="96"/>
      <c r="AJ114" s="96">
        <f aca="true" t="shared" si="64" ref="AJ114">SUM(Q114:AH114)</f>
        <v>54816.810000000005</v>
      </c>
      <c r="AK114" s="96"/>
      <c r="AL114" s="96">
        <v>14146.56</v>
      </c>
      <c r="AM114" s="96"/>
      <c r="AN114" s="96">
        <v>57761.09</v>
      </c>
      <c r="AO114" s="96"/>
      <c r="AP114" s="96">
        <v>71907.65</v>
      </c>
      <c r="AR114" s="42">
        <f t="shared" si="5"/>
        <v>0</v>
      </c>
      <c r="AS114" s="42"/>
      <c r="AT114" s="42">
        <f t="shared" si="38"/>
        <v>0</v>
      </c>
      <c r="AU114" s="42"/>
      <c r="AV114" s="42">
        <f t="shared" si="39"/>
        <v>0</v>
      </c>
      <c r="AW114" s="42"/>
      <c r="AX114" s="42">
        <f t="shared" si="40"/>
        <v>0</v>
      </c>
    </row>
    <row r="115" spans="1:50" s="7" customFormat="1" ht="12">
      <c r="A115" s="7" t="s">
        <v>367</v>
      </c>
      <c r="C115" s="7" t="s">
        <v>368</v>
      </c>
      <c r="E115" s="36">
        <v>3778948</v>
      </c>
      <c r="F115" s="36"/>
      <c r="G115" s="36">
        <v>265970</v>
      </c>
      <c r="H115" s="36"/>
      <c r="I115" s="36">
        <v>151801</v>
      </c>
      <c r="J115" s="36"/>
      <c r="K115" s="36">
        <v>0</v>
      </c>
      <c r="L115" s="36"/>
      <c r="M115" s="36">
        <v>-3361177</v>
      </c>
      <c r="N115" s="36"/>
      <c r="O115" s="36">
        <f t="shared" si="4"/>
        <v>-3361177</v>
      </c>
      <c r="P115" s="36"/>
      <c r="Q115" s="36">
        <f>352815+111642</f>
        <v>464457</v>
      </c>
      <c r="R115" s="36"/>
      <c r="S115" s="36">
        <f>15585+2350996</f>
        <v>2366581</v>
      </c>
      <c r="T115" s="36"/>
      <c r="U115" s="36">
        <v>123617</v>
      </c>
      <c r="V115" s="36">
        <v>0</v>
      </c>
      <c r="W115" s="36"/>
      <c r="X115" s="36">
        <v>0</v>
      </c>
      <c r="Y115" s="36"/>
      <c r="Z115" s="36">
        <f>89888+7039+34460</f>
        <v>131387</v>
      </c>
      <c r="AA115" s="36"/>
      <c r="AB115" s="36">
        <v>0</v>
      </c>
      <c r="AC115" s="36"/>
      <c r="AD115" s="36">
        <v>0</v>
      </c>
      <c r="AE115" s="36"/>
      <c r="AF115" s="36">
        <v>0</v>
      </c>
      <c r="AG115" s="36"/>
      <c r="AH115" s="36">
        <v>0</v>
      </c>
      <c r="AI115" s="36"/>
      <c r="AJ115" s="36">
        <f aca="true" t="shared" si="65" ref="AJ115:AJ132">Q115+S115+U115+V115+X115+Z115+AB115+AD115+AH115+AF115</f>
        <v>3086042</v>
      </c>
      <c r="AK115" s="36"/>
      <c r="AL115" s="36">
        <v>-259135</v>
      </c>
      <c r="AM115" s="36"/>
      <c r="AN115" s="36">
        <v>3402485</v>
      </c>
      <c r="AO115" s="36"/>
      <c r="AP115" s="36">
        <v>3143350</v>
      </c>
      <c r="AR115" s="42">
        <f aca="true" t="shared" si="66" ref="AR115">+M115-O115</f>
        <v>0</v>
      </c>
      <c r="AS115" s="42"/>
      <c r="AT115" s="42">
        <f t="shared" si="38"/>
        <v>0</v>
      </c>
      <c r="AU115" s="42"/>
      <c r="AV115" s="42">
        <f t="shared" si="39"/>
        <v>-16000</v>
      </c>
      <c r="AW115" s="42"/>
      <c r="AX115" s="42">
        <f t="shared" si="40"/>
        <v>-16000</v>
      </c>
    </row>
    <row r="116" spans="1:50" s="7" customFormat="1" ht="12" hidden="1">
      <c r="A116" s="7" t="s">
        <v>156</v>
      </c>
      <c r="C116" s="7" t="s">
        <v>464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>
        <f t="shared" si="4"/>
        <v>0</v>
      </c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>
        <v>0</v>
      </c>
      <c r="AG116" s="36"/>
      <c r="AH116" s="36"/>
      <c r="AI116" s="36"/>
      <c r="AJ116" s="36">
        <f t="shared" si="65"/>
        <v>0</v>
      </c>
      <c r="AK116" s="36"/>
      <c r="AL116" s="36"/>
      <c r="AM116" s="36"/>
      <c r="AN116" s="36"/>
      <c r="AO116" s="36"/>
      <c r="AP116" s="36"/>
      <c r="AR116" s="42">
        <f t="shared" si="5"/>
        <v>0</v>
      </c>
      <c r="AS116" s="42"/>
      <c r="AT116" s="42">
        <f t="shared" si="38"/>
        <v>0</v>
      </c>
      <c r="AU116" s="42"/>
      <c r="AV116" s="42">
        <f t="shared" si="39"/>
        <v>0</v>
      </c>
      <c r="AW116" s="42"/>
      <c r="AX116" s="42">
        <f t="shared" si="40"/>
        <v>0</v>
      </c>
    </row>
    <row r="117" spans="1:50" s="7" customFormat="1" ht="12" hidden="1">
      <c r="A117" s="7" t="s">
        <v>906</v>
      </c>
      <c r="C117" s="7" t="s">
        <v>299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>
        <f t="shared" si="4"/>
        <v>0</v>
      </c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>
        <v>0</v>
      </c>
      <c r="AG117" s="36"/>
      <c r="AH117" s="36"/>
      <c r="AI117" s="36"/>
      <c r="AJ117" s="36">
        <f t="shared" si="65"/>
        <v>0</v>
      </c>
      <c r="AK117" s="36"/>
      <c r="AL117" s="36"/>
      <c r="AM117" s="36"/>
      <c r="AN117" s="36"/>
      <c r="AO117" s="36"/>
      <c r="AP117" s="36"/>
      <c r="AR117" s="42">
        <f aca="true" t="shared" si="67" ref="AR117:AR118">+M117-O117</f>
        <v>0</v>
      </c>
      <c r="AS117" s="42"/>
      <c r="AT117" s="42">
        <f t="shared" si="38"/>
        <v>0</v>
      </c>
      <c r="AU117" s="42"/>
      <c r="AV117" s="42">
        <f t="shared" si="39"/>
        <v>0</v>
      </c>
      <c r="AW117" s="42"/>
      <c r="AX117" s="42">
        <f t="shared" si="40"/>
        <v>0</v>
      </c>
    </row>
    <row r="118" spans="1:50" s="7" customFormat="1" ht="12">
      <c r="A118" s="7" t="s">
        <v>347</v>
      </c>
      <c r="C118" s="7" t="s">
        <v>348</v>
      </c>
      <c r="E118" s="36">
        <v>722831</v>
      </c>
      <c r="F118" s="36"/>
      <c r="G118" s="36">
        <v>60070</v>
      </c>
      <c r="H118" s="36"/>
      <c r="I118" s="36">
        <v>88047</v>
      </c>
      <c r="J118" s="36"/>
      <c r="K118" s="36">
        <v>6982</v>
      </c>
      <c r="L118" s="36"/>
      <c r="M118" s="36">
        <v>-567732</v>
      </c>
      <c r="N118" s="36"/>
      <c r="O118" s="36">
        <f aca="true" t="shared" si="68" ref="O118:O119">-E118+G118+I118+K118</f>
        <v>-567732</v>
      </c>
      <c r="P118" s="36"/>
      <c r="Q118" s="36">
        <f>148355+85302</f>
        <v>233657</v>
      </c>
      <c r="R118" s="36"/>
      <c r="S118" s="36">
        <f>325628+70195</f>
        <v>395823</v>
      </c>
      <c r="T118" s="36"/>
      <c r="U118" s="36">
        <v>152920</v>
      </c>
      <c r="V118" s="36">
        <v>0</v>
      </c>
      <c r="W118" s="36"/>
      <c r="X118" s="36">
        <v>0</v>
      </c>
      <c r="Y118" s="36"/>
      <c r="Z118" s="36">
        <v>2810</v>
      </c>
      <c r="AA118" s="36"/>
      <c r="AB118" s="36">
        <v>0</v>
      </c>
      <c r="AC118" s="36"/>
      <c r="AD118" s="36">
        <v>-28457</v>
      </c>
      <c r="AE118" s="36"/>
      <c r="AF118" s="36">
        <v>0</v>
      </c>
      <c r="AG118" s="36"/>
      <c r="AH118" s="36">
        <v>0</v>
      </c>
      <c r="AI118" s="36"/>
      <c r="AJ118" s="36">
        <f t="shared" si="65"/>
        <v>756753</v>
      </c>
      <c r="AK118" s="36"/>
      <c r="AL118" s="36">
        <v>189021</v>
      </c>
      <c r="AM118" s="36"/>
      <c r="AN118" s="36">
        <v>861656</v>
      </c>
      <c r="AO118" s="36"/>
      <c r="AP118" s="36">
        <v>1050677</v>
      </c>
      <c r="AR118" s="42">
        <f t="shared" si="67"/>
        <v>0</v>
      </c>
      <c r="AS118" s="42"/>
      <c r="AT118" s="42">
        <f t="shared" si="38"/>
        <v>0</v>
      </c>
      <c r="AU118" s="42"/>
      <c r="AV118" s="42">
        <f t="shared" si="39"/>
        <v>0</v>
      </c>
      <c r="AW118" s="42"/>
      <c r="AX118" s="42">
        <f t="shared" si="40"/>
        <v>0</v>
      </c>
    </row>
    <row r="119" spans="1:50" s="7" customFormat="1" ht="12">
      <c r="A119" s="7" t="s">
        <v>414</v>
      </c>
      <c r="C119" s="7" t="s">
        <v>412</v>
      </c>
      <c r="E119" s="36">
        <v>1738200.79</v>
      </c>
      <c r="F119" s="36"/>
      <c r="G119" s="36">
        <v>29748.93</v>
      </c>
      <c r="H119" s="36"/>
      <c r="I119" s="36">
        <v>167385.99</v>
      </c>
      <c r="J119" s="36"/>
      <c r="K119" s="36">
        <v>0</v>
      </c>
      <c r="L119" s="36"/>
      <c r="M119" s="36">
        <v>-1541065.87</v>
      </c>
      <c r="N119" s="36"/>
      <c r="O119" s="36">
        <f t="shared" si="68"/>
        <v>-1541065.87</v>
      </c>
      <c r="P119" s="36"/>
      <c r="Q119" s="36">
        <v>278635.75</v>
      </c>
      <c r="R119" s="36"/>
      <c r="S119" s="36">
        <v>1043648.58</v>
      </c>
      <c r="T119" s="36"/>
      <c r="U119" s="36">
        <v>86997.94</v>
      </c>
      <c r="V119" s="36">
        <v>6248.76</v>
      </c>
      <c r="W119" s="36"/>
      <c r="X119" s="36">
        <v>45340.33</v>
      </c>
      <c r="Y119" s="36"/>
      <c r="Z119" s="36">
        <v>14563.62</v>
      </c>
      <c r="AA119" s="36"/>
      <c r="AB119" s="36">
        <v>0</v>
      </c>
      <c r="AC119" s="36"/>
      <c r="AD119" s="36">
        <v>0</v>
      </c>
      <c r="AE119" s="36"/>
      <c r="AF119" s="36">
        <v>0</v>
      </c>
      <c r="AG119" s="36"/>
      <c r="AH119" s="36">
        <v>0</v>
      </c>
      <c r="AI119" s="36"/>
      <c r="AJ119" s="36">
        <f t="shared" si="65"/>
        <v>1475434.9800000002</v>
      </c>
      <c r="AK119" s="36"/>
      <c r="AL119" s="36">
        <v>-65630.89</v>
      </c>
      <c r="AM119" s="36"/>
      <c r="AN119" s="36">
        <v>471044.5</v>
      </c>
      <c r="AO119" s="36"/>
      <c r="AP119" s="36">
        <v>405413.61</v>
      </c>
      <c r="AR119" s="42">
        <f aca="true" t="shared" si="69" ref="AR119">+M119-O119</f>
        <v>0</v>
      </c>
      <c r="AS119" s="42"/>
      <c r="AT119" s="42">
        <f t="shared" si="38"/>
        <v>0</v>
      </c>
      <c r="AU119" s="42"/>
      <c r="AV119" s="42">
        <f t="shared" si="39"/>
        <v>0</v>
      </c>
      <c r="AW119" s="42"/>
      <c r="AX119" s="42">
        <f t="shared" si="40"/>
        <v>0</v>
      </c>
    </row>
    <row r="120" spans="1:50" s="7" customFormat="1" ht="12" hidden="1">
      <c r="A120" s="7" t="s">
        <v>63</v>
      </c>
      <c r="C120" s="7" t="s">
        <v>766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>
        <f t="shared" si="4"/>
        <v>0</v>
      </c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>
        <v>0</v>
      </c>
      <c r="AG120" s="36"/>
      <c r="AH120" s="36"/>
      <c r="AI120" s="36"/>
      <c r="AJ120" s="36">
        <f t="shared" si="65"/>
        <v>0</v>
      </c>
      <c r="AK120" s="36"/>
      <c r="AL120" s="36"/>
      <c r="AM120" s="36"/>
      <c r="AN120" s="36"/>
      <c r="AO120" s="36"/>
      <c r="AP120" s="36"/>
      <c r="AR120" s="42">
        <f aca="true" t="shared" si="70" ref="AR120:AR121">+M120-O120</f>
        <v>0</v>
      </c>
      <c r="AS120" s="42"/>
      <c r="AT120" s="42">
        <f t="shared" si="38"/>
        <v>0</v>
      </c>
      <c r="AU120" s="42"/>
      <c r="AV120" s="42">
        <f t="shared" si="39"/>
        <v>0</v>
      </c>
      <c r="AW120" s="42"/>
      <c r="AX120" s="42">
        <f t="shared" si="40"/>
        <v>0</v>
      </c>
    </row>
    <row r="121" spans="1:50" s="7" customFormat="1" ht="12" hidden="1">
      <c r="A121" s="7" t="s">
        <v>234</v>
      </c>
      <c r="C121" s="7" t="s">
        <v>818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>
        <f t="shared" si="4"/>
        <v>0</v>
      </c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0</v>
      </c>
      <c r="AG121" s="36"/>
      <c r="AH121" s="36"/>
      <c r="AI121" s="36"/>
      <c r="AJ121" s="36">
        <f t="shared" si="65"/>
        <v>0</v>
      </c>
      <c r="AK121" s="36"/>
      <c r="AL121" s="36"/>
      <c r="AM121" s="36"/>
      <c r="AN121" s="36"/>
      <c r="AO121" s="36"/>
      <c r="AP121" s="36"/>
      <c r="AR121" s="42">
        <f t="shared" si="70"/>
        <v>0</v>
      </c>
      <c r="AS121" s="42"/>
      <c r="AT121" s="42">
        <f t="shared" si="38"/>
        <v>0</v>
      </c>
      <c r="AU121" s="42"/>
      <c r="AV121" s="42">
        <f t="shared" si="39"/>
        <v>0</v>
      </c>
      <c r="AW121" s="42"/>
      <c r="AX121" s="42">
        <f t="shared" si="40"/>
        <v>0</v>
      </c>
    </row>
    <row r="122" spans="1:50" s="7" customFormat="1" ht="12" hidden="1">
      <c r="A122" s="7" t="s">
        <v>926</v>
      </c>
      <c r="C122" s="7" t="s">
        <v>542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>
        <f t="shared" si="4"/>
        <v>0</v>
      </c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>
        <v>0</v>
      </c>
      <c r="AG122" s="36"/>
      <c r="AH122" s="36"/>
      <c r="AI122" s="36"/>
      <c r="AJ122" s="36">
        <f t="shared" si="65"/>
        <v>0</v>
      </c>
      <c r="AK122" s="36"/>
      <c r="AL122" s="36"/>
      <c r="AM122" s="36"/>
      <c r="AN122" s="36"/>
      <c r="AO122" s="36"/>
      <c r="AP122" s="36"/>
      <c r="AR122" s="42">
        <f aca="true" t="shared" si="71" ref="AR122">+M122-O122</f>
        <v>0</v>
      </c>
      <c r="AS122" s="42"/>
      <c r="AT122" s="42">
        <f t="shared" si="38"/>
        <v>0</v>
      </c>
      <c r="AU122" s="42"/>
      <c r="AV122" s="42">
        <f t="shared" si="39"/>
        <v>0</v>
      </c>
      <c r="AW122" s="42"/>
      <c r="AX122" s="42">
        <f t="shared" si="40"/>
        <v>0</v>
      </c>
    </row>
    <row r="123" spans="1:50" s="7" customFormat="1" ht="12" hidden="1">
      <c r="A123" s="7" t="s">
        <v>74</v>
      </c>
      <c r="C123" s="7" t="s">
        <v>768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>
        <f t="shared" si="4"/>
        <v>0</v>
      </c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0</v>
      </c>
      <c r="AG123" s="36"/>
      <c r="AH123" s="36"/>
      <c r="AI123" s="36"/>
      <c r="AJ123" s="36">
        <f t="shared" si="65"/>
        <v>0</v>
      </c>
      <c r="AK123" s="36"/>
      <c r="AL123" s="36"/>
      <c r="AM123" s="36"/>
      <c r="AN123" s="36"/>
      <c r="AO123" s="36"/>
      <c r="AP123" s="36"/>
      <c r="AR123" s="42">
        <f t="shared" si="5"/>
        <v>0</v>
      </c>
      <c r="AS123" s="42"/>
      <c r="AT123" s="42">
        <f t="shared" si="38"/>
        <v>0</v>
      </c>
      <c r="AU123" s="42"/>
      <c r="AV123" s="42">
        <f t="shared" si="39"/>
        <v>0</v>
      </c>
      <c r="AW123" s="42"/>
      <c r="AX123" s="42">
        <f t="shared" si="40"/>
        <v>0</v>
      </c>
    </row>
    <row r="124" spans="1:50" s="7" customFormat="1" ht="12">
      <c r="A124" s="7" t="s">
        <v>599</v>
      </c>
      <c r="C124" s="7" t="s">
        <v>598</v>
      </c>
      <c r="E124" s="36">
        <v>3336183</v>
      </c>
      <c r="F124" s="36"/>
      <c r="G124" s="36">
        <v>532012</v>
      </c>
      <c r="H124" s="36"/>
      <c r="I124" s="36">
        <v>195519</v>
      </c>
      <c r="J124" s="36"/>
      <c r="K124" s="36">
        <v>356449</v>
      </c>
      <c r="L124" s="36"/>
      <c r="M124" s="36">
        <v>-2252203</v>
      </c>
      <c r="N124" s="36"/>
      <c r="O124" s="36">
        <f t="shared" si="4"/>
        <v>-2252203</v>
      </c>
      <c r="P124" s="36"/>
      <c r="Q124" s="36">
        <f>131186+13521+1508025+322522</f>
        <v>1975254</v>
      </c>
      <c r="R124" s="36"/>
      <c r="S124" s="36">
        <v>0</v>
      </c>
      <c r="T124" s="36"/>
      <c r="U124" s="36">
        <v>366556</v>
      </c>
      <c r="V124" s="36">
        <v>77845</v>
      </c>
      <c r="W124" s="36"/>
      <c r="X124" s="36">
        <v>0</v>
      </c>
      <c r="Y124" s="36"/>
      <c r="Z124" s="36">
        <f>350000+26458</f>
        <v>376458</v>
      </c>
      <c r="AA124" s="36"/>
      <c r="AB124" s="36">
        <v>0</v>
      </c>
      <c r="AC124" s="36"/>
      <c r="AD124" s="36">
        <v>0</v>
      </c>
      <c r="AE124" s="36"/>
      <c r="AF124" s="36">
        <v>0</v>
      </c>
      <c r="AG124" s="36"/>
      <c r="AH124" s="36">
        <v>0</v>
      </c>
      <c r="AI124" s="36"/>
      <c r="AJ124" s="36">
        <f t="shared" si="65"/>
        <v>2796113</v>
      </c>
      <c r="AK124" s="36"/>
      <c r="AL124" s="36">
        <v>543910</v>
      </c>
      <c r="AM124" s="36"/>
      <c r="AN124" s="36">
        <v>2850643</v>
      </c>
      <c r="AO124" s="36"/>
      <c r="AP124" s="36">
        <v>3394553</v>
      </c>
      <c r="AR124" s="42">
        <f aca="true" t="shared" si="72" ref="AR124">+M124-O124</f>
        <v>0</v>
      </c>
      <c r="AS124" s="42"/>
      <c r="AT124" s="42">
        <f t="shared" si="38"/>
        <v>0</v>
      </c>
      <c r="AU124" s="42"/>
      <c r="AV124" s="42">
        <f t="shared" si="39"/>
        <v>0</v>
      </c>
      <c r="AW124" s="42"/>
      <c r="AX124" s="42">
        <f t="shared" si="40"/>
        <v>0</v>
      </c>
    </row>
    <row r="125" spans="1:50" s="7" customFormat="1" ht="12">
      <c r="A125" s="7" t="s">
        <v>323</v>
      </c>
      <c r="C125" s="7" t="s">
        <v>316</v>
      </c>
      <c r="E125" s="36">
        <v>8229785</v>
      </c>
      <c r="F125" s="36"/>
      <c r="G125" s="36">
        <v>711396</v>
      </c>
      <c r="H125" s="36"/>
      <c r="I125" s="36">
        <v>288361</v>
      </c>
      <c r="J125" s="36"/>
      <c r="K125" s="36">
        <v>235516</v>
      </c>
      <c r="L125" s="36"/>
      <c r="M125" s="36">
        <v>-6994512</v>
      </c>
      <c r="N125" s="36"/>
      <c r="O125" s="36">
        <f t="shared" si="4"/>
        <v>-6994512</v>
      </c>
      <c r="P125" s="36"/>
      <c r="Q125" s="36">
        <f>1512080+83859</f>
        <v>1595939</v>
      </c>
      <c r="R125" s="36"/>
      <c r="S125" s="36">
        <v>3068697</v>
      </c>
      <c r="T125" s="36"/>
      <c r="U125" s="36">
        <v>0</v>
      </c>
      <c r="V125" s="36">
        <v>24507</v>
      </c>
      <c r="W125" s="36"/>
      <c r="X125" s="36">
        <v>35965</v>
      </c>
      <c r="Y125" s="36"/>
      <c r="Z125" s="36">
        <v>857274</v>
      </c>
      <c r="AA125" s="36"/>
      <c r="AB125" s="36">
        <v>0</v>
      </c>
      <c r="AC125" s="36"/>
      <c r="AD125" s="36">
        <v>0</v>
      </c>
      <c r="AE125" s="36"/>
      <c r="AF125" s="36">
        <v>0</v>
      </c>
      <c r="AG125" s="36"/>
      <c r="AH125" s="36">
        <v>0</v>
      </c>
      <c r="AI125" s="36"/>
      <c r="AJ125" s="36">
        <f t="shared" si="65"/>
        <v>5582382</v>
      </c>
      <c r="AK125" s="36"/>
      <c r="AL125" s="36">
        <v>-226570</v>
      </c>
      <c r="AM125" s="36"/>
      <c r="AN125" s="36">
        <v>8695598</v>
      </c>
      <c r="AO125" s="36"/>
      <c r="AP125" s="36">
        <v>8469028</v>
      </c>
      <c r="AR125" s="42">
        <f aca="true" t="shared" si="73" ref="AR125">+M125-O125</f>
        <v>0</v>
      </c>
      <c r="AS125" s="42"/>
      <c r="AT125" s="42">
        <f t="shared" si="38"/>
        <v>0</v>
      </c>
      <c r="AU125" s="42"/>
      <c r="AV125" s="42">
        <f t="shared" si="39"/>
        <v>-1185560</v>
      </c>
      <c r="AW125" s="42"/>
      <c r="AX125" s="42">
        <f t="shared" si="40"/>
        <v>-1185560</v>
      </c>
    </row>
    <row r="126" spans="1:50" s="7" customFormat="1" ht="12" hidden="1">
      <c r="A126" s="7" t="s">
        <v>298</v>
      </c>
      <c r="C126" s="7" t="s">
        <v>295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>
        <f t="shared" si="4"/>
        <v>0</v>
      </c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>
        <v>0</v>
      </c>
      <c r="AG126" s="36"/>
      <c r="AH126" s="36"/>
      <c r="AI126" s="36"/>
      <c r="AJ126" s="36">
        <f t="shared" si="65"/>
        <v>0</v>
      </c>
      <c r="AK126" s="36"/>
      <c r="AL126" s="36"/>
      <c r="AM126" s="36"/>
      <c r="AN126" s="36"/>
      <c r="AO126" s="36"/>
      <c r="AP126" s="36"/>
      <c r="AR126" s="42">
        <f aca="true" t="shared" si="74" ref="AR126:AR130">+M126-O126</f>
        <v>0</v>
      </c>
      <c r="AS126" s="42"/>
      <c r="AT126" s="42">
        <f t="shared" si="38"/>
        <v>0</v>
      </c>
      <c r="AU126" s="42"/>
      <c r="AV126" s="42">
        <f t="shared" si="39"/>
        <v>0</v>
      </c>
      <c r="AW126" s="42"/>
      <c r="AX126" s="42">
        <f t="shared" si="40"/>
        <v>0</v>
      </c>
    </row>
    <row r="127" spans="1:50" s="7" customFormat="1" ht="12" hidden="1">
      <c r="A127" s="7" t="s">
        <v>141</v>
      </c>
      <c r="C127" s="7" t="s">
        <v>789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>
        <f t="shared" si="4"/>
        <v>0</v>
      </c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0</v>
      </c>
      <c r="AG127" s="36"/>
      <c r="AH127" s="36"/>
      <c r="AI127" s="36"/>
      <c r="AJ127" s="36">
        <f t="shared" si="65"/>
        <v>0</v>
      </c>
      <c r="AK127" s="36"/>
      <c r="AL127" s="36"/>
      <c r="AM127" s="36"/>
      <c r="AN127" s="36"/>
      <c r="AO127" s="36"/>
      <c r="AP127" s="36"/>
      <c r="AR127" s="42">
        <f t="shared" si="74"/>
        <v>0</v>
      </c>
      <c r="AS127" s="42"/>
      <c r="AT127" s="42">
        <f t="shared" si="38"/>
        <v>0</v>
      </c>
      <c r="AU127" s="42"/>
      <c r="AV127" s="42">
        <f t="shared" si="39"/>
        <v>0</v>
      </c>
      <c r="AW127" s="42"/>
      <c r="AX127" s="42">
        <f t="shared" si="40"/>
        <v>0</v>
      </c>
    </row>
    <row r="128" spans="1:50" s="7" customFormat="1" ht="12" hidden="1">
      <c r="A128" s="7" t="s">
        <v>410</v>
      </c>
      <c r="C128" s="7" t="s">
        <v>409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>
        <f aca="true" t="shared" si="75" ref="O128:O130">-E128+G128+I128+K128</f>
        <v>0</v>
      </c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>
        <v>0</v>
      </c>
      <c r="AG128" s="36"/>
      <c r="AH128" s="36"/>
      <c r="AI128" s="36"/>
      <c r="AJ128" s="36">
        <f t="shared" si="65"/>
        <v>0</v>
      </c>
      <c r="AK128" s="36"/>
      <c r="AL128" s="36"/>
      <c r="AM128" s="36"/>
      <c r="AN128" s="36"/>
      <c r="AO128" s="36"/>
      <c r="AP128" s="36"/>
      <c r="AR128" s="42">
        <f t="shared" si="74"/>
        <v>0</v>
      </c>
      <c r="AS128" s="42"/>
      <c r="AT128" s="42">
        <f t="shared" si="38"/>
        <v>0</v>
      </c>
      <c r="AU128" s="42"/>
      <c r="AV128" s="42">
        <f t="shared" si="39"/>
        <v>0</v>
      </c>
      <c r="AW128" s="42"/>
      <c r="AX128" s="42">
        <f t="shared" si="40"/>
        <v>0</v>
      </c>
    </row>
    <row r="129" spans="1:50" s="7" customFormat="1" ht="12" hidden="1">
      <c r="A129" s="7" t="s">
        <v>288</v>
      </c>
      <c r="C129" s="7" t="s">
        <v>287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>
        <f t="shared" si="75"/>
        <v>0</v>
      </c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0</v>
      </c>
      <c r="AG129" s="36"/>
      <c r="AH129" s="36"/>
      <c r="AI129" s="36"/>
      <c r="AJ129" s="36">
        <f t="shared" si="65"/>
        <v>0</v>
      </c>
      <c r="AK129" s="36"/>
      <c r="AL129" s="36"/>
      <c r="AM129" s="36"/>
      <c r="AN129" s="36"/>
      <c r="AO129" s="36"/>
      <c r="AP129" s="36"/>
      <c r="AR129" s="42">
        <f t="shared" si="74"/>
        <v>0</v>
      </c>
      <c r="AS129" s="42"/>
      <c r="AT129" s="42">
        <f t="shared" si="38"/>
        <v>0</v>
      </c>
      <c r="AU129" s="42"/>
      <c r="AV129" s="42">
        <f t="shared" si="39"/>
        <v>0</v>
      </c>
      <c r="AW129" s="42"/>
      <c r="AX129" s="42">
        <f t="shared" si="40"/>
        <v>0</v>
      </c>
    </row>
    <row r="130" spans="1:50" s="7" customFormat="1" ht="12">
      <c r="A130" s="7" t="s">
        <v>548</v>
      </c>
      <c r="C130" s="7" t="s">
        <v>542</v>
      </c>
      <c r="E130" s="36">
        <v>1309101</v>
      </c>
      <c r="F130" s="36"/>
      <c r="G130" s="36">
        <v>106797</v>
      </c>
      <c r="H130" s="36"/>
      <c r="I130" s="36">
        <v>76979</v>
      </c>
      <c r="J130" s="36"/>
      <c r="K130" s="36">
        <v>46000</v>
      </c>
      <c r="L130" s="36"/>
      <c r="M130" s="36">
        <v>-1079325</v>
      </c>
      <c r="N130" s="36"/>
      <c r="O130" s="36">
        <f t="shared" si="75"/>
        <v>-1079325</v>
      </c>
      <c r="P130" s="36"/>
      <c r="Q130" s="36">
        <v>85482</v>
      </c>
      <c r="R130" s="36"/>
      <c r="S130" s="36">
        <v>844709</v>
      </c>
      <c r="T130" s="36"/>
      <c r="U130" s="36">
        <v>111424</v>
      </c>
      <c r="V130" s="36">
        <v>18723</v>
      </c>
      <c r="W130" s="36"/>
      <c r="X130" s="36">
        <v>0</v>
      </c>
      <c r="Y130" s="36"/>
      <c r="Z130" s="36">
        <v>24415</v>
      </c>
      <c r="AA130" s="36"/>
      <c r="AB130" s="36">
        <v>0</v>
      </c>
      <c r="AC130" s="36"/>
      <c r="AD130" s="36">
        <v>0</v>
      </c>
      <c r="AE130" s="36"/>
      <c r="AF130" s="36">
        <v>0</v>
      </c>
      <c r="AG130" s="36"/>
      <c r="AH130" s="36">
        <v>0</v>
      </c>
      <c r="AI130" s="36"/>
      <c r="AJ130" s="36">
        <f t="shared" si="65"/>
        <v>1084753</v>
      </c>
      <c r="AK130" s="36"/>
      <c r="AL130" s="36">
        <v>5428</v>
      </c>
      <c r="AM130" s="36"/>
      <c r="AN130" s="36">
        <v>1227886</v>
      </c>
      <c r="AO130" s="36"/>
      <c r="AP130" s="36">
        <v>1233314</v>
      </c>
      <c r="AR130" s="42">
        <f t="shared" si="74"/>
        <v>0</v>
      </c>
      <c r="AS130" s="42"/>
      <c r="AT130" s="42">
        <f t="shared" si="38"/>
        <v>0</v>
      </c>
      <c r="AU130" s="42"/>
      <c r="AV130" s="42">
        <f t="shared" si="39"/>
        <v>0</v>
      </c>
      <c r="AW130" s="42"/>
      <c r="AX130" s="42">
        <f t="shared" si="40"/>
        <v>0</v>
      </c>
    </row>
    <row r="131" spans="1:50" s="7" customFormat="1" ht="12" hidden="1">
      <c r="A131" s="7" t="s">
        <v>37</v>
      </c>
      <c r="C131" s="7" t="s">
        <v>756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>
        <f aca="true" t="shared" si="76" ref="O131:O220">-E131+G131+I131+K131</f>
        <v>0</v>
      </c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0</v>
      </c>
      <c r="AG131" s="36"/>
      <c r="AH131" s="36"/>
      <c r="AI131" s="36"/>
      <c r="AJ131" s="36">
        <f t="shared" si="65"/>
        <v>0</v>
      </c>
      <c r="AK131" s="36"/>
      <c r="AL131" s="36"/>
      <c r="AM131" s="36"/>
      <c r="AN131" s="36"/>
      <c r="AO131" s="36"/>
      <c r="AP131" s="36"/>
      <c r="AR131" s="42">
        <f aca="true" t="shared" si="77" ref="AR131:AR194">+M131-O131</f>
        <v>0</v>
      </c>
      <c r="AS131" s="42"/>
      <c r="AT131" s="42">
        <f t="shared" si="38"/>
        <v>0</v>
      </c>
      <c r="AU131" s="42"/>
      <c r="AV131" s="42">
        <f t="shared" si="39"/>
        <v>0</v>
      </c>
      <c r="AW131" s="42"/>
      <c r="AX131" s="42">
        <f t="shared" si="40"/>
        <v>0</v>
      </c>
    </row>
    <row r="132" spans="1:50" s="7" customFormat="1" ht="12" hidden="1">
      <c r="A132" s="7" t="s">
        <v>355</v>
      </c>
      <c r="C132" s="7" t="s">
        <v>768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>
        <f t="shared" si="76"/>
        <v>0</v>
      </c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>
        <v>0</v>
      </c>
      <c r="AG132" s="36"/>
      <c r="AH132" s="36"/>
      <c r="AI132" s="36"/>
      <c r="AJ132" s="36">
        <f t="shared" si="65"/>
        <v>0</v>
      </c>
      <c r="AK132" s="36"/>
      <c r="AL132" s="36"/>
      <c r="AM132" s="36"/>
      <c r="AN132" s="36"/>
      <c r="AO132" s="36"/>
      <c r="AP132" s="36"/>
      <c r="AR132" s="42">
        <f aca="true" t="shared" si="78" ref="AR132">+M132-O132</f>
        <v>0</v>
      </c>
      <c r="AS132" s="42"/>
      <c r="AT132" s="42">
        <f t="shared" si="38"/>
        <v>0</v>
      </c>
      <c r="AU132" s="42"/>
      <c r="AV132" s="42">
        <f t="shared" si="39"/>
        <v>0</v>
      </c>
      <c r="AW132" s="42"/>
      <c r="AX132" s="42">
        <f t="shared" si="40"/>
        <v>0</v>
      </c>
    </row>
    <row r="133" spans="1:50" s="7" customFormat="1" ht="12">
      <c r="A133" s="7" t="s">
        <v>109</v>
      </c>
      <c r="C133" s="7" t="s">
        <v>407</v>
      </c>
      <c r="E133" s="96">
        <v>13354.31</v>
      </c>
      <c r="F133" s="96"/>
      <c r="G133" s="96">
        <v>2350.67</v>
      </c>
      <c r="H133" s="96"/>
      <c r="I133" s="96">
        <v>4253.69</v>
      </c>
      <c r="J133" s="96"/>
      <c r="K133" s="96">
        <v>0</v>
      </c>
      <c r="L133" s="96"/>
      <c r="M133" s="96">
        <v>-6749.95</v>
      </c>
      <c r="N133" s="96"/>
      <c r="O133" s="96">
        <f aca="true" t="shared" si="79" ref="O133">M133</f>
        <v>-6749.95</v>
      </c>
      <c r="P133" s="96"/>
      <c r="Q133" s="96">
        <v>3033.36</v>
      </c>
      <c r="R133" s="96"/>
      <c r="S133" s="96">
        <v>2441.85</v>
      </c>
      <c r="T133" s="96"/>
      <c r="U133" s="96">
        <v>2654.65</v>
      </c>
      <c r="V133" s="96">
        <v>4.02</v>
      </c>
      <c r="W133" s="96"/>
      <c r="X133" s="96">
        <v>0</v>
      </c>
      <c r="Y133" s="96"/>
      <c r="Z133" s="96">
        <v>531.06</v>
      </c>
      <c r="AA133" s="96"/>
      <c r="AB133" s="96">
        <v>0</v>
      </c>
      <c r="AC133" s="96"/>
      <c r="AD133" s="96">
        <v>0</v>
      </c>
      <c r="AE133" s="96"/>
      <c r="AF133" s="96">
        <v>0</v>
      </c>
      <c r="AG133" s="96"/>
      <c r="AH133" s="96">
        <v>0</v>
      </c>
      <c r="AI133" s="96"/>
      <c r="AJ133" s="96">
        <f aca="true" t="shared" si="80" ref="AJ133">SUM(Q133:AH133)</f>
        <v>8664.94</v>
      </c>
      <c r="AK133" s="96"/>
      <c r="AL133" s="96">
        <v>1914.99</v>
      </c>
      <c r="AM133" s="96"/>
      <c r="AN133" s="96">
        <v>3028.56</v>
      </c>
      <c r="AO133" s="96"/>
      <c r="AP133" s="96">
        <v>4943.55</v>
      </c>
      <c r="AR133" s="42">
        <f aca="true" t="shared" si="81" ref="AR133">+M133-O133</f>
        <v>0</v>
      </c>
      <c r="AS133" s="42"/>
      <c r="AT133" s="42">
        <f t="shared" si="38"/>
        <v>0</v>
      </c>
      <c r="AU133" s="42"/>
      <c r="AV133" s="42">
        <f t="shared" si="39"/>
        <v>0</v>
      </c>
      <c r="AW133" s="42"/>
      <c r="AX133" s="42">
        <f t="shared" si="40"/>
        <v>0</v>
      </c>
    </row>
    <row r="134" spans="1:50" s="7" customFormat="1" ht="12">
      <c r="A134" s="7" t="s">
        <v>149</v>
      </c>
      <c r="C134" s="7" t="s">
        <v>791</v>
      </c>
      <c r="E134" s="36">
        <v>60071.18</v>
      </c>
      <c r="F134" s="36"/>
      <c r="G134" s="36">
        <v>0</v>
      </c>
      <c r="H134" s="36"/>
      <c r="I134" s="36">
        <v>17377.73</v>
      </c>
      <c r="J134" s="36"/>
      <c r="K134" s="36">
        <v>736.28</v>
      </c>
      <c r="L134" s="36"/>
      <c r="M134" s="36">
        <v>-41957.17</v>
      </c>
      <c r="N134" s="36"/>
      <c r="O134" s="36">
        <f t="shared" si="76"/>
        <v>-41957.17</v>
      </c>
      <c r="P134" s="36"/>
      <c r="Q134" s="36">
        <v>13733.15</v>
      </c>
      <c r="R134" s="36"/>
      <c r="S134" s="36">
        <v>28746.33</v>
      </c>
      <c r="T134" s="36"/>
      <c r="U134" s="36">
        <v>11308.37</v>
      </c>
      <c r="V134" s="36">
        <v>0</v>
      </c>
      <c r="W134" s="36"/>
      <c r="X134" s="36">
        <v>0</v>
      </c>
      <c r="Y134" s="36"/>
      <c r="Z134" s="36">
        <v>244.1</v>
      </c>
      <c r="AA134" s="36"/>
      <c r="AB134" s="36">
        <v>0</v>
      </c>
      <c r="AC134" s="36"/>
      <c r="AD134" s="36">
        <v>-51044.43</v>
      </c>
      <c r="AE134" s="36"/>
      <c r="AF134" s="36">
        <v>0</v>
      </c>
      <c r="AG134" s="36"/>
      <c r="AH134" s="36">
        <v>0</v>
      </c>
      <c r="AI134" s="36"/>
      <c r="AJ134" s="36">
        <f aca="true" t="shared" si="82" ref="AJ134:AJ165">Q134+S134+U134+V134+X134+Z134+AB134+AD134+AH134+AF134</f>
        <v>2987.520000000004</v>
      </c>
      <c r="AK134" s="36"/>
      <c r="AL134" s="36">
        <v>-38969.65</v>
      </c>
      <c r="AM134" s="36"/>
      <c r="AN134" s="36">
        <v>150469</v>
      </c>
      <c r="AO134" s="36"/>
      <c r="AP134" s="36">
        <v>111499.35</v>
      </c>
      <c r="AR134" s="42">
        <f t="shared" si="77"/>
        <v>0</v>
      </c>
      <c r="AS134" s="42"/>
      <c r="AT134" s="42">
        <f t="shared" si="38"/>
        <v>0</v>
      </c>
      <c r="AU134" s="42"/>
      <c r="AV134" s="42">
        <f t="shared" si="39"/>
        <v>0</v>
      </c>
      <c r="AW134" s="42"/>
      <c r="AX134" s="42">
        <f t="shared" si="40"/>
        <v>0</v>
      </c>
    </row>
    <row r="135" spans="1:50" s="7" customFormat="1" ht="12">
      <c r="A135" s="7" t="s">
        <v>277</v>
      </c>
      <c r="C135" s="7" t="s">
        <v>275</v>
      </c>
      <c r="E135" s="36">
        <v>3530355</v>
      </c>
      <c r="F135" s="36"/>
      <c r="G135" s="36">
        <v>96955</v>
      </c>
      <c r="H135" s="36"/>
      <c r="I135" s="36">
        <v>143898</v>
      </c>
      <c r="J135" s="36"/>
      <c r="K135" s="36">
        <v>0</v>
      </c>
      <c r="L135" s="36"/>
      <c r="M135" s="36">
        <v>-3289502</v>
      </c>
      <c r="N135" s="36"/>
      <c r="O135" s="36">
        <f t="shared" si="76"/>
        <v>-3289502</v>
      </c>
      <c r="P135" s="36"/>
      <c r="Q135" s="36">
        <v>267065</v>
      </c>
      <c r="R135" s="36"/>
      <c r="S135" s="36">
        <v>2766399</v>
      </c>
      <c r="T135" s="36"/>
      <c r="U135" s="36">
        <v>203805</v>
      </c>
      <c r="V135" s="36">
        <v>9705</v>
      </c>
      <c r="W135" s="36"/>
      <c r="X135" s="36">
        <v>0</v>
      </c>
      <c r="Y135" s="36"/>
      <c r="Z135" s="36">
        <f>16310+2896</f>
        <v>19206</v>
      </c>
      <c r="AA135" s="36"/>
      <c r="AB135" s="36">
        <v>0</v>
      </c>
      <c r="AC135" s="36"/>
      <c r="AD135" s="36">
        <v>-200000</v>
      </c>
      <c r="AE135" s="36"/>
      <c r="AF135" s="36">
        <v>0</v>
      </c>
      <c r="AG135" s="36"/>
      <c r="AH135" s="36">
        <v>0</v>
      </c>
      <c r="AI135" s="36"/>
      <c r="AJ135" s="36">
        <f t="shared" si="82"/>
        <v>3066180</v>
      </c>
      <c r="AK135" s="36"/>
      <c r="AL135" s="36">
        <v>-223322</v>
      </c>
      <c r="AM135" s="36"/>
      <c r="AN135" s="36">
        <v>2025481</v>
      </c>
      <c r="AO135" s="36"/>
      <c r="AP135" s="36">
        <v>1802159</v>
      </c>
      <c r="AR135" s="42">
        <f aca="true" t="shared" si="83" ref="AR135">+M135-O135</f>
        <v>0</v>
      </c>
      <c r="AS135" s="42"/>
      <c r="AT135" s="42">
        <f t="shared" si="38"/>
        <v>0</v>
      </c>
      <c r="AU135" s="42"/>
      <c r="AV135" s="42">
        <f t="shared" si="39"/>
        <v>0</v>
      </c>
      <c r="AW135" s="42"/>
      <c r="AX135" s="42">
        <f t="shared" si="40"/>
        <v>0</v>
      </c>
    </row>
    <row r="136" spans="1:50" s="7" customFormat="1" ht="12">
      <c r="A136" s="7" t="s">
        <v>12</v>
      </c>
      <c r="C136" s="7" t="s">
        <v>749</v>
      </c>
      <c r="E136" s="36">
        <v>531007.61</v>
      </c>
      <c r="F136" s="36"/>
      <c r="G136" s="36">
        <v>100995.25</v>
      </c>
      <c r="H136" s="36"/>
      <c r="I136" s="36">
        <v>42674.72</v>
      </c>
      <c r="J136" s="36"/>
      <c r="K136" s="36">
        <v>20532.26</v>
      </c>
      <c r="L136" s="36"/>
      <c r="M136" s="36">
        <v>-366805.38</v>
      </c>
      <c r="N136" s="36"/>
      <c r="O136" s="36">
        <f aca="true" t="shared" si="84" ref="O136:O138">M136</f>
        <v>-366805.38</v>
      </c>
      <c r="P136" s="36"/>
      <c r="Q136" s="36">
        <v>86959.12</v>
      </c>
      <c r="R136" s="36"/>
      <c r="S136" s="36">
        <v>286543.28</v>
      </c>
      <c r="T136" s="36"/>
      <c r="U136" s="36">
        <v>81588.24</v>
      </c>
      <c r="V136" s="36">
        <v>3246.46</v>
      </c>
      <c r="W136" s="36"/>
      <c r="X136" s="36">
        <v>0</v>
      </c>
      <c r="Y136" s="36"/>
      <c r="Z136" s="36">
        <v>21378.93</v>
      </c>
      <c r="AA136" s="36"/>
      <c r="AB136" s="36">
        <v>4443.63</v>
      </c>
      <c r="AC136" s="36"/>
      <c r="AD136" s="36">
        <v>-34777.01</v>
      </c>
      <c r="AE136" s="36"/>
      <c r="AF136" s="36">
        <v>0</v>
      </c>
      <c r="AG136" s="36"/>
      <c r="AH136" s="36">
        <v>0</v>
      </c>
      <c r="AI136" s="36"/>
      <c r="AJ136" s="36">
        <f t="shared" si="82"/>
        <v>449382.65</v>
      </c>
      <c r="AK136" s="36"/>
      <c r="AL136" s="36">
        <v>82577.27</v>
      </c>
      <c r="AM136" s="36"/>
      <c r="AN136" s="36">
        <v>460793.17</v>
      </c>
      <c r="AO136" s="36"/>
      <c r="AP136" s="36">
        <v>543370.44</v>
      </c>
      <c r="AR136" s="42">
        <f t="shared" si="77"/>
        <v>0</v>
      </c>
      <c r="AS136" s="42"/>
      <c r="AT136" s="42">
        <f t="shared" si="38"/>
        <v>0</v>
      </c>
      <c r="AU136" s="42"/>
      <c r="AV136" s="42">
        <f t="shared" si="39"/>
        <v>0</v>
      </c>
      <c r="AW136" s="42"/>
      <c r="AX136" s="42">
        <f t="shared" si="40"/>
        <v>0</v>
      </c>
    </row>
    <row r="137" spans="1:50" s="7" customFormat="1" ht="12">
      <c r="A137" s="7" t="s">
        <v>952</v>
      </c>
      <c r="C137" s="7" t="s">
        <v>519</v>
      </c>
      <c r="E137" s="36">
        <v>586215.95</v>
      </c>
      <c r="F137" s="36"/>
      <c r="G137" s="36">
        <v>96700.15</v>
      </c>
      <c r="H137" s="36"/>
      <c r="I137" s="36">
        <v>92052.68</v>
      </c>
      <c r="J137" s="36"/>
      <c r="K137" s="36">
        <v>63701.42</v>
      </c>
      <c r="L137" s="36"/>
      <c r="M137" s="36">
        <v>-333761.7</v>
      </c>
      <c r="N137" s="36"/>
      <c r="O137" s="36">
        <f t="shared" si="84"/>
        <v>-333761.7</v>
      </c>
      <c r="P137" s="36"/>
      <c r="Q137" s="36">
        <v>130043.53</v>
      </c>
      <c r="R137" s="36"/>
      <c r="S137" s="36">
        <v>112354.8</v>
      </c>
      <c r="T137" s="36"/>
      <c r="U137" s="36">
        <v>107261.03</v>
      </c>
      <c r="V137" s="36">
        <v>0</v>
      </c>
      <c r="W137" s="36"/>
      <c r="X137" s="36">
        <v>20405.79</v>
      </c>
      <c r="Y137" s="36"/>
      <c r="Z137" s="36">
        <v>81335.86</v>
      </c>
      <c r="AA137" s="36"/>
      <c r="AB137" s="36">
        <v>0</v>
      </c>
      <c r="AC137" s="36"/>
      <c r="AD137" s="36">
        <v>0</v>
      </c>
      <c r="AE137" s="36"/>
      <c r="AF137" s="36">
        <v>0</v>
      </c>
      <c r="AG137" s="36"/>
      <c r="AH137" s="36">
        <v>19047.77</v>
      </c>
      <c r="AI137" s="36"/>
      <c r="AJ137" s="36">
        <f t="shared" si="82"/>
        <v>470448.77999999997</v>
      </c>
      <c r="AK137" s="36"/>
      <c r="AL137" s="36">
        <v>136687.08</v>
      </c>
      <c r="AM137" s="36"/>
      <c r="AN137" s="36">
        <v>526132.21</v>
      </c>
      <c r="AO137" s="36"/>
      <c r="AP137" s="36">
        <v>662819.29</v>
      </c>
      <c r="AR137" s="42">
        <f aca="true" t="shared" si="85" ref="AR137">+M137-O137</f>
        <v>0</v>
      </c>
      <c r="AS137" s="42"/>
      <c r="AT137" s="42">
        <f t="shared" si="38"/>
        <v>0</v>
      </c>
      <c r="AU137" s="42"/>
      <c r="AV137" s="42">
        <f t="shared" si="39"/>
        <v>0</v>
      </c>
      <c r="AW137" s="42"/>
      <c r="AX137" s="42">
        <f t="shared" si="40"/>
        <v>0</v>
      </c>
    </row>
    <row r="138" spans="1:50" s="7" customFormat="1" ht="12">
      <c r="A138" s="7" t="s">
        <v>145</v>
      </c>
      <c r="C138" s="7" t="s">
        <v>790</v>
      </c>
      <c r="E138" s="36">
        <v>700287.05</v>
      </c>
      <c r="F138" s="36"/>
      <c r="G138" s="36">
        <v>89598.22</v>
      </c>
      <c r="H138" s="36"/>
      <c r="I138" s="36">
        <v>76108.8</v>
      </c>
      <c r="J138" s="36"/>
      <c r="K138" s="36">
        <v>0</v>
      </c>
      <c r="L138" s="36"/>
      <c r="M138" s="36">
        <v>-534580.03</v>
      </c>
      <c r="N138" s="36"/>
      <c r="O138" s="36">
        <f t="shared" si="84"/>
        <v>-534580.03</v>
      </c>
      <c r="P138" s="36"/>
      <c r="Q138" s="36">
        <v>336402.56</v>
      </c>
      <c r="R138" s="36"/>
      <c r="S138" s="36">
        <v>0</v>
      </c>
      <c r="T138" s="36"/>
      <c r="U138" s="36">
        <v>197786.66</v>
      </c>
      <c r="V138" s="36">
        <v>131.8</v>
      </c>
      <c r="W138" s="36"/>
      <c r="X138" s="36">
        <v>0</v>
      </c>
      <c r="Y138" s="36"/>
      <c r="Z138" s="36">
        <v>159060.73</v>
      </c>
      <c r="AA138" s="36"/>
      <c r="AB138" s="36">
        <v>0</v>
      </c>
      <c r="AC138" s="36"/>
      <c r="AD138" s="36">
        <v>0</v>
      </c>
      <c r="AE138" s="36"/>
      <c r="AF138" s="36">
        <v>0</v>
      </c>
      <c r="AG138" s="36"/>
      <c r="AH138" s="36">
        <v>0</v>
      </c>
      <c r="AI138" s="36"/>
      <c r="AJ138" s="36">
        <f t="shared" si="82"/>
        <v>693381.75</v>
      </c>
      <c r="AK138" s="36"/>
      <c r="AL138" s="36">
        <v>158801.72</v>
      </c>
      <c r="AM138" s="36"/>
      <c r="AN138" s="36">
        <v>423354.35</v>
      </c>
      <c r="AO138" s="36"/>
      <c r="AP138" s="36">
        <v>582156.07</v>
      </c>
      <c r="AR138" s="42">
        <f t="shared" si="77"/>
        <v>0</v>
      </c>
      <c r="AS138" s="42"/>
      <c r="AT138" s="42">
        <f t="shared" si="38"/>
        <v>0</v>
      </c>
      <c r="AU138" s="42"/>
      <c r="AV138" s="42">
        <f t="shared" si="39"/>
        <v>0</v>
      </c>
      <c r="AW138" s="42"/>
      <c r="AX138" s="42">
        <f t="shared" si="40"/>
        <v>0</v>
      </c>
    </row>
    <row r="139" spans="1:50" s="7" customFormat="1" ht="12">
      <c r="A139" s="7" t="s">
        <v>566</v>
      </c>
      <c r="C139" s="7" t="s">
        <v>818</v>
      </c>
      <c r="E139" s="36">
        <v>1341564</v>
      </c>
      <c r="F139" s="36"/>
      <c r="G139" s="36">
        <v>104917</v>
      </c>
      <c r="H139" s="36"/>
      <c r="I139" s="36">
        <v>178160</v>
      </c>
      <c r="J139" s="36"/>
      <c r="K139" s="36">
        <v>4971</v>
      </c>
      <c r="L139" s="36"/>
      <c r="M139" s="36">
        <v>-1053516</v>
      </c>
      <c r="N139" s="36"/>
      <c r="O139" s="36">
        <f>-E139+G139+I139+K139</f>
        <v>-1053516</v>
      </c>
      <c r="P139" s="36"/>
      <c r="Q139" s="36">
        <f>111052+14107</f>
        <v>125159</v>
      </c>
      <c r="R139" s="36"/>
      <c r="S139" s="36">
        <f>641508+318582+10000</f>
        <v>970090</v>
      </c>
      <c r="T139" s="36"/>
      <c r="U139" s="36">
        <v>0</v>
      </c>
      <c r="V139" s="36">
        <v>11695</v>
      </c>
      <c r="W139" s="36"/>
      <c r="X139" s="36">
        <v>0</v>
      </c>
      <c r="Y139" s="36"/>
      <c r="Z139" s="36">
        <f>266829+33380</f>
        <v>300209</v>
      </c>
      <c r="AA139" s="36"/>
      <c r="AB139" s="36">
        <v>0</v>
      </c>
      <c r="AC139" s="36"/>
      <c r="AD139" s="36">
        <v>0</v>
      </c>
      <c r="AE139" s="36"/>
      <c r="AF139" s="36">
        <v>0</v>
      </c>
      <c r="AG139" s="36"/>
      <c r="AH139" s="36">
        <v>0</v>
      </c>
      <c r="AI139" s="36"/>
      <c r="AJ139" s="36">
        <f t="shared" si="82"/>
        <v>1407153</v>
      </c>
      <c r="AK139" s="36"/>
      <c r="AL139" s="36">
        <v>353637</v>
      </c>
      <c r="AM139" s="36"/>
      <c r="AN139" s="36">
        <v>321391</v>
      </c>
      <c r="AO139" s="36"/>
      <c r="AP139" s="36">
        <v>675028</v>
      </c>
      <c r="AR139" s="42">
        <f aca="true" t="shared" si="86" ref="AR139">+M139-O139</f>
        <v>0</v>
      </c>
      <c r="AS139" s="42"/>
      <c r="AT139" s="42">
        <f t="shared" si="38"/>
        <v>0</v>
      </c>
      <c r="AU139" s="42"/>
      <c r="AV139" s="42">
        <f t="shared" si="39"/>
        <v>0</v>
      </c>
      <c r="AW139" s="42"/>
      <c r="AX139" s="42">
        <f t="shared" si="40"/>
        <v>0</v>
      </c>
    </row>
    <row r="140" spans="1:50" s="7" customFormat="1" ht="12">
      <c r="A140" s="7" t="s">
        <v>964</v>
      </c>
      <c r="C140" s="7" t="s">
        <v>559</v>
      </c>
      <c r="E140" s="36">
        <v>3905118</v>
      </c>
      <c r="F140" s="36"/>
      <c r="G140" s="36">
        <v>1108895</v>
      </c>
      <c r="H140" s="36"/>
      <c r="I140" s="36">
        <v>553999</v>
      </c>
      <c r="J140" s="36"/>
      <c r="K140" s="36">
        <v>91802</v>
      </c>
      <c r="L140" s="36"/>
      <c r="M140" s="36">
        <v>-2150422</v>
      </c>
      <c r="N140" s="36"/>
      <c r="O140" s="36">
        <f>-E140+G140+I140+K140</f>
        <v>-2150422</v>
      </c>
      <c r="P140" s="36"/>
      <c r="Q140" s="36">
        <f>117978+15590</f>
        <v>133568</v>
      </c>
      <c r="R140" s="36"/>
      <c r="S140" s="36">
        <f>551783+61314+61314+91971</f>
        <v>766382</v>
      </c>
      <c r="T140" s="36"/>
      <c r="U140" s="36">
        <v>228429</v>
      </c>
      <c r="V140" s="36">
        <v>112108</v>
      </c>
      <c r="W140" s="36"/>
      <c r="X140" s="36">
        <v>0</v>
      </c>
      <c r="Y140" s="36"/>
      <c r="Z140" s="36">
        <v>693483</v>
      </c>
      <c r="AA140" s="36"/>
      <c r="AB140" s="36">
        <v>0</v>
      </c>
      <c r="AC140" s="36"/>
      <c r="AD140" s="36">
        <v>0</v>
      </c>
      <c r="AE140" s="36"/>
      <c r="AF140" s="36">
        <v>0</v>
      </c>
      <c r="AG140" s="36"/>
      <c r="AH140" s="36">
        <v>0</v>
      </c>
      <c r="AI140" s="36"/>
      <c r="AJ140" s="36">
        <f t="shared" si="82"/>
        <v>1933970</v>
      </c>
      <c r="AK140" s="36"/>
      <c r="AL140" s="36">
        <v>-216452</v>
      </c>
      <c r="AM140" s="36"/>
      <c r="AN140" s="36">
        <v>1646335</v>
      </c>
      <c r="AO140" s="36"/>
      <c r="AP140" s="36">
        <v>1429883</v>
      </c>
      <c r="AR140" s="42">
        <f aca="true" t="shared" si="87" ref="AR140">+M140-O140</f>
        <v>0</v>
      </c>
      <c r="AS140" s="42"/>
      <c r="AT140" s="42">
        <f aca="true" t="shared" si="88" ref="AT140:AT204">+Q140+S140+U140+V140+X140+Z140+AB140+AD140+AH140-AJ140+AF140</f>
        <v>0</v>
      </c>
      <c r="AU140" s="42"/>
      <c r="AV140" s="42">
        <f aca="true" t="shared" si="89" ref="AV140:AV204">+O140+AJ140-AL140</f>
        <v>0</v>
      </c>
      <c r="AW140" s="42"/>
      <c r="AX140" s="42">
        <f aca="true" t="shared" si="90" ref="AX140:AX204">+O140+AJ140+AN140-AP140</f>
        <v>0</v>
      </c>
    </row>
    <row r="141" spans="1:50" s="7" customFormat="1" ht="12">
      <c r="A141" s="7" t="s">
        <v>495</v>
      </c>
      <c r="C141" s="7" t="s">
        <v>802</v>
      </c>
      <c r="E141" s="36">
        <v>1645575</v>
      </c>
      <c r="F141" s="36"/>
      <c r="G141" s="36">
        <v>98946</v>
      </c>
      <c r="H141" s="36"/>
      <c r="I141" s="36">
        <v>181405</v>
      </c>
      <c r="J141" s="36"/>
      <c r="K141" s="36">
        <v>0</v>
      </c>
      <c r="L141" s="36"/>
      <c r="M141" s="36">
        <v>-1365224</v>
      </c>
      <c r="N141" s="36"/>
      <c r="O141" s="36">
        <f t="shared" si="76"/>
        <v>-1365224</v>
      </c>
      <c r="P141" s="36"/>
      <c r="Q141" s="36">
        <f>149110+103384</f>
        <v>252494</v>
      </c>
      <c r="R141" s="36"/>
      <c r="S141" s="36">
        <v>612724</v>
      </c>
      <c r="T141" s="36"/>
      <c r="U141" s="36">
        <v>156902</v>
      </c>
      <c r="V141" s="36">
        <v>87708</v>
      </c>
      <c r="W141" s="36"/>
      <c r="X141" s="36">
        <v>18574</v>
      </c>
      <c r="Y141" s="36"/>
      <c r="Z141" s="36">
        <f>885+97405</f>
        <v>98290</v>
      </c>
      <c r="AA141" s="36"/>
      <c r="AB141" s="36">
        <v>0</v>
      </c>
      <c r="AC141" s="36"/>
      <c r="AD141" s="36">
        <v>266</v>
      </c>
      <c r="AE141" s="36"/>
      <c r="AF141" s="36">
        <v>0</v>
      </c>
      <c r="AG141" s="36"/>
      <c r="AH141" s="36">
        <v>0</v>
      </c>
      <c r="AI141" s="36"/>
      <c r="AJ141" s="36">
        <f t="shared" si="82"/>
        <v>1226958</v>
      </c>
      <c r="AK141" s="36"/>
      <c r="AL141" s="36">
        <v>-138266</v>
      </c>
      <c r="AM141" s="36"/>
      <c r="AN141" s="36">
        <v>1440955</v>
      </c>
      <c r="AO141" s="36"/>
      <c r="AP141" s="36">
        <v>1302689</v>
      </c>
      <c r="AR141" s="42">
        <f aca="true" t="shared" si="91" ref="AR141">+M141-O141</f>
        <v>0</v>
      </c>
      <c r="AS141" s="42"/>
      <c r="AT141" s="42">
        <f t="shared" si="88"/>
        <v>0</v>
      </c>
      <c r="AU141" s="42"/>
      <c r="AV141" s="42">
        <f t="shared" si="89"/>
        <v>0</v>
      </c>
      <c r="AW141" s="42"/>
      <c r="AX141" s="42">
        <f t="shared" si="90"/>
        <v>0</v>
      </c>
    </row>
    <row r="142" spans="1:50" s="7" customFormat="1" ht="12">
      <c r="A142" s="7" t="s">
        <v>325</v>
      </c>
      <c r="C142" s="7" t="s">
        <v>316</v>
      </c>
      <c r="E142" s="36">
        <v>12907801</v>
      </c>
      <c r="F142" s="36"/>
      <c r="G142" s="36">
        <v>679790</v>
      </c>
      <c r="H142" s="36"/>
      <c r="I142" s="36">
        <v>542799</v>
      </c>
      <c r="J142" s="36"/>
      <c r="K142" s="36">
        <v>25000</v>
      </c>
      <c r="L142" s="36"/>
      <c r="M142" s="36">
        <v>-11660212</v>
      </c>
      <c r="N142" s="36"/>
      <c r="O142" s="36">
        <f t="shared" si="76"/>
        <v>-11660212</v>
      </c>
      <c r="P142" s="36"/>
      <c r="Q142" s="36">
        <f>307879+63699+41850</f>
        <v>413428</v>
      </c>
      <c r="R142" s="36"/>
      <c r="S142" s="36">
        <f>4558681+135198+104574</f>
        <v>4798453</v>
      </c>
      <c r="T142" s="36"/>
      <c r="U142" s="36">
        <v>490972</v>
      </c>
      <c r="V142" s="36">
        <v>25</v>
      </c>
      <c r="W142" s="36"/>
      <c r="X142" s="36">
        <v>0</v>
      </c>
      <c r="Y142" s="36"/>
      <c r="Z142" s="36">
        <v>492887</v>
      </c>
      <c r="AA142" s="36"/>
      <c r="AB142" s="36">
        <v>5345000</v>
      </c>
      <c r="AC142" s="36"/>
      <c r="AD142" s="36">
        <v>0</v>
      </c>
      <c r="AE142" s="36"/>
      <c r="AF142" s="36">
        <v>0</v>
      </c>
      <c r="AG142" s="36"/>
      <c r="AH142" s="36">
        <v>0</v>
      </c>
      <c r="AI142" s="36"/>
      <c r="AJ142" s="36">
        <f t="shared" si="82"/>
        <v>11540765</v>
      </c>
      <c r="AK142" s="36"/>
      <c r="AL142" s="36">
        <v>-119447</v>
      </c>
      <c r="AM142" s="36"/>
      <c r="AN142" s="36">
        <v>391240</v>
      </c>
      <c r="AO142" s="36"/>
      <c r="AP142" s="36">
        <v>271793</v>
      </c>
      <c r="AR142" s="42">
        <f>+M142-O142</f>
        <v>0</v>
      </c>
      <c r="AS142" s="42"/>
      <c r="AT142" s="42">
        <f t="shared" si="88"/>
        <v>0</v>
      </c>
      <c r="AU142" s="42"/>
      <c r="AV142" s="42">
        <f t="shared" si="89"/>
        <v>0</v>
      </c>
      <c r="AW142" s="42"/>
      <c r="AX142" s="42">
        <f t="shared" si="90"/>
        <v>0</v>
      </c>
    </row>
    <row r="143" spans="1:50" s="7" customFormat="1" ht="10.5" customHeight="1">
      <c r="A143" s="7" t="s">
        <v>75</v>
      </c>
      <c r="C143" s="7" t="s">
        <v>768</v>
      </c>
      <c r="E143" s="36">
        <v>11266101</v>
      </c>
      <c r="F143" s="36"/>
      <c r="G143" s="36">
        <v>388007</v>
      </c>
      <c r="H143" s="36"/>
      <c r="I143" s="36">
        <v>268873</v>
      </c>
      <c r="J143" s="36"/>
      <c r="K143" s="36">
        <v>4923416</v>
      </c>
      <c r="L143" s="36"/>
      <c r="M143" s="36">
        <v>-5685805</v>
      </c>
      <c r="N143" s="36"/>
      <c r="O143" s="36">
        <f t="shared" si="76"/>
        <v>-5685805</v>
      </c>
      <c r="P143" s="36"/>
      <c r="Q143" s="36">
        <f>194753+109806</f>
        <v>304559</v>
      </c>
      <c r="R143" s="36"/>
      <c r="S143" s="36">
        <v>4510438</v>
      </c>
      <c r="T143" s="36"/>
      <c r="U143" s="36">
        <v>224701</v>
      </c>
      <c r="V143" s="36">
        <v>21429</v>
      </c>
      <c r="W143" s="36"/>
      <c r="X143" s="36">
        <v>26527</v>
      </c>
      <c r="Y143" s="36"/>
      <c r="Z143" s="36">
        <f>202609+1385000+251598</f>
        <v>1839207</v>
      </c>
      <c r="AA143" s="36"/>
      <c r="AB143" s="36">
        <v>0</v>
      </c>
      <c r="AC143" s="36"/>
      <c r="AD143" s="36">
        <v>-150000</v>
      </c>
      <c r="AE143" s="36"/>
      <c r="AF143" s="36">
        <v>0</v>
      </c>
      <c r="AG143" s="36"/>
      <c r="AH143" s="36">
        <v>0</v>
      </c>
      <c r="AI143" s="36"/>
      <c r="AJ143" s="36">
        <f t="shared" si="82"/>
        <v>6776861</v>
      </c>
      <c r="AK143" s="36"/>
      <c r="AL143" s="36">
        <v>1091056</v>
      </c>
      <c r="AM143" s="36"/>
      <c r="AN143" s="36">
        <v>3548919</v>
      </c>
      <c r="AO143" s="36"/>
      <c r="AP143" s="36">
        <v>4639975</v>
      </c>
      <c r="AR143" s="42">
        <f t="shared" si="77"/>
        <v>0</v>
      </c>
      <c r="AS143" s="42"/>
      <c r="AT143" s="42">
        <f t="shared" si="88"/>
        <v>0</v>
      </c>
      <c r="AU143" s="42"/>
      <c r="AV143" s="42">
        <f t="shared" si="89"/>
        <v>0</v>
      </c>
      <c r="AW143" s="42"/>
      <c r="AX143" s="42">
        <f t="shared" si="90"/>
        <v>0</v>
      </c>
    </row>
    <row r="144" spans="1:50" s="7" customFormat="1" ht="12" hidden="1">
      <c r="A144" s="7" t="s">
        <v>678</v>
      </c>
      <c r="C144" s="7" t="s">
        <v>674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>
        <f t="shared" si="76"/>
        <v>0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>
        <v>0</v>
      </c>
      <c r="AG144" s="36"/>
      <c r="AH144" s="36"/>
      <c r="AI144" s="36"/>
      <c r="AJ144" s="36">
        <f t="shared" si="82"/>
        <v>0</v>
      </c>
      <c r="AK144" s="36"/>
      <c r="AL144" s="36"/>
      <c r="AM144" s="36"/>
      <c r="AN144" s="36"/>
      <c r="AO144" s="36"/>
      <c r="AP144" s="36"/>
      <c r="AR144" s="42">
        <f>+M144-O144</f>
        <v>0</v>
      </c>
      <c r="AS144" s="42"/>
      <c r="AT144" s="42">
        <f t="shared" si="88"/>
        <v>0</v>
      </c>
      <c r="AU144" s="42"/>
      <c r="AV144" s="42">
        <f t="shared" si="89"/>
        <v>0</v>
      </c>
      <c r="AW144" s="42"/>
      <c r="AX144" s="42">
        <f t="shared" si="90"/>
        <v>0</v>
      </c>
    </row>
    <row r="145" spans="1:50" s="42" customFormat="1" ht="12">
      <c r="A145" s="42" t="s">
        <v>207</v>
      </c>
      <c r="C145" s="42" t="s">
        <v>808</v>
      </c>
      <c r="E145" s="96">
        <v>5599960.33</v>
      </c>
      <c r="F145" s="96"/>
      <c r="G145" s="96">
        <v>206106.93</v>
      </c>
      <c r="H145" s="96"/>
      <c r="I145" s="96">
        <v>231828.05</v>
      </c>
      <c r="J145" s="96"/>
      <c r="K145" s="96">
        <v>331377.2</v>
      </c>
      <c r="L145" s="96"/>
      <c r="M145" s="96">
        <v>-4830648.15</v>
      </c>
      <c r="N145" s="96"/>
      <c r="O145" s="96">
        <f t="shared" si="76"/>
        <v>-4830648.15</v>
      </c>
      <c r="P145" s="96"/>
      <c r="Q145" s="96">
        <v>351178.47</v>
      </c>
      <c r="R145" s="96"/>
      <c r="S145" s="96">
        <v>1234024.39</v>
      </c>
      <c r="T145" s="96"/>
      <c r="U145" s="96">
        <v>1114316.81</v>
      </c>
      <c r="V145" s="96">
        <v>53107.7</v>
      </c>
      <c r="W145" s="96"/>
      <c r="X145" s="96">
        <v>0</v>
      </c>
      <c r="Y145" s="96"/>
      <c r="Z145" s="96">
        <v>1049811.67</v>
      </c>
      <c r="AA145" s="96"/>
      <c r="AB145" s="96">
        <v>3150051.9</v>
      </c>
      <c r="AC145" s="96"/>
      <c r="AD145" s="96">
        <v>0</v>
      </c>
      <c r="AE145" s="96"/>
      <c r="AF145" s="96">
        <v>0</v>
      </c>
      <c r="AG145" s="96"/>
      <c r="AH145" s="96">
        <v>0</v>
      </c>
      <c r="AI145" s="96"/>
      <c r="AJ145" s="96">
        <f t="shared" si="82"/>
        <v>6952490.9399999995</v>
      </c>
      <c r="AK145" s="96"/>
      <c r="AL145" s="96">
        <v>2121842.79</v>
      </c>
      <c r="AM145" s="96"/>
      <c r="AN145" s="96">
        <v>4302345.93</v>
      </c>
      <c r="AO145" s="96"/>
      <c r="AP145" s="96">
        <v>6424188.72</v>
      </c>
      <c r="AR145" s="42">
        <f t="shared" si="77"/>
        <v>0</v>
      </c>
      <c r="AT145" s="42">
        <f t="shared" si="88"/>
        <v>0</v>
      </c>
      <c r="AV145" s="42">
        <f t="shared" si="89"/>
        <v>0</v>
      </c>
      <c r="AX145" s="42">
        <f t="shared" si="90"/>
        <v>0</v>
      </c>
    </row>
    <row r="146" spans="1:50" s="44" customFormat="1" ht="12">
      <c r="A146" s="44" t="s">
        <v>456</v>
      </c>
      <c r="C146" s="44" t="s">
        <v>455</v>
      </c>
      <c r="E146" s="36">
        <v>5261524</v>
      </c>
      <c r="F146" s="36"/>
      <c r="G146" s="36">
        <v>244744</v>
      </c>
      <c r="H146" s="36"/>
      <c r="I146" s="36">
        <v>279804</v>
      </c>
      <c r="J146" s="36"/>
      <c r="K146" s="36">
        <v>42042</v>
      </c>
      <c r="L146" s="36"/>
      <c r="M146" s="36">
        <v>-4694934</v>
      </c>
      <c r="N146" s="36"/>
      <c r="O146" s="36">
        <f>-E146+G146+I146+K146</f>
        <v>-4694934</v>
      </c>
      <c r="P146" s="36"/>
      <c r="Q146" s="36">
        <f>490361+42000+42000+44966</f>
        <v>619327</v>
      </c>
      <c r="R146" s="36"/>
      <c r="S146" s="36">
        <v>3537917</v>
      </c>
      <c r="T146" s="36"/>
      <c r="U146" s="36">
        <v>495528</v>
      </c>
      <c r="V146" s="36">
        <v>177734</v>
      </c>
      <c r="W146" s="36"/>
      <c r="X146" s="36">
        <v>0</v>
      </c>
      <c r="Y146" s="36"/>
      <c r="Z146" s="36">
        <v>46962</v>
      </c>
      <c r="AA146" s="36"/>
      <c r="AB146" s="36">
        <v>0</v>
      </c>
      <c r="AC146" s="36"/>
      <c r="AD146" s="36">
        <v>0</v>
      </c>
      <c r="AE146" s="36"/>
      <c r="AF146" s="36">
        <v>0</v>
      </c>
      <c r="AG146" s="36"/>
      <c r="AH146" s="36">
        <v>0</v>
      </c>
      <c r="AI146" s="36"/>
      <c r="AJ146" s="36">
        <f t="shared" si="82"/>
        <v>4877468</v>
      </c>
      <c r="AK146" s="36"/>
      <c r="AL146" s="36">
        <v>182534</v>
      </c>
      <c r="AM146" s="36"/>
      <c r="AN146" s="36">
        <v>12497086</v>
      </c>
      <c r="AO146" s="36"/>
      <c r="AP146" s="36">
        <v>12679620</v>
      </c>
      <c r="AR146" s="42">
        <f t="shared" si="77"/>
        <v>0</v>
      </c>
      <c r="AT146" s="42">
        <f t="shared" si="88"/>
        <v>0</v>
      </c>
      <c r="AV146" s="42">
        <f t="shared" si="89"/>
        <v>0</v>
      </c>
      <c r="AX146" s="42">
        <f t="shared" si="90"/>
        <v>0</v>
      </c>
    </row>
    <row r="147" spans="1:50" s="7" customFormat="1" ht="12">
      <c r="A147" s="7" t="s">
        <v>216</v>
      </c>
      <c r="C147" s="7" t="s">
        <v>812</v>
      </c>
      <c r="E147" s="36">
        <v>87675.05</v>
      </c>
      <c r="F147" s="36"/>
      <c r="G147" s="36">
        <v>27903.23</v>
      </c>
      <c r="H147" s="36"/>
      <c r="I147" s="36">
        <v>8158.78</v>
      </c>
      <c r="J147" s="36"/>
      <c r="K147" s="36">
        <v>0</v>
      </c>
      <c r="L147" s="36"/>
      <c r="M147" s="36">
        <v>-51613.04</v>
      </c>
      <c r="N147" s="36"/>
      <c r="O147" s="36">
        <f t="shared" si="76"/>
        <v>-51613.04000000001</v>
      </c>
      <c r="P147" s="36"/>
      <c r="Q147" s="36">
        <f>9255.73+9796.39</f>
        <v>19052.12</v>
      </c>
      <c r="R147" s="36"/>
      <c r="S147" s="36">
        <v>0</v>
      </c>
      <c r="T147" s="36"/>
      <c r="U147" s="36">
        <v>1048.51</v>
      </c>
      <c r="V147" s="36">
        <v>115.83</v>
      </c>
      <c r="W147" s="36"/>
      <c r="X147" s="36">
        <v>0</v>
      </c>
      <c r="Y147" s="36"/>
      <c r="Z147" s="36">
        <v>22304.42</v>
      </c>
      <c r="AA147" s="36"/>
      <c r="AB147" s="36">
        <v>0</v>
      </c>
      <c r="AC147" s="36"/>
      <c r="AD147" s="36">
        <v>0</v>
      </c>
      <c r="AE147" s="36"/>
      <c r="AF147" s="36">
        <v>0</v>
      </c>
      <c r="AG147" s="36"/>
      <c r="AH147" s="36">
        <v>0</v>
      </c>
      <c r="AI147" s="36"/>
      <c r="AJ147" s="36">
        <f t="shared" si="82"/>
        <v>42520.88</v>
      </c>
      <c r="AK147" s="36"/>
      <c r="AL147" s="36">
        <v>-9092.16</v>
      </c>
      <c r="AM147" s="36"/>
      <c r="AN147" s="36">
        <v>20860.79</v>
      </c>
      <c r="AO147" s="36"/>
      <c r="AP147" s="36">
        <v>11768.63</v>
      </c>
      <c r="AR147" s="42">
        <f t="shared" si="77"/>
        <v>0</v>
      </c>
      <c r="AS147" s="42"/>
      <c r="AT147" s="42">
        <f t="shared" si="88"/>
        <v>0</v>
      </c>
      <c r="AU147" s="42"/>
      <c r="AV147" s="42">
        <f t="shared" si="89"/>
        <v>0</v>
      </c>
      <c r="AW147" s="42"/>
      <c r="AX147" s="42">
        <f t="shared" si="90"/>
        <v>0</v>
      </c>
    </row>
    <row r="148" spans="1:50" s="7" customFormat="1" ht="12">
      <c r="A148" s="7" t="s">
        <v>39</v>
      </c>
      <c r="C148" s="7" t="s">
        <v>756</v>
      </c>
      <c r="E148" s="36">
        <v>481962.91</v>
      </c>
      <c r="F148" s="36"/>
      <c r="G148" s="36">
        <v>105885.31</v>
      </c>
      <c r="H148" s="36"/>
      <c r="I148" s="36">
        <v>30263.8</v>
      </c>
      <c r="J148" s="36"/>
      <c r="K148" s="36">
        <v>0</v>
      </c>
      <c r="L148" s="36"/>
      <c r="M148" s="36">
        <v>-345813.8</v>
      </c>
      <c r="N148" s="36"/>
      <c r="O148" s="36">
        <f t="shared" si="76"/>
        <v>-345813.8</v>
      </c>
      <c r="P148" s="36"/>
      <c r="Q148" s="36">
        <v>92642</v>
      </c>
      <c r="R148" s="36"/>
      <c r="S148" s="36">
        <v>116865.16</v>
      </c>
      <c r="T148" s="36"/>
      <c r="U148" s="36">
        <v>121194.48</v>
      </c>
      <c r="V148" s="36">
        <v>743.38</v>
      </c>
      <c r="W148" s="36"/>
      <c r="X148" s="36">
        <v>0</v>
      </c>
      <c r="Y148" s="36"/>
      <c r="Z148" s="36">
        <v>33228.61</v>
      </c>
      <c r="AA148" s="36"/>
      <c r="AB148" s="36">
        <v>0</v>
      </c>
      <c r="AC148" s="36"/>
      <c r="AD148" s="36">
        <v>0</v>
      </c>
      <c r="AE148" s="36"/>
      <c r="AF148" s="36">
        <v>0</v>
      </c>
      <c r="AG148" s="36"/>
      <c r="AH148" s="36">
        <v>0</v>
      </c>
      <c r="AI148" s="36"/>
      <c r="AJ148" s="36">
        <f t="shared" si="82"/>
        <v>364673.63</v>
      </c>
      <c r="AK148" s="36"/>
      <c r="AL148" s="36">
        <v>18859.83</v>
      </c>
      <c r="AM148" s="36"/>
      <c r="AN148" s="36">
        <v>580252.49</v>
      </c>
      <c r="AO148" s="36"/>
      <c r="AP148" s="36">
        <v>599112.32</v>
      </c>
      <c r="AR148" s="42">
        <f t="shared" si="77"/>
        <v>0</v>
      </c>
      <c r="AS148" s="42"/>
      <c r="AT148" s="42">
        <f t="shared" si="88"/>
        <v>0</v>
      </c>
      <c r="AU148" s="42"/>
      <c r="AV148" s="42">
        <f t="shared" si="89"/>
        <v>0</v>
      </c>
      <c r="AW148" s="42"/>
      <c r="AX148" s="42">
        <f t="shared" si="90"/>
        <v>0</v>
      </c>
    </row>
    <row r="149" spans="1:50" s="7" customFormat="1" ht="12">
      <c r="A149" s="7" t="s">
        <v>518</v>
      </c>
      <c r="C149" s="7" t="s">
        <v>808</v>
      </c>
      <c r="E149" s="36">
        <v>1165482</v>
      </c>
      <c r="F149" s="36"/>
      <c r="G149" s="36">
        <v>378295</v>
      </c>
      <c r="H149" s="36"/>
      <c r="I149" s="36">
        <v>0</v>
      </c>
      <c r="J149" s="36"/>
      <c r="K149" s="36">
        <v>16400</v>
      </c>
      <c r="L149" s="36"/>
      <c r="M149" s="36">
        <v>-766321</v>
      </c>
      <c r="N149" s="36"/>
      <c r="O149" s="36">
        <f>-E149+G149+I149+K149</f>
        <v>-770787</v>
      </c>
      <c r="P149" s="36"/>
      <c r="Q149" s="36">
        <v>42788</v>
      </c>
      <c r="R149" s="36"/>
      <c r="S149" s="36">
        <v>332920</v>
      </c>
      <c r="T149" s="36"/>
      <c r="U149" s="36">
        <v>0</v>
      </c>
      <c r="V149" s="36">
        <v>4568</v>
      </c>
      <c r="W149" s="36"/>
      <c r="X149" s="36">
        <v>5130</v>
      </c>
      <c r="Y149" s="36"/>
      <c r="Z149" s="36">
        <f>2996+141630+12975</f>
        <v>157601</v>
      </c>
      <c r="AA149" s="36"/>
      <c r="AB149" s="36">
        <v>0</v>
      </c>
      <c r="AC149" s="36"/>
      <c r="AD149" s="36">
        <v>0</v>
      </c>
      <c r="AE149" s="36"/>
      <c r="AF149" s="36">
        <v>0</v>
      </c>
      <c r="AG149" s="36"/>
      <c r="AH149" s="36">
        <v>0</v>
      </c>
      <c r="AI149" s="36"/>
      <c r="AJ149" s="36">
        <f aca="true" t="shared" si="92" ref="AJ149">Q149+S149+U149+V149+X149+Z149+AB149+AD149+AH149+AF149</f>
        <v>543007</v>
      </c>
      <c r="AK149" s="36"/>
      <c r="AL149" s="36">
        <v>-223314</v>
      </c>
      <c r="AM149" s="36"/>
      <c r="AN149" s="36">
        <v>335599</v>
      </c>
      <c r="AO149" s="36"/>
      <c r="AP149" s="36">
        <v>112285</v>
      </c>
      <c r="AR149" s="42">
        <f>+M149-O149</f>
        <v>4466</v>
      </c>
      <c r="AS149" s="42"/>
      <c r="AT149" s="42">
        <f aca="true" t="shared" si="93" ref="AT149">+Q149+S149+U149+V149+X149+Z149+AB149+AD149+AH149-AJ149+AF149</f>
        <v>0</v>
      </c>
      <c r="AU149" s="42"/>
      <c r="AV149" s="42">
        <f aca="true" t="shared" si="94" ref="AV149">+O149+AJ149-AL149</f>
        <v>-4466</v>
      </c>
      <c r="AW149" s="42"/>
      <c r="AX149" s="42">
        <f aca="true" t="shared" si="95" ref="AX149">+O149+AJ149+AN149-AP149</f>
        <v>-4466</v>
      </c>
    </row>
    <row r="150" spans="5:50" s="7" customFormat="1" ht="12" customHeight="1"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 t="s">
        <v>974</v>
      </c>
      <c r="AR150" s="42"/>
      <c r="AS150" s="42"/>
      <c r="AT150" s="42"/>
      <c r="AU150" s="42"/>
      <c r="AV150" s="42"/>
      <c r="AW150" s="42"/>
      <c r="AX150" s="42"/>
    </row>
    <row r="151" spans="1:50" s="7" customFormat="1" ht="12" hidden="1">
      <c r="A151" s="7" t="s">
        <v>499</v>
      </c>
      <c r="C151" s="7" t="s">
        <v>497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>
        <f t="shared" si="76"/>
        <v>0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>
        <v>0</v>
      </c>
      <c r="AG151" s="36"/>
      <c r="AH151" s="36"/>
      <c r="AI151" s="36"/>
      <c r="AJ151" s="36">
        <f t="shared" si="82"/>
        <v>0</v>
      </c>
      <c r="AK151" s="36"/>
      <c r="AL151" s="36"/>
      <c r="AM151" s="36"/>
      <c r="AN151" s="36"/>
      <c r="AO151" s="36"/>
      <c r="AP151" s="36"/>
      <c r="AR151" s="42">
        <f t="shared" si="77"/>
        <v>0</v>
      </c>
      <c r="AS151" s="42"/>
      <c r="AT151" s="42">
        <f t="shared" si="88"/>
        <v>0</v>
      </c>
      <c r="AU151" s="42"/>
      <c r="AV151" s="42">
        <f t="shared" si="89"/>
        <v>0</v>
      </c>
      <c r="AW151" s="42"/>
      <c r="AX151" s="42">
        <f t="shared" si="90"/>
        <v>0</v>
      </c>
    </row>
    <row r="152" spans="1:50" s="7" customFormat="1" ht="12" hidden="1">
      <c r="A152" s="7" t="s">
        <v>608</v>
      </c>
      <c r="C152" s="7" t="s">
        <v>603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>
        <f t="shared" si="76"/>
        <v>0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>
        <v>0</v>
      </c>
      <c r="AG152" s="36"/>
      <c r="AH152" s="36"/>
      <c r="AI152" s="36"/>
      <c r="AJ152" s="36">
        <f t="shared" si="82"/>
        <v>0</v>
      </c>
      <c r="AK152" s="36"/>
      <c r="AL152" s="36"/>
      <c r="AM152" s="36"/>
      <c r="AN152" s="36"/>
      <c r="AO152" s="36"/>
      <c r="AP152" s="36"/>
      <c r="AR152" s="42">
        <f t="shared" si="77"/>
        <v>0</v>
      </c>
      <c r="AS152" s="42"/>
      <c r="AT152" s="42">
        <f t="shared" si="88"/>
        <v>0</v>
      </c>
      <c r="AU152" s="42"/>
      <c r="AV152" s="42">
        <f t="shared" si="89"/>
        <v>0</v>
      </c>
      <c r="AW152" s="42"/>
      <c r="AX152" s="42">
        <f t="shared" si="90"/>
        <v>0</v>
      </c>
    </row>
    <row r="153" spans="1:50" s="7" customFormat="1" ht="12" hidden="1">
      <c r="A153" s="7" t="s">
        <v>554</v>
      </c>
      <c r="C153" s="7" t="s">
        <v>551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>
        <f t="shared" si="76"/>
        <v>0</v>
      </c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>
        <v>0</v>
      </c>
      <c r="AG153" s="36"/>
      <c r="AH153" s="36"/>
      <c r="AI153" s="36"/>
      <c r="AJ153" s="36">
        <f t="shared" si="82"/>
        <v>0</v>
      </c>
      <c r="AK153" s="36"/>
      <c r="AL153" s="36"/>
      <c r="AM153" s="36"/>
      <c r="AN153" s="36"/>
      <c r="AO153" s="36"/>
      <c r="AP153" s="36"/>
      <c r="AR153" s="42">
        <f t="shared" si="77"/>
        <v>0</v>
      </c>
      <c r="AS153" s="42"/>
      <c r="AT153" s="42">
        <f t="shared" si="88"/>
        <v>0</v>
      </c>
      <c r="AU153" s="42"/>
      <c r="AV153" s="42">
        <f t="shared" si="89"/>
        <v>0</v>
      </c>
      <c r="AW153" s="42"/>
      <c r="AX153" s="42">
        <f t="shared" si="90"/>
        <v>0</v>
      </c>
    </row>
    <row r="154" spans="1:50" s="7" customFormat="1" ht="12" hidden="1">
      <c r="A154" s="7" t="s">
        <v>506</v>
      </c>
      <c r="C154" s="7" t="s">
        <v>507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>
        <f t="shared" si="76"/>
        <v>0</v>
      </c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>
        <v>0</v>
      </c>
      <c r="AG154" s="36"/>
      <c r="AH154" s="36"/>
      <c r="AI154" s="36"/>
      <c r="AJ154" s="36">
        <f t="shared" si="82"/>
        <v>0</v>
      </c>
      <c r="AK154" s="36"/>
      <c r="AL154" s="36"/>
      <c r="AM154" s="36"/>
      <c r="AN154" s="36"/>
      <c r="AO154" s="36"/>
      <c r="AP154" s="36"/>
      <c r="AR154" s="42">
        <f t="shared" si="77"/>
        <v>0</v>
      </c>
      <c r="AS154" s="42"/>
      <c r="AT154" s="42">
        <f t="shared" si="88"/>
        <v>0</v>
      </c>
      <c r="AU154" s="42"/>
      <c r="AV154" s="42">
        <f t="shared" si="89"/>
        <v>0</v>
      </c>
      <c r="AW154" s="42"/>
      <c r="AX154" s="42">
        <f t="shared" si="90"/>
        <v>0</v>
      </c>
    </row>
    <row r="155" spans="1:50" s="7" customFormat="1" ht="12" hidden="1">
      <c r="A155" s="7" t="s">
        <v>908</v>
      </c>
      <c r="C155" s="7" t="s">
        <v>598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>
        <f>-E155+G155+I155+K155</f>
        <v>0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>
        <v>0</v>
      </c>
      <c r="AG155" s="36"/>
      <c r="AH155" s="36"/>
      <c r="AI155" s="36"/>
      <c r="AJ155" s="36">
        <f t="shared" si="82"/>
        <v>0</v>
      </c>
      <c r="AK155" s="36"/>
      <c r="AL155" s="36"/>
      <c r="AM155" s="36"/>
      <c r="AN155" s="36"/>
      <c r="AO155" s="36"/>
      <c r="AP155" s="36"/>
      <c r="AR155" s="42">
        <f>+M155-O155</f>
        <v>0</v>
      </c>
      <c r="AS155" s="42"/>
      <c r="AT155" s="42">
        <f t="shared" si="88"/>
        <v>0</v>
      </c>
      <c r="AU155" s="42"/>
      <c r="AV155" s="42">
        <f t="shared" si="89"/>
        <v>0</v>
      </c>
      <c r="AW155" s="42"/>
      <c r="AX155" s="42">
        <f t="shared" si="90"/>
        <v>0</v>
      </c>
    </row>
    <row r="156" spans="1:50" s="7" customFormat="1" ht="12">
      <c r="A156" s="7" t="s">
        <v>376</v>
      </c>
      <c r="C156" s="7" t="s">
        <v>772</v>
      </c>
      <c r="E156" s="94">
        <v>102935.2</v>
      </c>
      <c r="F156" s="94"/>
      <c r="G156" s="94">
        <v>12911.24</v>
      </c>
      <c r="H156" s="94"/>
      <c r="I156" s="94">
        <v>15543.98</v>
      </c>
      <c r="J156" s="94"/>
      <c r="K156" s="94">
        <v>5234.54</v>
      </c>
      <c r="L156" s="94"/>
      <c r="M156" s="94">
        <v>-69245.44</v>
      </c>
      <c r="N156" s="94"/>
      <c r="O156" s="94">
        <f>-E156+G156+I156+K156</f>
        <v>-69245.44</v>
      </c>
      <c r="P156" s="94"/>
      <c r="Q156" s="94">
        <v>33594.770000000004</v>
      </c>
      <c r="R156" s="94"/>
      <c r="S156" s="94">
        <v>0</v>
      </c>
      <c r="T156" s="94"/>
      <c r="U156" s="94">
        <v>15969.36</v>
      </c>
      <c r="V156" s="94">
        <v>4556.84</v>
      </c>
      <c r="W156" s="94"/>
      <c r="X156" s="94">
        <v>7104.7</v>
      </c>
      <c r="Y156" s="94"/>
      <c r="Z156" s="94">
        <v>500</v>
      </c>
      <c r="AA156" s="94"/>
      <c r="AB156" s="94">
        <v>0</v>
      </c>
      <c r="AC156" s="94"/>
      <c r="AD156" s="94">
        <v>0</v>
      </c>
      <c r="AE156" s="94"/>
      <c r="AF156" s="94">
        <v>0</v>
      </c>
      <c r="AG156" s="94"/>
      <c r="AH156" s="94">
        <v>0</v>
      </c>
      <c r="AI156" s="94"/>
      <c r="AJ156" s="94">
        <f t="shared" si="82"/>
        <v>61725.67</v>
      </c>
      <c r="AK156" s="94"/>
      <c r="AL156" s="94">
        <v>-7519.77</v>
      </c>
      <c r="AM156" s="94"/>
      <c r="AN156" s="94">
        <v>119555.21</v>
      </c>
      <c r="AO156" s="94"/>
      <c r="AP156" s="94">
        <v>112035.44</v>
      </c>
      <c r="AR156" s="42">
        <f>+M156-O156</f>
        <v>0</v>
      </c>
      <c r="AS156" s="42"/>
      <c r="AT156" s="42">
        <f t="shared" si="88"/>
        <v>0</v>
      </c>
      <c r="AU156" s="42"/>
      <c r="AV156" s="42">
        <f t="shared" si="89"/>
        <v>0</v>
      </c>
      <c r="AW156" s="42"/>
      <c r="AX156" s="42">
        <f t="shared" si="90"/>
        <v>0</v>
      </c>
    </row>
    <row r="157" spans="1:50" s="7" customFormat="1" ht="12" hidden="1">
      <c r="A157" s="7" t="s">
        <v>163</v>
      </c>
      <c r="C157" s="7" t="s">
        <v>795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>
        <f t="shared" si="76"/>
        <v>0</v>
      </c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>
        <v>0</v>
      </c>
      <c r="AG157" s="36"/>
      <c r="AH157" s="36"/>
      <c r="AI157" s="36"/>
      <c r="AJ157" s="36">
        <f t="shared" si="82"/>
        <v>0</v>
      </c>
      <c r="AK157" s="36"/>
      <c r="AL157" s="36"/>
      <c r="AM157" s="36"/>
      <c r="AN157" s="36"/>
      <c r="AO157" s="36"/>
      <c r="AP157" s="36"/>
      <c r="AR157" s="42">
        <f t="shared" si="77"/>
        <v>0</v>
      </c>
      <c r="AS157" s="42"/>
      <c r="AT157" s="42">
        <f t="shared" si="88"/>
        <v>0</v>
      </c>
      <c r="AU157" s="42"/>
      <c r="AV157" s="42">
        <f t="shared" si="89"/>
        <v>0</v>
      </c>
      <c r="AW157" s="42"/>
      <c r="AX157" s="42">
        <f t="shared" si="90"/>
        <v>0</v>
      </c>
    </row>
    <row r="158" spans="1:50" s="7" customFormat="1" ht="12" hidden="1">
      <c r="A158" s="7" t="s">
        <v>244</v>
      </c>
      <c r="C158" s="7" t="s">
        <v>583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>
        <f t="shared" si="76"/>
        <v>0</v>
      </c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>
        <v>0</v>
      </c>
      <c r="AG158" s="36"/>
      <c r="AH158" s="36"/>
      <c r="AI158" s="36"/>
      <c r="AJ158" s="36">
        <f t="shared" si="82"/>
        <v>0</v>
      </c>
      <c r="AK158" s="36"/>
      <c r="AL158" s="36"/>
      <c r="AM158" s="36"/>
      <c r="AN158" s="36"/>
      <c r="AO158" s="36"/>
      <c r="AP158" s="36"/>
      <c r="AR158" s="42">
        <f aca="true" t="shared" si="96" ref="AR158">+M158-O158</f>
        <v>0</v>
      </c>
      <c r="AS158" s="42"/>
      <c r="AT158" s="42">
        <f t="shared" si="88"/>
        <v>0</v>
      </c>
      <c r="AU158" s="42"/>
      <c r="AV158" s="42">
        <f t="shared" si="89"/>
        <v>0</v>
      </c>
      <c r="AW158" s="42"/>
      <c r="AX158" s="42">
        <f t="shared" si="90"/>
        <v>0</v>
      </c>
    </row>
    <row r="159" spans="1:50" s="7" customFormat="1" ht="12" hidden="1">
      <c r="A159" s="7" t="s">
        <v>64</v>
      </c>
      <c r="C159" s="7" t="s">
        <v>766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>
        <f t="shared" si="76"/>
        <v>0</v>
      </c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>
        <v>0</v>
      </c>
      <c r="AG159" s="36"/>
      <c r="AH159" s="36"/>
      <c r="AI159" s="36"/>
      <c r="AJ159" s="36">
        <f t="shared" si="82"/>
        <v>0</v>
      </c>
      <c r="AK159" s="36"/>
      <c r="AL159" s="36"/>
      <c r="AM159" s="36"/>
      <c r="AN159" s="36"/>
      <c r="AO159" s="36"/>
      <c r="AP159" s="36"/>
      <c r="AR159" s="42">
        <f t="shared" si="77"/>
        <v>0</v>
      </c>
      <c r="AS159" s="42"/>
      <c r="AT159" s="42">
        <f t="shared" si="88"/>
        <v>0</v>
      </c>
      <c r="AU159" s="42"/>
      <c r="AV159" s="42">
        <f t="shared" si="89"/>
        <v>0</v>
      </c>
      <c r="AW159" s="42"/>
      <c r="AX159" s="42">
        <f t="shared" si="90"/>
        <v>0</v>
      </c>
    </row>
    <row r="160" spans="1:50" s="7" customFormat="1" ht="12" hidden="1">
      <c r="A160" s="7" t="s">
        <v>209</v>
      </c>
      <c r="C160" s="7" t="s">
        <v>809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>
        <f t="shared" si="76"/>
        <v>0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>
        <v>0</v>
      </c>
      <c r="AG160" s="36"/>
      <c r="AH160" s="36"/>
      <c r="AI160" s="36"/>
      <c r="AJ160" s="36">
        <f t="shared" si="82"/>
        <v>0</v>
      </c>
      <c r="AK160" s="36"/>
      <c r="AL160" s="36"/>
      <c r="AM160" s="36"/>
      <c r="AN160" s="36"/>
      <c r="AO160" s="36"/>
      <c r="AP160" s="36"/>
      <c r="AR160" s="42">
        <f t="shared" si="77"/>
        <v>0</v>
      </c>
      <c r="AS160" s="42"/>
      <c r="AT160" s="42">
        <f t="shared" si="88"/>
        <v>0</v>
      </c>
      <c r="AU160" s="42"/>
      <c r="AV160" s="42">
        <f t="shared" si="89"/>
        <v>0</v>
      </c>
      <c r="AW160" s="42"/>
      <c r="AX160" s="42">
        <f t="shared" si="90"/>
        <v>0</v>
      </c>
    </row>
    <row r="161" spans="1:50" s="7" customFormat="1" ht="12" hidden="1">
      <c r="A161" s="7" t="s">
        <v>181</v>
      </c>
      <c r="C161" s="7" t="s">
        <v>802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>
        <f t="shared" si="76"/>
        <v>0</v>
      </c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>
        <v>0</v>
      </c>
      <c r="AG161" s="36"/>
      <c r="AH161" s="36"/>
      <c r="AI161" s="36"/>
      <c r="AJ161" s="36">
        <f t="shared" si="82"/>
        <v>0</v>
      </c>
      <c r="AK161" s="36"/>
      <c r="AL161" s="36"/>
      <c r="AM161" s="36"/>
      <c r="AN161" s="36"/>
      <c r="AO161" s="36"/>
      <c r="AP161" s="36"/>
      <c r="AR161" s="42">
        <f t="shared" si="77"/>
        <v>0</v>
      </c>
      <c r="AS161" s="42"/>
      <c r="AT161" s="42">
        <f t="shared" si="88"/>
        <v>0</v>
      </c>
      <c r="AU161" s="42"/>
      <c r="AV161" s="42">
        <f t="shared" si="89"/>
        <v>0</v>
      </c>
      <c r="AW161" s="42"/>
      <c r="AX161" s="42">
        <f t="shared" si="90"/>
        <v>0</v>
      </c>
    </row>
    <row r="162" spans="1:50" s="44" customFormat="1" ht="12">
      <c r="A162" s="44" t="s">
        <v>228</v>
      </c>
      <c r="C162" s="44" t="s">
        <v>551</v>
      </c>
      <c r="E162" s="36">
        <v>3595584.13</v>
      </c>
      <c r="F162" s="36"/>
      <c r="G162" s="36">
        <v>555701.5</v>
      </c>
      <c r="H162" s="36"/>
      <c r="I162" s="36">
        <v>190889.71</v>
      </c>
      <c r="J162" s="36"/>
      <c r="K162" s="36">
        <v>148.62</v>
      </c>
      <c r="L162" s="36"/>
      <c r="M162" s="36">
        <v>-2848844.3</v>
      </c>
      <c r="N162" s="36"/>
      <c r="O162" s="36">
        <f t="shared" si="76"/>
        <v>-2848844.3</v>
      </c>
      <c r="P162" s="36"/>
      <c r="Q162" s="36">
        <v>488837.1</v>
      </c>
      <c r="R162" s="36"/>
      <c r="S162" s="36">
        <v>2366271.99</v>
      </c>
      <c r="T162" s="36"/>
      <c r="U162" s="36">
        <v>166258</v>
      </c>
      <c r="V162" s="36">
        <v>1344.74</v>
      </c>
      <c r="W162" s="36"/>
      <c r="X162" s="36">
        <v>0</v>
      </c>
      <c r="Y162" s="36"/>
      <c r="Z162" s="36">
        <v>76217.91</v>
      </c>
      <c r="AA162" s="36"/>
      <c r="AB162" s="36">
        <v>0</v>
      </c>
      <c r="AC162" s="36"/>
      <c r="AD162" s="36">
        <v>-68.62</v>
      </c>
      <c r="AE162" s="36"/>
      <c r="AF162" s="36">
        <v>0</v>
      </c>
      <c r="AG162" s="36"/>
      <c r="AH162" s="36">
        <v>38258.799999999996</v>
      </c>
      <c r="AI162" s="36"/>
      <c r="AJ162" s="36">
        <f t="shared" si="82"/>
        <v>3137119.9200000004</v>
      </c>
      <c r="AK162" s="36"/>
      <c r="AL162" s="36">
        <v>288275.62</v>
      </c>
      <c r="AM162" s="36"/>
      <c r="AN162" s="36">
        <v>1114732.96</v>
      </c>
      <c r="AO162" s="36"/>
      <c r="AP162" s="36">
        <v>1403008.58</v>
      </c>
      <c r="AR162" s="42">
        <f t="shared" si="77"/>
        <v>0</v>
      </c>
      <c r="AS162" s="42"/>
      <c r="AT162" s="42">
        <f t="shared" si="88"/>
        <v>0</v>
      </c>
      <c r="AU162" s="42"/>
      <c r="AV162" s="42">
        <f t="shared" si="89"/>
        <v>5.820766091346741E-10</v>
      </c>
      <c r="AW162" s="42"/>
      <c r="AX162" s="42">
        <f t="shared" si="90"/>
        <v>0</v>
      </c>
    </row>
    <row r="163" spans="1:50" s="7" customFormat="1" ht="12" hidden="1">
      <c r="A163" s="7" t="s">
        <v>401</v>
      </c>
      <c r="C163" s="7" t="s">
        <v>396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>
        <f t="shared" si="76"/>
        <v>0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>
        <v>0</v>
      </c>
      <c r="AG163" s="36"/>
      <c r="AH163" s="36"/>
      <c r="AI163" s="36"/>
      <c r="AJ163" s="36">
        <f t="shared" si="82"/>
        <v>0</v>
      </c>
      <c r="AK163" s="36"/>
      <c r="AL163" s="36"/>
      <c r="AM163" s="36"/>
      <c r="AN163" s="36"/>
      <c r="AO163" s="36"/>
      <c r="AP163" s="36"/>
      <c r="AR163" s="42">
        <f t="shared" si="77"/>
        <v>0</v>
      </c>
      <c r="AS163" s="42"/>
      <c r="AT163" s="42">
        <f t="shared" si="88"/>
        <v>0</v>
      </c>
      <c r="AU163" s="42"/>
      <c r="AV163" s="42">
        <f t="shared" si="89"/>
        <v>0</v>
      </c>
      <c r="AW163" s="42"/>
      <c r="AX163" s="42">
        <f t="shared" si="90"/>
        <v>0</v>
      </c>
    </row>
    <row r="164" spans="1:50" s="7" customFormat="1" ht="12" hidden="1">
      <c r="A164" s="7" t="s">
        <v>81</v>
      </c>
      <c r="C164" s="7" t="s">
        <v>770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>
        <f t="shared" si="76"/>
        <v>0</v>
      </c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>
        <v>0</v>
      </c>
      <c r="AG164" s="36"/>
      <c r="AH164" s="36"/>
      <c r="AI164" s="36"/>
      <c r="AJ164" s="36">
        <f t="shared" si="82"/>
        <v>0</v>
      </c>
      <c r="AK164" s="36"/>
      <c r="AL164" s="36"/>
      <c r="AM164" s="36"/>
      <c r="AN164" s="36"/>
      <c r="AO164" s="36"/>
      <c r="AP164" s="36"/>
      <c r="AR164" s="42">
        <f t="shared" si="77"/>
        <v>0</v>
      </c>
      <c r="AS164" s="42"/>
      <c r="AT164" s="42">
        <f t="shared" si="88"/>
        <v>0</v>
      </c>
      <c r="AU164" s="42"/>
      <c r="AV164" s="42">
        <f t="shared" si="89"/>
        <v>0</v>
      </c>
      <c r="AW164" s="42"/>
      <c r="AX164" s="42">
        <f t="shared" si="90"/>
        <v>0</v>
      </c>
    </row>
    <row r="165" spans="1:50" s="7" customFormat="1" ht="12">
      <c r="A165" s="7" t="s">
        <v>284</v>
      </c>
      <c r="C165" s="7" t="s">
        <v>751</v>
      </c>
      <c r="E165" s="36">
        <v>833922.37</v>
      </c>
      <c r="F165" s="36"/>
      <c r="G165" s="36">
        <v>132692.72</v>
      </c>
      <c r="H165" s="36"/>
      <c r="I165" s="36">
        <v>90745.08</v>
      </c>
      <c r="J165" s="36"/>
      <c r="K165" s="36">
        <v>98</v>
      </c>
      <c r="L165" s="36"/>
      <c r="M165" s="36">
        <v>-610386.57</v>
      </c>
      <c r="N165" s="36"/>
      <c r="O165" s="36">
        <f t="shared" si="76"/>
        <v>-610386.5700000001</v>
      </c>
      <c r="P165" s="36"/>
      <c r="Q165" s="36">
        <v>175630.48</v>
      </c>
      <c r="R165" s="36"/>
      <c r="S165" s="36">
        <v>217486.6</v>
      </c>
      <c r="T165" s="36"/>
      <c r="U165" s="36">
        <v>138842.34</v>
      </c>
      <c r="V165" s="36">
        <v>21352.69</v>
      </c>
      <c r="W165" s="36"/>
      <c r="X165" s="36">
        <v>13298.31</v>
      </c>
      <c r="Y165" s="36"/>
      <c r="Z165" s="36">
        <v>86725.27</v>
      </c>
      <c r="AA165" s="36"/>
      <c r="AB165" s="36">
        <v>0</v>
      </c>
      <c r="AC165" s="36"/>
      <c r="AD165" s="36">
        <v>0</v>
      </c>
      <c r="AE165" s="36"/>
      <c r="AF165" s="36">
        <v>0</v>
      </c>
      <c r="AG165" s="36"/>
      <c r="AH165" s="36">
        <v>0</v>
      </c>
      <c r="AI165" s="36"/>
      <c r="AJ165" s="36">
        <f t="shared" si="82"/>
        <v>653335.6900000001</v>
      </c>
      <c r="AK165" s="36"/>
      <c r="AL165" s="36">
        <v>42949.12</v>
      </c>
      <c r="AM165" s="36"/>
      <c r="AN165" s="36">
        <v>573253.33</v>
      </c>
      <c r="AO165" s="36"/>
      <c r="AP165" s="36">
        <v>616202.45</v>
      </c>
      <c r="AR165" s="42">
        <f aca="true" t="shared" si="97" ref="AR165">+M165-O165</f>
        <v>0</v>
      </c>
      <c r="AS165" s="42"/>
      <c r="AT165" s="42">
        <f t="shared" si="88"/>
        <v>0</v>
      </c>
      <c r="AU165" s="42"/>
      <c r="AV165" s="42">
        <f t="shared" si="89"/>
        <v>0</v>
      </c>
      <c r="AW165" s="42"/>
      <c r="AX165" s="42">
        <f t="shared" si="90"/>
        <v>0</v>
      </c>
    </row>
    <row r="166" spans="1:50" s="7" customFormat="1" ht="12">
      <c r="A166" s="7" t="s">
        <v>138</v>
      </c>
      <c r="C166" s="7" t="s">
        <v>787</v>
      </c>
      <c r="E166" s="96">
        <v>50430.03</v>
      </c>
      <c r="F166" s="96"/>
      <c r="G166" s="96">
        <v>0</v>
      </c>
      <c r="H166" s="96"/>
      <c r="I166" s="96">
        <v>11447.95</v>
      </c>
      <c r="J166" s="96"/>
      <c r="K166" s="96">
        <v>0</v>
      </c>
      <c r="L166" s="96"/>
      <c r="M166" s="96">
        <v>-38982.08</v>
      </c>
      <c r="N166" s="96"/>
      <c r="O166" s="96">
        <f aca="true" t="shared" si="98" ref="O166">M166</f>
        <v>-38982.08</v>
      </c>
      <c r="P166" s="96"/>
      <c r="Q166" s="96">
        <v>14094.93</v>
      </c>
      <c r="R166" s="96"/>
      <c r="S166" s="96">
        <v>0</v>
      </c>
      <c r="T166" s="96"/>
      <c r="U166" s="96">
        <v>19955.21</v>
      </c>
      <c r="V166" s="96">
        <v>1074.49</v>
      </c>
      <c r="W166" s="96"/>
      <c r="X166" s="96">
        <v>0</v>
      </c>
      <c r="Y166" s="96"/>
      <c r="Z166" s="96">
        <v>0</v>
      </c>
      <c r="AA166" s="96"/>
      <c r="AB166" s="96">
        <v>0</v>
      </c>
      <c r="AC166" s="96"/>
      <c r="AD166" s="96">
        <v>2749.86</v>
      </c>
      <c r="AE166" s="96"/>
      <c r="AF166" s="96">
        <v>0</v>
      </c>
      <c r="AG166" s="96"/>
      <c r="AH166" s="96">
        <v>0</v>
      </c>
      <c r="AI166" s="96"/>
      <c r="AJ166" s="96">
        <f aca="true" t="shared" si="99" ref="AJ166">SUM(Q166:AH166)</f>
        <v>37874.49</v>
      </c>
      <c r="AK166" s="96"/>
      <c r="AL166" s="96">
        <v>-1107.59</v>
      </c>
      <c r="AM166" s="96"/>
      <c r="AN166" s="96">
        <v>316644.62</v>
      </c>
      <c r="AO166" s="96"/>
      <c r="AP166" s="96">
        <v>315537.03</v>
      </c>
      <c r="AR166" s="42">
        <f aca="true" t="shared" si="100" ref="AR166:AR167">+M166-O166</f>
        <v>0</v>
      </c>
      <c r="AS166" s="42"/>
      <c r="AT166" s="42">
        <f t="shared" si="88"/>
        <v>0</v>
      </c>
      <c r="AU166" s="42"/>
      <c r="AV166" s="42">
        <f t="shared" si="89"/>
        <v>-3.865352482534945E-12</v>
      </c>
      <c r="AW166" s="42"/>
      <c r="AX166" s="42">
        <f t="shared" si="90"/>
        <v>0</v>
      </c>
    </row>
    <row r="167" spans="1:50" s="7" customFormat="1" ht="12" hidden="1">
      <c r="A167" s="7" t="s">
        <v>832</v>
      </c>
      <c r="C167" s="7" t="s">
        <v>662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>
        <f t="shared" si="76"/>
        <v>0</v>
      </c>
      <c r="P167" s="36"/>
      <c r="Q167" s="36">
        <v>2519</v>
      </c>
      <c r="R167" s="36"/>
      <c r="S167" s="36"/>
      <c r="T167" s="36"/>
      <c r="U167" s="36"/>
      <c r="V167" s="36"/>
      <c r="W167" s="36"/>
      <c r="X167" s="36"/>
      <c r="Y167" s="36"/>
      <c r="Z167" s="36">
        <f>8307-2519</f>
        <v>5788</v>
      </c>
      <c r="AA167" s="36"/>
      <c r="AB167" s="36"/>
      <c r="AC167" s="36"/>
      <c r="AD167" s="36"/>
      <c r="AE167" s="36"/>
      <c r="AF167" s="36">
        <v>0</v>
      </c>
      <c r="AG167" s="36"/>
      <c r="AH167" s="36"/>
      <c r="AI167" s="36"/>
      <c r="AJ167" s="36">
        <f aca="true" t="shared" si="101" ref="AJ167:AJ188">Q167+S167+U167+V167+X167+Z167+AB167+AD167+AH167+AF167</f>
        <v>8307</v>
      </c>
      <c r="AK167" s="36"/>
      <c r="AL167" s="36">
        <v>1696</v>
      </c>
      <c r="AM167" s="36"/>
      <c r="AN167" s="36">
        <v>8921</v>
      </c>
      <c r="AO167" s="36"/>
      <c r="AP167" s="36">
        <v>10617</v>
      </c>
      <c r="AR167" s="42">
        <f t="shared" si="100"/>
        <v>0</v>
      </c>
      <c r="AS167" s="42"/>
      <c r="AT167" s="42">
        <f t="shared" si="88"/>
        <v>0</v>
      </c>
      <c r="AU167" s="42"/>
      <c r="AV167" s="42">
        <f t="shared" si="89"/>
        <v>6611</v>
      </c>
      <c r="AW167" s="42"/>
      <c r="AX167" s="42">
        <f t="shared" si="90"/>
        <v>6611</v>
      </c>
    </row>
    <row r="168" spans="1:50" s="7" customFormat="1" ht="12">
      <c r="A168" s="7" t="s">
        <v>489</v>
      </c>
      <c r="C168" s="7" t="s">
        <v>485</v>
      </c>
      <c r="E168" s="96">
        <v>2142912.46</v>
      </c>
      <c r="F168" s="96"/>
      <c r="G168" s="96">
        <v>228167.2</v>
      </c>
      <c r="H168" s="96"/>
      <c r="I168" s="96">
        <v>84344.56</v>
      </c>
      <c r="J168" s="96"/>
      <c r="K168" s="96">
        <v>315166</v>
      </c>
      <c r="L168" s="96"/>
      <c r="M168" s="96">
        <v>-1515234.7</v>
      </c>
      <c r="N168" s="96"/>
      <c r="O168" s="96">
        <f t="shared" si="76"/>
        <v>-1515234.7</v>
      </c>
      <c r="P168" s="96"/>
      <c r="Q168" s="96">
        <v>95349.69</v>
      </c>
      <c r="R168" s="96"/>
      <c r="S168" s="96">
        <v>123293.78</v>
      </c>
      <c r="T168" s="96"/>
      <c r="U168" s="96">
        <v>495476.55</v>
      </c>
      <c r="V168" s="96">
        <v>1587.21</v>
      </c>
      <c r="W168" s="96"/>
      <c r="X168" s="96">
        <v>11759.15</v>
      </c>
      <c r="Y168" s="96"/>
      <c r="Z168" s="96">
        <v>14474.4</v>
      </c>
      <c r="AA168" s="96"/>
      <c r="AB168" s="96">
        <v>727580.84</v>
      </c>
      <c r="AC168" s="96"/>
      <c r="AD168" s="96">
        <v>37095.7</v>
      </c>
      <c r="AE168" s="96"/>
      <c r="AF168" s="96">
        <v>0</v>
      </c>
      <c r="AG168" s="96"/>
      <c r="AH168" s="96">
        <v>0</v>
      </c>
      <c r="AI168" s="96"/>
      <c r="AJ168" s="96">
        <f t="shared" si="101"/>
        <v>1506617.32</v>
      </c>
      <c r="AK168" s="96"/>
      <c r="AL168" s="96">
        <v>-8617.38</v>
      </c>
      <c r="AM168" s="96"/>
      <c r="AN168" s="96">
        <v>591927.55</v>
      </c>
      <c r="AO168" s="96"/>
      <c r="AP168" s="96">
        <v>583310.17</v>
      </c>
      <c r="AR168" s="42">
        <f t="shared" si="77"/>
        <v>0</v>
      </c>
      <c r="AS168" s="42"/>
      <c r="AT168" s="42">
        <f t="shared" si="88"/>
        <v>0</v>
      </c>
      <c r="AU168" s="42"/>
      <c r="AV168" s="42">
        <f t="shared" si="89"/>
        <v>1.1095835361629725E-10</v>
      </c>
      <c r="AW168" s="42"/>
      <c r="AX168" s="42">
        <f t="shared" si="90"/>
        <v>0</v>
      </c>
    </row>
    <row r="169" spans="1:50" s="7" customFormat="1" ht="12" hidden="1">
      <c r="A169" s="7" t="s">
        <v>447</v>
      </c>
      <c r="C169" s="7" t="s">
        <v>446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>
        <f t="shared" si="76"/>
        <v>0</v>
      </c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>
        <v>0</v>
      </c>
      <c r="AG169" s="36"/>
      <c r="AH169" s="36"/>
      <c r="AI169" s="36"/>
      <c r="AJ169" s="36">
        <f t="shared" si="101"/>
        <v>0</v>
      </c>
      <c r="AK169" s="36"/>
      <c r="AL169" s="36"/>
      <c r="AM169" s="36"/>
      <c r="AN169" s="36"/>
      <c r="AO169" s="36"/>
      <c r="AP169" s="36"/>
      <c r="AR169" s="42">
        <f t="shared" si="77"/>
        <v>0</v>
      </c>
      <c r="AS169" s="42"/>
      <c r="AT169" s="42">
        <f t="shared" si="88"/>
        <v>0</v>
      </c>
      <c r="AU169" s="42"/>
      <c r="AV169" s="42">
        <f t="shared" si="89"/>
        <v>0</v>
      </c>
      <c r="AW169" s="42"/>
      <c r="AX169" s="42">
        <f t="shared" si="90"/>
        <v>0</v>
      </c>
    </row>
    <row r="170" spans="1:50" s="7" customFormat="1" ht="12">
      <c r="A170" s="7" t="s">
        <v>161</v>
      </c>
      <c r="C170" s="7" t="s">
        <v>794</v>
      </c>
      <c r="E170" s="36">
        <v>1141210.11</v>
      </c>
      <c r="F170" s="36"/>
      <c r="G170" s="36">
        <v>37878.46</v>
      </c>
      <c r="H170" s="36"/>
      <c r="I170" s="36">
        <v>125383.41</v>
      </c>
      <c r="J170" s="36"/>
      <c r="K170" s="36">
        <v>0</v>
      </c>
      <c r="L170" s="36"/>
      <c r="M170" s="36">
        <v>-977948.24</v>
      </c>
      <c r="N170" s="36"/>
      <c r="O170" s="36">
        <f t="shared" si="76"/>
        <v>-977948.2400000001</v>
      </c>
      <c r="P170" s="36"/>
      <c r="Q170" s="36">
        <v>109766.65000000001</v>
      </c>
      <c r="R170" s="36"/>
      <c r="S170" s="36">
        <v>732579.66</v>
      </c>
      <c r="T170" s="36"/>
      <c r="U170" s="36">
        <v>86719.67</v>
      </c>
      <c r="V170" s="36">
        <v>12475.19</v>
      </c>
      <c r="W170" s="36"/>
      <c r="X170" s="36">
        <v>24773.94</v>
      </c>
      <c r="Y170" s="36"/>
      <c r="Z170" s="36">
        <v>500</v>
      </c>
      <c r="AA170" s="36"/>
      <c r="AB170" s="36">
        <v>0</v>
      </c>
      <c r="AC170" s="36"/>
      <c r="AD170" s="36">
        <v>0</v>
      </c>
      <c r="AE170" s="36"/>
      <c r="AF170" s="36">
        <v>0</v>
      </c>
      <c r="AG170" s="36"/>
      <c r="AH170" s="36">
        <v>0</v>
      </c>
      <c r="AI170" s="36"/>
      <c r="AJ170" s="36">
        <f t="shared" si="101"/>
        <v>966815.11</v>
      </c>
      <c r="AK170" s="36"/>
      <c r="AL170" s="36">
        <v>-11133.13</v>
      </c>
      <c r="AM170" s="36"/>
      <c r="AN170" s="36">
        <v>752054.43</v>
      </c>
      <c r="AO170" s="36"/>
      <c r="AP170" s="36">
        <v>740921.3</v>
      </c>
      <c r="AR170" s="42">
        <f t="shared" si="77"/>
        <v>0</v>
      </c>
      <c r="AS170" s="42"/>
      <c r="AT170" s="42">
        <f t="shared" si="88"/>
        <v>0</v>
      </c>
      <c r="AU170" s="42"/>
      <c r="AV170" s="42">
        <f t="shared" si="89"/>
        <v>-1.2187229003757238E-10</v>
      </c>
      <c r="AW170" s="42"/>
      <c r="AX170" s="42">
        <f t="shared" si="90"/>
        <v>0</v>
      </c>
    </row>
    <row r="171" spans="1:50" s="7" customFormat="1" ht="12" hidden="1">
      <c r="A171" s="7" t="s">
        <v>25</v>
      </c>
      <c r="C171" s="7" t="s">
        <v>751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>
        <f t="shared" si="76"/>
        <v>0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>
        <v>0</v>
      </c>
      <c r="AG171" s="36"/>
      <c r="AH171" s="36"/>
      <c r="AI171" s="36"/>
      <c r="AJ171" s="36">
        <f t="shared" si="101"/>
        <v>0</v>
      </c>
      <c r="AK171" s="36"/>
      <c r="AL171" s="36"/>
      <c r="AM171" s="36"/>
      <c r="AN171" s="36"/>
      <c r="AO171" s="36"/>
      <c r="AP171" s="36"/>
      <c r="AR171" s="42">
        <f t="shared" si="77"/>
        <v>0</v>
      </c>
      <c r="AS171" s="42"/>
      <c r="AT171" s="42">
        <f t="shared" si="88"/>
        <v>0</v>
      </c>
      <c r="AU171" s="42"/>
      <c r="AV171" s="42">
        <f t="shared" si="89"/>
        <v>0</v>
      </c>
      <c r="AW171" s="42"/>
      <c r="AX171" s="42">
        <f t="shared" si="90"/>
        <v>0</v>
      </c>
    </row>
    <row r="172" spans="1:50" s="7" customFormat="1" ht="12" hidden="1">
      <c r="A172" s="7" t="s">
        <v>90</v>
      </c>
      <c r="C172" s="7" t="s">
        <v>772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>
        <f t="shared" si="76"/>
        <v>0</v>
      </c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>
        <v>0</v>
      </c>
      <c r="AG172" s="36"/>
      <c r="AH172" s="36"/>
      <c r="AI172" s="36"/>
      <c r="AJ172" s="36">
        <f t="shared" si="101"/>
        <v>0</v>
      </c>
      <c r="AK172" s="36"/>
      <c r="AL172" s="36"/>
      <c r="AM172" s="36"/>
      <c r="AN172" s="36"/>
      <c r="AO172" s="36"/>
      <c r="AP172" s="36"/>
      <c r="AR172" s="42">
        <f t="shared" si="77"/>
        <v>0</v>
      </c>
      <c r="AS172" s="42"/>
      <c r="AT172" s="42">
        <f t="shared" si="88"/>
        <v>0</v>
      </c>
      <c r="AU172" s="42"/>
      <c r="AV172" s="42">
        <f t="shared" si="89"/>
        <v>0</v>
      </c>
      <c r="AW172" s="42"/>
      <c r="AX172" s="42">
        <f t="shared" si="90"/>
        <v>0</v>
      </c>
    </row>
    <row r="173" spans="1:50" s="7" customFormat="1" ht="12">
      <c r="A173" s="7" t="s">
        <v>154</v>
      </c>
      <c r="C173" s="7" t="s">
        <v>792</v>
      </c>
      <c r="E173" s="36">
        <v>1441125.05</v>
      </c>
      <c r="F173" s="36"/>
      <c r="G173" s="36">
        <v>60003.52</v>
      </c>
      <c r="H173" s="36"/>
      <c r="I173" s="36">
        <v>96975.5</v>
      </c>
      <c r="J173" s="36"/>
      <c r="K173" s="36">
        <v>0</v>
      </c>
      <c r="L173" s="36"/>
      <c r="M173" s="36">
        <v>-1284146.03</v>
      </c>
      <c r="N173" s="36"/>
      <c r="O173" s="36">
        <f t="shared" si="76"/>
        <v>-1284146.03</v>
      </c>
      <c r="P173" s="36"/>
      <c r="Q173" s="36">
        <v>395188.66000000003</v>
      </c>
      <c r="R173" s="36"/>
      <c r="S173" s="36">
        <v>971462.07</v>
      </c>
      <c r="T173" s="36"/>
      <c r="U173" s="36">
        <v>87282.83</v>
      </c>
      <c r="V173" s="36">
        <v>9222.87</v>
      </c>
      <c r="W173" s="36"/>
      <c r="X173" s="36">
        <v>0</v>
      </c>
      <c r="Y173" s="36"/>
      <c r="Z173" s="36">
        <v>357497.09</v>
      </c>
      <c r="AA173" s="36"/>
      <c r="AB173" s="36">
        <v>0</v>
      </c>
      <c r="AC173" s="36"/>
      <c r="AD173" s="36">
        <v>-186164.24</v>
      </c>
      <c r="AE173" s="36"/>
      <c r="AF173" s="36">
        <v>0</v>
      </c>
      <c r="AG173" s="36"/>
      <c r="AH173" s="36">
        <v>0</v>
      </c>
      <c r="AI173" s="36"/>
      <c r="AJ173" s="36">
        <f t="shared" si="101"/>
        <v>1634489.2800000003</v>
      </c>
      <c r="AK173" s="36"/>
      <c r="AL173" s="36">
        <v>350343.25</v>
      </c>
      <c r="AM173" s="36"/>
      <c r="AN173" s="36">
        <v>1202549.7</v>
      </c>
      <c r="AO173" s="36"/>
      <c r="AP173" s="36">
        <v>1552892.95</v>
      </c>
      <c r="AR173" s="42">
        <f t="shared" si="77"/>
        <v>0</v>
      </c>
      <c r="AS173" s="42"/>
      <c r="AT173" s="42">
        <f t="shared" si="88"/>
        <v>0</v>
      </c>
      <c r="AU173" s="42"/>
      <c r="AV173" s="42">
        <f t="shared" si="89"/>
        <v>0</v>
      </c>
      <c r="AW173" s="42"/>
      <c r="AX173" s="42">
        <f t="shared" si="90"/>
        <v>0</v>
      </c>
    </row>
    <row r="174" spans="1:50" s="7" customFormat="1" ht="12">
      <c r="A174" s="7" t="s">
        <v>187</v>
      </c>
      <c r="C174" s="7" t="s">
        <v>501</v>
      </c>
      <c r="E174" s="36">
        <v>244934.73</v>
      </c>
      <c r="F174" s="36"/>
      <c r="G174" s="36">
        <v>13718.49</v>
      </c>
      <c r="H174" s="36"/>
      <c r="I174" s="36">
        <v>22322.03</v>
      </c>
      <c r="J174" s="36"/>
      <c r="K174" s="36">
        <v>0</v>
      </c>
      <c r="L174" s="36"/>
      <c r="M174" s="36">
        <v>-208894.21</v>
      </c>
      <c r="N174" s="36"/>
      <c r="O174" s="36">
        <f t="shared" si="76"/>
        <v>-208894.21000000002</v>
      </c>
      <c r="P174" s="36"/>
      <c r="Q174" s="36">
        <v>85922.89</v>
      </c>
      <c r="R174" s="36"/>
      <c r="S174" s="36">
        <v>0</v>
      </c>
      <c r="T174" s="36"/>
      <c r="U174" s="36">
        <v>24719.4</v>
      </c>
      <c r="V174" s="36">
        <v>0</v>
      </c>
      <c r="W174" s="36"/>
      <c r="X174" s="36">
        <v>0</v>
      </c>
      <c r="Y174" s="36"/>
      <c r="Z174" s="36">
        <v>129758.63</v>
      </c>
      <c r="AA174" s="36"/>
      <c r="AB174" s="36">
        <v>0</v>
      </c>
      <c r="AC174" s="36"/>
      <c r="AD174" s="36">
        <v>0</v>
      </c>
      <c r="AE174" s="36"/>
      <c r="AF174" s="36">
        <v>0</v>
      </c>
      <c r="AG174" s="36"/>
      <c r="AH174" s="36">
        <v>0</v>
      </c>
      <c r="AI174" s="36"/>
      <c r="AJ174" s="36">
        <f t="shared" si="101"/>
        <v>240400.92</v>
      </c>
      <c r="AK174" s="36"/>
      <c r="AL174" s="36">
        <v>31506.71</v>
      </c>
      <c r="AM174" s="36"/>
      <c r="AN174" s="36">
        <v>166319.11</v>
      </c>
      <c r="AO174" s="36"/>
      <c r="AP174" s="36">
        <v>197825.82</v>
      </c>
      <c r="AR174" s="42">
        <f aca="true" t="shared" si="102" ref="AR174">+M174-O174</f>
        <v>0</v>
      </c>
      <c r="AS174" s="42"/>
      <c r="AT174" s="42">
        <f t="shared" si="88"/>
        <v>0</v>
      </c>
      <c r="AU174" s="42"/>
      <c r="AV174" s="42">
        <f t="shared" si="89"/>
        <v>0</v>
      </c>
      <c r="AW174" s="42"/>
      <c r="AX174" s="42">
        <f t="shared" si="90"/>
        <v>0</v>
      </c>
    </row>
    <row r="175" spans="1:50" s="7" customFormat="1" ht="12">
      <c r="A175" s="7" t="s">
        <v>556</v>
      </c>
      <c r="C175" s="7" t="s">
        <v>551</v>
      </c>
      <c r="E175" s="36">
        <v>2249983</v>
      </c>
      <c r="F175" s="36"/>
      <c r="G175" s="36">
        <v>59017</v>
      </c>
      <c r="H175" s="36"/>
      <c r="I175" s="36">
        <v>11944</v>
      </c>
      <c r="J175" s="36"/>
      <c r="K175" s="36">
        <v>9871</v>
      </c>
      <c r="L175" s="36"/>
      <c r="M175" s="36">
        <v>-2169151</v>
      </c>
      <c r="N175" s="36"/>
      <c r="O175" s="36">
        <f t="shared" si="76"/>
        <v>-2169151</v>
      </c>
      <c r="P175" s="36"/>
      <c r="Q175" s="36">
        <v>1095580</v>
      </c>
      <c r="R175" s="36"/>
      <c r="S175" s="36">
        <v>485854</v>
      </c>
      <c r="T175" s="36"/>
      <c r="U175" s="36">
        <v>868988</v>
      </c>
      <c r="V175" s="36">
        <v>2168</v>
      </c>
      <c r="W175" s="36"/>
      <c r="X175" s="36">
        <v>0</v>
      </c>
      <c r="Y175" s="36"/>
      <c r="Z175" s="36">
        <f>12598+14492</f>
        <v>27090</v>
      </c>
      <c r="AA175" s="36"/>
      <c r="AB175" s="36">
        <v>210222</v>
      </c>
      <c r="AC175" s="36"/>
      <c r="AD175" s="36">
        <v>-518</v>
      </c>
      <c r="AE175" s="36"/>
      <c r="AF175" s="36">
        <v>0</v>
      </c>
      <c r="AG175" s="36"/>
      <c r="AH175" s="36">
        <v>0</v>
      </c>
      <c r="AI175" s="36"/>
      <c r="AJ175" s="36">
        <f t="shared" si="101"/>
        <v>2689384</v>
      </c>
      <c r="AK175" s="36"/>
      <c r="AL175" s="36">
        <v>520233</v>
      </c>
      <c r="AM175" s="36"/>
      <c r="AN175" s="36">
        <v>1951968</v>
      </c>
      <c r="AO175" s="36"/>
      <c r="AP175" s="36">
        <v>2472201</v>
      </c>
      <c r="AR175" s="42">
        <f aca="true" t="shared" si="103" ref="AR175">+M175-O175</f>
        <v>0</v>
      </c>
      <c r="AS175" s="42"/>
      <c r="AT175" s="42">
        <f t="shared" si="88"/>
        <v>0</v>
      </c>
      <c r="AU175" s="42"/>
      <c r="AV175" s="42">
        <f t="shared" si="89"/>
        <v>0</v>
      </c>
      <c r="AW175" s="42"/>
      <c r="AX175" s="42">
        <f t="shared" si="90"/>
        <v>0</v>
      </c>
    </row>
    <row r="176" spans="1:50" s="7" customFormat="1" ht="12">
      <c r="A176" s="7" t="s">
        <v>962</v>
      </c>
      <c r="C176" s="7" t="s">
        <v>378</v>
      </c>
      <c r="E176" s="36">
        <v>3548316</v>
      </c>
      <c r="F176" s="36"/>
      <c r="G176" s="36">
        <v>437577</v>
      </c>
      <c r="H176" s="36"/>
      <c r="I176" s="36">
        <v>261087</v>
      </c>
      <c r="J176" s="36"/>
      <c r="K176" s="36">
        <v>198532</v>
      </c>
      <c r="L176" s="36"/>
      <c r="M176" s="36">
        <v>-2651120</v>
      </c>
      <c r="N176" s="36"/>
      <c r="O176" s="36">
        <f t="shared" si="76"/>
        <v>-2651120</v>
      </c>
      <c r="P176" s="36"/>
      <c r="Q176" s="36">
        <v>714248</v>
      </c>
      <c r="R176" s="36"/>
      <c r="S176" s="36">
        <v>1278508</v>
      </c>
      <c r="T176" s="36"/>
      <c r="U176" s="36">
        <v>93463</v>
      </c>
      <c r="V176" s="36">
        <v>12169</v>
      </c>
      <c r="W176" s="36"/>
      <c r="X176" s="36">
        <v>0</v>
      </c>
      <c r="Y176" s="36"/>
      <c r="Z176" s="36">
        <v>20253</v>
      </c>
      <c r="AA176" s="36"/>
      <c r="AB176" s="36">
        <v>0</v>
      </c>
      <c r="AC176" s="36"/>
      <c r="AD176" s="36">
        <v>0</v>
      </c>
      <c r="AE176" s="36"/>
      <c r="AF176" s="36">
        <v>0</v>
      </c>
      <c r="AG176" s="36"/>
      <c r="AH176" s="36">
        <v>0</v>
      </c>
      <c r="AI176" s="36"/>
      <c r="AJ176" s="36">
        <f t="shared" si="101"/>
        <v>2118641</v>
      </c>
      <c r="AK176" s="36"/>
      <c r="AL176" s="36">
        <v>-532479</v>
      </c>
      <c r="AM176" s="36"/>
      <c r="AN176" s="36">
        <v>5624805</v>
      </c>
      <c r="AO176" s="36"/>
      <c r="AP176" s="36">
        <v>5092326</v>
      </c>
      <c r="AR176" s="42">
        <f aca="true" t="shared" si="104" ref="AR176">+M176-O176</f>
        <v>0</v>
      </c>
      <c r="AS176" s="42"/>
      <c r="AT176" s="42">
        <f t="shared" si="88"/>
        <v>0</v>
      </c>
      <c r="AU176" s="42"/>
      <c r="AV176" s="42">
        <f t="shared" si="89"/>
        <v>0</v>
      </c>
      <c r="AW176" s="42"/>
      <c r="AX176" s="42">
        <f t="shared" si="90"/>
        <v>0</v>
      </c>
    </row>
    <row r="177" spans="1:50" s="7" customFormat="1" ht="12">
      <c r="A177" s="7" t="s">
        <v>596</v>
      </c>
      <c r="C177" s="7" t="s">
        <v>590</v>
      </c>
      <c r="E177" s="36">
        <v>893106</v>
      </c>
      <c r="F177" s="36"/>
      <c r="G177" s="36">
        <v>3877</v>
      </c>
      <c r="H177" s="36"/>
      <c r="I177" s="36">
        <v>37170</v>
      </c>
      <c r="J177" s="36"/>
      <c r="K177" s="36">
        <v>0</v>
      </c>
      <c r="L177" s="36"/>
      <c r="M177" s="36">
        <v>-852059</v>
      </c>
      <c r="N177" s="36"/>
      <c r="O177" s="36">
        <f t="shared" si="76"/>
        <v>-852059</v>
      </c>
      <c r="P177" s="36"/>
      <c r="Q177" s="36">
        <v>590754</v>
      </c>
      <c r="R177" s="36"/>
      <c r="S177" s="36">
        <v>0</v>
      </c>
      <c r="T177" s="36"/>
      <c r="U177" s="36">
        <v>0</v>
      </c>
      <c r="V177" s="36">
        <v>1059</v>
      </c>
      <c r="W177" s="36"/>
      <c r="X177" s="36">
        <v>0</v>
      </c>
      <c r="Y177" s="36"/>
      <c r="Z177" s="36">
        <f>52988+24508+112</f>
        <v>77608</v>
      </c>
      <c r="AA177" s="36"/>
      <c r="AB177" s="36">
        <v>0</v>
      </c>
      <c r="AC177" s="36"/>
      <c r="AD177" s="36">
        <v>-199629</v>
      </c>
      <c r="AE177" s="36"/>
      <c r="AF177" s="36">
        <v>0</v>
      </c>
      <c r="AG177" s="36"/>
      <c r="AH177" s="36">
        <v>0</v>
      </c>
      <c r="AI177" s="36"/>
      <c r="AJ177" s="36">
        <f t="shared" si="101"/>
        <v>469792</v>
      </c>
      <c r="AK177" s="36"/>
      <c r="AL177" s="36">
        <v>-382266</v>
      </c>
      <c r="AM177" s="36"/>
      <c r="AN177" s="36">
        <v>899832</v>
      </c>
      <c r="AO177" s="36"/>
      <c r="AP177" s="36">
        <v>915451</v>
      </c>
      <c r="AR177" s="42">
        <f aca="true" t="shared" si="105" ref="AR177">+M177-O177</f>
        <v>0</v>
      </c>
      <c r="AS177" s="42"/>
      <c r="AT177" s="42">
        <f t="shared" si="88"/>
        <v>0</v>
      </c>
      <c r="AU177" s="42"/>
      <c r="AV177" s="42">
        <f t="shared" si="89"/>
        <v>-1</v>
      </c>
      <c r="AW177" s="42"/>
      <c r="AX177" s="42">
        <f t="shared" si="90"/>
        <v>-397886</v>
      </c>
    </row>
    <row r="178" spans="1:50" s="7" customFormat="1" ht="12" hidden="1">
      <c r="A178" s="7" t="s">
        <v>915</v>
      </c>
      <c r="C178" s="7" t="s">
        <v>787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>
        <f t="shared" si="76"/>
        <v>0</v>
      </c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>
        <v>0</v>
      </c>
      <c r="AG178" s="36"/>
      <c r="AH178" s="36"/>
      <c r="AI178" s="36"/>
      <c r="AJ178" s="36">
        <f t="shared" si="101"/>
        <v>0</v>
      </c>
      <c r="AK178" s="36"/>
      <c r="AL178" s="36"/>
      <c r="AM178" s="36"/>
      <c r="AN178" s="36"/>
      <c r="AO178" s="36"/>
      <c r="AP178" s="36"/>
      <c r="AR178" s="42">
        <f aca="true" t="shared" si="106" ref="AR178">+M178-O178</f>
        <v>0</v>
      </c>
      <c r="AS178" s="42"/>
      <c r="AT178" s="42">
        <f t="shared" si="88"/>
        <v>0</v>
      </c>
      <c r="AU178" s="42"/>
      <c r="AV178" s="42">
        <f t="shared" si="89"/>
        <v>0</v>
      </c>
      <c r="AW178" s="42"/>
      <c r="AX178" s="42">
        <f t="shared" si="90"/>
        <v>0</v>
      </c>
    </row>
    <row r="179" spans="1:50" s="7" customFormat="1" ht="12" hidden="1">
      <c r="A179" s="7" t="s">
        <v>268</v>
      </c>
      <c r="C179" s="7" t="s">
        <v>505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>
        <f t="shared" si="76"/>
        <v>0</v>
      </c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>
        <v>0</v>
      </c>
      <c r="AG179" s="36"/>
      <c r="AH179" s="36"/>
      <c r="AI179" s="36"/>
      <c r="AJ179" s="36">
        <f t="shared" si="101"/>
        <v>0</v>
      </c>
      <c r="AK179" s="36"/>
      <c r="AL179" s="36"/>
      <c r="AM179" s="36"/>
      <c r="AN179" s="36"/>
      <c r="AO179" s="36"/>
      <c r="AP179" s="36"/>
      <c r="AR179" s="42">
        <f t="shared" si="77"/>
        <v>0</v>
      </c>
      <c r="AS179" s="42"/>
      <c r="AT179" s="42">
        <f t="shared" si="88"/>
        <v>0</v>
      </c>
      <c r="AU179" s="42"/>
      <c r="AV179" s="42">
        <f t="shared" si="89"/>
        <v>0</v>
      </c>
      <c r="AW179" s="42"/>
      <c r="AX179" s="42">
        <f t="shared" si="90"/>
        <v>0</v>
      </c>
    </row>
    <row r="180" spans="1:50" s="7" customFormat="1" ht="12" hidden="1">
      <c r="A180" s="7" t="s">
        <v>834</v>
      </c>
      <c r="C180" s="7" t="s">
        <v>755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>
        <f t="shared" si="76"/>
        <v>0</v>
      </c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>
        <v>0</v>
      </c>
      <c r="AG180" s="36"/>
      <c r="AH180" s="36"/>
      <c r="AI180" s="36"/>
      <c r="AJ180" s="36">
        <f t="shared" si="101"/>
        <v>0</v>
      </c>
      <c r="AK180" s="36"/>
      <c r="AL180" s="36"/>
      <c r="AM180" s="36"/>
      <c r="AN180" s="36"/>
      <c r="AO180" s="36"/>
      <c r="AP180" s="36"/>
      <c r="AR180" s="42">
        <f t="shared" si="77"/>
        <v>0</v>
      </c>
      <c r="AS180" s="42"/>
      <c r="AT180" s="42">
        <f t="shared" si="88"/>
        <v>0</v>
      </c>
      <c r="AU180" s="42"/>
      <c r="AV180" s="42">
        <f t="shared" si="89"/>
        <v>0</v>
      </c>
      <c r="AW180" s="42"/>
      <c r="AX180" s="42">
        <f t="shared" si="90"/>
        <v>0</v>
      </c>
    </row>
    <row r="181" spans="1:50" s="7" customFormat="1" ht="12">
      <c r="A181" s="7" t="s">
        <v>584</v>
      </c>
      <c r="C181" s="7" t="s">
        <v>583</v>
      </c>
      <c r="E181" s="36">
        <v>1417015.35</v>
      </c>
      <c r="F181" s="36"/>
      <c r="G181" s="36">
        <v>177085.97</v>
      </c>
      <c r="H181" s="36"/>
      <c r="I181" s="36">
        <v>136572.64</v>
      </c>
      <c r="J181" s="36"/>
      <c r="K181" s="36">
        <v>0</v>
      </c>
      <c r="L181" s="36"/>
      <c r="M181" s="36">
        <v>-1103356.74</v>
      </c>
      <c r="N181" s="36"/>
      <c r="O181" s="36">
        <f aca="true" t="shared" si="107" ref="O181:O182">M181</f>
        <v>-1103356.74</v>
      </c>
      <c r="P181" s="36"/>
      <c r="Q181" s="36">
        <v>157191.05</v>
      </c>
      <c r="R181" s="36"/>
      <c r="S181" s="36">
        <v>1008055.98</v>
      </c>
      <c r="T181" s="36"/>
      <c r="U181" s="36">
        <v>40516.97</v>
      </c>
      <c r="V181" s="36">
        <v>0</v>
      </c>
      <c r="W181" s="36"/>
      <c r="X181" s="36">
        <v>0</v>
      </c>
      <c r="Y181" s="36"/>
      <c r="Z181" s="36">
        <v>109890.24</v>
      </c>
      <c r="AA181" s="36"/>
      <c r="AB181" s="36">
        <v>0</v>
      </c>
      <c r="AC181" s="36"/>
      <c r="AD181" s="36">
        <v>0</v>
      </c>
      <c r="AE181" s="36"/>
      <c r="AF181" s="36">
        <v>0</v>
      </c>
      <c r="AG181" s="36"/>
      <c r="AH181" s="36">
        <v>252236.65</v>
      </c>
      <c r="AI181" s="36"/>
      <c r="AJ181" s="36">
        <f t="shared" si="101"/>
        <v>1567890.89</v>
      </c>
      <c r="AK181" s="36"/>
      <c r="AL181" s="36">
        <v>464534.15</v>
      </c>
      <c r="AM181" s="36"/>
      <c r="AN181" s="36">
        <v>1656174.18</v>
      </c>
      <c r="AO181" s="36"/>
      <c r="AP181" s="36">
        <v>2120708.33</v>
      </c>
      <c r="AR181" s="42">
        <f t="shared" si="77"/>
        <v>0</v>
      </c>
      <c r="AS181" s="42"/>
      <c r="AT181" s="42">
        <f t="shared" si="88"/>
        <v>0</v>
      </c>
      <c r="AU181" s="42"/>
      <c r="AV181" s="42">
        <f t="shared" si="89"/>
        <v>0</v>
      </c>
      <c r="AW181" s="42"/>
      <c r="AX181" s="42">
        <f t="shared" si="90"/>
        <v>0</v>
      </c>
    </row>
    <row r="182" spans="1:50" s="7" customFormat="1" ht="12">
      <c r="A182" s="7" t="s">
        <v>128</v>
      </c>
      <c r="C182" s="7" t="s">
        <v>784</v>
      </c>
      <c r="E182" s="36">
        <v>1135317.71</v>
      </c>
      <c r="F182" s="36"/>
      <c r="G182" s="36">
        <v>94588.76</v>
      </c>
      <c r="H182" s="36"/>
      <c r="I182" s="36">
        <v>263554.65</v>
      </c>
      <c r="J182" s="36"/>
      <c r="K182" s="36">
        <v>0</v>
      </c>
      <c r="L182" s="36"/>
      <c r="M182" s="36">
        <v>-777174.3</v>
      </c>
      <c r="N182" s="36"/>
      <c r="O182" s="36">
        <f t="shared" si="107"/>
        <v>-777174.3</v>
      </c>
      <c r="P182" s="36"/>
      <c r="Q182" s="36">
        <v>307754.08</v>
      </c>
      <c r="R182" s="36"/>
      <c r="S182" s="36">
        <v>0</v>
      </c>
      <c r="T182" s="36"/>
      <c r="U182" s="36">
        <v>396227.09</v>
      </c>
      <c r="V182" s="36">
        <v>0</v>
      </c>
      <c r="W182" s="36"/>
      <c r="X182" s="36">
        <v>49158.82</v>
      </c>
      <c r="Y182" s="36"/>
      <c r="Z182" s="36">
        <v>26429.37</v>
      </c>
      <c r="AA182" s="36"/>
      <c r="AB182" s="36">
        <v>0</v>
      </c>
      <c r="AC182" s="36"/>
      <c r="AD182" s="36">
        <v>29403.08</v>
      </c>
      <c r="AE182" s="36"/>
      <c r="AF182" s="36">
        <v>0</v>
      </c>
      <c r="AG182" s="36"/>
      <c r="AH182" s="36">
        <v>0</v>
      </c>
      <c r="AI182" s="36"/>
      <c r="AJ182" s="36">
        <f t="shared" si="101"/>
        <v>808972.44</v>
      </c>
      <c r="AK182" s="36"/>
      <c r="AL182" s="36">
        <v>31798.14</v>
      </c>
      <c r="AM182" s="36"/>
      <c r="AN182" s="36">
        <v>324433.79</v>
      </c>
      <c r="AO182" s="36"/>
      <c r="AP182" s="36">
        <v>356231.93</v>
      </c>
      <c r="AR182" s="42">
        <f t="shared" si="77"/>
        <v>0</v>
      </c>
      <c r="AS182" s="42"/>
      <c r="AT182" s="42">
        <f t="shared" si="88"/>
        <v>0</v>
      </c>
      <c r="AU182" s="42"/>
      <c r="AV182" s="42">
        <f t="shared" si="89"/>
        <v>-1.0186340659856796E-10</v>
      </c>
      <c r="AW182" s="42"/>
      <c r="AX182" s="42">
        <f t="shared" si="90"/>
        <v>0</v>
      </c>
    </row>
    <row r="183" spans="1:50" s="7" customFormat="1" ht="12" hidden="1">
      <c r="A183" s="1" t="s">
        <v>369</v>
      </c>
      <c r="B183" s="1"/>
      <c r="C183" s="1" t="s">
        <v>368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>
        <f>-E183+G183+I183+K183</f>
        <v>0</v>
      </c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>
        <v>0</v>
      </c>
      <c r="AG183" s="36"/>
      <c r="AH183" s="36"/>
      <c r="AI183" s="36"/>
      <c r="AJ183" s="36">
        <f t="shared" si="101"/>
        <v>0</v>
      </c>
      <c r="AK183" s="36"/>
      <c r="AL183" s="36"/>
      <c r="AM183" s="36"/>
      <c r="AN183" s="36"/>
      <c r="AO183" s="36"/>
      <c r="AP183" s="36"/>
      <c r="AR183" s="42">
        <f>+M183-O183</f>
        <v>0</v>
      </c>
      <c r="AS183" s="42"/>
      <c r="AT183" s="42">
        <f t="shared" si="88"/>
        <v>0</v>
      </c>
      <c r="AU183" s="42"/>
      <c r="AV183" s="42">
        <f t="shared" si="89"/>
        <v>0</v>
      </c>
      <c r="AW183" s="42"/>
      <c r="AX183" s="42">
        <f t="shared" si="90"/>
        <v>0</v>
      </c>
    </row>
    <row r="184" spans="1:50" s="7" customFormat="1" ht="12">
      <c r="A184" s="7" t="s">
        <v>35</v>
      </c>
      <c r="C184" s="7" t="s">
        <v>755</v>
      </c>
      <c r="E184" s="36">
        <v>101484.8</v>
      </c>
      <c r="F184" s="36"/>
      <c r="G184" s="36">
        <v>16178.69</v>
      </c>
      <c r="H184" s="36"/>
      <c r="I184" s="36">
        <v>24228.04</v>
      </c>
      <c r="J184" s="36"/>
      <c r="K184" s="36">
        <v>0</v>
      </c>
      <c r="L184" s="36"/>
      <c r="M184" s="36">
        <v>-61078.07</v>
      </c>
      <c r="N184" s="36"/>
      <c r="O184" s="36">
        <f>-E184+G184+I184+K184</f>
        <v>-61078.07</v>
      </c>
      <c r="P184" s="36"/>
      <c r="Q184" s="36">
        <v>33020.520000000004</v>
      </c>
      <c r="R184" s="36"/>
      <c r="S184" s="36">
        <v>0</v>
      </c>
      <c r="T184" s="36"/>
      <c r="U184" s="36">
        <v>8371.41</v>
      </c>
      <c r="V184" s="36">
        <v>5318.56</v>
      </c>
      <c r="W184" s="36"/>
      <c r="X184" s="36">
        <v>4987.82</v>
      </c>
      <c r="Y184" s="36"/>
      <c r="Z184" s="36">
        <v>7408.1</v>
      </c>
      <c r="AA184" s="36"/>
      <c r="AB184" s="36">
        <v>0</v>
      </c>
      <c r="AC184" s="36"/>
      <c r="AD184" s="36">
        <v>150000</v>
      </c>
      <c r="AE184" s="36"/>
      <c r="AF184" s="36">
        <v>0</v>
      </c>
      <c r="AG184" s="36"/>
      <c r="AH184" s="36">
        <v>0</v>
      </c>
      <c r="AI184" s="36"/>
      <c r="AJ184" s="36">
        <f t="shared" si="101"/>
        <v>209106.41</v>
      </c>
      <c r="AK184" s="36"/>
      <c r="AL184" s="36">
        <v>148028.34</v>
      </c>
      <c r="AM184" s="36"/>
      <c r="AN184" s="36">
        <v>273046.66</v>
      </c>
      <c r="AO184" s="36"/>
      <c r="AP184" s="36">
        <v>421075</v>
      </c>
      <c r="AR184" s="42">
        <f t="shared" si="77"/>
        <v>0</v>
      </c>
      <c r="AS184" s="42"/>
      <c r="AT184" s="42">
        <f t="shared" si="88"/>
        <v>0</v>
      </c>
      <c r="AU184" s="42"/>
      <c r="AV184" s="42">
        <f t="shared" si="89"/>
        <v>0</v>
      </c>
      <c r="AW184" s="42"/>
      <c r="AX184" s="42">
        <f t="shared" si="90"/>
        <v>0</v>
      </c>
    </row>
    <row r="185" spans="1:50" s="7" customFormat="1" ht="12" hidden="1">
      <c r="A185" s="7" t="s">
        <v>860</v>
      </c>
      <c r="C185" s="7" t="s">
        <v>800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>
        <f t="shared" si="76"/>
        <v>0</v>
      </c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>
        <v>0</v>
      </c>
      <c r="AG185" s="36"/>
      <c r="AH185" s="36"/>
      <c r="AI185" s="36"/>
      <c r="AJ185" s="36">
        <f t="shared" si="101"/>
        <v>0</v>
      </c>
      <c r="AK185" s="36"/>
      <c r="AL185" s="36"/>
      <c r="AM185" s="36"/>
      <c r="AN185" s="36"/>
      <c r="AO185" s="36"/>
      <c r="AP185" s="36"/>
      <c r="AR185" s="42">
        <f t="shared" si="77"/>
        <v>0</v>
      </c>
      <c r="AS185" s="42"/>
      <c r="AT185" s="42">
        <f t="shared" si="88"/>
        <v>0</v>
      </c>
      <c r="AU185" s="42"/>
      <c r="AV185" s="42">
        <f t="shared" si="89"/>
        <v>0</v>
      </c>
      <c r="AW185" s="42"/>
      <c r="AX185" s="42">
        <f t="shared" si="90"/>
        <v>0</v>
      </c>
    </row>
    <row r="186" spans="1:50" s="7" customFormat="1" ht="12" hidden="1">
      <c r="A186" s="7" t="s">
        <v>840</v>
      </c>
      <c r="C186" s="7" t="s">
        <v>799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>
        <f t="shared" si="76"/>
        <v>0</v>
      </c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>
        <v>0</v>
      </c>
      <c r="AG186" s="36"/>
      <c r="AH186" s="36"/>
      <c r="AI186" s="36"/>
      <c r="AJ186" s="36">
        <f t="shared" si="101"/>
        <v>0</v>
      </c>
      <c r="AK186" s="36"/>
      <c r="AL186" s="36"/>
      <c r="AM186" s="36"/>
      <c r="AN186" s="36"/>
      <c r="AO186" s="36"/>
      <c r="AP186" s="36"/>
      <c r="AR186" s="42">
        <f t="shared" si="77"/>
        <v>0</v>
      </c>
      <c r="AS186" s="42"/>
      <c r="AT186" s="42">
        <f t="shared" si="88"/>
        <v>0</v>
      </c>
      <c r="AU186" s="42"/>
      <c r="AV186" s="42">
        <f t="shared" si="89"/>
        <v>0</v>
      </c>
      <c r="AW186" s="42"/>
      <c r="AX186" s="42">
        <f t="shared" si="90"/>
        <v>0</v>
      </c>
    </row>
    <row r="187" spans="1:50" s="7" customFormat="1" ht="12">
      <c r="A187" s="7" t="s">
        <v>85</v>
      </c>
      <c r="C187" s="7" t="s">
        <v>371</v>
      </c>
      <c r="E187" s="36">
        <v>124557.69</v>
      </c>
      <c r="F187" s="36"/>
      <c r="G187" s="36">
        <v>6340</v>
      </c>
      <c r="H187" s="36"/>
      <c r="I187" s="36">
        <v>19991.16</v>
      </c>
      <c r="J187" s="36"/>
      <c r="K187" s="36">
        <v>0</v>
      </c>
      <c r="L187" s="36"/>
      <c r="M187" s="36">
        <v>-98226.53</v>
      </c>
      <c r="N187" s="36"/>
      <c r="O187" s="36">
        <f t="shared" si="76"/>
        <v>-98226.53</v>
      </c>
      <c r="P187" s="36"/>
      <c r="Q187" s="36">
        <v>66028.05</v>
      </c>
      <c r="R187" s="36"/>
      <c r="S187" s="36">
        <v>0</v>
      </c>
      <c r="T187" s="36"/>
      <c r="U187" s="36">
        <v>18715.79</v>
      </c>
      <c r="V187" s="36">
        <v>0</v>
      </c>
      <c r="W187" s="36"/>
      <c r="X187" s="36">
        <v>16270.46</v>
      </c>
      <c r="Y187" s="36"/>
      <c r="Z187" s="36">
        <v>3732.11</v>
      </c>
      <c r="AA187" s="36"/>
      <c r="AB187" s="36">
        <v>0</v>
      </c>
      <c r="AC187" s="36"/>
      <c r="AD187" s="36">
        <v>0</v>
      </c>
      <c r="AE187" s="36"/>
      <c r="AF187" s="36">
        <v>0</v>
      </c>
      <c r="AG187" s="36"/>
      <c r="AH187" s="36">
        <v>0</v>
      </c>
      <c r="AI187" s="36"/>
      <c r="AJ187" s="36">
        <f t="shared" si="101"/>
        <v>104746.40999999999</v>
      </c>
      <c r="AK187" s="36"/>
      <c r="AL187" s="36">
        <v>6519.88</v>
      </c>
      <c r="AM187" s="36"/>
      <c r="AN187" s="36">
        <v>162228.37</v>
      </c>
      <c r="AO187" s="36"/>
      <c r="AP187" s="36">
        <v>168748.25</v>
      </c>
      <c r="AR187" s="42">
        <f aca="true" t="shared" si="108" ref="AR187">+M187-O187</f>
        <v>0</v>
      </c>
      <c r="AS187" s="42"/>
      <c r="AT187" s="42">
        <f t="shared" si="88"/>
        <v>0</v>
      </c>
      <c r="AU187" s="42"/>
      <c r="AV187" s="42">
        <f t="shared" si="89"/>
        <v>-1.000444171950221E-11</v>
      </c>
      <c r="AW187" s="42"/>
      <c r="AX187" s="42">
        <f t="shared" si="90"/>
        <v>0</v>
      </c>
    </row>
    <row r="188" spans="1:50" s="7" customFormat="1" ht="12" hidden="1">
      <c r="A188" s="7" t="s">
        <v>33</v>
      </c>
      <c r="C188" s="7" t="s">
        <v>754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>
        <f t="shared" si="76"/>
        <v>0</v>
      </c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>
        <v>0</v>
      </c>
      <c r="AG188" s="36"/>
      <c r="AH188" s="36"/>
      <c r="AI188" s="36"/>
      <c r="AJ188" s="36">
        <f t="shared" si="101"/>
        <v>0</v>
      </c>
      <c r="AK188" s="36"/>
      <c r="AL188" s="36"/>
      <c r="AM188" s="36"/>
      <c r="AN188" s="36"/>
      <c r="AO188" s="36"/>
      <c r="AP188" s="36"/>
      <c r="AR188" s="42">
        <f t="shared" si="77"/>
        <v>0</v>
      </c>
      <c r="AS188" s="42"/>
      <c r="AT188" s="42">
        <f t="shared" si="88"/>
        <v>0</v>
      </c>
      <c r="AU188" s="42"/>
      <c r="AV188" s="42">
        <f t="shared" si="89"/>
        <v>0</v>
      </c>
      <c r="AW188" s="42"/>
      <c r="AX188" s="42">
        <f t="shared" si="90"/>
        <v>0</v>
      </c>
    </row>
    <row r="189" spans="1:50" s="7" customFormat="1" ht="12">
      <c r="A189" s="7" t="s">
        <v>196</v>
      </c>
      <c r="C189" s="7" t="s">
        <v>806</v>
      </c>
      <c r="E189" s="96">
        <v>109632.35</v>
      </c>
      <c r="F189" s="96"/>
      <c r="G189" s="96">
        <v>3240.66</v>
      </c>
      <c r="H189" s="96"/>
      <c r="I189" s="96">
        <v>10354.37</v>
      </c>
      <c r="J189" s="96"/>
      <c r="K189" s="96">
        <v>0</v>
      </c>
      <c r="L189" s="96"/>
      <c r="M189" s="96">
        <v>-96037.32</v>
      </c>
      <c r="N189" s="96"/>
      <c r="O189" s="96">
        <f aca="true" t="shared" si="109" ref="O189">M189</f>
        <v>-96037.32</v>
      </c>
      <c r="P189" s="96"/>
      <c r="Q189" s="96">
        <v>63833.02</v>
      </c>
      <c r="R189" s="96"/>
      <c r="S189" s="96">
        <v>0</v>
      </c>
      <c r="T189" s="96"/>
      <c r="U189" s="96">
        <v>54592.91</v>
      </c>
      <c r="V189" s="96">
        <v>68.92</v>
      </c>
      <c r="W189" s="96"/>
      <c r="X189" s="96">
        <v>0</v>
      </c>
      <c r="Y189" s="96"/>
      <c r="Z189" s="96">
        <v>0</v>
      </c>
      <c r="AA189" s="96"/>
      <c r="AB189" s="96">
        <v>0</v>
      </c>
      <c r="AC189" s="96"/>
      <c r="AD189" s="96">
        <v>0</v>
      </c>
      <c r="AE189" s="96"/>
      <c r="AF189" s="96">
        <v>0</v>
      </c>
      <c r="AG189" s="96"/>
      <c r="AH189" s="96">
        <v>0</v>
      </c>
      <c r="AI189" s="96"/>
      <c r="AJ189" s="96">
        <f aca="true" t="shared" si="110" ref="AJ189">SUM(Q189:AH189)</f>
        <v>118494.84999999999</v>
      </c>
      <c r="AK189" s="96"/>
      <c r="AL189" s="96">
        <v>22457.53</v>
      </c>
      <c r="AM189" s="96"/>
      <c r="AN189" s="96">
        <v>240933.06</v>
      </c>
      <c r="AO189" s="96"/>
      <c r="AP189" s="96">
        <v>263390.59</v>
      </c>
      <c r="AR189" s="42">
        <f t="shared" si="77"/>
        <v>0</v>
      </c>
      <c r="AS189" s="42"/>
      <c r="AT189" s="42">
        <f t="shared" si="88"/>
        <v>0</v>
      </c>
      <c r="AU189" s="42"/>
      <c r="AV189" s="42">
        <f t="shared" si="89"/>
        <v>0</v>
      </c>
      <c r="AW189" s="42"/>
      <c r="AX189" s="42">
        <f t="shared" si="90"/>
        <v>0</v>
      </c>
    </row>
    <row r="190" spans="1:50" s="7" customFormat="1" ht="12" hidden="1">
      <c r="A190" s="7" t="s">
        <v>66</v>
      </c>
      <c r="C190" s="7" t="s">
        <v>766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>
        <f t="shared" si="76"/>
        <v>0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>
        <v>0</v>
      </c>
      <c r="AG190" s="36"/>
      <c r="AH190" s="36"/>
      <c r="AI190" s="36"/>
      <c r="AJ190" s="36">
        <f>Q190+S190+U190+V190+X190+Z190+AB190+AD190+AH190+AF190</f>
        <v>0</v>
      </c>
      <c r="AK190" s="36"/>
      <c r="AL190" s="36"/>
      <c r="AM190" s="36"/>
      <c r="AN190" s="36"/>
      <c r="AO190" s="36"/>
      <c r="AP190" s="36"/>
      <c r="AR190" s="42">
        <f t="shared" si="77"/>
        <v>0</v>
      </c>
      <c r="AS190" s="42"/>
      <c r="AT190" s="42">
        <f t="shared" si="88"/>
        <v>0</v>
      </c>
      <c r="AU190" s="42"/>
      <c r="AV190" s="42">
        <f t="shared" si="89"/>
        <v>0</v>
      </c>
      <c r="AW190" s="42"/>
      <c r="AX190" s="42">
        <f t="shared" si="90"/>
        <v>0</v>
      </c>
    </row>
    <row r="191" spans="1:50" s="7" customFormat="1" ht="12" hidden="1">
      <c r="A191" s="7" t="s">
        <v>914</v>
      </c>
      <c r="C191" s="7" t="s">
        <v>551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>
        <f>-E191+G191+I191+K191</f>
        <v>0</v>
      </c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>
        <v>0</v>
      </c>
      <c r="AG191" s="36"/>
      <c r="AH191" s="36"/>
      <c r="AI191" s="36"/>
      <c r="AJ191" s="36">
        <f>Q191+S191+U191+V191+X191+Z191+AB191+AD191+AH191+AF191</f>
        <v>0</v>
      </c>
      <c r="AK191" s="36"/>
      <c r="AL191" s="36"/>
      <c r="AM191" s="36"/>
      <c r="AN191" s="36"/>
      <c r="AO191" s="36"/>
      <c r="AP191" s="36"/>
      <c r="AR191" s="42">
        <f>+M191-O191</f>
        <v>0</v>
      </c>
      <c r="AS191" s="42"/>
      <c r="AT191" s="42">
        <f t="shared" si="88"/>
        <v>0</v>
      </c>
      <c r="AU191" s="42"/>
      <c r="AV191" s="42">
        <f t="shared" si="89"/>
        <v>0</v>
      </c>
      <c r="AW191" s="42"/>
      <c r="AX191" s="42">
        <f t="shared" si="90"/>
        <v>0</v>
      </c>
    </row>
    <row r="192" spans="1:50" s="7" customFormat="1" ht="12">
      <c r="A192" s="7" t="s">
        <v>346</v>
      </c>
      <c r="C192" s="7" t="s">
        <v>343</v>
      </c>
      <c r="E192" s="36">
        <v>4224166</v>
      </c>
      <c r="F192" s="36"/>
      <c r="G192" s="36">
        <v>477614</v>
      </c>
      <c r="H192" s="36"/>
      <c r="I192" s="36">
        <v>15095</v>
      </c>
      <c r="J192" s="36"/>
      <c r="K192" s="36">
        <v>0</v>
      </c>
      <c r="L192" s="36"/>
      <c r="M192" s="36">
        <v>-3731457</v>
      </c>
      <c r="N192" s="36"/>
      <c r="O192" s="36">
        <f>-E192+G192+I192+K192</f>
        <v>-3731457</v>
      </c>
      <c r="P192" s="36"/>
      <c r="Q192" s="36">
        <f>378272+2264917-1255432</f>
        <v>1387757</v>
      </c>
      <c r="R192" s="36"/>
      <c r="S192" s="36">
        <v>2468995</v>
      </c>
      <c r="T192" s="36"/>
      <c r="U192" s="36">
        <v>235563</v>
      </c>
      <c r="V192" s="36">
        <v>14066</v>
      </c>
      <c r="W192" s="36"/>
      <c r="X192" s="36">
        <v>0</v>
      </c>
      <c r="Y192" s="36"/>
      <c r="Z192" s="36">
        <v>3000</v>
      </c>
      <c r="AA192" s="36"/>
      <c r="AB192" s="36">
        <v>0</v>
      </c>
      <c r="AC192" s="36"/>
      <c r="AD192" s="36">
        <v>12793</v>
      </c>
      <c r="AE192" s="36"/>
      <c r="AF192" s="36">
        <v>0</v>
      </c>
      <c r="AG192" s="36"/>
      <c r="AH192" s="36">
        <v>0</v>
      </c>
      <c r="AI192" s="36"/>
      <c r="AJ192" s="36">
        <f>Q192+S192+U192+V192+X192+Z192+AB192+AD192+AH192+AF192</f>
        <v>4122174</v>
      </c>
      <c r="AK192" s="36"/>
      <c r="AL192" s="36">
        <v>4614883</v>
      </c>
      <c r="AM192" s="36"/>
      <c r="AN192" s="36">
        <v>2954140</v>
      </c>
      <c r="AO192" s="36"/>
      <c r="AP192" s="36">
        <v>7569023</v>
      </c>
      <c r="AR192" s="42">
        <f>+M192-O192</f>
        <v>0</v>
      </c>
      <c r="AS192" s="42"/>
      <c r="AT192" s="42">
        <f t="shared" si="88"/>
        <v>0</v>
      </c>
      <c r="AU192" s="42"/>
      <c r="AV192" s="42">
        <f t="shared" si="89"/>
        <v>-4224166</v>
      </c>
      <c r="AW192" s="42"/>
      <c r="AX192" s="42">
        <f t="shared" si="90"/>
        <v>-4224166</v>
      </c>
    </row>
    <row r="193" spans="1:50" s="7" customFormat="1" ht="12" hidden="1">
      <c r="A193" s="7" t="s">
        <v>362</v>
      </c>
      <c r="C193" s="7" t="s">
        <v>358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>
        <f t="shared" si="76"/>
        <v>0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>
        <v>0</v>
      </c>
      <c r="AG193" s="36"/>
      <c r="AH193" s="36"/>
      <c r="AI193" s="36"/>
      <c r="AJ193" s="36">
        <f>Q193+S193+U193+V193+X193+Z193+AB193+AD193+AH193+AF193</f>
        <v>0</v>
      </c>
      <c r="AK193" s="36"/>
      <c r="AL193" s="36"/>
      <c r="AM193" s="36"/>
      <c r="AN193" s="36"/>
      <c r="AO193" s="36"/>
      <c r="AP193" s="36"/>
      <c r="AR193" s="42">
        <f t="shared" si="77"/>
        <v>0</v>
      </c>
      <c r="AS193" s="42"/>
      <c r="AT193" s="42">
        <f t="shared" si="88"/>
        <v>0</v>
      </c>
      <c r="AU193" s="42"/>
      <c r="AV193" s="42">
        <f t="shared" si="89"/>
        <v>0</v>
      </c>
      <c r="AW193" s="42"/>
      <c r="AX193" s="42">
        <f t="shared" si="90"/>
        <v>0</v>
      </c>
    </row>
    <row r="194" spans="1:50" s="7" customFormat="1" ht="12">
      <c r="A194" s="7" t="s">
        <v>504</v>
      </c>
      <c r="C194" s="7" t="s">
        <v>501</v>
      </c>
      <c r="E194" s="36">
        <v>345754.62</v>
      </c>
      <c r="F194" s="36"/>
      <c r="G194" s="36">
        <v>141265.1</v>
      </c>
      <c r="H194" s="36"/>
      <c r="I194" s="36">
        <v>77738.4</v>
      </c>
      <c r="J194" s="36"/>
      <c r="K194" s="36">
        <v>0</v>
      </c>
      <c r="L194" s="36"/>
      <c r="M194" s="36">
        <v>-126751.12</v>
      </c>
      <c r="N194" s="36"/>
      <c r="O194" s="36">
        <f t="shared" si="76"/>
        <v>-126751.12</v>
      </c>
      <c r="P194" s="36"/>
      <c r="Q194" s="36">
        <v>133479.53</v>
      </c>
      <c r="R194" s="36"/>
      <c r="S194" s="36">
        <v>0</v>
      </c>
      <c r="T194" s="36"/>
      <c r="U194" s="36">
        <v>37494.6</v>
      </c>
      <c r="V194" s="36">
        <v>11039.74</v>
      </c>
      <c r="W194" s="36"/>
      <c r="X194" s="36">
        <v>10038.88</v>
      </c>
      <c r="Y194" s="36"/>
      <c r="Z194" s="36">
        <v>89666.26</v>
      </c>
      <c r="AA194" s="36"/>
      <c r="AB194" s="36">
        <v>0</v>
      </c>
      <c r="AC194" s="36"/>
      <c r="AD194" s="36">
        <v>0</v>
      </c>
      <c r="AE194" s="36"/>
      <c r="AF194" s="36">
        <v>0</v>
      </c>
      <c r="AG194" s="36"/>
      <c r="AH194" s="36">
        <v>0</v>
      </c>
      <c r="AI194" s="36"/>
      <c r="AJ194" s="36">
        <f>Q194+S194+U194+V194+X194+Z194+AB194+AD194+AH194+AF194</f>
        <v>281719.01</v>
      </c>
      <c r="AK194" s="36"/>
      <c r="AL194" s="36">
        <v>154967.89</v>
      </c>
      <c r="AM194" s="36"/>
      <c r="AN194" s="36">
        <v>740440.07</v>
      </c>
      <c r="AO194" s="36"/>
      <c r="AP194" s="36">
        <v>895407.96</v>
      </c>
      <c r="AR194" s="42">
        <f t="shared" si="77"/>
        <v>0</v>
      </c>
      <c r="AS194" s="42"/>
      <c r="AT194" s="42">
        <f t="shared" si="88"/>
        <v>0</v>
      </c>
      <c r="AU194" s="42"/>
      <c r="AV194" s="42">
        <f t="shared" si="89"/>
        <v>0</v>
      </c>
      <c r="AW194" s="42"/>
      <c r="AX194" s="42">
        <f t="shared" si="90"/>
        <v>0</v>
      </c>
    </row>
    <row r="195" spans="1:50" s="7" customFormat="1" ht="12">
      <c r="A195" s="7" t="s">
        <v>857</v>
      </c>
      <c r="C195" s="7" t="s">
        <v>312</v>
      </c>
      <c r="E195" s="96">
        <v>36550.85</v>
      </c>
      <c r="F195" s="96"/>
      <c r="G195" s="96">
        <v>2847.72</v>
      </c>
      <c r="H195" s="96"/>
      <c r="I195" s="96">
        <v>11513.04</v>
      </c>
      <c r="J195" s="96"/>
      <c r="K195" s="96">
        <v>0</v>
      </c>
      <c r="L195" s="96"/>
      <c r="M195" s="96">
        <v>-22190.09</v>
      </c>
      <c r="N195" s="96"/>
      <c r="O195" s="96">
        <f aca="true" t="shared" si="111" ref="O195">M195</f>
        <v>-22190.09</v>
      </c>
      <c r="P195" s="96"/>
      <c r="Q195" s="96">
        <v>2359.9</v>
      </c>
      <c r="R195" s="96"/>
      <c r="S195" s="96">
        <v>0</v>
      </c>
      <c r="T195" s="96"/>
      <c r="U195" s="96">
        <v>11151.37</v>
      </c>
      <c r="V195" s="96">
        <v>14.26</v>
      </c>
      <c r="W195" s="96"/>
      <c r="X195" s="96">
        <v>0</v>
      </c>
      <c r="Y195" s="96"/>
      <c r="Z195" s="96">
        <v>0</v>
      </c>
      <c r="AA195" s="96"/>
      <c r="AB195" s="96">
        <v>0</v>
      </c>
      <c r="AC195" s="96"/>
      <c r="AD195" s="96">
        <v>0</v>
      </c>
      <c r="AE195" s="96"/>
      <c r="AF195" s="96">
        <v>0</v>
      </c>
      <c r="AG195" s="96"/>
      <c r="AH195" s="96">
        <v>0</v>
      </c>
      <c r="AI195" s="96"/>
      <c r="AJ195" s="96">
        <f aca="true" t="shared" si="112" ref="AJ195">SUM(Q195:AH195)</f>
        <v>13525.53</v>
      </c>
      <c r="AK195" s="96"/>
      <c r="AL195" s="96">
        <v>-8664.56</v>
      </c>
      <c r="AM195" s="96"/>
      <c r="AN195" s="96">
        <v>102161.06</v>
      </c>
      <c r="AO195" s="96"/>
      <c r="AP195" s="96">
        <v>93496.5</v>
      </c>
      <c r="AR195" s="42">
        <f aca="true" t="shared" si="113" ref="AR195">+M195-O195</f>
        <v>0</v>
      </c>
      <c r="AS195" s="42"/>
      <c r="AT195" s="42">
        <f t="shared" si="88"/>
        <v>0</v>
      </c>
      <c r="AU195" s="42"/>
      <c r="AV195" s="42">
        <f t="shared" si="89"/>
        <v>0</v>
      </c>
      <c r="AW195" s="42"/>
      <c r="AX195" s="42">
        <f t="shared" si="90"/>
        <v>0</v>
      </c>
    </row>
    <row r="196" spans="1:50" s="7" customFormat="1" ht="12" hidden="1">
      <c r="A196" s="7" t="s">
        <v>609</v>
      </c>
      <c r="C196" s="7" t="s">
        <v>603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>
        <f t="shared" si="76"/>
        <v>0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>
        <v>0</v>
      </c>
      <c r="AG196" s="36"/>
      <c r="AH196" s="36"/>
      <c r="AI196" s="36"/>
      <c r="AJ196" s="36">
        <f>Q196+S196+U196+V196+X196+Z196+AB196+AD196+AH196+AF196</f>
        <v>0</v>
      </c>
      <c r="AK196" s="36"/>
      <c r="AL196" s="36"/>
      <c r="AM196" s="36"/>
      <c r="AN196" s="36"/>
      <c r="AO196" s="36"/>
      <c r="AP196" s="36"/>
      <c r="AR196" s="42">
        <f>+M196-O196</f>
        <v>0</v>
      </c>
      <c r="AS196" s="42"/>
      <c r="AT196" s="42">
        <f t="shared" si="88"/>
        <v>0</v>
      </c>
      <c r="AU196" s="42"/>
      <c r="AV196" s="42">
        <f t="shared" si="89"/>
        <v>0</v>
      </c>
      <c r="AW196" s="42"/>
      <c r="AX196" s="42">
        <f t="shared" si="90"/>
        <v>0</v>
      </c>
    </row>
    <row r="197" spans="1:50" s="7" customFormat="1" ht="12" hidden="1">
      <c r="A197" s="7" t="s">
        <v>571</v>
      </c>
      <c r="C197" s="7" t="s">
        <v>572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>
        <f t="shared" si="76"/>
        <v>0</v>
      </c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>
        <v>0</v>
      </c>
      <c r="AG197" s="36"/>
      <c r="AH197" s="36"/>
      <c r="AI197" s="36"/>
      <c r="AJ197" s="36">
        <f>Q197+S197+U197+V197+X197+Z197+AB197+AD197+AH197+AF197</f>
        <v>0</v>
      </c>
      <c r="AK197" s="36"/>
      <c r="AL197" s="36"/>
      <c r="AM197" s="36"/>
      <c r="AN197" s="36"/>
      <c r="AO197" s="36"/>
      <c r="AP197" s="36"/>
      <c r="AR197" s="42">
        <f aca="true" t="shared" si="114" ref="AR197">+M197-O197</f>
        <v>0</v>
      </c>
      <c r="AS197" s="42"/>
      <c r="AT197" s="42">
        <f t="shared" si="88"/>
        <v>0</v>
      </c>
      <c r="AU197" s="42"/>
      <c r="AV197" s="42">
        <f t="shared" si="89"/>
        <v>0</v>
      </c>
      <c r="AW197" s="42"/>
      <c r="AX197" s="42">
        <f t="shared" si="90"/>
        <v>0</v>
      </c>
    </row>
    <row r="198" spans="1:50" s="7" customFormat="1" ht="12">
      <c r="A198" s="7" t="s">
        <v>151</v>
      </c>
      <c r="C198" s="7" t="s">
        <v>791</v>
      </c>
      <c r="E198" s="36">
        <v>161978.75</v>
      </c>
      <c r="F198" s="36"/>
      <c r="G198" s="36">
        <v>507</v>
      </c>
      <c r="H198" s="36"/>
      <c r="I198" s="36">
        <v>13609.21</v>
      </c>
      <c r="J198" s="36"/>
      <c r="K198" s="36">
        <v>0</v>
      </c>
      <c r="L198" s="36"/>
      <c r="M198" s="36">
        <v>-147862.54</v>
      </c>
      <c r="N198" s="36"/>
      <c r="O198" s="36">
        <f t="shared" si="76"/>
        <v>-147862.54</v>
      </c>
      <c r="P198" s="36"/>
      <c r="Q198" s="36">
        <v>37647.97</v>
      </c>
      <c r="R198" s="36"/>
      <c r="S198" s="36">
        <v>0</v>
      </c>
      <c r="T198" s="36"/>
      <c r="U198" s="36">
        <v>20638.24</v>
      </c>
      <c r="V198" s="36">
        <v>0</v>
      </c>
      <c r="W198" s="36"/>
      <c r="X198" s="36">
        <v>0</v>
      </c>
      <c r="Y198" s="36"/>
      <c r="Z198" s="36">
        <v>6870.32</v>
      </c>
      <c r="AA198" s="36"/>
      <c r="AB198" s="36">
        <v>52247.5</v>
      </c>
      <c r="AC198" s="36"/>
      <c r="AD198" s="36">
        <v>0</v>
      </c>
      <c r="AE198" s="36"/>
      <c r="AF198" s="36">
        <v>0</v>
      </c>
      <c r="AG198" s="36"/>
      <c r="AH198" s="36">
        <v>0</v>
      </c>
      <c r="AI198" s="36"/>
      <c r="AJ198" s="36">
        <f>Q198+S198+U198+V198+X198+Z198+AB198+AD198+AH198+AF198</f>
        <v>117404.03</v>
      </c>
      <c r="AK198" s="36"/>
      <c r="AL198" s="36">
        <v>-30458.51</v>
      </c>
      <c r="AM198" s="36"/>
      <c r="AN198" s="36">
        <v>293055.23</v>
      </c>
      <c r="AO198" s="36"/>
      <c r="AP198" s="36">
        <v>262596.72</v>
      </c>
      <c r="AR198" s="42">
        <f>+M198-O198</f>
        <v>0</v>
      </c>
      <c r="AS198" s="42"/>
      <c r="AT198" s="42">
        <f t="shared" si="88"/>
        <v>0</v>
      </c>
      <c r="AU198" s="42"/>
      <c r="AV198" s="42">
        <f t="shared" si="89"/>
        <v>0</v>
      </c>
      <c r="AW198" s="42"/>
      <c r="AX198" s="42">
        <f t="shared" si="90"/>
        <v>0</v>
      </c>
    </row>
    <row r="199" spans="1:50" s="7" customFormat="1" ht="12">
      <c r="A199" s="7" t="s">
        <v>50</v>
      </c>
      <c r="C199" s="7" t="s">
        <v>761</v>
      </c>
      <c r="E199" s="96">
        <v>5509196.89</v>
      </c>
      <c r="F199" s="96"/>
      <c r="G199" s="96">
        <v>682028.25</v>
      </c>
      <c r="H199" s="96"/>
      <c r="I199" s="96">
        <v>212286.8</v>
      </c>
      <c r="J199" s="96"/>
      <c r="K199" s="96">
        <v>0</v>
      </c>
      <c r="L199" s="96"/>
      <c r="M199" s="96">
        <v>-4614881.84</v>
      </c>
      <c r="N199" s="96"/>
      <c r="O199" s="96">
        <f aca="true" t="shared" si="115" ref="O199">M199</f>
        <v>-4614881.84</v>
      </c>
      <c r="P199" s="96"/>
      <c r="Q199" s="96">
        <v>320427.99</v>
      </c>
      <c r="R199" s="96"/>
      <c r="S199" s="96">
        <v>3377502.79</v>
      </c>
      <c r="T199" s="96"/>
      <c r="U199" s="96">
        <v>327367.18</v>
      </c>
      <c r="V199" s="96">
        <v>1155.75</v>
      </c>
      <c r="W199" s="96"/>
      <c r="X199" s="96">
        <v>0</v>
      </c>
      <c r="Y199" s="96"/>
      <c r="Z199" s="96">
        <v>16798.78</v>
      </c>
      <c r="AA199" s="96"/>
      <c r="AB199" s="96">
        <v>0</v>
      </c>
      <c r="AC199" s="96"/>
      <c r="AD199" s="96">
        <v>0</v>
      </c>
      <c r="AE199" s="96"/>
      <c r="AF199" s="96">
        <v>0</v>
      </c>
      <c r="AG199" s="96"/>
      <c r="AH199" s="96">
        <v>0</v>
      </c>
      <c r="AI199" s="96"/>
      <c r="AJ199" s="96">
        <f aca="true" t="shared" si="116" ref="AJ199">SUM(Q199:AH199)</f>
        <v>4043252.49</v>
      </c>
      <c r="AK199" s="96"/>
      <c r="AL199" s="96">
        <v>-571629.35</v>
      </c>
      <c r="AM199" s="96"/>
      <c r="AN199" s="96">
        <v>4855440.54</v>
      </c>
      <c r="AO199" s="96"/>
      <c r="AP199" s="96">
        <v>4283811.19</v>
      </c>
      <c r="AR199" s="42">
        <f>+M199-O199</f>
        <v>0</v>
      </c>
      <c r="AS199" s="42"/>
      <c r="AT199" s="42">
        <f t="shared" si="88"/>
        <v>0</v>
      </c>
      <c r="AU199" s="42"/>
      <c r="AV199" s="42">
        <f t="shared" si="89"/>
        <v>0</v>
      </c>
      <c r="AW199" s="42"/>
      <c r="AX199" s="42">
        <f t="shared" si="90"/>
        <v>0</v>
      </c>
    </row>
    <row r="200" spans="1:50" s="7" customFormat="1" ht="12" hidden="1">
      <c r="A200" s="7" t="s">
        <v>848</v>
      </c>
      <c r="C200" s="7" t="s">
        <v>759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>
        <f t="shared" si="76"/>
        <v>0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>
        <v>0</v>
      </c>
      <c r="AG200" s="36"/>
      <c r="AH200" s="36"/>
      <c r="AI200" s="36"/>
      <c r="AJ200" s="36">
        <f>Q200+S200+U200+V200+X200+Z200+AB200+AD200+AH200+AF200</f>
        <v>0</v>
      </c>
      <c r="AK200" s="36"/>
      <c r="AL200" s="36"/>
      <c r="AM200" s="36"/>
      <c r="AN200" s="36"/>
      <c r="AO200" s="36"/>
      <c r="AP200" s="36"/>
      <c r="AR200" s="42">
        <f>+M200-O200</f>
        <v>0</v>
      </c>
      <c r="AS200" s="42"/>
      <c r="AT200" s="42">
        <f t="shared" si="88"/>
        <v>0</v>
      </c>
      <c r="AU200" s="42"/>
      <c r="AV200" s="42">
        <f t="shared" si="89"/>
        <v>0</v>
      </c>
      <c r="AW200" s="42"/>
      <c r="AX200" s="42">
        <f t="shared" si="90"/>
        <v>0</v>
      </c>
    </row>
    <row r="201" spans="1:50" s="7" customFormat="1" ht="12" hidden="1">
      <c r="A201" s="30" t="s">
        <v>14</v>
      </c>
      <c r="C201" s="30" t="s">
        <v>275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>
        <f t="shared" si="76"/>
        <v>0</v>
      </c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>
        <v>0</v>
      </c>
      <c r="AG201" s="36"/>
      <c r="AH201" s="36"/>
      <c r="AI201" s="36"/>
      <c r="AJ201" s="36">
        <f>Q201+S201+U201+V201+X201+Z201+AB201+AD201+AH201+AF201</f>
        <v>0</v>
      </c>
      <c r="AK201" s="36"/>
      <c r="AL201" s="36"/>
      <c r="AM201" s="36"/>
      <c r="AN201" s="36"/>
      <c r="AO201" s="36"/>
      <c r="AP201" s="36"/>
      <c r="AR201" s="42">
        <f>+M201-O201</f>
        <v>0</v>
      </c>
      <c r="AS201" s="42"/>
      <c r="AT201" s="42">
        <f t="shared" si="88"/>
        <v>0</v>
      </c>
      <c r="AU201" s="42"/>
      <c r="AV201" s="42">
        <f t="shared" si="89"/>
        <v>0</v>
      </c>
      <c r="AW201" s="42"/>
      <c r="AX201" s="42">
        <f t="shared" si="90"/>
        <v>0</v>
      </c>
    </row>
    <row r="202" spans="1:50" s="7" customFormat="1" ht="12">
      <c r="A202" s="30" t="s">
        <v>585</v>
      </c>
      <c r="C202" s="30" t="s">
        <v>583</v>
      </c>
      <c r="E202" s="36">
        <v>1084646</v>
      </c>
      <c r="F202" s="36"/>
      <c r="G202" s="36">
        <v>49903</v>
      </c>
      <c r="H202" s="36"/>
      <c r="I202" s="36">
        <v>85495</v>
      </c>
      <c r="J202" s="36"/>
      <c r="K202" s="36">
        <v>0</v>
      </c>
      <c r="L202" s="36"/>
      <c r="M202" s="36">
        <v>-949248</v>
      </c>
      <c r="N202" s="36"/>
      <c r="O202" s="36">
        <f t="shared" si="76"/>
        <v>-949248</v>
      </c>
      <c r="P202" s="36"/>
      <c r="Q202" s="36">
        <f>2579+466689</f>
        <v>469268</v>
      </c>
      <c r="R202" s="36"/>
      <c r="S202" s="36">
        <v>361181</v>
      </c>
      <c r="T202" s="36"/>
      <c r="U202" s="36">
        <v>0</v>
      </c>
      <c r="V202" s="36">
        <v>1662</v>
      </c>
      <c r="W202" s="36"/>
      <c r="X202" s="36">
        <v>36097</v>
      </c>
      <c r="Y202" s="36"/>
      <c r="Z202" s="36">
        <v>5594</v>
      </c>
      <c r="AA202" s="36"/>
      <c r="AB202" s="36">
        <v>0</v>
      </c>
      <c r="AC202" s="36"/>
      <c r="AD202" s="36">
        <v>0</v>
      </c>
      <c r="AE202" s="36"/>
      <c r="AF202" s="36">
        <v>0</v>
      </c>
      <c r="AG202" s="36"/>
      <c r="AH202" s="36">
        <v>0</v>
      </c>
      <c r="AI202" s="36"/>
      <c r="AJ202" s="36">
        <f>Q202+S202+U202+V202+X202+Z202+AB202+AD202+AH202+AF202</f>
        <v>873802</v>
      </c>
      <c r="AK202" s="36"/>
      <c r="AL202" s="36">
        <v>-75446</v>
      </c>
      <c r="AM202" s="36"/>
      <c r="AN202" s="36">
        <v>632134</v>
      </c>
      <c r="AO202" s="36"/>
      <c r="AP202" s="36">
        <v>556688</v>
      </c>
      <c r="AR202" s="42">
        <f aca="true" t="shared" si="117" ref="AR202">+M202-O202</f>
        <v>0</v>
      </c>
      <c r="AS202" s="42"/>
      <c r="AT202" s="42">
        <f t="shared" si="88"/>
        <v>0</v>
      </c>
      <c r="AU202" s="42"/>
      <c r="AV202" s="42">
        <f t="shared" si="89"/>
        <v>0</v>
      </c>
      <c r="AW202" s="42"/>
      <c r="AX202" s="42">
        <f t="shared" si="90"/>
        <v>0</v>
      </c>
    </row>
    <row r="203" spans="1:50" s="7" customFormat="1" ht="12">
      <c r="A203" s="7" t="s">
        <v>453</v>
      </c>
      <c r="C203" s="7" t="s">
        <v>787</v>
      </c>
      <c r="E203" s="36">
        <v>3448721</v>
      </c>
      <c r="F203" s="36"/>
      <c r="G203" s="36">
        <v>118355</v>
      </c>
      <c r="H203" s="36"/>
      <c r="I203" s="36">
        <v>8050</v>
      </c>
      <c r="J203" s="36"/>
      <c r="K203" s="36">
        <v>177093</v>
      </c>
      <c r="L203" s="36"/>
      <c r="M203" s="36">
        <v>-3145223</v>
      </c>
      <c r="N203" s="36"/>
      <c r="O203" s="36">
        <f>-E203+G203+I203+K203</f>
        <v>-3145223</v>
      </c>
      <c r="P203" s="36"/>
      <c r="Q203" s="36">
        <v>651000</v>
      </c>
      <c r="R203" s="36"/>
      <c r="S203" s="36">
        <v>1520855</v>
      </c>
      <c r="T203" s="36"/>
      <c r="U203" s="36">
        <v>367986</v>
      </c>
      <c r="V203" s="36">
        <v>77241</v>
      </c>
      <c r="W203" s="36"/>
      <c r="X203" s="36">
        <v>0</v>
      </c>
      <c r="Y203" s="36"/>
      <c r="Z203" s="36">
        <v>218050</v>
      </c>
      <c r="AA203" s="36"/>
      <c r="AB203" s="36">
        <v>0</v>
      </c>
      <c r="AC203" s="36"/>
      <c r="AD203" s="36">
        <v>0</v>
      </c>
      <c r="AE203" s="36"/>
      <c r="AF203" s="36">
        <v>0</v>
      </c>
      <c r="AG203" s="36"/>
      <c r="AH203" s="36">
        <v>0</v>
      </c>
      <c r="AI203" s="36"/>
      <c r="AJ203" s="36">
        <f>Q203+S203+U203+V203+X203+Z203+AB203+AD203+AH203+AF203</f>
        <v>2835132</v>
      </c>
      <c r="AK203" s="36"/>
      <c r="AL203" s="36">
        <v>-310091</v>
      </c>
      <c r="AM203" s="36"/>
      <c r="AN203" s="36">
        <v>2841806</v>
      </c>
      <c r="AO203" s="36"/>
      <c r="AP203" s="36">
        <v>2531715</v>
      </c>
      <c r="AR203" s="42">
        <f aca="true" t="shared" si="118" ref="AR203:AR220">+M203-O203</f>
        <v>0</v>
      </c>
      <c r="AS203" s="42"/>
      <c r="AT203" s="42">
        <f t="shared" si="88"/>
        <v>0</v>
      </c>
      <c r="AU203" s="42"/>
      <c r="AV203" s="42">
        <f t="shared" si="89"/>
        <v>0</v>
      </c>
      <c r="AW203" s="42"/>
      <c r="AX203" s="42">
        <f t="shared" si="90"/>
        <v>0</v>
      </c>
    </row>
    <row r="204" spans="1:50" s="7" customFormat="1" ht="12" hidden="1">
      <c r="A204" s="7" t="s">
        <v>306</v>
      </c>
      <c r="C204" s="7" t="s">
        <v>305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>
        <f t="shared" si="76"/>
        <v>0</v>
      </c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>
        <v>0</v>
      </c>
      <c r="AG204" s="36"/>
      <c r="AH204" s="36"/>
      <c r="AI204" s="36"/>
      <c r="AJ204" s="36">
        <f>Q204+S204+U204+V204+X204+Z204+AB204+AD204+AH204+AF204</f>
        <v>0</v>
      </c>
      <c r="AK204" s="36"/>
      <c r="AL204" s="36"/>
      <c r="AM204" s="36"/>
      <c r="AN204" s="36"/>
      <c r="AO204" s="36"/>
      <c r="AP204" s="36"/>
      <c r="AR204" s="42">
        <f t="shared" si="118"/>
        <v>0</v>
      </c>
      <c r="AS204" s="42"/>
      <c r="AT204" s="42">
        <f t="shared" si="88"/>
        <v>0</v>
      </c>
      <c r="AU204" s="42"/>
      <c r="AV204" s="42">
        <f t="shared" si="89"/>
        <v>0</v>
      </c>
      <c r="AW204" s="42"/>
      <c r="AX204" s="42">
        <f t="shared" si="90"/>
        <v>0</v>
      </c>
    </row>
    <row r="205" spans="1:50" s="7" customFormat="1" ht="12">
      <c r="A205" s="7" t="s">
        <v>230</v>
      </c>
      <c r="C205" s="7" t="s">
        <v>559</v>
      </c>
      <c r="E205" s="96">
        <v>139389.04</v>
      </c>
      <c r="F205" s="96"/>
      <c r="G205" s="96">
        <v>49989.79</v>
      </c>
      <c r="H205" s="96"/>
      <c r="I205" s="96">
        <v>20797.24</v>
      </c>
      <c r="J205" s="96"/>
      <c r="K205" s="96">
        <v>0</v>
      </c>
      <c r="L205" s="96"/>
      <c r="M205" s="96">
        <v>-68602.01</v>
      </c>
      <c r="N205" s="96"/>
      <c r="O205" s="96">
        <f aca="true" t="shared" si="119" ref="O205">M205</f>
        <v>-68602.01</v>
      </c>
      <c r="P205" s="96"/>
      <c r="Q205" s="96">
        <v>57406.94</v>
      </c>
      <c r="R205" s="96"/>
      <c r="S205" s="96">
        <v>5245.47</v>
      </c>
      <c r="T205" s="96"/>
      <c r="U205" s="96">
        <v>12500</v>
      </c>
      <c r="V205" s="96">
        <v>231.73</v>
      </c>
      <c r="W205" s="96"/>
      <c r="X205" s="96">
        <v>2502.33</v>
      </c>
      <c r="Y205" s="96"/>
      <c r="Z205" s="96">
        <v>1461.44</v>
      </c>
      <c r="AA205" s="96"/>
      <c r="AB205" s="96">
        <v>0</v>
      </c>
      <c r="AC205" s="96"/>
      <c r="AD205" s="96">
        <v>0</v>
      </c>
      <c r="AE205" s="96"/>
      <c r="AF205" s="96">
        <v>0</v>
      </c>
      <c r="AG205" s="96"/>
      <c r="AH205" s="96">
        <v>502.5</v>
      </c>
      <c r="AI205" s="96"/>
      <c r="AJ205" s="96">
        <f aca="true" t="shared" si="120" ref="AJ205">SUM(Q205:AH205)</f>
        <v>79850.41</v>
      </c>
      <c r="AK205" s="96"/>
      <c r="AL205" s="96">
        <v>11248.4</v>
      </c>
      <c r="AM205" s="96"/>
      <c r="AN205" s="96">
        <v>88809.84</v>
      </c>
      <c r="AO205" s="96"/>
      <c r="AP205" s="96">
        <v>100058.24</v>
      </c>
      <c r="AR205" s="42">
        <f t="shared" si="118"/>
        <v>0</v>
      </c>
      <c r="AS205" s="42"/>
      <c r="AT205" s="42">
        <f aca="true" t="shared" si="121" ref="AT205:AT220">+Q205+S205+U205+V205+X205+Z205+AB205+AD205+AH205-AJ205+AF205</f>
        <v>0</v>
      </c>
      <c r="AU205" s="42"/>
      <c r="AV205" s="42">
        <f aca="true" t="shared" si="122" ref="AV205:AV220">+O205+AJ205-AL205</f>
        <v>0</v>
      </c>
      <c r="AW205" s="42"/>
      <c r="AX205" s="42">
        <f aca="true" t="shared" si="123" ref="AX205:AX220">+O205+AJ205+AN205-AP205</f>
        <v>0</v>
      </c>
    </row>
    <row r="206" spans="1:50" s="7" customFormat="1" ht="12">
      <c r="A206" s="7" t="s">
        <v>135</v>
      </c>
      <c r="C206" s="7" t="s">
        <v>786</v>
      </c>
      <c r="E206" s="36">
        <v>837816.76</v>
      </c>
      <c r="F206" s="36"/>
      <c r="G206" s="36">
        <v>122362.31</v>
      </c>
      <c r="H206" s="36"/>
      <c r="I206" s="36">
        <v>76864.31</v>
      </c>
      <c r="J206" s="36"/>
      <c r="K206" s="36">
        <v>91465.4</v>
      </c>
      <c r="L206" s="36"/>
      <c r="M206" s="36">
        <v>-547124.74</v>
      </c>
      <c r="N206" s="36"/>
      <c r="O206" s="36">
        <f aca="true" t="shared" si="124" ref="O206:O207">M206</f>
        <v>-547124.74</v>
      </c>
      <c r="P206" s="36"/>
      <c r="Q206" s="36">
        <v>251627.05</v>
      </c>
      <c r="R206" s="36"/>
      <c r="S206" s="36">
        <v>0</v>
      </c>
      <c r="T206" s="36"/>
      <c r="U206" s="36">
        <v>214063.28</v>
      </c>
      <c r="V206" s="36">
        <v>10516.4</v>
      </c>
      <c r="W206" s="36"/>
      <c r="X206" s="36">
        <v>0</v>
      </c>
      <c r="Y206" s="36"/>
      <c r="Z206" s="36">
        <v>113342.35</v>
      </c>
      <c r="AA206" s="36"/>
      <c r="AB206" s="36">
        <v>0</v>
      </c>
      <c r="AC206" s="36"/>
      <c r="AD206" s="36">
        <v>-1996.56</v>
      </c>
      <c r="AE206" s="36"/>
      <c r="AF206" s="36">
        <v>0</v>
      </c>
      <c r="AG206" s="36"/>
      <c r="AH206" s="36">
        <v>0</v>
      </c>
      <c r="AI206" s="36"/>
      <c r="AJ206" s="36">
        <f aca="true" t="shared" si="125" ref="AJ206:AJ211">Q206+S206+U206+V206+X206+Z206+AB206+AD206+AH206+AF206</f>
        <v>587552.5199999999</v>
      </c>
      <c r="AK206" s="36"/>
      <c r="AL206" s="36">
        <v>40427.78</v>
      </c>
      <c r="AM206" s="36"/>
      <c r="AN206" s="36">
        <v>683754.55</v>
      </c>
      <c r="AO206" s="36"/>
      <c r="AP206" s="36">
        <v>724182.33</v>
      </c>
      <c r="AR206" s="42">
        <f t="shared" si="118"/>
        <v>0</v>
      </c>
      <c r="AS206" s="42"/>
      <c r="AT206" s="42">
        <f t="shared" si="121"/>
        <v>0</v>
      </c>
      <c r="AU206" s="42"/>
      <c r="AV206" s="42">
        <f t="shared" si="122"/>
        <v>-8.731149137020111E-11</v>
      </c>
      <c r="AW206" s="42"/>
      <c r="AX206" s="42">
        <f t="shared" si="123"/>
        <v>0</v>
      </c>
    </row>
    <row r="207" spans="1:50" s="7" customFormat="1" ht="12">
      <c r="A207" s="7" t="s">
        <v>250</v>
      </c>
      <c r="C207" s="7" t="s">
        <v>823</v>
      </c>
      <c r="E207" s="36">
        <v>609545.9</v>
      </c>
      <c r="F207" s="36"/>
      <c r="G207" s="36">
        <v>72722.6</v>
      </c>
      <c r="H207" s="36"/>
      <c r="I207" s="36">
        <v>102462.59</v>
      </c>
      <c r="J207" s="36"/>
      <c r="K207" s="36">
        <v>0</v>
      </c>
      <c r="L207" s="36"/>
      <c r="M207" s="36">
        <v>-434360.71</v>
      </c>
      <c r="N207" s="36"/>
      <c r="O207" s="36">
        <f t="shared" si="124"/>
        <v>-434360.71</v>
      </c>
      <c r="P207" s="36"/>
      <c r="Q207" s="36">
        <v>63327.82</v>
      </c>
      <c r="R207" s="36"/>
      <c r="S207" s="36">
        <v>216921.76</v>
      </c>
      <c r="T207" s="36"/>
      <c r="U207" s="36">
        <v>57600.78</v>
      </c>
      <c r="V207" s="36">
        <v>2688.99</v>
      </c>
      <c r="W207" s="36"/>
      <c r="X207" s="36">
        <v>0</v>
      </c>
      <c r="Y207" s="36"/>
      <c r="Z207" s="36">
        <v>9998.54</v>
      </c>
      <c r="AA207" s="36"/>
      <c r="AB207" s="36">
        <v>33345.95</v>
      </c>
      <c r="AC207" s="36"/>
      <c r="AD207" s="36">
        <v>105710.86</v>
      </c>
      <c r="AE207" s="36"/>
      <c r="AF207" s="36">
        <v>0</v>
      </c>
      <c r="AG207" s="36"/>
      <c r="AH207" s="36">
        <v>0</v>
      </c>
      <c r="AI207" s="36"/>
      <c r="AJ207" s="36">
        <f t="shared" si="125"/>
        <v>489594.69999999995</v>
      </c>
      <c r="AK207" s="36"/>
      <c r="AL207" s="36">
        <v>55233.99</v>
      </c>
      <c r="AM207" s="36"/>
      <c r="AN207" s="36">
        <v>286774.95</v>
      </c>
      <c r="AO207" s="36"/>
      <c r="AP207" s="36">
        <v>342008.94</v>
      </c>
      <c r="AR207" s="42">
        <f t="shared" si="118"/>
        <v>0</v>
      </c>
      <c r="AS207" s="42"/>
      <c r="AT207" s="42">
        <f t="shared" si="121"/>
        <v>0</v>
      </c>
      <c r="AU207" s="42"/>
      <c r="AV207" s="42">
        <f t="shared" si="122"/>
        <v>-6.548361852765083E-11</v>
      </c>
      <c r="AW207" s="42"/>
      <c r="AX207" s="42">
        <f t="shared" si="123"/>
        <v>0</v>
      </c>
    </row>
    <row r="208" spans="1:50" s="7" customFormat="1" ht="12" hidden="1">
      <c r="A208" s="30" t="s">
        <v>0</v>
      </c>
      <c r="C208" s="30" t="s">
        <v>662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>
        <f t="shared" si="76"/>
        <v>0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>
        <v>0</v>
      </c>
      <c r="AG208" s="36"/>
      <c r="AH208" s="36"/>
      <c r="AI208" s="36"/>
      <c r="AJ208" s="36">
        <f t="shared" si="125"/>
        <v>0</v>
      </c>
      <c r="AK208" s="36"/>
      <c r="AL208" s="36"/>
      <c r="AM208" s="36"/>
      <c r="AN208" s="36"/>
      <c r="AO208" s="36"/>
      <c r="AP208" s="36"/>
      <c r="AR208" s="42">
        <f t="shared" si="118"/>
        <v>0</v>
      </c>
      <c r="AS208" s="42"/>
      <c r="AT208" s="42">
        <f t="shared" si="121"/>
        <v>0</v>
      </c>
      <c r="AU208" s="42"/>
      <c r="AV208" s="42">
        <f t="shared" si="122"/>
        <v>0</v>
      </c>
      <c r="AW208" s="42"/>
      <c r="AX208" s="42">
        <f t="shared" si="123"/>
        <v>0</v>
      </c>
    </row>
    <row r="209" spans="1:50" s="7" customFormat="1" ht="12">
      <c r="A209" s="7" t="s">
        <v>601</v>
      </c>
      <c r="C209" s="7" t="s">
        <v>598</v>
      </c>
      <c r="E209" s="36">
        <v>1095165.57</v>
      </c>
      <c r="F209" s="36"/>
      <c r="G209" s="36">
        <v>30373.3</v>
      </c>
      <c r="H209" s="36"/>
      <c r="I209" s="36">
        <v>182976.49</v>
      </c>
      <c r="J209" s="36"/>
      <c r="K209" s="36">
        <v>0</v>
      </c>
      <c r="L209" s="36"/>
      <c r="M209" s="36">
        <v>-881815.78</v>
      </c>
      <c r="N209" s="36"/>
      <c r="O209" s="36">
        <f aca="true" t="shared" si="126" ref="O209:O210">M209</f>
        <v>-881815.78</v>
      </c>
      <c r="P209" s="36"/>
      <c r="Q209" s="36">
        <v>195048.80000000002</v>
      </c>
      <c r="R209" s="36"/>
      <c r="S209" s="36">
        <v>601966.53</v>
      </c>
      <c r="T209" s="36"/>
      <c r="U209" s="36">
        <v>102649.36</v>
      </c>
      <c r="V209" s="36">
        <v>6166.97</v>
      </c>
      <c r="W209" s="36"/>
      <c r="X209" s="36">
        <v>15258.76</v>
      </c>
      <c r="Y209" s="36"/>
      <c r="Z209" s="36">
        <v>84421.88</v>
      </c>
      <c r="AA209" s="36"/>
      <c r="AB209" s="36">
        <v>0</v>
      </c>
      <c r="AC209" s="36"/>
      <c r="AD209" s="36">
        <v>0</v>
      </c>
      <c r="AE209" s="36"/>
      <c r="AF209" s="36">
        <v>0</v>
      </c>
      <c r="AG209" s="36"/>
      <c r="AH209" s="36">
        <v>0</v>
      </c>
      <c r="AI209" s="36"/>
      <c r="AJ209" s="36">
        <f t="shared" si="125"/>
        <v>1005512.3</v>
      </c>
      <c r="AK209" s="36"/>
      <c r="AL209" s="36">
        <v>123696.52</v>
      </c>
      <c r="AM209" s="36"/>
      <c r="AN209" s="36">
        <v>1228879.2</v>
      </c>
      <c r="AO209" s="36"/>
      <c r="AP209" s="36">
        <v>1352575.72</v>
      </c>
      <c r="AR209" s="42">
        <f t="shared" si="118"/>
        <v>0</v>
      </c>
      <c r="AS209" s="42"/>
      <c r="AT209" s="42">
        <f t="shared" si="121"/>
        <v>0</v>
      </c>
      <c r="AU209" s="42"/>
      <c r="AV209" s="42">
        <f t="shared" si="122"/>
        <v>0</v>
      </c>
      <c r="AW209" s="42"/>
      <c r="AX209" s="42">
        <f t="shared" si="123"/>
        <v>0</v>
      </c>
    </row>
    <row r="210" spans="1:50" s="7" customFormat="1" ht="12">
      <c r="A210" s="7" t="s">
        <v>155</v>
      </c>
      <c r="C210" s="7" t="s">
        <v>792</v>
      </c>
      <c r="E210" s="36">
        <v>992041.34</v>
      </c>
      <c r="F210" s="36"/>
      <c r="G210" s="36">
        <v>42866.16</v>
      </c>
      <c r="H210" s="36"/>
      <c r="I210" s="36">
        <v>59855.1</v>
      </c>
      <c r="J210" s="36"/>
      <c r="K210" s="36">
        <v>0</v>
      </c>
      <c r="L210" s="36"/>
      <c r="M210" s="36">
        <v>-889320.08</v>
      </c>
      <c r="N210" s="36"/>
      <c r="O210" s="36">
        <f t="shared" si="126"/>
        <v>-889320.08</v>
      </c>
      <c r="P210" s="36"/>
      <c r="Q210" s="36">
        <v>123651.46</v>
      </c>
      <c r="R210" s="36"/>
      <c r="S210" s="36">
        <v>1067730.51</v>
      </c>
      <c r="T210" s="36"/>
      <c r="U210" s="36">
        <v>60574.68</v>
      </c>
      <c r="V210" s="36">
        <v>0</v>
      </c>
      <c r="W210" s="36"/>
      <c r="X210" s="36">
        <v>0</v>
      </c>
      <c r="Y210" s="36"/>
      <c r="Z210" s="36">
        <v>52272</v>
      </c>
      <c r="AA210" s="36"/>
      <c r="AB210" s="36">
        <v>0</v>
      </c>
      <c r="AC210" s="36"/>
      <c r="AD210" s="36">
        <v>-67041.43</v>
      </c>
      <c r="AE210" s="36"/>
      <c r="AF210" s="36">
        <v>0</v>
      </c>
      <c r="AG210" s="36"/>
      <c r="AH210" s="36">
        <v>0</v>
      </c>
      <c r="AI210" s="36"/>
      <c r="AJ210" s="36">
        <f t="shared" si="125"/>
        <v>1237187.22</v>
      </c>
      <c r="AK210" s="36"/>
      <c r="AL210" s="36">
        <v>347867.14</v>
      </c>
      <c r="AM210" s="36"/>
      <c r="AN210" s="36">
        <v>783253.58</v>
      </c>
      <c r="AO210" s="36"/>
      <c r="AP210" s="36">
        <v>1131120.72</v>
      </c>
      <c r="AR210" s="42">
        <f t="shared" si="118"/>
        <v>0</v>
      </c>
      <c r="AS210" s="42"/>
      <c r="AT210" s="42">
        <f t="shared" si="121"/>
        <v>0</v>
      </c>
      <c r="AU210" s="42"/>
      <c r="AV210" s="42">
        <f t="shared" si="122"/>
        <v>0</v>
      </c>
      <c r="AW210" s="42"/>
      <c r="AX210" s="42">
        <f t="shared" si="123"/>
        <v>0</v>
      </c>
    </row>
    <row r="211" spans="1:50" s="7" customFormat="1" ht="12" hidden="1">
      <c r="A211" s="7" t="s">
        <v>263</v>
      </c>
      <c r="C211" s="7" t="s">
        <v>825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>
        <f t="shared" si="76"/>
        <v>0</v>
      </c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>
        <v>0</v>
      </c>
      <c r="AG211" s="36"/>
      <c r="AH211" s="36"/>
      <c r="AI211" s="36"/>
      <c r="AJ211" s="36">
        <f t="shared" si="125"/>
        <v>0</v>
      </c>
      <c r="AK211" s="36"/>
      <c r="AL211" s="36"/>
      <c r="AM211" s="36"/>
      <c r="AN211" s="36"/>
      <c r="AO211" s="36"/>
      <c r="AP211" s="36"/>
      <c r="AR211" s="42">
        <f t="shared" si="118"/>
        <v>0</v>
      </c>
      <c r="AS211" s="42"/>
      <c r="AT211" s="42">
        <f t="shared" si="121"/>
        <v>0</v>
      </c>
      <c r="AU211" s="42"/>
      <c r="AV211" s="42">
        <f t="shared" si="122"/>
        <v>0</v>
      </c>
      <c r="AW211" s="42"/>
      <c r="AX211" s="42">
        <f t="shared" si="123"/>
        <v>0</v>
      </c>
    </row>
    <row r="212" spans="1:50" s="7" customFormat="1" ht="12">
      <c r="A212" s="7" t="s">
        <v>192</v>
      </c>
      <c r="C212" s="7" t="s">
        <v>505</v>
      </c>
      <c r="E212" s="96">
        <v>190255.99</v>
      </c>
      <c r="F212" s="96"/>
      <c r="G212" s="96">
        <v>0</v>
      </c>
      <c r="H212" s="96"/>
      <c r="I212" s="96">
        <v>46470.91</v>
      </c>
      <c r="J212" s="96"/>
      <c r="K212" s="96">
        <v>0</v>
      </c>
      <c r="L212" s="96"/>
      <c r="M212" s="96">
        <v>-143785.08</v>
      </c>
      <c r="N212" s="96"/>
      <c r="O212" s="96">
        <f aca="true" t="shared" si="127" ref="O212">M212</f>
        <v>-143785.08</v>
      </c>
      <c r="P212" s="96"/>
      <c r="Q212" s="96">
        <v>73382.02</v>
      </c>
      <c r="R212" s="96"/>
      <c r="S212" s="96">
        <v>0</v>
      </c>
      <c r="T212" s="96"/>
      <c r="U212" s="96">
        <v>33551.07</v>
      </c>
      <c r="V212" s="96">
        <v>0</v>
      </c>
      <c r="W212" s="96"/>
      <c r="X212" s="96">
        <v>593.33</v>
      </c>
      <c r="Y212" s="96"/>
      <c r="Z212" s="96">
        <v>5712.94</v>
      </c>
      <c r="AA212" s="96"/>
      <c r="AB212" s="96">
        <v>0</v>
      </c>
      <c r="AC212" s="96"/>
      <c r="AD212" s="96">
        <v>0</v>
      </c>
      <c r="AE212" s="96"/>
      <c r="AF212" s="96">
        <v>1616.03</v>
      </c>
      <c r="AG212" s="96"/>
      <c r="AH212" s="96">
        <v>0</v>
      </c>
      <c r="AI212" s="96"/>
      <c r="AJ212" s="96">
        <f aca="true" t="shared" si="128" ref="AJ212">SUM(Q212:AH212)</f>
        <v>114855.39</v>
      </c>
      <c r="AK212" s="96"/>
      <c r="AL212" s="96">
        <v>-28929.69</v>
      </c>
      <c r="AM212" s="96"/>
      <c r="AN212" s="96">
        <v>395076.87</v>
      </c>
      <c r="AO212" s="96"/>
      <c r="AP212" s="96">
        <v>366147.18</v>
      </c>
      <c r="AR212" s="42">
        <f t="shared" si="118"/>
        <v>0</v>
      </c>
      <c r="AS212" s="42"/>
      <c r="AT212" s="42">
        <f t="shared" si="121"/>
        <v>0</v>
      </c>
      <c r="AU212" s="42"/>
      <c r="AV212" s="42">
        <f t="shared" si="122"/>
        <v>0</v>
      </c>
      <c r="AW212" s="42"/>
      <c r="AX212" s="42">
        <f t="shared" si="123"/>
        <v>0</v>
      </c>
    </row>
    <row r="213" spans="1:50" s="7" customFormat="1" ht="12" hidden="1">
      <c r="A213" s="7" t="s">
        <v>578</v>
      </c>
      <c r="C213" s="7" t="s">
        <v>574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>
        <f t="shared" si="76"/>
        <v>0</v>
      </c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>
        <v>0</v>
      </c>
      <c r="AG213" s="36"/>
      <c r="AH213" s="36"/>
      <c r="AI213" s="36"/>
      <c r="AJ213" s="36">
        <f>Q213+S213+U213+V213+X213+Z213+AB213+AD213+AH213+AF213</f>
        <v>0</v>
      </c>
      <c r="AK213" s="36"/>
      <c r="AL213" s="36"/>
      <c r="AM213" s="36"/>
      <c r="AN213" s="36"/>
      <c r="AO213" s="36"/>
      <c r="AP213" s="36"/>
      <c r="AR213" s="42">
        <f t="shared" si="118"/>
        <v>0</v>
      </c>
      <c r="AS213" s="42"/>
      <c r="AT213" s="42">
        <f t="shared" si="121"/>
        <v>0</v>
      </c>
      <c r="AU213" s="42"/>
      <c r="AV213" s="42">
        <f t="shared" si="122"/>
        <v>0</v>
      </c>
      <c r="AW213" s="42"/>
      <c r="AX213" s="42">
        <f t="shared" si="123"/>
        <v>0</v>
      </c>
    </row>
    <row r="214" spans="1:50" s="7" customFormat="1" ht="12">
      <c r="A214" s="7" t="s">
        <v>1</v>
      </c>
      <c r="C214" s="7" t="s">
        <v>662</v>
      </c>
      <c r="E214" s="96">
        <v>320909.27</v>
      </c>
      <c r="F214" s="96"/>
      <c r="G214" s="96">
        <v>92676.81</v>
      </c>
      <c r="H214" s="96"/>
      <c r="I214" s="96">
        <v>49625.45</v>
      </c>
      <c r="J214" s="96"/>
      <c r="K214" s="96">
        <v>0</v>
      </c>
      <c r="L214" s="96"/>
      <c r="M214" s="96">
        <v>-178607.01</v>
      </c>
      <c r="N214" s="96"/>
      <c r="O214" s="96">
        <f aca="true" t="shared" si="129" ref="O214">M214</f>
        <v>-178607.01</v>
      </c>
      <c r="P214" s="96"/>
      <c r="Q214" s="96">
        <v>131022.26</v>
      </c>
      <c r="R214" s="96"/>
      <c r="S214" s="96">
        <v>0</v>
      </c>
      <c r="T214" s="96"/>
      <c r="U214" s="96">
        <v>15442.27</v>
      </c>
      <c r="V214" s="96">
        <v>794.47</v>
      </c>
      <c r="W214" s="96"/>
      <c r="X214" s="96">
        <v>0</v>
      </c>
      <c r="Y214" s="96"/>
      <c r="Z214" s="96">
        <v>31055.76</v>
      </c>
      <c r="AA214" s="96"/>
      <c r="AB214" s="96">
        <v>0</v>
      </c>
      <c r="AC214" s="96"/>
      <c r="AD214" s="96">
        <v>0</v>
      </c>
      <c r="AE214" s="96"/>
      <c r="AF214" s="96">
        <v>0</v>
      </c>
      <c r="AG214" s="96"/>
      <c r="AH214" s="96">
        <v>0</v>
      </c>
      <c r="AI214" s="96"/>
      <c r="AJ214" s="96">
        <f aca="true" t="shared" si="130" ref="AJ214">SUM(Q214:AH214)</f>
        <v>178314.76</v>
      </c>
      <c r="AK214" s="96"/>
      <c r="AL214" s="96">
        <v>-292.25</v>
      </c>
      <c r="AM214" s="96"/>
      <c r="AN214" s="96">
        <v>114441.74</v>
      </c>
      <c r="AO214" s="96"/>
      <c r="AP214" s="96">
        <v>114149.49</v>
      </c>
      <c r="AR214" s="42">
        <f t="shared" si="118"/>
        <v>0</v>
      </c>
      <c r="AS214" s="42"/>
      <c r="AT214" s="42">
        <f t="shared" si="121"/>
        <v>0</v>
      </c>
      <c r="AU214" s="42"/>
      <c r="AV214" s="42">
        <f t="shared" si="122"/>
        <v>0</v>
      </c>
      <c r="AW214" s="42"/>
      <c r="AX214" s="42">
        <f t="shared" si="123"/>
        <v>0</v>
      </c>
    </row>
    <row r="215" spans="1:50" s="7" customFormat="1" ht="12" hidden="1">
      <c r="A215" s="7" t="s">
        <v>197</v>
      </c>
      <c r="C215" s="7" t="s">
        <v>806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>
        <f t="shared" si="76"/>
        <v>0</v>
      </c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>
        <v>0</v>
      </c>
      <c r="AG215" s="36"/>
      <c r="AH215" s="36"/>
      <c r="AI215" s="36"/>
      <c r="AJ215" s="36">
        <f>Q215+S215+U215+V215+X215+Z215+AB215+AD215+AH215+AF215</f>
        <v>0</v>
      </c>
      <c r="AK215" s="36"/>
      <c r="AL215" s="36"/>
      <c r="AM215" s="36"/>
      <c r="AN215" s="36"/>
      <c r="AO215" s="36"/>
      <c r="AP215" s="36"/>
      <c r="AR215" s="42">
        <f t="shared" si="118"/>
        <v>0</v>
      </c>
      <c r="AS215" s="42"/>
      <c r="AT215" s="42">
        <f t="shared" si="121"/>
        <v>0</v>
      </c>
      <c r="AU215" s="42"/>
      <c r="AV215" s="42">
        <f t="shared" si="122"/>
        <v>0</v>
      </c>
      <c r="AW215" s="42"/>
      <c r="AX215" s="42">
        <f t="shared" si="123"/>
        <v>0</v>
      </c>
    </row>
    <row r="216" spans="1:50" s="7" customFormat="1" ht="12" hidden="1">
      <c r="A216" s="7" t="s">
        <v>386</v>
      </c>
      <c r="C216" s="7" t="s">
        <v>378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>
        <f t="shared" si="76"/>
        <v>0</v>
      </c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>
        <v>0</v>
      </c>
      <c r="AG216" s="36"/>
      <c r="AH216" s="36"/>
      <c r="AI216" s="36"/>
      <c r="AJ216" s="36">
        <f>Q216+S216+U216+V216+X216+Z216+AB216+AD216+AH216+AF216</f>
        <v>0</v>
      </c>
      <c r="AK216" s="36"/>
      <c r="AL216" s="36"/>
      <c r="AM216" s="36"/>
      <c r="AN216" s="36"/>
      <c r="AO216" s="36"/>
      <c r="AP216" s="36"/>
      <c r="AR216" s="42">
        <f t="shared" si="118"/>
        <v>0</v>
      </c>
      <c r="AS216" s="42"/>
      <c r="AT216" s="42">
        <f t="shared" si="121"/>
        <v>0</v>
      </c>
      <c r="AU216" s="42"/>
      <c r="AV216" s="42">
        <f t="shared" si="122"/>
        <v>0</v>
      </c>
      <c r="AW216" s="42"/>
      <c r="AX216" s="42">
        <f t="shared" si="123"/>
        <v>0</v>
      </c>
    </row>
    <row r="217" spans="1:50" s="7" customFormat="1" ht="12" hidden="1">
      <c r="A217" s="7" t="s">
        <v>290</v>
      </c>
      <c r="C217" s="7" t="s">
        <v>287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>
        <f t="shared" si="76"/>
        <v>0</v>
      </c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>
        <v>0</v>
      </c>
      <c r="AG217" s="36"/>
      <c r="AH217" s="36"/>
      <c r="AI217" s="36"/>
      <c r="AJ217" s="36">
        <f>Q217+S217+U217+V217+X217+Z217+AB217+AD217+AH217+AF217</f>
        <v>0</v>
      </c>
      <c r="AK217" s="36"/>
      <c r="AL217" s="36"/>
      <c r="AM217" s="36"/>
      <c r="AN217" s="36"/>
      <c r="AO217" s="36"/>
      <c r="AP217" s="36"/>
      <c r="AR217" s="42">
        <f t="shared" si="118"/>
        <v>0</v>
      </c>
      <c r="AS217" s="42"/>
      <c r="AT217" s="42">
        <f t="shared" si="121"/>
        <v>0</v>
      </c>
      <c r="AU217" s="42"/>
      <c r="AV217" s="42">
        <f t="shared" si="122"/>
        <v>0</v>
      </c>
      <c r="AW217" s="42"/>
      <c r="AX217" s="42">
        <f t="shared" si="123"/>
        <v>0</v>
      </c>
    </row>
    <row r="218" spans="1:50" s="7" customFormat="1" ht="12">
      <c r="A218" s="7" t="s">
        <v>231</v>
      </c>
      <c r="C218" s="7" t="s">
        <v>559</v>
      </c>
      <c r="E218" s="96">
        <v>29670.07</v>
      </c>
      <c r="F218" s="96"/>
      <c r="G218" s="96">
        <v>856.72</v>
      </c>
      <c r="H218" s="96"/>
      <c r="I218" s="96">
        <v>4933.05</v>
      </c>
      <c r="J218" s="96"/>
      <c r="K218" s="96">
        <v>0</v>
      </c>
      <c r="L218" s="96"/>
      <c r="M218" s="96">
        <v>-23880.3</v>
      </c>
      <c r="N218" s="96"/>
      <c r="O218" s="96">
        <f aca="true" t="shared" si="131" ref="O218">M218</f>
        <v>-23880.3</v>
      </c>
      <c r="P218" s="96"/>
      <c r="Q218" s="96">
        <v>27174.67</v>
      </c>
      <c r="R218" s="96"/>
      <c r="S218" s="96">
        <v>0</v>
      </c>
      <c r="T218" s="96"/>
      <c r="U218" s="96">
        <v>4107.62</v>
      </c>
      <c r="V218" s="96">
        <v>17.2</v>
      </c>
      <c r="W218" s="96"/>
      <c r="X218" s="96">
        <v>1192.47</v>
      </c>
      <c r="Y218" s="96"/>
      <c r="Z218" s="96">
        <v>0</v>
      </c>
      <c r="AA218" s="96"/>
      <c r="AB218" s="96">
        <v>0</v>
      </c>
      <c r="AC218" s="96"/>
      <c r="AD218" s="96">
        <v>0</v>
      </c>
      <c r="AE218" s="96"/>
      <c r="AF218" s="96">
        <v>0</v>
      </c>
      <c r="AG218" s="96"/>
      <c r="AH218" s="96">
        <v>0</v>
      </c>
      <c r="AI218" s="96"/>
      <c r="AJ218" s="96">
        <f aca="true" t="shared" si="132" ref="AJ218">SUM(Q218:AH218)</f>
        <v>32491.96</v>
      </c>
      <c r="AK218" s="96"/>
      <c r="AL218" s="96">
        <v>8611.66</v>
      </c>
      <c r="AM218" s="96"/>
      <c r="AN218" s="96">
        <v>51553.73</v>
      </c>
      <c r="AO218" s="96"/>
      <c r="AP218" s="96">
        <v>60165.39</v>
      </c>
      <c r="AR218" s="42">
        <f t="shared" si="118"/>
        <v>0</v>
      </c>
      <c r="AS218" s="42"/>
      <c r="AT218" s="42">
        <f t="shared" si="121"/>
        <v>0</v>
      </c>
      <c r="AU218" s="42"/>
      <c r="AV218" s="42">
        <f t="shared" si="122"/>
        <v>0</v>
      </c>
      <c r="AW218" s="42"/>
      <c r="AX218" s="42">
        <f t="shared" si="123"/>
        <v>0</v>
      </c>
    </row>
    <row r="219" spans="1:50" s="7" customFormat="1" ht="12">
      <c r="A219" s="7" t="s">
        <v>374</v>
      </c>
      <c r="C219" s="7" t="s">
        <v>371</v>
      </c>
      <c r="E219" s="36">
        <v>3431126</v>
      </c>
      <c r="F219" s="36"/>
      <c r="G219" s="36">
        <v>279467</v>
      </c>
      <c r="H219" s="36"/>
      <c r="I219" s="36">
        <v>180073</v>
      </c>
      <c r="J219" s="36"/>
      <c r="K219" s="36">
        <v>112464</v>
      </c>
      <c r="L219" s="36"/>
      <c r="M219" s="36">
        <v>-2859122</v>
      </c>
      <c r="N219" s="36"/>
      <c r="O219" s="36">
        <f t="shared" si="76"/>
        <v>-2859122</v>
      </c>
      <c r="P219" s="36"/>
      <c r="Q219" s="36">
        <f>1017059+26668</f>
        <v>1043727</v>
      </c>
      <c r="R219" s="36"/>
      <c r="S219" s="36">
        <v>1668566</v>
      </c>
      <c r="T219" s="36"/>
      <c r="U219" s="36">
        <v>583569</v>
      </c>
      <c r="V219" s="36">
        <v>0</v>
      </c>
      <c r="W219" s="36"/>
      <c r="X219" s="36">
        <v>0</v>
      </c>
      <c r="Y219" s="36"/>
      <c r="Z219" s="36">
        <f>1007+3660+137885+58254</f>
        <v>200806</v>
      </c>
      <c r="AA219" s="36"/>
      <c r="AB219" s="36">
        <v>0</v>
      </c>
      <c r="AC219" s="36"/>
      <c r="AD219" s="36">
        <v>31773</v>
      </c>
      <c r="AE219" s="36"/>
      <c r="AF219" s="36">
        <v>0</v>
      </c>
      <c r="AG219" s="36"/>
      <c r="AH219" s="36">
        <v>0</v>
      </c>
      <c r="AI219" s="36"/>
      <c r="AJ219" s="36">
        <f>Q219+S219+U219+V219+X219+Z219+AB219+AD219+AH219+AF219</f>
        <v>3528441</v>
      </c>
      <c r="AK219" s="36"/>
      <c r="AL219" s="36">
        <v>669319</v>
      </c>
      <c r="AM219" s="36"/>
      <c r="AN219" s="36">
        <v>3192251</v>
      </c>
      <c r="AO219" s="36"/>
      <c r="AP219" s="36">
        <v>3861570</v>
      </c>
      <c r="AR219" s="42">
        <f t="shared" si="118"/>
        <v>0</v>
      </c>
      <c r="AS219" s="42"/>
      <c r="AT219" s="42">
        <f t="shared" si="121"/>
        <v>0</v>
      </c>
      <c r="AU219" s="42"/>
      <c r="AV219" s="42">
        <f t="shared" si="122"/>
        <v>0</v>
      </c>
      <c r="AW219" s="42"/>
      <c r="AX219" s="42">
        <f t="shared" si="123"/>
        <v>0</v>
      </c>
    </row>
    <row r="220" spans="1:50" s="7" customFormat="1" ht="12">
      <c r="A220" s="7" t="s">
        <v>580</v>
      </c>
      <c r="C220" s="7" t="s">
        <v>82</v>
      </c>
      <c r="E220" s="36">
        <v>56970</v>
      </c>
      <c r="F220" s="36"/>
      <c r="G220" s="36">
        <v>9886</v>
      </c>
      <c r="H220" s="36"/>
      <c r="I220" s="36">
        <v>28903</v>
      </c>
      <c r="J220" s="36"/>
      <c r="K220" s="36">
        <v>0</v>
      </c>
      <c r="L220" s="36"/>
      <c r="M220" s="36">
        <v>-18181</v>
      </c>
      <c r="N220" s="36"/>
      <c r="O220" s="36">
        <f t="shared" si="76"/>
        <v>-18181</v>
      </c>
      <c r="P220" s="36"/>
      <c r="Q220" s="36">
        <f>4284+24453</f>
        <v>28737</v>
      </c>
      <c r="R220" s="36"/>
      <c r="S220" s="36">
        <v>0</v>
      </c>
      <c r="T220" s="36"/>
      <c r="U220" s="36">
        <v>2884</v>
      </c>
      <c r="V220" s="36">
        <v>0</v>
      </c>
      <c r="W220" s="36"/>
      <c r="X220" s="36">
        <v>0</v>
      </c>
      <c r="Y220" s="36"/>
      <c r="Z220" s="36">
        <f>253+1194</f>
        <v>1447</v>
      </c>
      <c r="AA220" s="36"/>
      <c r="AB220" s="36">
        <v>0</v>
      </c>
      <c r="AC220" s="36"/>
      <c r="AD220" s="36">
        <v>0</v>
      </c>
      <c r="AE220" s="36"/>
      <c r="AF220" s="36">
        <v>0</v>
      </c>
      <c r="AG220" s="36"/>
      <c r="AH220" s="36">
        <v>0</v>
      </c>
      <c r="AI220" s="36"/>
      <c r="AJ220" s="36">
        <f>Q220+S220+U220+V220+X220+Z220+AB220+AD220+AH220+AF220</f>
        <v>33068</v>
      </c>
      <c r="AK220" s="36"/>
      <c r="AL220" s="36">
        <v>14887</v>
      </c>
      <c r="AM220" s="36"/>
      <c r="AN220" s="36">
        <v>127613</v>
      </c>
      <c r="AO220" s="36"/>
      <c r="AP220" s="36">
        <v>142500</v>
      </c>
      <c r="AR220" s="42">
        <f t="shared" si="118"/>
        <v>0</v>
      </c>
      <c r="AS220" s="42"/>
      <c r="AT220" s="42">
        <f t="shared" si="121"/>
        <v>0</v>
      </c>
      <c r="AU220" s="42"/>
      <c r="AV220" s="42">
        <f t="shared" si="122"/>
        <v>0</v>
      </c>
      <c r="AW220" s="42"/>
      <c r="AX220" s="42">
        <f t="shared" si="123"/>
        <v>0</v>
      </c>
    </row>
    <row r="221" s="1" customFormat="1" ht="12">
      <c r="E221" s="41"/>
    </row>
    <row r="234" spans="40:41" ht="12.75">
      <c r="AN234" s="40"/>
      <c r="AO234" s="40"/>
    </row>
  </sheetData>
  <mergeCells count="4">
    <mergeCell ref="G7:K7"/>
    <mergeCell ref="Q7:S7"/>
    <mergeCell ref="U7:AB7"/>
    <mergeCell ref="AR7:AX7"/>
  </mergeCells>
  <printOptions/>
  <pageMargins left="0.75" right="0.75" top="0.5" bottom="0.5" header="0" footer="0.3"/>
  <pageSetup firstPageNumber="4" useFirstPageNumber="1" fitToHeight="4" fitToWidth="2" horizontalDpi="300" verticalDpi="300" orientation="portrait" pageOrder="overThenDown" scale="60" r:id="rId1"/>
  <headerFooter scaleWithDoc="0" alignWithMargins="0">
    <oddFooter>&amp;C&amp;11&amp;P</oddFooter>
  </headerFooter>
  <rowBreaks count="2" manualBreakCount="2">
    <brk id="32" max="16383" man="1"/>
    <brk id="144" max="16383" man="1"/>
  </rowBreaks>
  <colBreaks count="1" manualBreakCount="1">
    <brk id="1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50"/>
  <sheetViews>
    <sheetView zoomScaleSheetLayoutView="70" workbookViewId="0" topLeftCell="A1">
      <pane xSplit="4" ySplit="7" topLeftCell="E49" activePane="bottomRight" state="frozen"/>
      <selection pane="topRight" activeCell="E1" sqref="E1"/>
      <selection pane="bottomLeft" activeCell="A8" sqref="A8"/>
      <selection pane="bottomRight" activeCell="C6" sqref="C6"/>
    </sheetView>
  </sheetViews>
  <sheetFormatPr defaultColWidth="9.33203125" defaultRowHeight="12.75"/>
  <cols>
    <col min="1" max="1" width="18" style="1" customWidth="1"/>
    <col min="2" max="2" width="1.83203125" style="1" customWidth="1"/>
    <col min="3" max="3" width="13.5" style="1" customWidth="1"/>
    <col min="4" max="4" width="1.83203125" style="1" customWidth="1"/>
    <col min="5" max="5" width="13.83203125" style="10" customWidth="1"/>
    <col min="6" max="6" width="1.83203125" style="10" customWidth="1"/>
    <col min="7" max="7" width="11.83203125" style="10" customWidth="1"/>
    <col min="8" max="8" width="1.83203125" style="10" customWidth="1"/>
    <col min="9" max="9" width="11.83203125" style="10" customWidth="1"/>
    <col min="10" max="10" width="1.83203125" style="10" customWidth="1"/>
    <col min="11" max="11" width="11.83203125" style="10" customWidth="1"/>
    <col min="12" max="12" width="1.83203125" style="10" customWidth="1"/>
    <col min="13" max="13" width="11.83203125" style="10" customWidth="1"/>
    <col min="14" max="14" width="1.83203125" style="10" customWidth="1"/>
    <col min="15" max="15" width="11.83203125" style="10" customWidth="1"/>
    <col min="16" max="16" width="1.83203125" style="10" customWidth="1"/>
    <col min="17" max="17" width="12.33203125" style="10" customWidth="1"/>
    <col min="18" max="18" width="1.83203125" style="10" hidden="1" customWidth="1"/>
    <col min="19" max="19" width="14.66015625" style="10" customWidth="1"/>
    <col min="20" max="20" width="1.83203125" style="10" customWidth="1"/>
    <col min="21" max="21" width="11.83203125" style="10" customWidth="1"/>
    <col min="22" max="22" width="1.83203125" style="10" customWidth="1"/>
    <col min="23" max="23" width="11.66015625" style="10" customWidth="1"/>
    <col min="24" max="24" width="1.83203125" style="10" customWidth="1"/>
    <col min="25" max="25" width="12.5" style="10" customWidth="1"/>
    <col min="26" max="26" width="1.83203125" style="10" customWidth="1"/>
    <col min="27" max="27" width="12.5" style="10" customWidth="1"/>
    <col min="28" max="28" width="1.83203125" style="10" customWidth="1"/>
    <col min="29" max="29" width="13.33203125" style="10" customWidth="1"/>
    <col min="30" max="30" width="1.83203125" style="10" customWidth="1"/>
    <col min="31" max="31" width="13.16015625" style="10" customWidth="1"/>
    <col min="32" max="32" width="1.83203125" style="10" customWidth="1"/>
    <col min="33" max="33" width="11.83203125" style="10" customWidth="1"/>
    <col min="34" max="34" width="1.83203125" style="10" customWidth="1"/>
    <col min="35" max="35" width="14.83203125" style="1" customWidth="1"/>
    <col min="36" max="36" width="2.16015625" style="1" customWidth="1"/>
    <col min="37" max="16384" width="9.33203125" style="1" customWidth="1"/>
  </cols>
  <sheetData>
    <row r="1" spans="1:4" ht="12.75">
      <c r="A1" s="2" t="s">
        <v>617</v>
      </c>
      <c r="B1" s="2"/>
      <c r="C1" s="2"/>
      <c r="D1" s="2"/>
    </row>
    <row r="2" spans="1:4" ht="12.75">
      <c r="A2" s="2" t="s">
        <v>862</v>
      </c>
      <c r="B2" s="2"/>
      <c r="C2" s="2"/>
      <c r="D2" s="2"/>
    </row>
    <row r="3" spans="1:4" ht="12.75">
      <c r="A3" s="2" t="s">
        <v>960</v>
      </c>
      <c r="B3" s="2"/>
      <c r="C3" s="2"/>
      <c r="D3" s="2"/>
    </row>
    <row r="4" spans="1:39" s="9" customFormat="1" ht="12.6" customHeight="1">
      <c r="A4" s="15" t="s">
        <v>864</v>
      </c>
      <c r="B4" s="2"/>
      <c r="C4" s="2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8"/>
      <c r="AJ4" s="8"/>
      <c r="AK4" s="8"/>
      <c r="AL4" s="8"/>
      <c r="AM4" s="8"/>
    </row>
    <row r="5" spans="1:39" s="9" customFormat="1" ht="12" customHeight="1">
      <c r="A5" s="2"/>
      <c r="B5" s="2"/>
      <c r="C5" s="2"/>
      <c r="D5" s="2"/>
      <c r="E5" s="16" t="s">
        <v>619</v>
      </c>
      <c r="F5" s="16"/>
      <c r="G5" s="11"/>
      <c r="H5" s="11"/>
      <c r="I5" s="11"/>
      <c r="J5" s="11"/>
      <c r="K5" s="11"/>
      <c r="L5" s="11"/>
      <c r="M5" s="11"/>
      <c r="N5" s="11"/>
      <c r="O5" s="16" t="s">
        <v>630</v>
      </c>
      <c r="P5" s="1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6" t="s">
        <v>638</v>
      </c>
      <c r="AF5" s="16"/>
      <c r="AG5" s="16"/>
      <c r="AH5" s="16"/>
      <c r="AI5" s="8"/>
      <c r="AJ5" s="8"/>
      <c r="AK5" s="8"/>
      <c r="AL5" s="8"/>
      <c r="AM5" s="8"/>
    </row>
    <row r="6" spans="1:39" s="9" customFormat="1" ht="12.6" customHeight="1">
      <c r="A6" s="2"/>
      <c r="B6" s="2"/>
      <c r="C6" s="2"/>
      <c r="D6" s="2"/>
      <c r="E6" s="16" t="s">
        <v>620</v>
      </c>
      <c r="F6" s="16"/>
      <c r="G6" s="16" t="s">
        <v>622</v>
      </c>
      <c r="H6" s="16"/>
      <c r="I6" s="16" t="s">
        <v>624</v>
      </c>
      <c r="J6" s="16"/>
      <c r="K6" s="16" t="s">
        <v>626</v>
      </c>
      <c r="L6" s="16"/>
      <c r="M6" s="16" t="s">
        <v>628</v>
      </c>
      <c r="N6" s="16"/>
      <c r="O6" s="16" t="s">
        <v>631</v>
      </c>
      <c r="P6" s="16"/>
      <c r="Q6" s="16" t="s">
        <v>633</v>
      </c>
      <c r="R6" s="16"/>
      <c r="S6" s="11"/>
      <c r="T6" s="11"/>
      <c r="U6" s="12" t="s">
        <v>866</v>
      </c>
      <c r="V6" s="12"/>
      <c r="W6" s="12" t="s">
        <v>866</v>
      </c>
      <c r="X6" s="11"/>
      <c r="Y6" s="16" t="s">
        <v>635</v>
      </c>
      <c r="Z6" s="16"/>
      <c r="AA6" s="11"/>
      <c r="AB6" s="11"/>
      <c r="AC6" s="11"/>
      <c r="AD6" s="11"/>
      <c r="AE6" s="16" t="s">
        <v>639</v>
      </c>
      <c r="AF6" s="16"/>
      <c r="AG6" s="16" t="s">
        <v>626</v>
      </c>
      <c r="AH6" s="16"/>
      <c r="AI6" s="8"/>
      <c r="AJ6" s="8"/>
      <c r="AK6" s="8"/>
      <c r="AL6" s="8"/>
      <c r="AM6" s="8"/>
    </row>
    <row r="7" spans="1:35" s="6" customFormat="1" ht="12" customHeight="1">
      <c r="A7" s="5" t="s">
        <v>734</v>
      </c>
      <c r="C7" s="5" t="s">
        <v>735</v>
      </c>
      <c r="E7" s="17" t="s">
        <v>621</v>
      </c>
      <c r="F7" s="46"/>
      <c r="G7" s="17" t="s">
        <v>623</v>
      </c>
      <c r="H7" s="46"/>
      <c r="I7" s="18" t="s">
        <v>625</v>
      </c>
      <c r="J7" s="26"/>
      <c r="K7" s="18" t="s">
        <v>627</v>
      </c>
      <c r="L7" s="26"/>
      <c r="M7" s="18" t="s">
        <v>629</v>
      </c>
      <c r="N7" s="26"/>
      <c r="O7" s="18" t="s">
        <v>632</v>
      </c>
      <c r="P7" s="26"/>
      <c r="Q7" s="18" t="s">
        <v>634</v>
      </c>
      <c r="R7" s="26"/>
      <c r="S7" s="18" t="s">
        <v>613</v>
      </c>
      <c r="T7" s="26"/>
      <c r="U7" s="13" t="s">
        <v>867</v>
      </c>
      <c r="V7" s="14"/>
      <c r="W7" s="13" t="s">
        <v>868</v>
      </c>
      <c r="X7" s="14"/>
      <c r="Y7" s="18" t="s">
        <v>636</v>
      </c>
      <c r="Z7" s="26"/>
      <c r="AA7" s="18" t="s">
        <v>615</v>
      </c>
      <c r="AB7" s="26"/>
      <c r="AC7" s="18" t="s">
        <v>637</v>
      </c>
      <c r="AD7" s="47"/>
      <c r="AE7" s="18" t="s">
        <v>640</v>
      </c>
      <c r="AF7" s="26"/>
      <c r="AG7" s="18" t="s">
        <v>744</v>
      </c>
      <c r="AH7" s="26"/>
      <c r="AI7" s="5" t="s">
        <v>827</v>
      </c>
    </row>
    <row r="8" spans="1:39" s="21" customFormat="1" ht="12.6" customHeight="1">
      <c r="A8" s="1" t="s">
        <v>282</v>
      </c>
      <c r="B8" s="1"/>
      <c r="C8" s="1" t="s">
        <v>283</v>
      </c>
      <c r="D8" s="1"/>
      <c r="E8" s="102">
        <v>28399.95</v>
      </c>
      <c r="F8" s="102"/>
      <c r="G8" s="102">
        <v>138627.08</v>
      </c>
      <c r="H8" s="102"/>
      <c r="I8" s="102">
        <v>93300.66</v>
      </c>
      <c r="J8" s="102"/>
      <c r="K8" s="102">
        <v>0</v>
      </c>
      <c r="L8" s="102"/>
      <c r="M8" s="102">
        <v>128356.91</v>
      </c>
      <c r="N8" s="102"/>
      <c r="O8" s="102">
        <v>68106.01</v>
      </c>
      <c r="P8" s="102"/>
      <c r="Q8" s="102">
        <v>519.25</v>
      </c>
      <c r="R8" s="102"/>
      <c r="S8" s="102">
        <v>18830.71</v>
      </c>
      <c r="T8" s="102"/>
      <c r="U8" s="102">
        <v>0</v>
      </c>
      <c r="V8" s="102"/>
      <c r="W8" s="102">
        <v>0</v>
      </c>
      <c r="X8" s="102"/>
      <c r="Y8" s="102">
        <v>0</v>
      </c>
      <c r="Z8" s="102"/>
      <c r="AA8" s="102">
        <v>0</v>
      </c>
      <c r="AB8" s="102"/>
      <c r="AC8" s="102">
        <v>0</v>
      </c>
      <c r="AD8" s="102"/>
      <c r="AE8" s="102">
        <v>0</v>
      </c>
      <c r="AF8" s="102"/>
      <c r="AG8" s="102">
        <v>0</v>
      </c>
      <c r="AH8" s="102"/>
      <c r="AI8" s="102">
        <f>SUM(E8:AG8)</f>
        <v>476140.57</v>
      </c>
      <c r="AJ8" s="38"/>
      <c r="AK8" s="22"/>
      <c r="AL8" s="22"/>
      <c r="AM8" s="22"/>
    </row>
    <row r="9" spans="1:37" s="38" customFormat="1" ht="12.75">
      <c r="A9" s="38" t="s">
        <v>395</v>
      </c>
      <c r="C9" s="38" t="s">
        <v>396</v>
      </c>
      <c r="E9" s="36">
        <v>45173</v>
      </c>
      <c r="F9" s="36"/>
      <c r="G9" s="36">
        <v>0</v>
      </c>
      <c r="H9" s="36"/>
      <c r="I9" s="36">
        <f>119205+14510</f>
        <v>133715</v>
      </c>
      <c r="J9" s="36"/>
      <c r="K9" s="36">
        <v>44692</v>
      </c>
      <c r="L9" s="36"/>
      <c r="M9" s="36">
        <v>0</v>
      </c>
      <c r="N9" s="36"/>
      <c r="O9" s="36">
        <v>54430</v>
      </c>
      <c r="P9" s="36"/>
      <c r="Q9" s="36">
        <v>17057</v>
      </c>
      <c r="R9" s="36"/>
      <c r="S9" s="36">
        <v>21262</v>
      </c>
      <c r="T9" s="36"/>
      <c r="U9" s="36">
        <v>0</v>
      </c>
      <c r="V9" s="36"/>
      <c r="W9" s="36">
        <v>0</v>
      </c>
      <c r="X9" s="36"/>
      <c r="Y9" s="36">
        <v>0</v>
      </c>
      <c r="Z9" s="36"/>
      <c r="AA9" s="36">
        <v>0</v>
      </c>
      <c r="AB9" s="36"/>
      <c r="AC9" s="36">
        <v>0</v>
      </c>
      <c r="AD9" s="36"/>
      <c r="AE9" s="36">
        <v>97763</v>
      </c>
      <c r="AF9" s="36"/>
      <c r="AG9" s="36">
        <v>0</v>
      </c>
      <c r="AH9" s="36"/>
      <c r="AI9" s="83">
        <f>SUM(E9:AG9)</f>
        <v>414092</v>
      </c>
      <c r="AK9" s="22"/>
    </row>
    <row r="10" spans="1:37" s="31" customFormat="1" ht="12.75">
      <c r="A10" s="15" t="s">
        <v>484</v>
      </c>
      <c r="B10" s="15"/>
      <c r="C10" s="15" t="s">
        <v>485</v>
      </c>
      <c r="D10" s="15"/>
      <c r="E10" s="41">
        <v>3176</v>
      </c>
      <c r="F10" s="41"/>
      <c r="G10" s="41">
        <v>0</v>
      </c>
      <c r="H10" s="41"/>
      <c r="I10" s="41">
        <v>10476</v>
      </c>
      <c r="J10" s="41"/>
      <c r="K10" s="41">
        <v>0</v>
      </c>
      <c r="L10" s="41"/>
      <c r="M10" s="41">
        <v>0</v>
      </c>
      <c r="N10" s="41"/>
      <c r="O10" s="41">
        <v>0</v>
      </c>
      <c r="P10" s="41"/>
      <c r="Q10" s="41">
        <v>473</v>
      </c>
      <c r="R10" s="41"/>
      <c r="S10" s="41">
        <v>0</v>
      </c>
      <c r="T10" s="41"/>
      <c r="U10" s="41">
        <v>0</v>
      </c>
      <c r="V10" s="41"/>
      <c r="W10" s="36">
        <v>0</v>
      </c>
      <c r="X10" s="41"/>
      <c r="Y10" s="36">
        <v>0</v>
      </c>
      <c r="Z10" s="41"/>
      <c r="AA10" s="36">
        <v>0</v>
      </c>
      <c r="AB10" s="41"/>
      <c r="AC10" s="36">
        <v>0</v>
      </c>
      <c r="AD10" s="41"/>
      <c r="AE10" s="41">
        <v>0</v>
      </c>
      <c r="AF10" s="41"/>
      <c r="AG10" s="41">
        <v>0</v>
      </c>
      <c r="AH10" s="41"/>
      <c r="AI10" s="83">
        <f aca="true" t="shared" si="0" ref="AI10:AI71">SUM(E10:AG10)</f>
        <v>14125</v>
      </c>
      <c r="AJ10" s="24"/>
      <c r="AK10" s="22"/>
    </row>
    <row r="11" spans="1:36" s="21" customFormat="1" ht="12.75" hidden="1">
      <c r="A11" s="1" t="s">
        <v>890</v>
      </c>
      <c r="B11" s="1"/>
      <c r="C11" s="1" t="s">
        <v>420</v>
      </c>
      <c r="D11" s="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41"/>
      <c r="W11" s="36"/>
      <c r="X11" s="41"/>
      <c r="Y11" s="36"/>
      <c r="Z11" s="36"/>
      <c r="AA11" s="36"/>
      <c r="AB11" s="36"/>
      <c r="AC11" s="36"/>
      <c r="AD11" s="36"/>
      <c r="AE11" s="41"/>
      <c r="AF11" s="36"/>
      <c r="AG11" s="36"/>
      <c r="AH11" s="36"/>
      <c r="AI11" s="83">
        <f t="shared" si="0"/>
        <v>0</v>
      </c>
      <c r="AJ11" s="10"/>
    </row>
    <row r="12" spans="1:36" s="21" customFormat="1" ht="12.75">
      <c r="A12" s="1" t="s">
        <v>91</v>
      </c>
      <c r="B12" s="1"/>
      <c r="C12" s="1" t="s">
        <v>773</v>
      </c>
      <c r="D12" s="1"/>
      <c r="E12" s="36">
        <v>146543.62</v>
      </c>
      <c r="F12" s="36"/>
      <c r="G12" s="36">
        <v>343680.79</v>
      </c>
      <c r="H12" s="36"/>
      <c r="I12" s="36">
        <v>32956.96</v>
      </c>
      <c r="J12" s="36"/>
      <c r="K12" s="36">
        <v>0</v>
      </c>
      <c r="L12" s="36"/>
      <c r="M12" s="36">
        <v>132668.89</v>
      </c>
      <c r="N12" s="36"/>
      <c r="O12" s="36">
        <v>109914.45</v>
      </c>
      <c r="P12" s="36"/>
      <c r="Q12" s="36">
        <v>8</v>
      </c>
      <c r="R12" s="36"/>
      <c r="S12" s="36">
        <v>360</v>
      </c>
      <c r="T12" s="36"/>
      <c r="U12" s="36">
        <v>0</v>
      </c>
      <c r="V12" s="36"/>
      <c r="W12" s="36">
        <v>0</v>
      </c>
      <c r="X12" s="36"/>
      <c r="Y12" s="36">
        <v>0</v>
      </c>
      <c r="Z12" s="36"/>
      <c r="AA12" s="36">
        <v>0</v>
      </c>
      <c r="AB12" s="36"/>
      <c r="AC12" s="36">
        <v>0</v>
      </c>
      <c r="AD12" s="36"/>
      <c r="AE12" s="36">
        <v>260.29</v>
      </c>
      <c r="AF12" s="36"/>
      <c r="AG12" s="36">
        <v>0</v>
      </c>
      <c r="AH12" s="36"/>
      <c r="AI12" s="36">
        <f>SUM(E12:AG12)</f>
        <v>766393</v>
      </c>
      <c r="AJ12" s="10"/>
    </row>
    <row r="13" spans="1:36" ht="12.75">
      <c r="A13" s="1" t="s">
        <v>210</v>
      </c>
      <c r="C13" s="1" t="s">
        <v>810</v>
      </c>
      <c r="E13" s="36">
        <v>27320.1</v>
      </c>
      <c r="F13" s="36"/>
      <c r="G13" s="36">
        <v>0</v>
      </c>
      <c r="H13" s="36"/>
      <c r="I13" s="36">
        <v>31420.06</v>
      </c>
      <c r="J13" s="36"/>
      <c r="K13" s="36">
        <v>0</v>
      </c>
      <c r="L13" s="36"/>
      <c r="M13" s="36">
        <v>0</v>
      </c>
      <c r="N13" s="36"/>
      <c r="O13" s="36">
        <v>4046.97</v>
      </c>
      <c r="P13" s="36"/>
      <c r="Q13" s="36">
        <v>83.83</v>
      </c>
      <c r="R13" s="36"/>
      <c r="S13" s="36">
        <v>5260.4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v>0</v>
      </c>
      <c r="AF13" s="36"/>
      <c r="AG13" s="36">
        <v>0</v>
      </c>
      <c r="AH13" s="36"/>
      <c r="AI13" s="36">
        <f>SUM(E13:AG13)</f>
        <v>68131.36</v>
      </c>
      <c r="AJ13" s="10"/>
    </row>
    <row r="14" spans="1:39" s="21" customFormat="1" ht="12.6" customHeight="1">
      <c r="A14" s="1" t="s">
        <v>270</v>
      </c>
      <c r="B14" s="1"/>
      <c r="C14" s="1" t="s">
        <v>271</v>
      </c>
      <c r="D14" s="1"/>
      <c r="E14" s="36">
        <v>25647.69</v>
      </c>
      <c r="F14" s="36"/>
      <c r="G14" s="36">
        <v>0</v>
      </c>
      <c r="H14" s="36"/>
      <c r="I14" s="36">
        <v>21561.78</v>
      </c>
      <c r="J14" s="36"/>
      <c r="K14" s="36">
        <v>0</v>
      </c>
      <c r="L14" s="36"/>
      <c r="M14" s="36">
        <v>44069.49</v>
      </c>
      <c r="N14" s="36"/>
      <c r="O14" s="36">
        <v>12946</v>
      </c>
      <c r="P14" s="36"/>
      <c r="Q14" s="36">
        <v>2938.98</v>
      </c>
      <c r="R14" s="36"/>
      <c r="S14" s="36">
        <v>992.85</v>
      </c>
      <c r="T14" s="36"/>
      <c r="U14" s="36">
        <v>0</v>
      </c>
      <c r="V14" s="36"/>
      <c r="W14" s="36">
        <v>0</v>
      </c>
      <c r="X14" s="36"/>
      <c r="Y14" s="36">
        <v>216300</v>
      </c>
      <c r="Z14" s="36"/>
      <c r="AA14" s="36">
        <v>0</v>
      </c>
      <c r="AB14" s="36"/>
      <c r="AC14" s="36">
        <v>22000</v>
      </c>
      <c r="AD14" s="36"/>
      <c r="AE14" s="36">
        <v>0</v>
      </c>
      <c r="AF14" s="36"/>
      <c r="AG14" s="36">
        <v>0</v>
      </c>
      <c r="AH14" s="36"/>
      <c r="AI14" s="36">
        <f>SUM(E14:AG14)</f>
        <v>346456.79</v>
      </c>
      <c r="AJ14" s="10"/>
      <c r="AK14" s="22"/>
      <c r="AL14" s="22"/>
      <c r="AM14" s="22"/>
    </row>
    <row r="15" spans="1:36" ht="12.75">
      <c r="A15" s="1" t="s">
        <v>129</v>
      </c>
      <c r="C15" s="1" t="s">
        <v>785</v>
      </c>
      <c r="E15" s="36">
        <v>38461.32</v>
      </c>
      <c r="F15" s="36"/>
      <c r="G15" s="36">
        <v>0</v>
      </c>
      <c r="H15" s="36"/>
      <c r="I15" s="36">
        <v>35711.94</v>
      </c>
      <c r="J15" s="36"/>
      <c r="K15" s="36">
        <v>0</v>
      </c>
      <c r="L15" s="36"/>
      <c r="M15" s="36">
        <v>0</v>
      </c>
      <c r="N15" s="36"/>
      <c r="O15" s="36">
        <v>13327.33</v>
      </c>
      <c r="P15" s="36"/>
      <c r="Q15" s="36">
        <v>2735.1</v>
      </c>
      <c r="R15" s="36"/>
      <c r="S15" s="36">
        <v>2039</v>
      </c>
      <c r="T15" s="36"/>
      <c r="U15" s="36">
        <v>0</v>
      </c>
      <c r="V15" s="36"/>
      <c r="W15" s="36">
        <v>0</v>
      </c>
      <c r="X15" s="36"/>
      <c r="Y15" s="36">
        <v>0</v>
      </c>
      <c r="Z15" s="36"/>
      <c r="AA15" s="36">
        <v>12500</v>
      </c>
      <c r="AB15" s="36"/>
      <c r="AC15" s="36">
        <v>0</v>
      </c>
      <c r="AD15" s="36"/>
      <c r="AE15" s="36">
        <v>0.02</v>
      </c>
      <c r="AF15" s="36"/>
      <c r="AG15" s="36">
        <v>371.47</v>
      </c>
      <c r="AH15" s="36"/>
      <c r="AI15" s="36">
        <f>SUM(E15:AG15)</f>
        <v>105146.18000000002</v>
      </c>
      <c r="AJ15" s="10"/>
    </row>
    <row r="16" spans="1:36" s="21" customFormat="1" ht="12.75">
      <c r="A16" s="1" t="s">
        <v>710</v>
      </c>
      <c r="B16" s="1"/>
      <c r="C16" s="1" t="s">
        <v>396</v>
      </c>
      <c r="D16" s="1"/>
      <c r="E16" s="36">
        <v>16021.89</v>
      </c>
      <c r="F16" s="36"/>
      <c r="G16" s="36">
        <v>41083.67</v>
      </c>
      <c r="H16" s="36"/>
      <c r="I16" s="36">
        <v>21811.83</v>
      </c>
      <c r="J16" s="36"/>
      <c r="K16" s="36">
        <v>0</v>
      </c>
      <c r="L16" s="36"/>
      <c r="M16" s="36">
        <v>583.33</v>
      </c>
      <c r="N16" s="36"/>
      <c r="O16" s="36">
        <v>4410.8</v>
      </c>
      <c r="P16" s="36"/>
      <c r="Q16" s="36">
        <v>175.42</v>
      </c>
      <c r="R16" s="36"/>
      <c r="S16" s="36">
        <v>2509.78</v>
      </c>
      <c r="T16" s="36"/>
      <c r="U16" s="36">
        <v>0</v>
      </c>
      <c r="V16" s="36"/>
      <c r="W16" s="36">
        <v>0</v>
      </c>
      <c r="X16" s="36"/>
      <c r="Y16" s="36">
        <v>1225</v>
      </c>
      <c r="Z16" s="36"/>
      <c r="AA16" s="36">
        <v>0</v>
      </c>
      <c r="AB16" s="36"/>
      <c r="AC16" s="36">
        <v>0</v>
      </c>
      <c r="AD16" s="36"/>
      <c r="AE16" s="36">
        <v>0</v>
      </c>
      <c r="AF16" s="36"/>
      <c r="AG16" s="36">
        <v>0</v>
      </c>
      <c r="AH16" s="36"/>
      <c r="AI16" s="36">
        <f>SUM(E16:AG16)</f>
        <v>87821.72</v>
      </c>
      <c r="AJ16" s="10"/>
    </row>
    <row r="17" spans="1:36" ht="12.75" hidden="1">
      <c r="A17" s="1" t="s">
        <v>251</v>
      </c>
      <c r="C17" s="1" t="s">
        <v>824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41"/>
      <c r="W17" s="36"/>
      <c r="X17" s="41"/>
      <c r="Y17" s="36"/>
      <c r="Z17" s="36"/>
      <c r="AA17" s="36"/>
      <c r="AB17" s="36"/>
      <c r="AC17" s="36"/>
      <c r="AD17" s="36"/>
      <c r="AE17" s="41"/>
      <c r="AF17" s="36"/>
      <c r="AG17" s="36"/>
      <c r="AH17" s="36"/>
      <c r="AI17" s="83">
        <f t="shared" si="0"/>
        <v>0</v>
      </c>
      <c r="AJ17" s="10"/>
    </row>
    <row r="18" spans="1:39" s="21" customFormat="1" ht="12.75">
      <c r="A18" s="1" t="s">
        <v>668</v>
      </c>
      <c r="B18" s="1"/>
      <c r="C18" s="1" t="s">
        <v>350</v>
      </c>
      <c r="D18" s="1"/>
      <c r="E18" s="36">
        <v>32436.74</v>
      </c>
      <c r="F18" s="36"/>
      <c r="G18" s="36">
        <v>0</v>
      </c>
      <c r="H18" s="36"/>
      <c r="I18" s="36">
        <v>15038.41</v>
      </c>
      <c r="J18" s="36"/>
      <c r="K18" s="36">
        <v>0</v>
      </c>
      <c r="L18" s="36"/>
      <c r="M18" s="36">
        <v>63149.81</v>
      </c>
      <c r="N18" s="36"/>
      <c r="O18" s="36">
        <v>462.97</v>
      </c>
      <c r="P18" s="36"/>
      <c r="Q18" s="36">
        <v>345.56</v>
      </c>
      <c r="R18" s="36"/>
      <c r="S18" s="36">
        <v>5968.07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v>0</v>
      </c>
      <c r="AF18" s="36"/>
      <c r="AG18" s="36">
        <v>0</v>
      </c>
      <c r="AH18" s="36"/>
      <c r="AI18" s="36">
        <f>SUM(E18:AG18)</f>
        <v>117401.56</v>
      </c>
      <c r="AJ18" s="10"/>
      <c r="AK18" s="22"/>
      <c r="AL18" s="22"/>
      <c r="AM18" s="22"/>
    </row>
    <row r="19" spans="1:36" s="21" customFormat="1" ht="12.75">
      <c r="A19" s="1" t="s">
        <v>377</v>
      </c>
      <c r="B19" s="1"/>
      <c r="C19" s="1" t="s">
        <v>378</v>
      </c>
      <c r="D19" s="1"/>
      <c r="E19" s="36">
        <v>1202250</v>
      </c>
      <c r="F19" s="36"/>
      <c r="G19" s="36">
        <v>2225364</v>
      </c>
      <c r="H19" s="36"/>
      <c r="I19" s="36">
        <v>550346</v>
      </c>
      <c r="J19" s="36"/>
      <c r="K19" s="36">
        <v>0</v>
      </c>
      <c r="L19" s="36"/>
      <c r="M19" s="36">
        <v>204538</v>
      </c>
      <c r="N19" s="36"/>
      <c r="O19" s="36">
        <v>212108</v>
      </c>
      <c r="P19" s="36"/>
      <c r="Q19" s="36">
        <v>32318</v>
      </c>
      <c r="R19" s="36"/>
      <c r="S19" s="36">
        <v>23134</v>
      </c>
      <c r="T19" s="36"/>
      <c r="U19" s="36">
        <v>0</v>
      </c>
      <c r="V19" s="36"/>
      <c r="W19" s="36">
        <v>0</v>
      </c>
      <c r="X19" s="36"/>
      <c r="Y19" s="36">
        <v>0</v>
      </c>
      <c r="Z19" s="36"/>
      <c r="AA19" s="36">
        <v>0</v>
      </c>
      <c r="AB19" s="36"/>
      <c r="AC19" s="36">
        <v>0</v>
      </c>
      <c r="AD19" s="36"/>
      <c r="AE19" s="41">
        <v>0</v>
      </c>
      <c r="AF19" s="36"/>
      <c r="AG19" s="36">
        <v>0</v>
      </c>
      <c r="AH19" s="36"/>
      <c r="AI19" s="83">
        <f t="shared" si="0"/>
        <v>4450058</v>
      </c>
      <c r="AJ19" s="10"/>
    </row>
    <row r="20" spans="1:39" s="21" customFormat="1" ht="12.6" customHeight="1">
      <c r="A20" s="1" t="s">
        <v>36</v>
      </c>
      <c r="B20" s="1"/>
      <c r="C20" s="1" t="s">
        <v>756</v>
      </c>
      <c r="D20" s="1"/>
      <c r="E20" s="36">
        <v>120011.22</v>
      </c>
      <c r="F20" s="36"/>
      <c r="G20" s="36">
        <v>0</v>
      </c>
      <c r="H20" s="36"/>
      <c r="I20" s="36">
        <v>142435.66</v>
      </c>
      <c r="J20" s="36"/>
      <c r="K20" s="36">
        <v>0</v>
      </c>
      <c r="L20" s="36"/>
      <c r="M20" s="36">
        <v>850.75</v>
      </c>
      <c r="N20" s="36"/>
      <c r="O20" s="36">
        <v>95106.2</v>
      </c>
      <c r="P20" s="36"/>
      <c r="Q20" s="36">
        <v>3917.93</v>
      </c>
      <c r="R20" s="36"/>
      <c r="S20" s="36">
        <v>2910.89</v>
      </c>
      <c r="T20" s="36"/>
      <c r="U20" s="36">
        <v>0</v>
      </c>
      <c r="V20" s="36"/>
      <c r="W20" s="36">
        <v>0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v>0</v>
      </c>
      <c r="AF20" s="36"/>
      <c r="AG20" s="36">
        <v>0</v>
      </c>
      <c r="AH20" s="36"/>
      <c r="AI20" s="36">
        <f>SUM(E20:AG20)</f>
        <v>365232.65</v>
      </c>
      <c r="AJ20" s="10"/>
      <c r="AK20" s="22"/>
      <c r="AL20" s="22"/>
      <c r="AM20" s="22"/>
    </row>
    <row r="21" spans="1:39" s="21" customFormat="1" ht="12.75">
      <c r="A21" s="1" t="s">
        <v>9</v>
      </c>
      <c r="B21" s="1"/>
      <c r="C21" s="1" t="s">
        <v>748</v>
      </c>
      <c r="D21" s="1"/>
      <c r="E21" s="36">
        <v>25128.99</v>
      </c>
      <c r="F21" s="36"/>
      <c r="G21" s="36">
        <v>0</v>
      </c>
      <c r="H21" s="36"/>
      <c r="I21" s="36">
        <v>4090.43</v>
      </c>
      <c r="J21" s="36"/>
      <c r="K21" s="36">
        <v>0</v>
      </c>
      <c r="L21" s="36"/>
      <c r="M21" s="36">
        <v>0</v>
      </c>
      <c r="N21" s="36"/>
      <c r="O21" s="36">
        <v>3000</v>
      </c>
      <c r="P21" s="36"/>
      <c r="Q21" s="36">
        <v>240.87</v>
      </c>
      <c r="R21" s="36"/>
      <c r="S21" s="36">
        <v>35.63</v>
      </c>
      <c r="T21" s="36"/>
      <c r="U21" s="36">
        <v>0</v>
      </c>
      <c r="V21" s="36"/>
      <c r="W21" s="36">
        <v>0</v>
      </c>
      <c r="X21" s="36"/>
      <c r="Y21" s="36">
        <v>0</v>
      </c>
      <c r="Z21" s="36"/>
      <c r="AA21" s="36">
        <v>0</v>
      </c>
      <c r="AB21" s="36"/>
      <c r="AC21" s="36">
        <v>0</v>
      </c>
      <c r="AD21" s="36"/>
      <c r="AE21" s="36">
        <v>0</v>
      </c>
      <c r="AF21" s="36"/>
      <c r="AG21" s="36">
        <v>0</v>
      </c>
      <c r="AH21" s="36"/>
      <c r="AI21" s="36">
        <f>SUM(E21:AG21)</f>
        <v>32495.920000000002</v>
      </c>
      <c r="AJ21" s="10"/>
      <c r="AK21" s="22"/>
      <c r="AL21" s="22"/>
      <c r="AM21" s="22"/>
    </row>
    <row r="22" spans="1:36" ht="12.75">
      <c r="A22" s="1" t="s">
        <v>421</v>
      </c>
      <c r="C22" s="1" t="s">
        <v>420</v>
      </c>
      <c r="E22" s="36">
        <v>19306</v>
      </c>
      <c r="F22" s="36"/>
      <c r="G22" s="36">
        <v>0</v>
      </c>
      <c r="H22" s="36"/>
      <c r="I22" s="36">
        <v>20086</v>
      </c>
      <c r="J22" s="36"/>
      <c r="K22" s="36">
        <v>0</v>
      </c>
      <c r="L22" s="36"/>
      <c r="M22" s="36">
        <v>0</v>
      </c>
      <c r="N22" s="36"/>
      <c r="O22" s="36">
        <v>4999</v>
      </c>
      <c r="P22" s="36"/>
      <c r="Q22" s="36">
        <v>201</v>
      </c>
      <c r="R22" s="36"/>
      <c r="S22" s="36">
        <v>9928</v>
      </c>
      <c r="T22" s="36"/>
      <c r="U22" s="36">
        <v>0</v>
      </c>
      <c r="V22" s="36"/>
      <c r="W22" s="36">
        <v>0</v>
      </c>
      <c r="X22" s="36"/>
      <c r="Y22" s="36">
        <v>0</v>
      </c>
      <c r="Z22" s="36"/>
      <c r="AA22" s="36">
        <v>0</v>
      </c>
      <c r="AB22" s="36"/>
      <c r="AC22" s="36">
        <v>0</v>
      </c>
      <c r="AD22" s="36"/>
      <c r="AE22" s="41">
        <v>0</v>
      </c>
      <c r="AF22" s="36"/>
      <c r="AG22" s="36">
        <v>0</v>
      </c>
      <c r="AH22" s="36"/>
      <c r="AI22" s="83">
        <f t="shared" si="0"/>
        <v>54520</v>
      </c>
      <c r="AJ22" s="10"/>
    </row>
    <row r="23" spans="1:36" ht="12.75">
      <c r="A23" s="1" t="s">
        <v>934</v>
      </c>
      <c r="C23" s="1" t="s">
        <v>674</v>
      </c>
      <c r="E23" s="36">
        <v>66886.84</v>
      </c>
      <c r="F23" s="36"/>
      <c r="G23" s="36">
        <v>366037.65</v>
      </c>
      <c r="H23" s="36"/>
      <c r="I23" s="36">
        <v>104437.6</v>
      </c>
      <c r="J23" s="36"/>
      <c r="K23" s="36">
        <v>0</v>
      </c>
      <c r="L23" s="36"/>
      <c r="M23" s="36">
        <v>2966.25</v>
      </c>
      <c r="N23" s="36"/>
      <c r="O23" s="36">
        <v>13775.81</v>
      </c>
      <c r="P23" s="36"/>
      <c r="Q23" s="36">
        <v>706.61</v>
      </c>
      <c r="R23" s="36"/>
      <c r="S23" s="36">
        <v>1032.33</v>
      </c>
      <c r="T23" s="36"/>
      <c r="U23" s="36">
        <v>0</v>
      </c>
      <c r="V23" s="36"/>
      <c r="W23" s="36">
        <v>0</v>
      </c>
      <c r="X23" s="36"/>
      <c r="Y23" s="36">
        <v>1689</v>
      </c>
      <c r="Z23" s="36"/>
      <c r="AA23" s="36">
        <v>0</v>
      </c>
      <c r="AB23" s="36"/>
      <c r="AC23" s="36">
        <v>4454.2</v>
      </c>
      <c r="AD23" s="36"/>
      <c r="AE23" s="36">
        <v>0</v>
      </c>
      <c r="AF23" s="36"/>
      <c r="AG23" s="36">
        <v>1115.36</v>
      </c>
      <c r="AH23" s="36"/>
      <c r="AI23" s="36">
        <f>SUM(E23:AG23)</f>
        <v>563101.6499999999</v>
      </c>
      <c r="AJ23" s="10"/>
    </row>
    <row r="24" spans="1:36" ht="12.75">
      <c r="A24" s="1" t="s">
        <v>221</v>
      </c>
      <c r="C24" s="1" t="s">
        <v>814</v>
      </c>
      <c r="E24" s="36">
        <v>39183.98</v>
      </c>
      <c r="F24" s="36"/>
      <c r="G24" s="36">
        <v>500509.99</v>
      </c>
      <c r="H24" s="36"/>
      <c r="I24" s="36">
        <v>65642.43</v>
      </c>
      <c r="J24" s="36"/>
      <c r="K24" s="36">
        <v>0</v>
      </c>
      <c r="L24" s="36"/>
      <c r="M24" s="36">
        <v>3755.28</v>
      </c>
      <c r="N24" s="36"/>
      <c r="O24" s="36">
        <v>36994.19</v>
      </c>
      <c r="P24" s="36"/>
      <c r="Q24" s="36">
        <v>372.75</v>
      </c>
      <c r="R24" s="36"/>
      <c r="S24" s="36">
        <v>7922.51</v>
      </c>
      <c r="T24" s="36"/>
      <c r="U24" s="36">
        <v>0</v>
      </c>
      <c r="V24" s="36"/>
      <c r="W24" s="36">
        <v>0</v>
      </c>
      <c r="X24" s="36"/>
      <c r="Y24" s="36">
        <v>0</v>
      </c>
      <c r="Z24" s="36"/>
      <c r="AA24" s="36">
        <v>0</v>
      </c>
      <c r="AB24" s="36"/>
      <c r="AC24" s="36">
        <v>0</v>
      </c>
      <c r="AD24" s="36"/>
      <c r="AE24" s="36">
        <v>0</v>
      </c>
      <c r="AF24" s="36"/>
      <c r="AG24" s="36">
        <v>500</v>
      </c>
      <c r="AH24" s="36"/>
      <c r="AI24" s="36">
        <f>SUM(E24:AG24)</f>
        <v>654881.1299999999</v>
      </c>
      <c r="AJ24" s="10"/>
    </row>
    <row r="25" spans="1:39" ht="12.75">
      <c r="A25" s="1" t="s">
        <v>328</v>
      </c>
      <c r="C25" s="1" t="s">
        <v>329</v>
      </c>
      <c r="E25" s="36">
        <v>75350.36</v>
      </c>
      <c r="F25" s="36"/>
      <c r="G25" s="36">
        <v>116430.83</v>
      </c>
      <c r="H25" s="36"/>
      <c r="I25" s="36">
        <v>85667.9</v>
      </c>
      <c r="J25" s="36"/>
      <c r="K25" s="36">
        <v>29794.47</v>
      </c>
      <c r="L25" s="36"/>
      <c r="M25" s="36">
        <v>7731.8</v>
      </c>
      <c r="N25" s="36"/>
      <c r="O25" s="36">
        <v>370</v>
      </c>
      <c r="P25" s="36"/>
      <c r="Q25" s="36">
        <v>370.88</v>
      </c>
      <c r="R25" s="36"/>
      <c r="S25" s="36">
        <v>27018.91</v>
      </c>
      <c r="T25" s="36"/>
      <c r="U25" s="36">
        <v>0</v>
      </c>
      <c r="V25" s="36"/>
      <c r="W25" s="36">
        <v>0</v>
      </c>
      <c r="X25" s="36"/>
      <c r="Y25" s="36">
        <v>0</v>
      </c>
      <c r="Z25" s="36"/>
      <c r="AA25" s="36">
        <v>0</v>
      </c>
      <c r="AB25" s="36"/>
      <c r="AC25" s="36">
        <v>0</v>
      </c>
      <c r="AD25" s="36"/>
      <c r="AE25" s="41">
        <v>0</v>
      </c>
      <c r="AF25" s="36"/>
      <c r="AG25" s="36">
        <v>0</v>
      </c>
      <c r="AH25" s="36"/>
      <c r="AI25" s="83">
        <f t="shared" si="0"/>
        <v>342735.1499999999</v>
      </c>
      <c r="AJ25" s="10"/>
      <c r="AK25" s="7"/>
      <c r="AL25" s="7"/>
      <c r="AM25" s="7"/>
    </row>
    <row r="26" spans="1:36" s="21" customFormat="1" ht="12.75">
      <c r="A26" s="1" t="s">
        <v>473</v>
      </c>
      <c r="B26" s="1"/>
      <c r="C26" s="1" t="s">
        <v>474</v>
      </c>
      <c r="D26" s="1"/>
      <c r="E26" s="36">
        <v>3994.48</v>
      </c>
      <c r="F26" s="36"/>
      <c r="G26" s="36">
        <v>0</v>
      </c>
      <c r="H26" s="36"/>
      <c r="I26" s="36">
        <v>4534.94</v>
      </c>
      <c r="J26" s="36"/>
      <c r="K26" s="36">
        <v>0</v>
      </c>
      <c r="L26" s="36"/>
      <c r="M26" s="36">
        <v>0</v>
      </c>
      <c r="N26" s="36"/>
      <c r="O26" s="36">
        <v>0</v>
      </c>
      <c r="P26" s="36"/>
      <c r="Q26" s="36">
        <v>0</v>
      </c>
      <c r="R26" s="36"/>
      <c r="S26" s="36">
        <v>0</v>
      </c>
      <c r="T26" s="36"/>
      <c r="U26" s="36">
        <v>0</v>
      </c>
      <c r="V26" s="36"/>
      <c r="W26" s="36">
        <v>0</v>
      </c>
      <c r="X26" s="36"/>
      <c r="Y26" s="36">
        <v>0</v>
      </c>
      <c r="Z26" s="36"/>
      <c r="AA26" s="36">
        <v>0</v>
      </c>
      <c r="AB26" s="36"/>
      <c r="AC26" s="36">
        <v>0</v>
      </c>
      <c r="AD26" s="36"/>
      <c r="AE26" s="41">
        <v>0</v>
      </c>
      <c r="AF26" s="36"/>
      <c r="AG26" s="36">
        <v>0</v>
      </c>
      <c r="AH26" s="36"/>
      <c r="AI26" s="83">
        <f t="shared" si="0"/>
        <v>8529.42</v>
      </c>
      <c r="AJ26" s="10"/>
    </row>
    <row r="27" spans="1:36" ht="12.75">
      <c r="A27" s="1" t="s">
        <v>496</v>
      </c>
      <c r="C27" s="1" t="s">
        <v>497</v>
      </c>
      <c r="E27" s="36">
        <v>45415.41</v>
      </c>
      <c r="F27" s="36"/>
      <c r="G27" s="36">
        <v>253105.38</v>
      </c>
      <c r="H27" s="36"/>
      <c r="I27" s="36">
        <v>76684.94</v>
      </c>
      <c r="J27" s="36"/>
      <c r="K27" s="36">
        <v>0</v>
      </c>
      <c r="L27" s="36"/>
      <c r="M27" s="36">
        <v>0</v>
      </c>
      <c r="N27" s="36"/>
      <c r="O27" s="36">
        <v>58361.54</v>
      </c>
      <c r="P27" s="36"/>
      <c r="Q27" s="36">
        <v>3481.3</v>
      </c>
      <c r="R27" s="36"/>
      <c r="S27" s="36">
        <v>5742.61</v>
      </c>
      <c r="T27" s="36"/>
      <c r="U27" s="36">
        <v>0</v>
      </c>
      <c r="V27" s="36"/>
      <c r="W27" s="36">
        <v>0</v>
      </c>
      <c r="X27" s="36"/>
      <c r="Y27" s="36">
        <v>0</v>
      </c>
      <c r="Z27" s="36"/>
      <c r="AA27" s="36">
        <v>5825.13</v>
      </c>
      <c r="AB27" s="36"/>
      <c r="AC27" s="36">
        <v>0</v>
      </c>
      <c r="AD27" s="36"/>
      <c r="AE27" s="41">
        <v>0</v>
      </c>
      <c r="AF27" s="36"/>
      <c r="AG27" s="36">
        <v>0</v>
      </c>
      <c r="AH27" s="36"/>
      <c r="AI27" s="83">
        <f t="shared" si="0"/>
        <v>448616.31</v>
      </c>
      <c r="AJ27" s="10"/>
    </row>
    <row r="28" spans="1:36" s="21" customFormat="1" ht="12.75">
      <c r="A28" s="1" t="s">
        <v>589</v>
      </c>
      <c r="B28" s="1"/>
      <c r="C28" s="1" t="s">
        <v>590</v>
      </c>
      <c r="D28" s="1"/>
      <c r="E28" s="36">
        <v>49998.12</v>
      </c>
      <c r="F28" s="36"/>
      <c r="G28" s="36">
        <v>203456.79</v>
      </c>
      <c r="H28" s="36"/>
      <c r="I28" s="36">
        <v>24357.42</v>
      </c>
      <c r="J28" s="36"/>
      <c r="K28" s="36">
        <v>0</v>
      </c>
      <c r="L28" s="36"/>
      <c r="M28" s="36">
        <v>0</v>
      </c>
      <c r="N28" s="36"/>
      <c r="O28" s="36">
        <v>3477</v>
      </c>
      <c r="P28" s="36"/>
      <c r="Q28" s="36">
        <v>7491.05</v>
      </c>
      <c r="R28" s="36"/>
      <c r="S28" s="36">
        <v>3189.66</v>
      </c>
      <c r="T28" s="36"/>
      <c r="U28" s="36">
        <v>0</v>
      </c>
      <c r="V28" s="36"/>
      <c r="W28" s="36">
        <v>0</v>
      </c>
      <c r="X28" s="36"/>
      <c r="Y28" s="36">
        <v>0</v>
      </c>
      <c r="Z28" s="36"/>
      <c r="AA28" s="36">
        <v>0</v>
      </c>
      <c r="AB28" s="36"/>
      <c r="AC28" s="36">
        <v>25000</v>
      </c>
      <c r="AD28" s="36"/>
      <c r="AE28" s="41">
        <v>0</v>
      </c>
      <c r="AF28" s="36"/>
      <c r="AG28" s="36">
        <v>0</v>
      </c>
      <c r="AH28" s="36"/>
      <c r="AI28" s="83">
        <f t="shared" si="0"/>
        <v>316970.04</v>
      </c>
      <c r="AJ28" s="10"/>
    </row>
    <row r="29" spans="1:36" s="21" customFormat="1" ht="12.75">
      <c r="A29" s="1" t="s">
        <v>711</v>
      </c>
      <c r="B29" s="1"/>
      <c r="C29" s="1" t="s">
        <v>368</v>
      </c>
      <c r="D29" s="1"/>
      <c r="E29" s="93">
        <v>5962.54</v>
      </c>
      <c r="F29" s="93"/>
      <c r="G29" s="93">
        <v>0</v>
      </c>
      <c r="H29" s="93"/>
      <c r="I29" s="93">
        <v>20031.13</v>
      </c>
      <c r="J29" s="93"/>
      <c r="K29" s="93">
        <v>0</v>
      </c>
      <c r="L29" s="93"/>
      <c r="M29" s="93">
        <v>0</v>
      </c>
      <c r="N29" s="93"/>
      <c r="O29" s="93">
        <v>1852.15</v>
      </c>
      <c r="P29" s="93"/>
      <c r="Q29" s="93">
        <v>0</v>
      </c>
      <c r="R29" s="93"/>
      <c r="S29" s="93">
        <v>45</v>
      </c>
      <c r="T29" s="93"/>
      <c r="U29" s="93">
        <v>0</v>
      </c>
      <c r="V29" s="93"/>
      <c r="W29" s="93">
        <v>0</v>
      </c>
      <c r="X29" s="93"/>
      <c r="Y29" s="93">
        <v>0</v>
      </c>
      <c r="Z29" s="93"/>
      <c r="AA29" s="93">
        <v>0</v>
      </c>
      <c r="AB29" s="93"/>
      <c r="AC29" s="93">
        <v>0</v>
      </c>
      <c r="AD29" s="93"/>
      <c r="AE29" s="93">
        <v>0</v>
      </c>
      <c r="AF29" s="93"/>
      <c r="AG29" s="93">
        <v>0</v>
      </c>
      <c r="AH29" s="93"/>
      <c r="AI29" s="93">
        <f>SUM(E29:AG29)</f>
        <v>27890.820000000003</v>
      </c>
      <c r="AJ29" s="10"/>
    </row>
    <row r="30" spans="1:36" s="21" customFormat="1" ht="12.75">
      <c r="A30" s="1" t="s">
        <v>387</v>
      </c>
      <c r="B30" s="1"/>
      <c r="C30" s="1" t="s">
        <v>388</v>
      </c>
      <c r="D30" s="1"/>
      <c r="E30" s="36">
        <v>42104.34</v>
      </c>
      <c r="F30" s="36"/>
      <c r="G30" s="36">
        <v>0</v>
      </c>
      <c r="H30" s="36"/>
      <c r="I30" s="36">
        <v>42575.49</v>
      </c>
      <c r="J30" s="36"/>
      <c r="K30" s="36">
        <v>0</v>
      </c>
      <c r="L30" s="36"/>
      <c r="M30" s="36">
        <v>0</v>
      </c>
      <c r="N30" s="36"/>
      <c r="O30" s="36">
        <v>135</v>
      </c>
      <c r="P30" s="36"/>
      <c r="Q30" s="36">
        <v>2285.5</v>
      </c>
      <c r="R30" s="36"/>
      <c r="S30" s="36">
        <v>6788.47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v>0</v>
      </c>
      <c r="AF30" s="36"/>
      <c r="AG30" s="36">
        <v>0</v>
      </c>
      <c r="AH30" s="36"/>
      <c r="AI30" s="36">
        <f>SUM(E30:AG30)</f>
        <v>93888.79999999999</v>
      </c>
      <c r="AJ30" s="10"/>
    </row>
    <row r="31" spans="1:39" s="21" customFormat="1" ht="12.75">
      <c r="A31" s="1" t="s">
        <v>330</v>
      </c>
      <c r="B31" s="1"/>
      <c r="C31" s="1" t="s">
        <v>329</v>
      </c>
      <c r="D31" s="1"/>
      <c r="E31" s="36">
        <v>61133</v>
      </c>
      <c r="F31" s="36"/>
      <c r="G31" s="36">
        <v>394566</v>
      </c>
      <c r="H31" s="36"/>
      <c r="I31" s="36">
        <v>195611</v>
      </c>
      <c r="J31" s="36"/>
      <c r="K31" s="36">
        <v>0</v>
      </c>
      <c r="L31" s="36"/>
      <c r="M31" s="36">
        <v>1230</v>
      </c>
      <c r="N31" s="36"/>
      <c r="O31" s="36">
        <v>510</v>
      </c>
      <c r="P31" s="36"/>
      <c r="Q31" s="36">
        <v>24097</v>
      </c>
      <c r="R31" s="36"/>
      <c r="S31" s="36">
        <v>18664</v>
      </c>
      <c r="T31" s="36"/>
      <c r="U31" s="36">
        <v>0</v>
      </c>
      <c r="V31" s="36"/>
      <c r="W31" s="36">
        <v>0</v>
      </c>
      <c r="X31" s="36"/>
      <c r="Y31" s="36">
        <v>0</v>
      </c>
      <c r="Z31" s="36"/>
      <c r="AA31" s="36">
        <v>73426</v>
      </c>
      <c r="AB31" s="36"/>
      <c r="AC31" s="36">
        <v>7500</v>
      </c>
      <c r="AD31" s="36"/>
      <c r="AE31" s="41">
        <v>0</v>
      </c>
      <c r="AF31" s="36"/>
      <c r="AG31" s="36">
        <v>0</v>
      </c>
      <c r="AH31" s="36"/>
      <c r="AI31" s="83">
        <f t="shared" si="0"/>
        <v>776737</v>
      </c>
      <c r="AJ31" s="10"/>
      <c r="AK31" s="22"/>
      <c r="AL31" s="22"/>
      <c r="AM31" s="22"/>
    </row>
    <row r="32" spans="1:36" s="21" customFormat="1" ht="12.75">
      <c r="A32" s="1" t="s">
        <v>357</v>
      </c>
      <c r="B32" s="1"/>
      <c r="C32" s="1" t="s">
        <v>358</v>
      </c>
      <c r="D32" s="1"/>
      <c r="E32" s="36">
        <v>616005</v>
      </c>
      <c r="F32" s="36"/>
      <c r="G32" s="36">
        <v>2937370</v>
      </c>
      <c r="H32" s="36"/>
      <c r="I32" s="36">
        <v>715771</v>
      </c>
      <c r="J32" s="36"/>
      <c r="K32" s="36">
        <v>0</v>
      </c>
      <c r="L32" s="36"/>
      <c r="M32" s="36">
        <v>542292</v>
      </c>
      <c r="N32" s="36"/>
      <c r="O32" s="36">
        <v>8100</v>
      </c>
      <c r="P32" s="36"/>
      <c r="Q32" s="36">
        <v>11297</v>
      </c>
      <c r="R32" s="36"/>
      <c r="S32" s="36">
        <v>55276</v>
      </c>
      <c r="T32" s="36"/>
      <c r="U32" s="36">
        <v>0</v>
      </c>
      <c r="V32" s="36"/>
      <c r="W32" s="36">
        <v>0</v>
      </c>
      <c r="X32" s="36"/>
      <c r="Y32" s="36">
        <v>0</v>
      </c>
      <c r="Z32" s="36"/>
      <c r="AA32" s="36">
        <v>0</v>
      </c>
      <c r="AB32" s="36"/>
      <c r="AC32" s="36">
        <v>0</v>
      </c>
      <c r="AD32" s="36"/>
      <c r="AE32" s="36">
        <v>297670</v>
      </c>
      <c r="AF32" s="36"/>
      <c r="AG32" s="36">
        <v>0</v>
      </c>
      <c r="AH32" s="36"/>
      <c r="AI32" s="83">
        <f t="shared" si="0"/>
        <v>5183781</v>
      </c>
      <c r="AJ32" s="10"/>
    </row>
    <row r="33" spans="1:36" ht="12.75">
      <c r="A33" s="1" t="s">
        <v>98</v>
      </c>
      <c r="C33" s="1" t="s">
        <v>774</v>
      </c>
      <c r="E33" s="36">
        <v>52596.26</v>
      </c>
      <c r="F33" s="36"/>
      <c r="G33" s="36">
        <v>192509.67</v>
      </c>
      <c r="H33" s="36"/>
      <c r="I33" s="36">
        <v>69331.29</v>
      </c>
      <c r="J33" s="36"/>
      <c r="K33" s="36">
        <v>0</v>
      </c>
      <c r="L33" s="36"/>
      <c r="M33" s="36">
        <v>0</v>
      </c>
      <c r="N33" s="36"/>
      <c r="O33" s="36">
        <v>675</v>
      </c>
      <c r="P33" s="36"/>
      <c r="Q33" s="36">
        <v>18658.59</v>
      </c>
      <c r="R33" s="36"/>
      <c r="S33" s="36">
        <v>0</v>
      </c>
      <c r="T33" s="36"/>
      <c r="U33" s="36">
        <v>0</v>
      </c>
      <c r="V33" s="36"/>
      <c r="W33" s="36">
        <v>0</v>
      </c>
      <c r="X33" s="36"/>
      <c r="Y33" s="36">
        <v>0</v>
      </c>
      <c r="Z33" s="36"/>
      <c r="AA33" s="36">
        <v>0</v>
      </c>
      <c r="AB33" s="36"/>
      <c r="AC33" s="36">
        <v>23000</v>
      </c>
      <c r="AD33" s="36"/>
      <c r="AE33" s="36">
        <v>875.22</v>
      </c>
      <c r="AF33" s="36"/>
      <c r="AG33" s="36">
        <v>0</v>
      </c>
      <c r="AH33" s="36"/>
      <c r="AI33" s="36">
        <f>SUM(E33:AG33)</f>
        <v>357646.03</v>
      </c>
      <c r="AJ33" s="10"/>
    </row>
    <row r="34" spans="1:36" s="21" customFormat="1" ht="12.75">
      <c r="A34" s="1" t="s">
        <v>379</v>
      </c>
      <c r="B34" s="1"/>
      <c r="C34" s="1" t="s">
        <v>378</v>
      </c>
      <c r="D34" s="1"/>
      <c r="E34" s="36">
        <v>498595</v>
      </c>
      <c r="F34" s="36"/>
      <c r="G34" s="36">
        <v>0</v>
      </c>
      <c r="H34" s="84"/>
      <c r="I34" s="36">
        <v>101150</v>
      </c>
      <c r="J34" s="36"/>
      <c r="K34" s="36">
        <v>0</v>
      </c>
      <c r="L34" s="36"/>
      <c r="M34" s="36">
        <v>114750</v>
      </c>
      <c r="N34" s="36"/>
      <c r="O34" s="36">
        <v>429969</v>
      </c>
      <c r="P34" s="36"/>
      <c r="Q34" s="36">
        <v>0</v>
      </c>
      <c r="R34" s="36"/>
      <c r="S34" s="36">
        <v>5165</v>
      </c>
      <c r="T34" s="36"/>
      <c r="U34" s="36">
        <v>0</v>
      </c>
      <c r="V34" s="36"/>
      <c r="W34" s="36">
        <v>0</v>
      </c>
      <c r="X34" s="36"/>
      <c r="Y34" s="36">
        <v>2000</v>
      </c>
      <c r="Z34" s="36"/>
      <c r="AA34" s="36">
        <v>0</v>
      </c>
      <c r="AB34" s="36"/>
      <c r="AC34" s="36">
        <v>0</v>
      </c>
      <c r="AD34" s="36"/>
      <c r="AE34" s="36">
        <v>0</v>
      </c>
      <c r="AF34" s="36"/>
      <c r="AG34" s="36">
        <v>0</v>
      </c>
      <c r="AH34" s="36"/>
      <c r="AI34" s="83">
        <f t="shared" si="0"/>
        <v>1151629</v>
      </c>
      <c r="AJ34" s="10"/>
    </row>
    <row r="35" spans="1:36" s="21" customFormat="1" ht="12.75">
      <c r="A35" s="1" t="s">
        <v>933</v>
      </c>
      <c r="B35" s="1"/>
      <c r="C35" s="1" t="s">
        <v>343</v>
      </c>
      <c r="D35" s="1"/>
      <c r="E35" s="36">
        <v>130797.63</v>
      </c>
      <c r="F35" s="36"/>
      <c r="G35" s="36">
        <v>0</v>
      </c>
      <c r="H35" s="36"/>
      <c r="I35" s="36">
        <v>48032.88</v>
      </c>
      <c r="J35" s="36"/>
      <c r="K35" s="36">
        <v>0</v>
      </c>
      <c r="L35" s="36"/>
      <c r="M35" s="36">
        <v>72840.91</v>
      </c>
      <c r="N35" s="36"/>
      <c r="O35" s="36">
        <v>9133.6</v>
      </c>
      <c r="P35" s="36"/>
      <c r="Q35" s="36">
        <v>145.41</v>
      </c>
      <c r="R35" s="36"/>
      <c r="S35" s="36">
        <v>11990.65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v>0</v>
      </c>
      <c r="AF35" s="36"/>
      <c r="AG35" s="36">
        <v>0</v>
      </c>
      <c r="AH35" s="36"/>
      <c r="AI35" s="36">
        <f>SUM(E35:AG35)</f>
        <v>272941.08</v>
      </c>
      <c r="AJ35" s="10"/>
    </row>
    <row r="36" spans="1:36" ht="12.75">
      <c r="A36" s="1" t="s">
        <v>849</v>
      </c>
      <c r="C36" s="1" t="s">
        <v>804</v>
      </c>
      <c r="E36" s="36">
        <v>159937.98</v>
      </c>
      <c r="F36" s="36"/>
      <c r="G36" s="36">
        <v>904932.18</v>
      </c>
      <c r="H36" s="36"/>
      <c r="I36" s="36">
        <v>94371.41</v>
      </c>
      <c r="J36" s="36"/>
      <c r="K36" s="36">
        <v>0</v>
      </c>
      <c r="L36" s="36"/>
      <c r="M36" s="36">
        <v>330948.12</v>
      </c>
      <c r="N36" s="36"/>
      <c r="O36" s="36">
        <v>69053.96</v>
      </c>
      <c r="P36" s="36"/>
      <c r="Q36" s="36">
        <v>13782.83</v>
      </c>
      <c r="R36" s="36"/>
      <c r="S36" s="36">
        <v>5627.89</v>
      </c>
      <c r="T36" s="36"/>
      <c r="U36" s="36">
        <v>0</v>
      </c>
      <c r="V36" s="36"/>
      <c r="W36" s="36">
        <v>0</v>
      </c>
      <c r="X36" s="36"/>
      <c r="Y36" s="36">
        <v>0</v>
      </c>
      <c r="Z36" s="36"/>
      <c r="AA36" s="36">
        <v>0</v>
      </c>
      <c r="AB36" s="36"/>
      <c r="AC36" s="36">
        <v>0</v>
      </c>
      <c r="AD36" s="36"/>
      <c r="AE36" s="36">
        <v>0</v>
      </c>
      <c r="AF36" s="36"/>
      <c r="AG36" s="36">
        <v>0</v>
      </c>
      <c r="AH36" s="36"/>
      <c r="AI36" s="36">
        <f>SUM(E36:AG36)</f>
        <v>1578654.3699999999</v>
      </c>
      <c r="AJ36" s="10"/>
    </row>
    <row r="37" spans="1:36" s="15" customFormat="1" ht="12.75">
      <c r="A37" s="15" t="s">
        <v>891</v>
      </c>
      <c r="C37" s="15" t="s">
        <v>437</v>
      </c>
      <c r="E37" s="41">
        <v>3734</v>
      </c>
      <c r="F37" s="41"/>
      <c r="G37" s="41">
        <v>830</v>
      </c>
      <c r="H37" s="41"/>
      <c r="I37" s="41">
        <v>14420</v>
      </c>
      <c r="J37" s="41"/>
      <c r="K37" s="41">
        <v>0</v>
      </c>
      <c r="L37" s="41"/>
      <c r="M37" s="41">
        <v>1677</v>
      </c>
      <c r="N37" s="41"/>
      <c r="O37" s="41">
        <v>0</v>
      </c>
      <c r="P37" s="41"/>
      <c r="Q37" s="41">
        <v>0</v>
      </c>
      <c r="R37" s="41"/>
      <c r="S37" s="41">
        <v>666</v>
      </c>
      <c r="T37" s="41"/>
      <c r="U37" s="41">
        <v>0</v>
      </c>
      <c r="V37" s="41"/>
      <c r="W37" s="41">
        <v>0</v>
      </c>
      <c r="X37" s="41"/>
      <c r="Y37" s="36">
        <v>0</v>
      </c>
      <c r="Z37" s="41"/>
      <c r="AA37" s="36">
        <v>0</v>
      </c>
      <c r="AB37" s="41"/>
      <c r="AC37" s="41">
        <v>0</v>
      </c>
      <c r="AD37" s="41"/>
      <c r="AE37" s="36">
        <v>0</v>
      </c>
      <c r="AF37" s="41"/>
      <c r="AG37" s="36">
        <v>0</v>
      </c>
      <c r="AH37" s="41"/>
      <c r="AI37" s="83">
        <f t="shared" si="0"/>
        <v>21327</v>
      </c>
      <c r="AJ37" s="24"/>
    </row>
    <row r="38" spans="1:36" ht="12.75">
      <c r="A38" s="1" t="s">
        <v>218</v>
      </c>
      <c r="C38" s="1" t="s">
        <v>813</v>
      </c>
      <c r="E38" s="36">
        <v>40580.26</v>
      </c>
      <c r="F38" s="36"/>
      <c r="G38" s="36">
        <v>0</v>
      </c>
      <c r="H38" s="36"/>
      <c r="I38" s="36">
        <v>60932.67</v>
      </c>
      <c r="J38" s="36"/>
      <c r="K38" s="36">
        <v>0</v>
      </c>
      <c r="L38" s="36"/>
      <c r="M38" s="36">
        <v>0</v>
      </c>
      <c r="N38" s="36"/>
      <c r="O38" s="36">
        <v>60</v>
      </c>
      <c r="P38" s="36"/>
      <c r="Q38" s="36">
        <v>511.5</v>
      </c>
      <c r="R38" s="36"/>
      <c r="S38" s="36">
        <v>4522.39</v>
      </c>
      <c r="T38" s="36"/>
      <c r="U38" s="36">
        <v>0</v>
      </c>
      <c r="V38" s="36"/>
      <c r="W38" s="36">
        <v>0</v>
      </c>
      <c r="X38" s="36"/>
      <c r="Y38" s="36">
        <v>0</v>
      </c>
      <c r="Z38" s="36"/>
      <c r="AA38" s="36">
        <v>0</v>
      </c>
      <c r="AB38" s="36"/>
      <c r="AC38" s="36">
        <v>15000</v>
      </c>
      <c r="AD38" s="36"/>
      <c r="AE38" s="36">
        <v>0</v>
      </c>
      <c r="AF38" s="36"/>
      <c r="AG38" s="36">
        <v>0</v>
      </c>
      <c r="AH38" s="36"/>
      <c r="AI38" s="36">
        <f>SUM(E38:AG38)</f>
        <v>121606.81999999999</v>
      </c>
      <c r="AJ38" s="10"/>
    </row>
    <row r="39" spans="1:39" s="21" customFormat="1" ht="12.75">
      <c r="A39" s="1" t="s">
        <v>670</v>
      </c>
      <c r="B39" s="1"/>
      <c r="C39" s="1" t="s">
        <v>669</v>
      </c>
      <c r="D39" s="1"/>
      <c r="E39" s="36">
        <v>6745</v>
      </c>
      <c r="F39" s="36"/>
      <c r="G39" s="36">
        <v>0</v>
      </c>
      <c r="H39" s="36"/>
      <c r="I39" s="36">
        <v>42238</v>
      </c>
      <c r="J39" s="36"/>
      <c r="K39" s="36">
        <v>0</v>
      </c>
      <c r="L39" s="36"/>
      <c r="M39" s="36">
        <v>2400</v>
      </c>
      <c r="N39" s="36"/>
      <c r="O39" s="36">
        <v>488</v>
      </c>
      <c r="P39" s="36"/>
      <c r="Q39" s="36">
        <v>71</v>
      </c>
      <c r="R39" s="36"/>
      <c r="S39" s="36">
        <v>336</v>
      </c>
      <c r="T39" s="36"/>
      <c r="U39" s="36">
        <v>0</v>
      </c>
      <c r="V39" s="36"/>
      <c r="W39" s="41">
        <v>0</v>
      </c>
      <c r="X39" s="36"/>
      <c r="Y39" s="36">
        <v>0</v>
      </c>
      <c r="Z39" s="36"/>
      <c r="AA39" s="36">
        <v>0</v>
      </c>
      <c r="AB39" s="36"/>
      <c r="AC39" s="36">
        <v>0</v>
      </c>
      <c r="AD39" s="36"/>
      <c r="AE39" s="36">
        <v>0</v>
      </c>
      <c r="AF39" s="36"/>
      <c r="AG39" s="36">
        <v>0</v>
      </c>
      <c r="AH39" s="36"/>
      <c r="AI39" s="83">
        <f t="shared" si="0"/>
        <v>52278</v>
      </c>
      <c r="AJ39" s="10"/>
      <c r="AK39" s="22"/>
      <c r="AL39" s="22"/>
      <c r="AM39" s="22"/>
    </row>
    <row r="40" spans="1:36" s="21" customFormat="1" ht="12.75">
      <c r="A40" s="1" t="s">
        <v>850</v>
      </c>
      <c r="B40" s="1"/>
      <c r="C40" s="1" t="s">
        <v>810</v>
      </c>
      <c r="D40" s="1"/>
      <c r="E40" s="36">
        <v>40025.59</v>
      </c>
      <c r="F40" s="36"/>
      <c r="G40" s="36">
        <v>0</v>
      </c>
      <c r="H40" s="36"/>
      <c r="I40" s="36">
        <v>73579.35</v>
      </c>
      <c r="J40" s="36"/>
      <c r="K40" s="36">
        <v>0</v>
      </c>
      <c r="L40" s="36"/>
      <c r="M40" s="36">
        <v>15350</v>
      </c>
      <c r="N40" s="36"/>
      <c r="O40" s="36">
        <v>0</v>
      </c>
      <c r="P40" s="36"/>
      <c r="Q40" s="36">
        <v>3470.96</v>
      </c>
      <c r="R40" s="36"/>
      <c r="S40" s="36">
        <v>16046.33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v>0</v>
      </c>
      <c r="AF40" s="36"/>
      <c r="AG40" s="36">
        <v>0</v>
      </c>
      <c r="AH40" s="36"/>
      <c r="AI40" s="36">
        <f>SUM(E40:AG40)</f>
        <v>148472.22999999998</v>
      </c>
      <c r="AJ40" s="10"/>
    </row>
    <row r="41" spans="1:36" s="21" customFormat="1" ht="12.75">
      <c r="A41" s="1" t="s">
        <v>602</v>
      </c>
      <c r="B41" s="1"/>
      <c r="C41" s="1" t="s">
        <v>603</v>
      </c>
      <c r="D41" s="1"/>
      <c r="E41" s="93">
        <v>1882.68</v>
      </c>
      <c r="F41" s="93"/>
      <c r="G41" s="93">
        <v>0</v>
      </c>
      <c r="H41" s="93"/>
      <c r="I41" s="93">
        <v>9015</v>
      </c>
      <c r="J41" s="93"/>
      <c r="K41" s="93">
        <v>0</v>
      </c>
      <c r="L41" s="93"/>
      <c r="M41" s="93">
        <v>0</v>
      </c>
      <c r="N41" s="93"/>
      <c r="O41" s="93">
        <v>1280.34</v>
      </c>
      <c r="P41" s="93"/>
      <c r="Q41" s="93">
        <v>6.71</v>
      </c>
      <c r="R41" s="93"/>
      <c r="S41" s="93">
        <v>120</v>
      </c>
      <c r="T41" s="93"/>
      <c r="U41" s="93">
        <v>0</v>
      </c>
      <c r="V41" s="93"/>
      <c r="W41" s="93">
        <v>0</v>
      </c>
      <c r="X41" s="93"/>
      <c r="Y41" s="93">
        <v>0</v>
      </c>
      <c r="Z41" s="93"/>
      <c r="AA41" s="93">
        <v>0</v>
      </c>
      <c r="AB41" s="93"/>
      <c r="AC41" s="93">
        <v>0</v>
      </c>
      <c r="AD41" s="93"/>
      <c r="AE41" s="93">
        <v>0</v>
      </c>
      <c r="AF41" s="93"/>
      <c r="AG41" s="93">
        <v>0</v>
      </c>
      <c r="AH41" s="93"/>
      <c r="AI41" s="93">
        <f>SUM(E41:AG41)</f>
        <v>12304.73</v>
      </c>
      <c r="AJ41" s="10"/>
    </row>
    <row r="42" spans="1:36" ht="12.75">
      <c r="A42" s="1" t="s">
        <v>561</v>
      </c>
      <c r="C42" s="1" t="s">
        <v>562</v>
      </c>
      <c r="E42" s="36">
        <v>61211.85</v>
      </c>
      <c r="F42" s="36"/>
      <c r="G42" s="36">
        <v>60045.69</v>
      </c>
      <c r="H42" s="36"/>
      <c r="I42" s="36">
        <v>24955.97</v>
      </c>
      <c r="J42" s="36"/>
      <c r="K42" s="36">
        <v>0</v>
      </c>
      <c r="L42" s="36"/>
      <c r="M42" s="36">
        <v>7420</v>
      </c>
      <c r="N42" s="36"/>
      <c r="O42" s="36">
        <v>340</v>
      </c>
      <c r="P42" s="36"/>
      <c r="Q42" s="36">
        <v>973.72</v>
      </c>
      <c r="R42" s="36"/>
      <c r="S42" s="36">
        <v>4370.98</v>
      </c>
      <c r="T42" s="36"/>
      <c r="U42" s="36">
        <v>0</v>
      </c>
      <c r="V42" s="36"/>
      <c r="W42" s="41">
        <v>0</v>
      </c>
      <c r="X42" s="36"/>
      <c r="Y42" s="36">
        <v>0</v>
      </c>
      <c r="Z42" s="36"/>
      <c r="AA42" s="36">
        <v>0</v>
      </c>
      <c r="AB42" s="36"/>
      <c r="AC42" s="36">
        <v>0</v>
      </c>
      <c r="AD42" s="36"/>
      <c r="AE42" s="36">
        <v>20724.24</v>
      </c>
      <c r="AF42" s="36"/>
      <c r="AG42" s="36">
        <v>0</v>
      </c>
      <c r="AH42" s="36"/>
      <c r="AI42" s="83">
        <f t="shared" si="0"/>
        <v>180042.45</v>
      </c>
      <c r="AJ42" s="10"/>
    </row>
    <row r="43" spans="1:36" s="21" customFormat="1" ht="12.75">
      <c r="A43" s="1" t="s">
        <v>349</v>
      </c>
      <c r="B43" s="1"/>
      <c r="C43" s="1" t="s">
        <v>350</v>
      </c>
      <c r="D43" s="1"/>
      <c r="E43" s="36">
        <v>81456.75</v>
      </c>
      <c r="F43" s="36"/>
      <c r="G43" s="36">
        <v>363564.2</v>
      </c>
      <c r="H43" s="36"/>
      <c r="I43" s="36">
        <v>145796.06</v>
      </c>
      <c r="J43" s="36"/>
      <c r="K43" s="36">
        <v>0</v>
      </c>
      <c r="L43" s="36"/>
      <c r="M43" s="36">
        <v>43341.74</v>
      </c>
      <c r="N43" s="36"/>
      <c r="O43" s="36">
        <v>77479.06</v>
      </c>
      <c r="P43" s="36"/>
      <c r="Q43" s="36">
        <v>4351.87</v>
      </c>
      <c r="R43" s="36"/>
      <c r="S43" s="36">
        <v>5530.69</v>
      </c>
      <c r="T43" s="36"/>
      <c r="U43" s="36">
        <v>0</v>
      </c>
      <c r="V43" s="36"/>
      <c r="W43" s="41">
        <v>0</v>
      </c>
      <c r="X43" s="36"/>
      <c r="Y43" s="36">
        <v>3811.12</v>
      </c>
      <c r="Z43" s="36"/>
      <c r="AA43" s="36">
        <v>0</v>
      </c>
      <c r="AB43" s="36"/>
      <c r="AC43" s="36">
        <v>0</v>
      </c>
      <c r="AD43" s="36"/>
      <c r="AE43" s="36">
        <v>0</v>
      </c>
      <c r="AF43" s="36"/>
      <c r="AG43" s="36">
        <v>0</v>
      </c>
      <c r="AH43" s="36"/>
      <c r="AI43" s="83">
        <f t="shared" si="0"/>
        <v>725331.49</v>
      </c>
      <c r="AJ43" s="10"/>
    </row>
    <row r="44" spans="1:39" s="21" customFormat="1" ht="12.75">
      <c r="A44" s="1" t="s">
        <v>278</v>
      </c>
      <c r="B44" s="1"/>
      <c r="C44" s="1" t="s">
        <v>279</v>
      </c>
      <c r="D44" s="1"/>
      <c r="E44" s="36">
        <v>120352</v>
      </c>
      <c r="F44" s="36"/>
      <c r="G44" s="36">
        <v>0</v>
      </c>
      <c r="H44" s="36"/>
      <c r="I44" s="36">
        <v>251629</v>
      </c>
      <c r="J44" s="36"/>
      <c r="K44" s="36">
        <v>0</v>
      </c>
      <c r="L44" s="36"/>
      <c r="M44" s="36">
        <v>750</v>
      </c>
      <c r="N44" s="36"/>
      <c r="O44" s="36">
        <v>31051</v>
      </c>
      <c r="P44" s="36"/>
      <c r="Q44" s="36">
        <v>111180</v>
      </c>
      <c r="R44" s="36"/>
      <c r="S44" s="36">
        <v>12079</v>
      </c>
      <c r="T44" s="36"/>
      <c r="U44" s="36">
        <v>0</v>
      </c>
      <c r="V44" s="36"/>
      <c r="W44" s="41">
        <v>0</v>
      </c>
      <c r="X44" s="36"/>
      <c r="Y44" s="36">
        <v>0</v>
      </c>
      <c r="Z44" s="36"/>
      <c r="AA44" s="36">
        <v>123000</v>
      </c>
      <c r="AB44" s="36"/>
      <c r="AC44" s="36">
        <v>0</v>
      </c>
      <c r="AD44" s="36"/>
      <c r="AE44" s="36">
        <v>492</v>
      </c>
      <c r="AF44" s="36"/>
      <c r="AG44" s="36">
        <v>0</v>
      </c>
      <c r="AH44" s="36"/>
      <c r="AI44" s="83">
        <f t="shared" si="0"/>
        <v>650533</v>
      </c>
      <c r="AJ44" s="10"/>
      <c r="AK44" s="22"/>
      <c r="AL44" s="22"/>
      <c r="AM44" s="22"/>
    </row>
    <row r="45" spans="1:36" s="21" customFormat="1" ht="12.75">
      <c r="A45" s="1" t="s">
        <v>563</v>
      </c>
      <c r="B45" s="1"/>
      <c r="C45" s="1" t="s">
        <v>562</v>
      </c>
      <c r="D45" s="1"/>
      <c r="E45" s="36">
        <v>14627.74</v>
      </c>
      <c r="F45" s="36"/>
      <c r="G45" s="36">
        <v>0</v>
      </c>
      <c r="H45" s="36"/>
      <c r="I45" s="36">
        <v>11437.27</v>
      </c>
      <c r="J45" s="36"/>
      <c r="K45" s="36">
        <v>0</v>
      </c>
      <c r="L45" s="36"/>
      <c r="M45" s="36">
        <v>0</v>
      </c>
      <c r="N45" s="36"/>
      <c r="O45" s="36">
        <v>210.4</v>
      </c>
      <c r="P45" s="36"/>
      <c r="Q45" s="36">
        <v>139.16</v>
      </c>
      <c r="R45" s="36"/>
      <c r="S45" s="36">
        <v>60</v>
      </c>
      <c r="T45" s="36"/>
      <c r="U45" s="36">
        <v>0</v>
      </c>
      <c r="V45" s="36"/>
      <c r="W45" s="36">
        <v>0</v>
      </c>
      <c r="X45" s="36"/>
      <c r="Y45" s="36">
        <v>1772</v>
      </c>
      <c r="Z45" s="36"/>
      <c r="AA45" s="36">
        <v>0</v>
      </c>
      <c r="AB45" s="36"/>
      <c r="AC45" s="36">
        <v>0</v>
      </c>
      <c r="AD45" s="36"/>
      <c r="AE45" s="36">
        <v>0</v>
      </c>
      <c r="AF45" s="36"/>
      <c r="AG45" s="36">
        <v>0</v>
      </c>
      <c r="AH45" s="36"/>
      <c r="AI45" s="36">
        <f>SUM(E45:AG45)</f>
        <v>28246.570000000003</v>
      </c>
      <c r="AJ45" s="10"/>
    </row>
    <row r="46" spans="1:39" ht="12.75">
      <c r="A46" s="1" t="s">
        <v>294</v>
      </c>
      <c r="C46" s="1" t="s">
        <v>295</v>
      </c>
      <c r="E46" s="36">
        <v>64653.15</v>
      </c>
      <c r="F46" s="36"/>
      <c r="G46" s="36">
        <v>379824.97</v>
      </c>
      <c r="H46" s="36"/>
      <c r="I46" s="36">
        <v>102276.53</v>
      </c>
      <c r="J46" s="36"/>
      <c r="K46" s="36">
        <v>0</v>
      </c>
      <c r="L46" s="36"/>
      <c r="M46" s="36">
        <v>2965.35</v>
      </c>
      <c r="N46" s="36"/>
      <c r="O46" s="36">
        <v>18932</v>
      </c>
      <c r="P46" s="36"/>
      <c r="Q46" s="36">
        <v>350.18</v>
      </c>
      <c r="R46" s="36"/>
      <c r="S46" s="36">
        <v>0</v>
      </c>
      <c r="T46" s="36"/>
      <c r="U46" s="36">
        <v>0</v>
      </c>
      <c r="V46" s="36"/>
      <c r="W46" s="36">
        <v>0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v>488.47</v>
      </c>
      <c r="AF46" s="36"/>
      <c r="AG46" s="36">
        <v>0</v>
      </c>
      <c r="AH46" s="36"/>
      <c r="AI46" s="36">
        <f>SUM(E46:AG46)</f>
        <v>569490.65</v>
      </c>
      <c r="AJ46" s="10"/>
      <c r="AK46" s="7"/>
      <c r="AL46" s="7"/>
      <c r="AM46" s="7"/>
    </row>
    <row r="47" spans="1:36" ht="12.75">
      <c r="A47" s="1" t="s">
        <v>490</v>
      </c>
      <c r="C47" s="1" t="s">
        <v>491</v>
      </c>
      <c r="E47" s="36">
        <v>15507</v>
      </c>
      <c r="F47" s="36"/>
      <c r="G47" s="36">
        <v>0</v>
      </c>
      <c r="H47" s="36"/>
      <c r="I47" s="36">
        <v>0</v>
      </c>
      <c r="J47" s="36"/>
      <c r="K47" s="36">
        <v>0</v>
      </c>
      <c r="L47" s="36"/>
      <c r="M47" s="36">
        <v>0</v>
      </c>
      <c r="N47" s="36"/>
      <c r="O47" s="36">
        <v>0</v>
      </c>
      <c r="P47" s="36"/>
      <c r="Q47" s="36">
        <v>0</v>
      </c>
      <c r="R47" s="36"/>
      <c r="S47" s="36">
        <v>8199</v>
      </c>
      <c r="T47" s="36"/>
      <c r="U47" s="36">
        <v>0</v>
      </c>
      <c r="V47" s="36"/>
      <c r="W47" s="41">
        <v>0</v>
      </c>
      <c r="X47" s="36"/>
      <c r="Y47" s="36">
        <v>0</v>
      </c>
      <c r="Z47" s="36"/>
      <c r="AA47" s="36">
        <v>0</v>
      </c>
      <c r="AB47" s="36"/>
      <c r="AC47" s="36">
        <v>0</v>
      </c>
      <c r="AD47" s="36"/>
      <c r="AE47" s="36">
        <v>0</v>
      </c>
      <c r="AF47" s="36"/>
      <c r="AG47" s="36">
        <v>0</v>
      </c>
      <c r="AH47" s="36"/>
      <c r="AI47" s="83">
        <f t="shared" si="0"/>
        <v>23706</v>
      </c>
      <c r="AJ47" s="10"/>
    </row>
    <row r="48" spans="1:39" s="21" customFormat="1" ht="12.75">
      <c r="A48" s="1" t="s">
        <v>58</v>
      </c>
      <c r="B48" s="1"/>
      <c r="C48" s="1" t="s">
        <v>765</v>
      </c>
      <c r="D48" s="1"/>
      <c r="E48" s="36">
        <v>75822</v>
      </c>
      <c r="F48" s="36"/>
      <c r="G48" s="36">
        <v>0</v>
      </c>
      <c r="H48" s="36"/>
      <c r="I48" s="36">
        <v>71542.12</v>
      </c>
      <c r="J48" s="36"/>
      <c r="K48" s="36">
        <v>0</v>
      </c>
      <c r="L48" s="36"/>
      <c r="M48" s="36">
        <v>0</v>
      </c>
      <c r="N48" s="36"/>
      <c r="O48" s="36">
        <v>12901.68</v>
      </c>
      <c r="P48" s="36"/>
      <c r="Q48" s="36">
        <v>148.63</v>
      </c>
      <c r="R48" s="36"/>
      <c r="S48" s="36">
        <v>26563.09</v>
      </c>
      <c r="T48" s="36"/>
      <c r="U48" s="36">
        <v>0</v>
      </c>
      <c r="V48" s="36"/>
      <c r="W48" s="36">
        <v>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v>0</v>
      </c>
      <c r="AF48" s="36"/>
      <c r="AG48" s="36">
        <v>0</v>
      </c>
      <c r="AH48" s="36"/>
      <c r="AI48" s="36">
        <f>SUM(E48:AG48)</f>
        <v>186977.52</v>
      </c>
      <c r="AJ48" s="10"/>
      <c r="AK48" s="22"/>
      <c r="AL48" s="22"/>
      <c r="AM48" s="22"/>
    </row>
    <row r="49" spans="1:36" s="21" customFormat="1" ht="12.75">
      <c r="A49" s="1" t="s">
        <v>541</v>
      </c>
      <c r="B49" s="1"/>
      <c r="C49" s="1" t="s">
        <v>542</v>
      </c>
      <c r="D49" s="1"/>
      <c r="E49" s="36">
        <v>50516.56</v>
      </c>
      <c r="F49" s="36"/>
      <c r="G49" s="36">
        <v>33561.07</v>
      </c>
      <c r="H49" s="36"/>
      <c r="I49" s="36">
        <v>45220.96</v>
      </c>
      <c r="J49" s="36"/>
      <c r="K49" s="36">
        <v>0</v>
      </c>
      <c r="L49" s="36"/>
      <c r="M49" s="36">
        <v>36.35</v>
      </c>
      <c r="N49" s="36"/>
      <c r="O49" s="36">
        <v>190</v>
      </c>
      <c r="P49" s="36"/>
      <c r="Q49" s="36">
        <v>5358.6</v>
      </c>
      <c r="R49" s="36"/>
      <c r="S49" s="36">
        <v>18394.08</v>
      </c>
      <c r="T49" s="36"/>
      <c r="U49" s="36">
        <v>0</v>
      </c>
      <c r="V49" s="36"/>
      <c r="W49" s="41">
        <v>0</v>
      </c>
      <c r="X49" s="36"/>
      <c r="Y49" s="36">
        <v>0</v>
      </c>
      <c r="Z49" s="36"/>
      <c r="AA49" s="36">
        <v>0</v>
      </c>
      <c r="AB49" s="36"/>
      <c r="AC49" s="36">
        <v>0</v>
      </c>
      <c r="AD49" s="36"/>
      <c r="AE49" s="36">
        <v>0</v>
      </c>
      <c r="AF49" s="36"/>
      <c r="AG49" s="36">
        <v>0</v>
      </c>
      <c r="AH49" s="36"/>
      <c r="AI49" s="83">
        <f t="shared" si="0"/>
        <v>153277.62</v>
      </c>
      <c r="AJ49" s="10"/>
    </row>
    <row r="50" spans="1:36" ht="12.75">
      <c r="A50" s="1" t="s">
        <v>164</v>
      </c>
      <c r="C50" s="1" t="s">
        <v>796</v>
      </c>
      <c r="E50" s="36">
        <v>20269.64</v>
      </c>
      <c r="F50" s="36"/>
      <c r="G50" s="36">
        <v>0</v>
      </c>
      <c r="H50" s="36"/>
      <c r="I50" s="36">
        <v>20690.31</v>
      </c>
      <c r="J50" s="36"/>
      <c r="K50" s="36">
        <v>0</v>
      </c>
      <c r="L50" s="36"/>
      <c r="M50" s="36">
        <v>0</v>
      </c>
      <c r="N50" s="36"/>
      <c r="O50" s="36">
        <v>0</v>
      </c>
      <c r="P50" s="36"/>
      <c r="Q50" s="36">
        <v>408.11</v>
      </c>
      <c r="R50" s="36"/>
      <c r="S50" s="36">
        <v>1133.45</v>
      </c>
      <c r="T50" s="36"/>
      <c r="U50" s="36">
        <v>0</v>
      </c>
      <c r="V50" s="36"/>
      <c r="W50" s="36">
        <v>0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v>0</v>
      </c>
      <c r="AF50" s="36"/>
      <c r="AG50" s="36">
        <v>0</v>
      </c>
      <c r="AH50" s="36"/>
      <c r="AI50" s="36">
        <f>SUM(E50:AG50)</f>
        <v>42501.509999999995</v>
      </c>
      <c r="AJ50" s="10"/>
    </row>
    <row r="51" spans="1:36" s="21" customFormat="1" ht="12.75">
      <c r="A51" s="1" t="s">
        <v>193</v>
      </c>
      <c r="B51" s="1"/>
      <c r="C51" s="1" t="s">
        <v>805</v>
      </c>
      <c r="D51" s="1"/>
      <c r="E51" s="93">
        <v>9929.86</v>
      </c>
      <c r="F51" s="93"/>
      <c r="G51" s="93">
        <v>0</v>
      </c>
      <c r="H51" s="93"/>
      <c r="I51" s="93">
        <v>57562.34</v>
      </c>
      <c r="J51" s="93"/>
      <c r="K51" s="93">
        <v>0</v>
      </c>
      <c r="L51" s="93"/>
      <c r="M51" s="93">
        <v>0</v>
      </c>
      <c r="N51" s="93"/>
      <c r="O51" s="93">
        <v>3735.34</v>
      </c>
      <c r="P51" s="93"/>
      <c r="Q51" s="93">
        <v>148.28</v>
      </c>
      <c r="R51" s="93"/>
      <c r="S51" s="93">
        <v>11307.49</v>
      </c>
      <c r="T51" s="93"/>
      <c r="U51" s="93">
        <v>0</v>
      </c>
      <c r="V51" s="93"/>
      <c r="W51" s="93">
        <v>0</v>
      </c>
      <c r="X51" s="93"/>
      <c r="Y51" s="93">
        <v>0</v>
      </c>
      <c r="Z51" s="93"/>
      <c r="AA51" s="93">
        <v>0</v>
      </c>
      <c r="AB51" s="93"/>
      <c r="AC51" s="93">
        <v>28000</v>
      </c>
      <c r="AD51" s="93"/>
      <c r="AE51" s="93">
        <v>0</v>
      </c>
      <c r="AF51" s="93"/>
      <c r="AG51" s="93">
        <v>0</v>
      </c>
      <c r="AH51" s="93"/>
      <c r="AI51" s="93">
        <f>SUM(E51:AG51)</f>
        <v>110683.31</v>
      </c>
      <c r="AJ51" s="10"/>
    </row>
    <row r="52" spans="1:39" s="21" customFormat="1" ht="12.75">
      <c r="A52" s="1" t="s">
        <v>2</v>
      </c>
      <c r="B52" s="1"/>
      <c r="C52" s="1" t="s">
        <v>746</v>
      </c>
      <c r="D52" s="1"/>
      <c r="E52" s="36">
        <v>21199.01</v>
      </c>
      <c r="F52" s="36"/>
      <c r="G52" s="36">
        <v>221965.29</v>
      </c>
      <c r="H52" s="36"/>
      <c r="I52" s="36">
        <v>17924.33</v>
      </c>
      <c r="J52" s="36"/>
      <c r="K52" s="36">
        <v>0</v>
      </c>
      <c r="L52" s="36"/>
      <c r="M52" s="36">
        <v>280</v>
      </c>
      <c r="N52" s="36"/>
      <c r="O52" s="36">
        <v>10536.34</v>
      </c>
      <c r="P52" s="36"/>
      <c r="Q52" s="36">
        <v>1928.46</v>
      </c>
      <c r="R52" s="36"/>
      <c r="S52" s="36">
        <v>4376.15</v>
      </c>
      <c r="T52" s="36"/>
      <c r="U52" s="36">
        <v>0</v>
      </c>
      <c r="V52" s="36"/>
      <c r="W52" s="36">
        <v>0</v>
      </c>
      <c r="X52" s="36"/>
      <c r="Y52" s="36">
        <v>0</v>
      </c>
      <c r="Z52" s="36"/>
      <c r="AA52" s="36">
        <v>0</v>
      </c>
      <c r="AB52" s="36"/>
      <c r="AC52" s="36">
        <v>0</v>
      </c>
      <c r="AD52" s="36"/>
      <c r="AE52" s="36">
        <v>550</v>
      </c>
      <c r="AF52" s="36"/>
      <c r="AG52" s="36">
        <v>0</v>
      </c>
      <c r="AH52" s="36"/>
      <c r="AI52" s="36">
        <f>SUM(E52:AG52)</f>
        <v>278759.5800000001</v>
      </c>
      <c r="AJ52" s="10"/>
      <c r="AK52" s="22"/>
      <c r="AL52" s="22"/>
      <c r="AM52" s="22"/>
    </row>
    <row r="53" spans="1:39" ht="12.75">
      <c r="A53" s="1" t="s">
        <v>280</v>
      </c>
      <c r="C53" s="1" t="s">
        <v>279</v>
      </c>
      <c r="E53" s="83">
        <v>74024</v>
      </c>
      <c r="F53" s="83"/>
      <c r="G53" s="83">
        <v>699372</v>
      </c>
      <c r="H53" s="83"/>
      <c r="I53" s="83">
        <v>279140</v>
      </c>
      <c r="J53" s="83"/>
      <c r="K53" s="83">
        <v>0</v>
      </c>
      <c r="L53" s="83"/>
      <c r="M53" s="83">
        <v>147065</v>
      </c>
      <c r="N53" s="83"/>
      <c r="O53" s="83">
        <v>76468</v>
      </c>
      <c r="P53" s="83"/>
      <c r="Q53" s="83">
        <v>23849</v>
      </c>
      <c r="R53" s="83"/>
      <c r="S53" s="83">
        <v>56548</v>
      </c>
      <c r="T53" s="83"/>
      <c r="U53" s="83">
        <v>0</v>
      </c>
      <c r="V53" s="83"/>
      <c r="W53" s="41">
        <v>0</v>
      </c>
      <c r="X53" s="83"/>
      <c r="Y53" s="36">
        <v>0</v>
      </c>
      <c r="Z53" s="83"/>
      <c r="AA53" s="83">
        <v>0</v>
      </c>
      <c r="AB53" s="83"/>
      <c r="AC53" s="83">
        <v>0</v>
      </c>
      <c r="AD53" s="83"/>
      <c r="AE53" s="83">
        <v>23301</v>
      </c>
      <c r="AF53" s="83"/>
      <c r="AG53" s="36">
        <v>0</v>
      </c>
      <c r="AH53" s="83"/>
      <c r="AI53" s="83">
        <f t="shared" si="0"/>
        <v>1379767</v>
      </c>
      <c r="AJ53" s="38"/>
      <c r="AK53" s="7"/>
      <c r="AL53" s="7"/>
      <c r="AM53" s="7"/>
    </row>
    <row r="54" spans="1:36" ht="12.75">
      <c r="A54" s="1" t="s">
        <v>132</v>
      </c>
      <c r="C54" s="1" t="s">
        <v>786</v>
      </c>
      <c r="E54" s="36">
        <v>27626.89</v>
      </c>
      <c r="F54" s="36"/>
      <c r="G54" s="36">
        <v>102023.71</v>
      </c>
      <c r="H54" s="36"/>
      <c r="I54" s="36">
        <v>8686.19</v>
      </c>
      <c r="J54" s="36"/>
      <c r="K54" s="36">
        <v>0</v>
      </c>
      <c r="L54" s="36"/>
      <c r="M54" s="36">
        <v>0</v>
      </c>
      <c r="N54" s="36"/>
      <c r="O54" s="36">
        <v>6899.7</v>
      </c>
      <c r="P54" s="36"/>
      <c r="Q54" s="36">
        <v>2552.82</v>
      </c>
      <c r="R54" s="36"/>
      <c r="S54" s="36">
        <v>5140.64</v>
      </c>
      <c r="T54" s="36"/>
      <c r="U54" s="36">
        <v>0</v>
      </c>
      <c r="V54" s="36"/>
      <c r="W54" s="36">
        <v>0</v>
      </c>
      <c r="X54" s="36"/>
      <c r="Y54" s="36">
        <v>0</v>
      </c>
      <c r="Z54" s="36"/>
      <c r="AA54" s="36">
        <v>0</v>
      </c>
      <c r="AB54" s="36"/>
      <c r="AC54" s="36">
        <v>0</v>
      </c>
      <c r="AD54" s="36"/>
      <c r="AE54" s="36">
        <v>0</v>
      </c>
      <c r="AF54" s="36"/>
      <c r="AG54" s="36">
        <v>0</v>
      </c>
      <c r="AH54" s="36"/>
      <c r="AI54" s="36">
        <f>SUM(E54:AG54)</f>
        <v>152929.95000000004</v>
      </c>
      <c r="AJ54" s="10"/>
    </row>
    <row r="55" spans="1:36" s="21" customFormat="1" ht="12.75">
      <c r="A55" s="1" t="s">
        <v>492</v>
      </c>
      <c r="B55" s="1"/>
      <c r="C55" s="1" t="s">
        <v>491</v>
      </c>
      <c r="D55" s="1"/>
      <c r="E55" s="83">
        <v>11942</v>
      </c>
      <c r="F55" s="83"/>
      <c r="G55" s="83">
        <v>0</v>
      </c>
      <c r="H55" s="83"/>
      <c r="I55" s="83">
        <v>12654</v>
      </c>
      <c r="J55" s="83"/>
      <c r="K55" s="83">
        <v>0</v>
      </c>
      <c r="L55" s="83"/>
      <c r="M55" s="83">
        <v>0</v>
      </c>
      <c r="N55" s="83"/>
      <c r="O55" s="83">
        <v>0</v>
      </c>
      <c r="P55" s="83"/>
      <c r="Q55" s="83">
        <v>21</v>
      </c>
      <c r="R55" s="83"/>
      <c r="S55" s="83">
        <v>5735</v>
      </c>
      <c r="T55" s="83"/>
      <c r="U55" s="83">
        <v>0</v>
      </c>
      <c r="V55" s="83"/>
      <c r="W55" s="41">
        <v>0</v>
      </c>
      <c r="X55" s="83"/>
      <c r="Y55" s="36">
        <v>0</v>
      </c>
      <c r="Z55" s="83"/>
      <c r="AA55" s="83">
        <v>0</v>
      </c>
      <c r="AB55" s="83"/>
      <c r="AC55" s="83">
        <v>0</v>
      </c>
      <c r="AD55" s="83"/>
      <c r="AE55" s="83">
        <v>0</v>
      </c>
      <c r="AF55" s="83"/>
      <c r="AG55" s="36">
        <v>0</v>
      </c>
      <c r="AH55" s="83"/>
      <c r="AI55" s="83">
        <f t="shared" si="0"/>
        <v>30352</v>
      </c>
      <c r="AJ55" s="10"/>
    </row>
    <row r="56" spans="1:36" ht="12.75">
      <c r="A56" s="1" t="s">
        <v>208</v>
      </c>
      <c r="C56" s="1" t="s">
        <v>809</v>
      </c>
      <c r="E56" s="36">
        <v>186480.52</v>
      </c>
      <c r="F56" s="36"/>
      <c r="G56" s="36">
        <v>0</v>
      </c>
      <c r="H56" s="36"/>
      <c r="I56" s="36">
        <v>64433.34</v>
      </c>
      <c r="J56" s="36"/>
      <c r="K56" s="36">
        <v>4320</v>
      </c>
      <c r="L56" s="36"/>
      <c r="M56" s="36">
        <v>1645</v>
      </c>
      <c r="N56" s="36"/>
      <c r="O56" s="36">
        <v>48881.73</v>
      </c>
      <c r="P56" s="36"/>
      <c r="Q56" s="36">
        <v>464.15</v>
      </c>
      <c r="R56" s="36"/>
      <c r="S56" s="36">
        <v>8180.57</v>
      </c>
      <c r="T56" s="36"/>
      <c r="U56" s="36">
        <v>0</v>
      </c>
      <c r="V56" s="36"/>
      <c r="W56" s="36">
        <v>0</v>
      </c>
      <c r="X56" s="36"/>
      <c r="Y56" s="36">
        <v>0</v>
      </c>
      <c r="Z56" s="36"/>
      <c r="AA56" s="36">
        <v>388169.29</v>
      </c>
      <c r="AB56" s="36"/>
      <c r="AC56" s="36">
        <v>0</v>
      </c>
      <c r="AD56" s="36"/>
      <c r="AE56" s="36">
        <v>0</v>
      </c>
      <c r="AF56" s="36"/>
      <c r="AG56" s="36">
        <v>50280</v>
      </c>
      <c r="AH56" s="36"/>
      <c r="AI56" s="36">
        <f>SUM(E56:AG56)</f>
        <v>752854.6</v>
      </c>
      <c r="AJ56" s="10"/>
    </row>
    <row r="57" spans="1:39" ht="12.75">
      <c r="A57" s="1" t="s">
        <v>279</v>
      </c>
      <c r="C57" s="1" t="s">
        <v>279</v>
      </c>
      <c r="E57" s="36">
        <v>9882.44</v>
      </c>
      <c r="F57" s="36"/>
      <c r="G57" s="36">
        <v>0</v>
      </c>
      <c r="H57" s="36"/>
      <c r="I57" s="36">
        <v>30306.64</v>
      </c>
      <c r="J57" s="36"/>
      <c r="K57" s="36">
        <v>0</v>
      </c>
      <c r="L57" s="36"/>
      <c r="M57" s="36">
        <v>12474</v>
      </c>
      <c r="N57" s="36"/>
      <c r="O57" s="36">
        <v>4196.44</v>
      </c>
      <c r="P57" s="36"/>
      <c r="Q57" s="36">
        <v>1573.49</v>
      </c>
      <c r="R57" s="36"/>
      <c r="S57" s="36">
        <v>514.55</v>
      </c>
      <c r="T57" s="36"/>
      <c r="U57" s="36">
        <v>0</v>
      </c>
      <c r="V57" s="36"/>
      <c r="W57" s="36">
        <v>0</v>
      </c>
      <c r="X57" s="36"/>
      <c r="Y57" s="36">
        <v>0</v>
      </c>
      <c r="Z57" s="36"/>
      <c r="AA57" s="36">
        <v>0</v>
      </c>
      <c r="AB57" s="36"/>
      <c r="AC57" s="36">
        <v>0</v>
      </c>
      <c r="AD57" s="36"/>
      <c r="AE57" s="36">
        <v>0</v>
      </c>
      <c r="AF57" s="36"/>
      <c r="AG57" s="36">
        <v>0</v>
      </c>
      <c r="AH57" s="36"/>
      <c r="AI57" s="36">
        <f>SUM(E57:AG57)</f>
        <v>58947.560000000005</v>
      </c>
      <c r="AJ57" s="10"/>
      <c r="AK57" s="7"/>
      <c r="AL57" s="7"/>
      <c r="AM57" s="7"/>
    </row>
    <row r="58" spans="1:39" ht="12.75">
      <c r="A58" s="1" t="s">
        <v>935</v>
      </c>
      <c r="C58" s="1" t="s">
        <v>514</v>
      </c>
      <c r="E58" s="36">
        <v>3330.64</v>
      </c>
      <c r="F58" s="36"/>
      <c r="G58" s="36">
        <v>0</v>
      </c>
      <c r="H58" s="36"/>
      <c r="I58" s="36">
        <v>38662.53</v>
      </c>
      <c r="J58" s="36"/>
      <c r="K58" s="36">
        <v>0</v>
      </c>
      <c r="L58" s="36"/>
      <c r="M58" s="36">
        <v>0</v>
      </c>
      <c r="N58" s="36"/>
      <c r="O58" s="36">
        <v>0</v>
      </c>
      <c r="P58" s="36"/>
      <c r="Q58" s="36">
        <v>3.03</v>
      </c>
      <c r="R58" s="36"/>
      <c r="S58" s="36">
        <v>17.8</v>
      </c>
      <c r="T58" s="36"/>
      <c r="U58" s="36">
        <v>0</v>
      </c>
      <c r="V58" s="36"/>
      <c r="W58" s="36">
        <v>0</v>
      </c>
      <c r="X58" s="36"/>
      <c r="Y58" s="36">
        <v>0</v>
      </c>
      <c r="Z58" s="36"/>
      <c r="AA58" s="36">
        <v>0</v>
      </c>
      <c r="AB58" s="36"/>
      <c r="AC58" s="36">
        <v>0</v>
      </c>
      <c r="AD58" s="36"/>
      <c r="AE58" s="36">
        <v>0</v>
      </c>
      <c r="AF58" s="36"/>
      <c r="AG58" s="36">
        <v>0</v>
      </c>
      <c r="AH58" s="36"/>
      <c r="AI58" s="36">
        <f>SUM(E58:AG58)</f>
        <v>42014</v>
      </c>
      <c r="AJ58" s="10"/>
      <c r="AK58" s="7"/>
      <c r="AL58" s="7"/>
      <c r="AM58" s="7"/>
    </row>
    <row r="59" spans="1:36" ht="12.75">
      <c r="A59" s="1" t="s">
        <v>143</v>
      </c>
      <c r="C59" s="1" t="s">
        <v>790</v>
      </c>
      <c r="E59" s="36">
        <v>23854.77</v>
      </c>
      <c r="F59" s="36"/>
      <c r="G59" s="36">
        <v>0</v>
      </c>
      <c r="H59" s="36"/>
      <c r="I59" s="36">
        <v>4279.97</v>
      </c>
      <c r="J59" s="36"/>
      <c r="K59" s="36">
        <v>0</v>
      </c>
      <c r="L59" s="36"/>
      <c r="M59" s="36">
        <v>0</v>
      </c>
      <c r="N59" s="36"/>
      <c r="O59" s="36">
        <v>13987.18</v>
      </c>
      <c r="P59" s="36"/>
      <c r="Q59" s="36">
        <v>210.39</v>
      </c>
      <c r="R59" s="36"/>
      <c r="S59" s="36">
        <v>5995.42</v>
      </c>
      <c r="T59" s="36"/>
      <c r="U59" s="36">
        <v>0</v>
      </c>
      <c r="V59" s="36"/>
      <c r="W59" s="36">
        <v>0</v>
      </c>
      <c r="X59" s="36"/>
      <c r="Y59" s="36">
        <v>0</v>
      </c>
      <c r="Z59" s="36"/>
      <c r="AA59" s="36">
        <v>5000</v>
      </c>
      <c r="AB59" s="36"/>
      <c r="AC59" s="36">
        <v>0</v>
      </c>
      <c r="AD59" s="36"/>
      <c r="AE59" s="36">
        <v>0</v>
      </c>
      <c r="AF59" s="36"/>
      <c r="AG59" s="36">
        <v>0</v>
      </c>
      <c r="AH59" s="36"/>
      <c r="AI59" s="36">
        <f>SUM(E59:AG59)</f>
        <v>53327.729999999996</v>
      </c>
      <c r="AJ59" s="10"/>
    </row>
    <row r="60" spans="1:39" ht="12.75" hidden="1">
      <c r="A60" s="1" t="s">
        <v>315</v>
      </c>
      <c r="C60" s="1" t="s">
        <v>316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41"/>
      <c r="X60" s="83"/>
      <c r="Y60" s="36"/>
      <c r="Z60" s="83"/>
      <c r="AA60" s="83"/>
      <c r="AB60" s="83"/>
      <c r="AC60" s="83"/>
      <c r="AD60" s="83"/>
      <c r="AE60" s="83"/>
      <c r="AF60" s="83"/>
      <c r="AG60" s="36"/>
      <c r="AH60" s="83"/>
      <c r="AI60" s="83">
        <f t="shared" si="0"/>
        <v>0</v>
      </c>
      <c r="AJ60" s="10"/>
      <c r="AK60" s="7"/>
      <c r="AL60" s="7"/>
      <c r="AM60" s="7"/>
    </row>
    <row r="61" spans="1:36" s="21" customFormat="1" ht="12.75" hidden="1">
      <c r="A61" s="1" t="s">
        <v>892</v>
      </c>
      <c r="B61" s="1"/>
      <c r="C61" s="1" t="s">
        <v>388</v>
      </c>
      <c r="D61" s="1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41"/>
      <c r="X61" s="83"/>
      <c r="Y61" s="36"/>
      <c r="Z61" s="83"/>
      <c r="AA61" s="83"/>
      <c r="AB61" s="83"/>
      <c r="AC61" s="83"/>
      <c r="AD61" s="83"/>
      <c r="AE61" s="83"/>
      <c r="AF61" s="83"/>
      <c r="AG61" s="36"/>
      <c r="AH61" s="83"/>
      <c r="AI61" s="83">
        <f t="shared" si="0"/>
        <v>0</v>
      </c>
      <c r="AJ61" s="10"/>
    </row>
    <row r="62" spans="1:36" s="21" customFormat="1" ht="12.75">
      <c r="A62" s="1" t="s">
        <v>422</v>
      </c>
      <c r="B62" s="1"/>
      <c r="C62" s="1" t="s">
        <v>420</v>
      </c>
      <c r="D62" s="1"/>
      <c r="E62" s="93">
        <v>19018.97</v>
      </c>
      <c r="F62" s="93"/>
      <c r="G62" s="93">
        <v>0</v>
      </c>
      <c r="H62" s="93"/>
      <c r="I62" s="93">
        <v>15032.86</v>
      </c>
      <c r="J62" s="93"/>
      <c r="K62" s="93">
        <v>0</v>
      </c>
      <c r="L62" s="93"/>
      <c r="M62" s="93">
        <v>0</v>
      </c>
      <c r="N62" s="93"/>
      <c r="O62" s="93">
        <v>1340.24</v>
      </c>
      <c r="P62" s="93"/>
      <c r="Q62" s="93">
        <v>36.48</v>
      </c>
      <c r="R62" s="93"/>
      <c r="S62" s="93">
        <v>11955.66</v>
      </c>
      <c r="T62" s="93"/>
      <c r="U62" s="93">
        <v>0</v>
      </c>
      <c r="V62" s="93"/>
      <c r="W62" s="93">
        <v>0</v>
      </c>
      <c r="X62" s="93"/>
      <c r="Y62" s="93">
        <v>0</v>
      </c>
      <c r="Z62" s="93"/>
      <c r="AA62" s="93">
        <v>0</v>
      </c>
      <c r="AB62" s="93"/>
      <c r="AC62" s="93">
        <v>0</v>
      </c>
      <c r="AD62" s="93"/>
      <c r="AE62" s="93">
        <v>4815.57</v>
      </c>
      <c r="AF62" s="93"/>
      <c r="AG62" s="93">
        <v>0</v>
      </c>
      <c r="AH62" s="93"/>
      <c r="AI62" s="93">
        <f aca="true" t="shared" si="1" ref="AI62:AI69">SUM(E62:AG62)</f>
        <v>52199.780000000006</v>
      </c>
      <c r="AJ62" s="10"/>
    </row>
    <row r="63" spans="1:36" s="21" customFormat="1" ht="12.75">
      <c r="A63" s="1" t="s">
        <v>139</v>
      </c>
      <c r="B63" s="1"/>
      <c r="C63" s="1" t="s">
        <v>788</v>
      </c>
      <c r="D63" s="1"/>
      <c r="E63" s="93">
        <v>14276.29</v>
      </c>
      <c r="F63" s="93"/>
      <c r="G63" s="93">
        <v>0</v>
      </c>
      <c r="H63" s="93"/>
      <c r="I63" s="93">
        <v>70064.6</v>
      </c>
      <c r="J63" s="93"/>
      <c r="K63" s="93">
        <v>0</v>
      </c>
      <c r="L63" s="93"/>
      <c r="M63" s="93">
        <v>15563.5</v>
      </c>
      <c r="N63" s="93"/>
      <c r="O63" s="93">
        <v>36892</v>
      </c>
      <c r="P63" s="93"/>
      <c r="Q63" s="93">
        <v>18.87</v>
      </c>
      <c r="R63" s="93"/>
      <c r="S63" s="93">
        <v>3200</v>
      </c>
      <c r="T63" s="93"/>
      <c r="U63" s="93">
        <v>0</v>
      </c>
      <c r="V63" s="93"/>
      <c r="W63" s="93">
        <v>0</v>
      </c>
      <c r="X63" s="93"/>
      <c r="Y63" s="93">
        <v>0</v>
      </c>
      <c r="Z63" s="93"/>
      <c r="AA63" s="93">
        <v>0</v>
      </c>
      <c r="AB63" s="93"/>
      <c r="AC63" s="93">
        <v>0</v>
      </c>
      <c r="AD63" s="93"/>
      <c r="AE63" s="93">
        <v>0</v>
      </c>
      <c r="AF63" s="93"/>
      <c r="AG63" s="93">
        <v>0</v>
      </c>
      <c r="AH63" s="93"/>
      <c r="AI63" s="93">
        <f t="shared" si="1"/>
        <v>140015.26</v>
      </c>
      <c r="AJ63" s="10"/>
    </row>
    <row r="64" spans="1:39" ht="12.75">
      <c r="A64" s="1" t="s">
        <v>59</v>
      </c>
      <c r="C64" s="1" t="s">
        <v>765</v>
      </c>
      <c r="E64" s="36">
        <v>122524.84</v>
      </c>
      <c r="F64" s="36"/>
      <c r="G64" s="36">
        <v>0</v>
      </c>
      <c r="H64" s="36"/>
      <c r="I64" s="36">
        <v>100336.19</v>
      </c>
      <c r="J64" s="36"/>
      <c r="K64" s="36">
        <v>0</v>
      </c>
      <c r="L64" s="36"/>
      <c r="M64" s="36">
        <v>0</v>
      </c>
      <c r="N64" s="36"/>
      <c r="O64" s="36">
        <v>10658.33</v>
      </c>
      <c r="P64" s="36"/>
      <c r="Q64" s="36">
        <v>373.81</v>
      </c>
      <c r="R64" s="36"/>
      <c r="S64" s="36">
        <v>9102.63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v>0</v>
      </c>
      <c r="AF64" s="36"/>
      <c r="AG64" s="36">
        <v>0</v>
      </c>
      <c r="AH64" s="36"/>
      <c r="AI64" s="36">
        <f t="shared" si="1"/>
        <v>242995.8</v>
      </c>
      <c r="AJ64" s="10"/>
      <c r="AK64" s="7"/>
      <c r="AL64" s="7"/>
      <c r="AM64" s="7"/>
    </row>
    <row r="65" spans="1:39" s="21" customFormat="1" ht="12.75">
      <c r="A65" s="1" t="s">
        <v>296</v>
      </c>
      <c r="B65" s="1"/>
      <c r="C65" s="1" t="s">
        <v>295</v>
      </c>
      <c r="D65" s="1"/>
      <c r="E65" s="36">
        <v>168073.94</v>
      </c>
      <c r="F65" s="36"/>
      <c r="G65" s="36">
        <v>0</v>
      </c>
      <c r="H65" s="36"/>
      <c r="I65" s="36">
        <v>159253.91</v>
      </c>
      <c r="J65" s="36"/>
      <c r="K65" s="36">
        <v>0</v>
      </c>
      <c r="L65" s="36"/>
      <c r="M65" s="36">
        <v>142023.48</v>
      </c>
      <c r="N65" s="36"/>
      <c r="O65" s="36">
        <v>69524.95</v>
      </c>
      <c r="P65" s="36"/>
      <c r="Q65" s="36">
        <v>1088.66</v>
      </c>
      <c r="R65" s="36"/>
      <c r="S65" s="36">
        <v>5320.4</v>
      </c>
      <c r="T65" s="36"/>
      <c r="U65" s="36">
        <v>0</v>
      </c>
      <c r="V65" s="36"/>
      <c r="W65" s="36">
        <v>0</v>
      </c>
      <c r="X65" s="36"/>
      <c r="Y65" s="36">
        <v>0</v>
      </c>
      <c r="Z65" s="36"/>
      <c r="AA65" s="36">
        <v>0</v>
      </c>
      <c r="AB65" s="36"/>
      <c r="AC65" s="36">
        <v>0</v>
      </c>
      <c r="AD65" s="36"/>
      <c r="AE65" s="36">
        <v>0</v>
      </c>
      <c r="AF65" s="36"/>
      <c r="AG65" s="36">
        <v>0</v>
      </c>
      <c r="AH65" s="36"/>
      <c r="AI65" s="36">
        <f t="shared" si="1"/>
        <v>545285.34</v>
      </c>
      <c r="AJ65" s="10"/>
      <c r="AK65" s="22"/>
      <c r="AL65" s="22"/>
      <c r="AM65" s="22"/>
    </row>
    <row r="66" spans="1:39" s="21" customFormat="1" ht="12.75">
      <c r="A66" s="1" t="s">
        <v>15</v>
      </c>
      <c r="B66" s="1"/>
      <c r="C66" s="1" t="s">
        <v>750</v>
      </c>
      <c r="D66" s="1"/>
      <c r="E66" s="36">
        <v>31726.33</v>
      </c>
      <c r="F66" s="36"/>
      <c r="G66" s="36">
        <v>0</v>
      </c>
      <c r="H66" s="36"/>
      <c r="I66" s="36">
        <v>79136.02</v>
      </c>
      <c r="J66" s="36"/>
      <c r="K66" s="36">
        <v>0</v>
      </c>
      <c r="L66" s="36"/>
      <c r="M66" s="36">
        <v>0</v>
      </c>
      <c r="N66" s="36"/>
      <c r="O66" s="36">
        <v>8378</v>
      </c>
      <c r="P66" s="36"/>
      <c r="Q66" s="36">
        <v>2454.81</v>
      </c>
      <c r="R66" s="36"/>
      <c r="S66" s="36">
        <v>27803.49</v>
      </c>
      <c r="T66" s="36"/>
      <c r="U66" s="36">
        <v>0</v>
      </c>
      <c r="V66" s="36"/>
      <c r="W66" s="36">
        <v>0</v>
      </c>
      <c r="X66" s="36"/>
      <c r="Y66" s="36">
        <v>0</v>
      </c>
      <c r="Z66" s="36"/>
      <c r="AA66" s="36">
        <v>0</v>
      </c>
      <c r="AB66" s="36"/>
      <c r="AC66" s="36">
        <v>6000</v>
      </c>
      <c r="AD66" s="36"/>
      <c r="AE66" s="36">
        <v>0</v>
      </c>
      <c r="AF66" s="36"/>
      <c r="AG66" s="36">
        <v>0</v>
      </c>
      <c r="AH66" s="36"/>
      <c r="AI66" s="36">
        <f t="shared" si="1"/>
        <v>155498.65</v>
      </c>
      <c r="AJ66" s="10"/>
      <c r="AK66" s="22"/>
      <c r="AL66" s="22"/>
      <c r="AM66" s="22"/>
    </row>
    <row r="67" spans="1:36" s="21" customFormat="1" ht="12.75">
      <c r="A67" s="1" t="s">
        <v>533</v>
      </c>
      <c r="B67" s="1"/>
      <c r="C67" s="1" t="s">
        <v>534</v>
      </c>
      <c r="D67" s="1"/>
      <c r="E67" s="36">
        <v>20490.1</v>
      </c>
      <c r="F67" s="36"/>
      <c r="G67" s="36">
        <v>139765.16</v>
      </c>
      <c r="H67" s="36"/>
      <c r="I67" s="36">
        <v>62723.09</v>
      </c>
      <c r="J67" s="36"/>
      <c r="K67" s="36">
        <v>0</v>
      </c>
      <c r="L67" s="36"/>
      <c r="M67" s="36">
        <v>37965</v>
      </c>
      <c r="N67" s="36"/>
      <c r="O67" s="36">
        <v>24770.55</v>
      </c>
      <c r="P67" s="36"/>
      <c r="Q67" s="36">
        <v>1831.42</v>
      </c>
      <c r="R67" s="36"/>
      <c r="S67" s="36">
        <v>1839.21</v>
      </c>
      <c r="T67" s="36"/>
      <c r="U67" s="36">
        <v>0</v>
      </c>
      <c r="V67" s="36"/>
      <c r="W67" s="36">
        <v>0</v>
      </c>
      <c r="X67" s="36"/>
      <c r="Y67" s="36">
        <v>0</v>
      </c>
      <c r="Z67" s="36"/>
      <c r="AA67" s="36">
        <v>0</v>
      </c>
      <c r="AB67" s="36"/>
      <c r="AC67" s="36">
        <v>11867</v>
      </c>
      <c r="AD67" s="36"/>
      <c r="AE67" s="36">
        <v>0</v>
      </c>
      <c r="AF67" s="36"/>
      <c r="AG67" s="36">
        <v>0</v>
      </c>
      <c r="AH67" s="36"/>
      <c r="AI67" s="36">
        <f t="shared" si="1"/>
        <v>301251.53</v>
      </c>
      <c r="AJ67" s="10"/>
    </row>
    <row r="68" spans="1:36" ht="12.75">
      <c r="A68" s="1" t="s">
        <v>586</v>
      </c>
      <c r="C68" s="1" t="s">
        <v>587</v>
      </c>
      <c r="E68" s="93">
        <v>53458.09</v>
      </c>
      <c r="F68" s="93"/>
      <c r="G68" s="93">
        <v>276121.69</v>
      </c>
      <c r="H68" s="93"/>
      <c r="I68" s="93">
        <v>61947.22</v>
      </c>
      <c r="J68" s="93"/>
      <c r="K68" s="93">
        <v>0</v>
      </c>
      <c r="L68" s="93"/>
      <c r="M68" s="93">
        <v>140190.94</v>
      </c>
      <c r="N68" s="93"/>
      <c r="O68" s="93">
        <v>10243.5</v>
      </c>
      <c r="P68" s="93"/>
      <c r="Q68" s="93">
        <v>5739.1</v>
      </c>
      <c r="R68" s="93"/>
      <c r="S68" s="93">
        <v>9914.46</v>
      </c>
      <c r="T68" s="93"/>
      <c r="U68" s="93">
        <v>0</v>
      </c>
      <c r="V68" s="93"/>
      <c r="W68" s="93">
        <v>0</v>
      </c>
      <c r="X68" s="93"/>
      <c r="Y68" s="93">
        <v>0</v>
      </c>
      <c r="Z68" s="93"/>
      <c r="AA68" s="93">
        <v>0</v>
      </c>
      <c r="AB68" s="93"/>
      <c r="AC68" s="93">
        <v>0</v>
      </c>
      <c r="AD68" s="93"/>
      <c r="AE68" s="93">
        <v>0</v>
      </c>
      <c r="AF68" s="93"/>
      <c r="AG68" s="93">
        <v>0</v>
      </c>
      <c r="AH68" s="93"/>
      <c r="AI68" s="93">
        <f t="shared" si="1"/>
        <v>557614.9999999999</v>
      </c>
      <c r="AJ68" s="10"/>
    </row>
    <row r="69" spans="1:36" ht="12.75">
      <c r="A69" s="1" t="s">
        <v>252</v>
      </c>
      <c r="C69" s="1" t="s">
        <v>824</v>
      </c>
      <c r="E69" s="93">
        <v>6195.07</v>
      </c>
      <c r="F69" s="93"/>
      <c r="G69" s="93">
        <v>0</v>
      </c>
      <c r="H69" s="93"/>
      <c r="I69" s="93">
        <v>1204.76</v>
      </c>
      <c r="J69" s="93"/>
      <c r="K69" s="93">
        <v>0</v>
      </c>
      <c r="L69" s="93"/>
      <c r="M69" s="93">
        <v>0</v>
      </c>
      <c r="N69" s="93"/>
      <c r="O69" s="93">
        <v>853</v>
      </c>
      <c r="P69" s="93"/>
      <c r="Q69" s="93">
        <v>756.62</v>
      </c>
      <c r="R69" s="93"/>
      <c r="S69" s="93">
        <v>100</v>
      </c>
      <c r="T69" s="93"/>
      <c r="U69" s="93">
        <v>0</v>
      </c>
      <c r="V69" s="93"/>
      <c r="W69" s="93">
        <v>0</v>
      </c>
      <c r="X69" s="93"/>
      <c r="Y69" s="93">
        <v>0</v>
      </c>
      <c r="Z69" s="93"/>
      <c r="AA69" s="93">
        <v>0</v>
      </c>
      <c r="AB69" s="93"/>
      <c r="AC69" s="93">
        <v>0</v>
      </c>
      <c r="AD69" s="93"/>
      <c r="AE69" s="93">
        <v>0</v>
      </c>
      <c r="AF69" s="93"/>
      <c r="AG69" s="93">
        <v>0</v>
      </c>
      <c r="AH69" s="93"/>
      <c r="AI69" s="93">
        <f t="shared" si="1"/>
        <v>9109.45</v>
      </c>
      <c r="AJ69" s="10"/>
    </row>
    <row r="70" spans="1:36" ht="12.75" hidden="1">
      <c r="A70" s="1" t="s">
        <v>928</v>
      </c>
      <c r="C70" s="1" t="s">
        <v>299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5"/>
      <c r="W70" s="41"/>
      <c r="X70" s="85"/>
      <c r="Y70" s="36"/>
      <c r="Z70" s="83"/>
      <c r="AA70" s="83"/>
      <c r="AB70" s="83"/>
      <c r="AC70" s="83"/>
      <c r="AD70" s="83"/>
      <c r="AE70" s="83"/>
      <c r="AF70" s="83"/>
      <c r="AG70" s="36"/>
      <c r="AH70" s="83"/>
      <c r="AI70" s="83">
        <f t="shared" si="0"/>
        <v>0</v>
      </c>
      <c r="AJ70" s="10"/>
    </row>
    <row r="71" spans="1:36" s="21" customFormat="1" ht="12.75">
      <c r="A71" s="1" t="s">
        <v>604</v>
      </c>
      <c r="B71" s="1"/>
      <c r="C71" s="1" t="s">
        <v>603</v>
      </c>
      <c r="D71" s="1"/>
      <c r="E71" s="83">
        <v>29711.87</v>
      </c>
      <c r="F71" s="83"/>
      <c r="G71" s="83">
        <v>92656.28</v>
      </c>
      <c r="H71" s="83"/>
      <c r="I71" s="83">
        <v>48658.91</v>
      </c>
      <c r="J71" s="83"/>
      <c r="K71" s="83">
        <v>0</v>
      </c>
      <c r="L71" s="83"/>
      <c r="M71" s="83">
        <v>31318.5</v>
      </c>
      <c r="N71" s="83"/>
      <c r="O71" s="83">
        <v>224</v>
      </c>
      <c r="P71" s="83"/>
      <c r="Q71" s="83">
        <v>524.9</v>
      </c>
      <c r="R71" s="83"/>
      <c r="S71" s="83">
        <v>13887.05</v>
      </c>
      <c r="T71" s="83"/>
      <c r="U71" s="83">
        <v>0</v>
      </c>
      <c r="V71" s="83"/>
      <c r="W71" s="41">
        <v>0</v>
      </c>
      <c r="X71" s="83"/>
      <c r="Y71" s="36">
        <v>0</v>
      </c>
      <c r="Z71" s="83"/>
      <c r="AA71" s="83">
        <v>0</v>
      </c>
      <c r="AB71" s="83"/>
      <c r="AC71" s="83">
        <v>0</v>
      </c>
      <c r="AD71" s="83"/>
      <c r="AE71" s="83">
        <v>0</v>
      </c>
      <c r="AF71" s="83"/>
      <c r="AG71" s="36">
        <v>0</v>
      </c>
      <c r="AH71" s="83"/>
      <c r="AI71" s="83">
        <f t="shared" si="0"/>
        <v>216981.50999999998</v>
      </c>
      <c r="AJ71" s="10"/>
    </row>
    <row r="72" spans="1:39" s="21" customFormat="1" ht="12.75">
      <c r="A72" s="1" t="s">
        <v>68</v>
      </c>
      <c r="B72" s="1"/>
      <c r="C72" s="1" t="s">
        <v>767</v>
      </c>
      <c r="D72" s="1"/>
      <c r="E72" s="36">
        <v>56856.26</v>
      </c>
      <c r="F72" s="36"/>
      <c r="G72" s="36">
        <v>0</v>
      </c>
      <c r="H72" s="36"/>
      <c r="I72" s="36">
        <v>31639.29</v>
      </c>
      <c r="J72" s="36"/>
      <c r="K72" s="36">
        <v>0</v>
      </c>
      <c r="L72" s="36"/>
      <c r="M72" s="36">
        <v>4364.63</v>
      </c>
      <c r="N72" s="36"/>
      <c r="O72" s="36">
        <v>3389.13</v>
      </c>
      <c r="P72" s="36"/>
      <c r="Q72" s="36">
        <v>3134.49</v>
      </c>
      <c r="R72" s="36"/>
      <c r="S72" s="36">
        <v>43464.11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v>0</v>
      </c>
      <c r="AF72" s="36"/>
      <c r="AG72" s="36">
        <v>0</v>
      </c>
      <c r="AH72" s="36"/>
      <c r="AI72" s="36">
        <f>SUM(E72:AG72)</f>
        <v>142847.91000000003</v>
      </c>
      <c r="AJ72" s="10"/>
      <c r="AK72" s="22"/>
      <c r="AL72" s="22"/>
      <c r="AM72" s="22"/>
    </row>
    <row r="73" spans="1:36" s="21" customFormat="1" ht="12.75">
      <c r="A73" s="1" t="s">
        <v>115</v>
      </c>
      <c r="B73" s="1"/>
      <c r="C73" s="1" t="s">
        <v>781</v>
      </c>
      <c r="D73" s="1"/>
      <c r="E73" s="93">
        <v>3213.4</v>
      </c>
      <c r="F73" s="93"/>
      <c r="G73" s="93">
        <v>0</v>
      </c>
      <c r="H73" s="93"/>
      <c r="I73" s="93">
        <v>20372.07</v>
      </c>
      <c r="J73" s="93"/>
      <c r="K73" s="93">
        <v>0</v>
      </c>
      <c r="L73" s="93"/>
      <c r="M73" s="93">
        <v>8200</v>
      </c>
      <c r="N73" s="93"/>
      <c r="O73" s="93">
        <v>815.05</v>
      </c>
      <c r="P73" s="93"/>
      <c r="Q73" s="93">
        <v>2.09</v>
      </c>
      <c r="R73" s="93"/>
      <c r="S73" s="93">
        <v>6689.65</v>
      </c>
      <c r="T73" s="93"/>
      <c r="U73" s="93">
        <v>0</v>
      </c>
      <c r="V73" s="93"/>
      <c r="W73" s="93">
        <v>0</v>
      </c>
      <c r="X73" s="93"/>
      <c r="Y73" s="93">
        <v>0</v>
      </c>
      <c r="Z73" s="93"/>
      <c r="AA73" s="93">
        <v>0</v>
      </c>
      <c r="AB73" s="93"/>
      <c r="AC73" s="93">
        <v>0</v>
      </c>
      <c r="AD73" s="93"/>
      <c r="AE73" s="93">
        <v>0</v>
      </c>
      <c r="AF73" s="93"/>
      <c r="AG73" s="93">
        <v>0</v>
      </c>
      <c r="AH73" s="93"/>
      <c r="AI73" s="93">
        <f>SUM(E73:AG73)</f>
        <v>39292.26</v>
      </c>
      <c r="AJ73" s="10"/>
    </row>
    <row r="74" spans="1:36" ht="12.75">
      <c r="A74" s="1" t="s">
        <v>535</v>
      </c>
      <c r="C74" s="1" t="s">
        <v>534</v>
      </c>
      <c r="E74" s="83">
        <v>33465</v>
      </c>
      <c r="F74" s="83"/>
      <c r="G74" s="83">
        <v>0</v>
      </c>
      <c r="H74" s="83"/>
      <c r="I74" s="83">
        <v>77486</v>
      </c>
      <c r="J74" s="83"/>
      <c r="K74" s="83">
        <v>0</v>
      </c>
      <c r="L74" s="83"/>
      <c r="M74" s="83">
        <v>7991</v>
      </c>
      <c r="N74" s="83"/>
      <c r="O74" s="83">
        <v>12083</v>
      </c>
      <c r="P74" s="83"/>
      <c r="Q74" s="83">
        <v>1431</v>
      </c>
      <c r="R74" s="83"/>
      <c r="S74" s="83">
        <v>17755</v>
      </c>
      <c r="T74" s="83"/>
      <c r="U74" s="83">
        <v>0</v>
      </c>
      <c r="V74" s="83"/>
      <c r="W74" s="41">
        <v>0</v>
      </c>
      <c r="X74" s="83"/>
      <c r="Y74" s="36">
        <v>0</v>
      </c>
      <c r="Z74" s="83"/>
      <c r="AA74" s="83">
        <v>0</v>
      </c>
      <c r="AB74" s="83"/>
      <c r="AC74" s="83">
        <v>0</v>
      </c>
      <c r="AD74" s="83"/>
      <c r="AE74" s="83">
        <v>0</v>
      </c>
      <c r="AF74" s="83"/>
      <c r="AG74" s="36">
        <v>0</v>
      </c>
      <c r="AH74" s="83"/>
      <c r="AI74" s="83">
        <f aca="true" t="shared" si="2" ref="AI74:AI135">SUM(E74:AG74)</f>
        <v>150211</v>
      </c>
      <c r="AJ74" s="10"/>
    </row>
    <row r="75" spans="1:36" s="19" customFormat="1" ht="12.75">
      <c r="A75" s="10" t="s">
        <v>685</v>
      </c>
      <c r="B75" s="10"/>
      <c r="C75" s="10" t="s">
        <v>686</v>
      </c>
      <c r="D75" s="10"/>
      <c r="E75" s="83">
        <v>184816</v>
      </c>
      <c r="F75" s="83"/>
      <c r="G75" s="83">
        <v>1368013</v>
      </c>
      <c r="H75" s="83"/>
      <c r="I75" s="83">
        <v>284670</v>
      </c>
      <c r="J75" s="83"/>
      <c r="K75" s="83">
        <v>0</v>
      </c>
      <c r="L75" s="83"/>
      <c r="M75" s="83">
        <v>312629</v>
      </c>
      <c r="N75" s="83"/>
      <c r="O75" s="83">
        <v>16091</v>
      </c>
      <c r="P75" s="83"/>
      <c r="Q75" s="83">
        <v>5468</v>
      </c>
      <c r="R75" s="83"/>
      <c r="S75" s="83">
        <f>6548+1649+22254</f>
        <v>30451</v>
      </c>
      <c r="T75" s="83"/>
      <c r="U75" s="83">
        <v>0</v>
      </c>
      <c r="V75" s="83"/>
      <c r="W75" s="41">
        <v>0</v>
      </c>
      <c r="X75" s="83"/>
      <c r="Y75" s="36">
        <v>0</v>
      </c>
      <c r="Z75" s="83"/>
      <c r="AA75" s="83">
        <v>85000</v>
      </c>
      <c r="AB75" s="83"/>
      <c r="AC75" s="83">
        <v>-82890</v>
      </c>
      <c r="AD75" s="83"/>
      <c r="AE75" s="83">
        <v>0</v>
      </c>
      <c r="AF75" s="83"/>
      <c r="AG75" s="36">
        <v>0</v>
      </c>
      <c r="AH75" s="83"/>
      <c r="AI75" s="83">
        <f t="shared" si="2"/>
        <v>2204248</v>
      </c>
      <c r="AJ75" s="10"/>
    </row>
    <row r="76" spans="1:36" s="21" customFormat="1" ht="12.75">
      <c r="A76" s="1" t="s">
        <v>564</v>
      </c>
      <c r="B76" s="1"/>
      <c r="C76" s="1" t="s">
        <v>562</v>
      </c>
      <c r="D76" s="1"/>
      <c r="E76" s="83">
        <v>43584</v>
      </c>
      <c r="F76" s="83"/>
      <c r="G76" s="83">
        <v>0</v>
      </c>
      <c r="H76" s="83"/>
      <c r="I76" s="83">
        <v>61941</v>
      </c>
      <c r="J76" s="83"/>
      <c r="K76" s="83">
        <v>0</v>
      </c>
      <c r="L76" s="83"/>
      <c r="M76" s="83">
        <v>45862</v>
      </c>
      <c r="N76" s="83"/>
      <c r="O76" s="83">
        <v>12222</v>
      </c>
      <c r="P76" s="83"/>
      <c r="Q76" s="83">
        <v>278</v>
      </c>
      <c r="R76" s="83"/>
      <c r="S76" s="96">
        <v>0</v>
      </c>
      <c r="T76" s="83"/>
      <c r="U76" s="83">
        <v>0</v>
      </c>
      <c r="V76" s="83"/>
      <c r="W76" s="41">
        <v>0</v>
      </c>
      <c r="X76" s="83"/>
      <c r="Y76" s="36">
        <v>20483</v>
      </c>
      <c r="Z76" s="83"/>
      <c r="AA76" s="83">
        <v>51366</v>
      </c>
      <c r="AB76" s="83"/>
      <c r="AC76" s="83">
        <v>0</v>
      </c>
      <c r="AD76" s="83"/>
      <c r="AE76" s="83">
        <v>0</v>
      </c>
      <c r="AF76" s="83"/>
      <c r="AG76" s="36">
        <v>0</v>
      </c>
      <c r="AH76" s="83"/>
      <c r="AI76" s="83">
        <f t="shared" si="2"/>
        <v>235736</v>
      </c>
      <c r="AJ76" s="10"/>
    </row>
    <row r="77" spans="1:36" ht="12.75">
      <c r="A77" s="1" t="s">
        <v>550</v>
      </c>
      <c r="C77" s="1" t="s">
        <v>551</v>
      </c>
      <c r="E77" s="83">
        <f>113196.01+156742.12+62027.3</f>
        <v>331965.43</v>
      </c>
      <c r="F77" s="83"/>
      <c r="G77" s="83">
        <v>912147.56</v>
      </c>
      <c r="H77" s="83"/>
      <c r="I77" s="83">
        <v>1082.17</v>
      </c>
      <c r="J77" s="83"/>
      <c r="K77" s="83">
        <v>0</v>
      </c>
      <c r="L77" s="83"/>
      <c r="M77" s="83">
        <v>20245.53</v>
      </c>
      <c r="N77" s="83"/>
      <c r="O77" s="83">
        <f>8854.92+257149.93</f>
        <v>266004.85</v>
      </c>
      <c r="P77" s="83"/>
      <c r="Q77" s="83">
        <v>2422.42</v>
      </c>
      <c r="R77" s="83"/>
      <c r="S77" s="83">
        <v>23132.11</v>
      </c>
      <c r="T77" s="83"/>
      <c r="U77" s="83">
        <v>0</v>
      </c>
      <c r="V77" s="83"/>
      <c r="W77" s="41">
        <v>0</v>
      </c>
      <c r="X77" s="83"/>
      <c r="Y77" s="36">
        <v>0</v>
      </c>
      <c r="Z77" s="83"/>
      <c r="AA77" s="83">
        <v>0</v>
      </c>
      <c r="AB77" s="83"/>
      <c r="AC77" s="83">
        <v>0</v>
      </c>
      <c r="AD77" s="83"/>
      <c r="AE77" s="83">
        <v>0</v>
      </c>
      <c r="AF77" s="83"/>
      <c r="AG77" s="36">
        <v>0</v>
      </c>
      <c r="AH77" s="83"/>
      <c r="AI77" s="83">
        <f t="shared" si="2"/>
        <v>1557000.07</v>
      </c>
      <c r="AJ77" s="10"/>
    </row>
    <row r="78" spans="1:36" s="21" customFormat="1" ht="12.75">
      <c r="A78" s="1" t="s">
        <v>537</v>
      </c>
      <c r="B78" s="1"/>
      <c r="C78" s="1" t="s">
        <v>538</v>
      </c>
      <c r="D78" s="1"/>
      <c r="E78" s="83">
        <v>36504</v>
      </c>
      <c r="F78" s="83"/>
      <c r="G78" s="83">
        <v>359463</v>
      </c>
      <c r="H78" s="83"/>
      <c r="I78" s="83">
        <v>109503</v>
      </c>
      <c r="J78" s="83"/>
      <c r="K78" s="83">
        <v>0</v>
      </c>
      <c r="L78" s="83"/>
      <c r="M78" s="83">
        <v>39850</v>
      </c>
      <c r="N78" s="83"/>
      <c r="O78" s="83">
        <v>10712</v>
      </c>
      <c r="P78" s="83"/>
      <c r="Q78" s="83">
        <v>9252</v>
      </c>
      <c r="R78" s="83"/>
      <c r="S78" s="83">
        <v>34326</v>
      </c>
      <c r="T78" s="83"/>
      <c r="U78" s="83">
        <v>0</v>
      </c>
      <c r="V78" s="83"/>
      <c r="W78" s="41">
        <v>0</v>
      </c>
      <c r="X78" s="83"/>
      <c r="Y78" s="36">
        <v>0</v>
      </c>
      <c r="Z78" s="83"/>
      <c r="AA78" s="83">
        <v>99</v>
      </c>
      <c r="AB78" s="83"/>
      <c r="AC78" s="83">
        <v>0</v>
      </c>
      <c r="AD78" s="83"/>
      <c r="AE78" s="83">
        <v>0</v>
      </c>
      <c r="AF78" s="83"/>
      <c r="AG78" s="36">
        <v>0</v>
      </c>
      <c r="AH78" s="83"/>
      <c r="AI78" s="83">
        <f t="shared" si="2"/>
        <v>599709</v>
      </c>
      <c r="AJ78" s="10"/>
    </row>
    <row r="79" spans="1:36" s="21" customFormat="1" ht="12.75">
      <c r="A79" s="1" t="s">
        <v>402</v>
      </c>
      <c r="B79" s="1"/>
      <c r="C79" s="1" t="s">
        <v>403</v>
      </c>
      <c r="D79" s="1"/>
      <c r="E79" s="36">
        <v>6608.06</v>
      </c>
      <c r="F79" s="36"/>
      <c r="G79" s="36">
        <v>53647.03</v>
      </c>
      <c r="H79" s="36"/>
      <c r="I79" s="36">
        <v>23774.28</v>
      </c>
      <c r="J79" s="36"/>
      <c r="K79" s="36">
        <v>0</v>
      </c>
      <c r="L79" s="36"/>
      <c r="M79" s="36">
        <v>0</v>
      </c>
      <c r="N79" s="36"/>
      <c r="O79" s="36">
        <v>1584.62</v>
      </c>
      <c r="P79" s="36"/>
      <c r="Q79" s="36">
        <v>357.85</v>
      </c>
      <c r="R79" s="36"/>
      <c r="S79" s="36">
        <v>510.03</v>
      </c>
      <c r="T79" s="36"/>
      <c r="U79" s="36">
        <v>0</v>
      </c>
      <c r="V79" s="36"/>
      <c r="W79" s="36">
        <v>0</v>
      </c>
      <c r="X79" s="36"/>
      <c r="Y79" s="36">
        <v>0</v>
      </c>
      <c r="Z79" s="36"/>
      <c r="AA79" s="36">
        <v>0</v>
      </c>
      <c r="AB79" s="36"/>
      <c r="AC79" s="36">
        <v>0</v>
      </c>
      <c r="AD79" s="36"/>
      <c r="AE79" s="36">
        <v>0</v>
      </c>
      <c r="AF79" s="36"/>
      <c r="AG79" s="36">
        <v>0</v>
      </c>
      <c r="AH79" s="36"/>
      <c r="AI79" s="36">
        <f>SUM(E79:AG79)</f>
        <v>86481.87</v>
      </c>
      <c r="AJ79" s="10"/>
    </row>
    <row r="80" spans="1:36" s="21" customFormat="1" ht="12.75">
      <c r="A80" s="1" t="s">
        <v>83</v>
      </c>
      <c r="B80" s="1"/>
      <c r="C80" s="1" t="s">
        <v>771</v>
      </c>
      <c r="D80" s="1"/>
      <c r="E80" s="36">
        <v>27358.05</v>
      </c>
      <c r="F80" s="36"/>
      <c r="G80" s="36">
        <v>0</v>
      </c>
      <c r="H80" s="36"/>
      <c r="I80" s="36">
        <v>9354.51</v>
      </c>
      <c r="J80" s="36"/>
      <c r="K80" s="36">
        <v>0</v>
      </c>
      <c r="L80" s="36"/>
      <c r="M80" s="36">
        <v>0</v>
      </c>
      <c r="N80" s="36"/>
      <c r="O80" s="36">
        <v>0</v>
      </c>
      <c r="P80" s="36"/>
      <c r="Q80" s="36">
        <v>25.02</v>
      </c>
      <c r="R80" s="36"/>
      <c r="S80" s="36">
        <v>300</v>
      </c>
      <c r="T80" s="36"/>
      <c r="U80" s="36">
        <v>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0</v>
      </c>
      <c r="AD80" s="36"/>
      <c r="AE80" s="36">
        <v>0</v>
      </c>
      <c r="AF80" s="36"/>
      <c r="AG80" s="36">
        <v>0</v>
      </c>
      <c r="AH80" s="36"/>
      <c r="AI80" s="36">
        <f>SUM(E80:AG80)</f>
        <v>37037.579999999994</v>
      </c>
      <c r="AJ80" s="10"/>
    </row>
    <row r="81" spans="1:36" ht="12.75">
      <c r="A81" s="1" t="s">
        <v>469</v>
      </c>
      <c r="C81" s="1" t="s">
        <v>919</v>
      </c>
      <c r="E81" s="83">
        <v>24735.1</v>
      </c>
      <c r="F81" s="83"/>
      <c r="G81" s="83">
        <v>142104.93</v>
      </c>
      <c r="H81" s="83"/>
      <c r="I81" s="83">
        <v>101218.19</v>
      </c>
      <c r="J81" s="83"/>
      <c r="K81" s="83">
        <v>0</v>
      </c>
      <c r="L81" s="83"/>
      <c r="M81" s="83">
        <v>0</v>
      </c>
      <c r="N81" s="83"/>
      <c r="O81" s="83">
        <v>20954.2</v>
      </c>
      <c r="P81" s="83"/>
      <c r="Q81" s="83">
        <v>2243.64</v>
      </c>
      <c r="R81" s="83"/>
      <c r="S81" s="83">
        <v>3857</v>
      </c>
      <c r="T81" s="83"/>
      <c r="U81" s="83">
        <v>0</v>
      </c>
      <c r="V81" s="83"/>
      <c r="W81" s="41">
        <v>0</v>
      </c>
      <c r="X81" s="83"/>
      <c r="Y81" s="36">
        <v>0</v>
      </c>
      <c r="Z81" s="83"/>
      <c r="AA81" s="83">
        <v>0</v>
      </c>
      <c r="AB81" s="83"/>
      <c r="AC81" s="83">
        <v>0</v>
      </c>
      <c r="AD81" s="83"/>
      <c r="AE81" s="83">
        <v>0</v>
      </c>
      <c r="AF81" s="83"/>
      <c r="AG81" s="36">
        <v>0</v>
      </c>
      <c r="AH81" s="83"/>
      <c r="AI81" s="83">
        <f t="shared" si="2"/>
        <v>295113.06</v>
      </c>
      <c r="AJ81" s="10"/>
    </row>
    <row r="82" spans="1:36" s="21" customFormat="1" ht="12.75" hidden="1">
      <c r="A82" s="1" t="s">
        <v>605</v>
      </c>
      <c r="B82" s="1"/>
      <c r="C82" s="1" t="s">
        <v>603</v>
      </c>
      <c r="D82" s="1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41"/>
      <c r="X82" s="83"/>
      <c r="Y82" s="36"/>
      <c r="Z82" s="83"/>
      <c r="AA82" s="83"/>
      <c r="AB82" s="83"/>
      <c r="AC82" s="83"/>
      <c r="AD82" s="83"/>
      <c r="AE82" s="83"/>
      <c r="AF82" s="83"/>
      <c r="AG82" s="36"/>
      <c r="AH82" s="83"/>
      <c r="AI82" s="83">
        <f t="shared" si="2"/>
        <v>0</v>
      </c>
      <c r="AJ82" s="10"/>
    </row>
    <row r="83" spans="1:39" s="21" customFormat="1" ht="12.75" hidden="1">
      <c r="A83" s="1" t="s">
        <v>895</v>
      </c>
      <c r="B83" s="1"/>
      <c r="C83" s="1" t="s">
        <v>259</v>
      </c>
      <c r="D83" s="1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5"/>
      <c r="W83" s="41"/>
      <c r="X83" s="85"/>
      <c r="Y83" s="36"/>
      <c r="Z83" s="83"/>
      <c r="AA83" s="83"/>
      <c r="AB83" s="83"/>
      <c r="AC83" s="83"/>
      <c r="AD83" s="83"/>
      <c r="AE83" s="83"/>
      <c r="AF83" s="83"/>
      <c r="AG83" s="36"/>
      <c r="AH83" s="83"/>
      <c r="AI83" s="83">
        <f t="shared" si="2"/>
        <v>0</v>
      </c>
      <c r="AJ83" s="10"/>
      <c r="AK83" s="22"/>
      <c r="AL83" s="22"/>
      <c r="AM83" s="22"/>
    </row>
    <row r="84" spans="1:39" s="21" customFormat="1" ht="12.75">
      <c r="A84" s="1" t="s">
        <v>317</v>
      </c>
      <c r="B84" s="1"/>
      <c r="C84" s="1" t="s">
        <v>761</v>
      </c>
      <c r="D84" s="1"/>
      <c r="E84" s="36">
        <v>1072992.53</v>
      </c>
      <c r="F84" s="36"/>
      <c r="G84" s="36">
        <v>1165608.78</v>
      </c>
      <c r="H84" s="36"/>
      <c r="I84" s="36">
        <v>372164.51</v>
      </c>
      <c r="J84" s="36"/>
      <c r="K84" s="36">
        <v>0</v>
      </c>
      <c r="L84" s="36"/>
      <c r="M84" s="36">
        <v>0</v>
      </c>
      <c r="N84" s="36"/>
      <c r="O84" s="36">
        <v>397759.29</v>
      </c>
      <c r="P84" s="36"/>
      <c r="Q84" s="36">
        <v>682.63</v>
      </c>
      <c r="R84" s="36"/>
      <c r="S84" s="36">
        <v>11212.99</v>
      </c>
      <c r="T84" s="36"/>
      <c r="U84" s="36">
        <v>0</v>
      </c>
      <c r="V84" s="36"/>
      <c r="W84" s="36">
        <v>0</v>
      </c>
      <c r="X84" s="36"/>
      <c r="Y84" s="36">
        <v>0</v>
      </c>
      <c r="Z84" s="36"/>
      <c r="AA84" s="36">
        <v>0</v>
      </c>
      <c r="AB84" s="36"/>
      <c r="AC84" s="36">
        <v>0</v>
      </c>
      <c r="AD84" s="36"/>
      <c r="AE84" s="36">
        <v>0</v>
      </c>
      <c r="AF84" s="36"/>
      <c r="AG84" s="36">
        <v>0</v>
      </c>
      <c r="AH84" s="36"/>
      <c r="AI84" s="36">
        <f>SUM(E84:AG84)</f>
        <v>3020420.7300000004</v>
      </c>
      <c r="AJ84" s="10"/>
      <c r="AK84" s="22"/>
      <c r="AL84" s="22"/>
      <c r="AM84" s="22"/>
    </row>
    <row r="85" spans="1:39" ht="12.75">
      <c r="A85" s="1" t="s">
        <v>61</v>
      </c>
      <c r="C85" s="1" t="s">
        <v>766</v>
      </c>
      <c r="E85" s="36">
        <v>42772.53</v>
      </c>
      <c r="F85" s="36"/>
      <c r="G85" s="36">
        <v>222235.81</v>
      </c>
      <c r="H85" s="36"/>
      <c r="I85" s="36">
        <v>49696.12</v>
      </c>
      <c r="J85" s="36"/>
      <c r="K85" s="36">
        <v>0</v>
      </c>
      <c r="L85" s="36"/>
      <c r="M85" s="36">
        <v>174</v>
      </c>
      <c r="N85" s="36"/>
      <c r="O85" s="36">
        <v>10182.68</v>
      </c>
      <c r="P85" s="36"/>
      <c r="Q85" s="36">
        <v>1376.15</v>
      </c>
      <c r="R85" s="36"/>
      <c r="S85" s="36">
        <v>4574.54</v>
      </c>
      <c r="T85" s="36"/>
      <c r="U85" s="36">
        <v>0</v>
      </c>
      <c r="V85" s="36"/>
      <c r="W85" s="36">
        <v>0</v>
      </c>
      <c r="X85" s="36"/>
      <c r="Y85" s="36">
        <v>0</v>
      </c>
      <c r="Z85" s="36"/>
      <c r="AA85" s="36">
        <v>0</v>
      </c>
      <c r="AB85" s="36"/>
      <c r="AC85" s="36">
        <v>0</v>
      </c>
      <c r="AD85" s="36"/>
      <c r="AE85" s="36">
        <v>0</v>
      </c>
      <c r="AF85" s="36"/>
      <c r="AG85" s="36">
        <v>0</v>
      </c>
      <c r="AH85" s="36"/>
      <c r="AI85" s="36">
        <f>SUM(E85:AG85)</f>
        <v>331011.82999999996</v>
      </c>
      <c r="AJ85" s="10"/>
      <c r="AK85" s="7"/>
      <c r="AL85" s="7"/>
      <c r="AM85" s="7"/>
    </row>
    <row r="86" spans="1:36" s="21" customFormat="1" ht="12.75">
      <c r="A86" s="1" t="s">
        <v>543</v>
      </c>
      <c r="B86" s="1"/>
      <c r="C86" s="1" t="s">
        <v>542</v>
      </c>
      <c r="D86" s="1"/>
      <c r="E86" s="96">
        <v>74270.21</v>
      </c>
      <c r="F86" s="96"/>
      <c r="G86" s="96">
        <v>790835.99</v>
      </c>
      <c r="H86" s="96"/>
      <c r="I86" s="96">
        <v>137687.16</v>
      </c>
      <c r="J86" s="96"/>
      <c r="K86" s="96">
        <v>4099.3</v>
      </c>
      <c r="L86" s="96"/>
      <c r="M86" s="96">
        <v>0</v>
      </c>
      <c r="N86" s="96"/>
      <c r="O86" s="96">
        <v>4706.65</v>
      </c>
      <c r="P86" s="96"/>
      <c r="Q86" s="96">
        <v>1410.66</v>
      </c>
      <c r="R86" s="96"/>
      <c r="S86" s="96">
        <v>5921.59</v>
      </c>
      <c r="T86" s="96"/>
      <c r="U86" s="96">
        <v>0</v>
      </c>
      <c r="V86" s="96"/>
      <c r="W86" s="96">
        <v>0</v>
      </c>
      <c r="X86" s="96"/>
      <c r="Y86" s="96">
        <v>0</v>
      </c>
      <c r="Z86" s="96"/>
      <c r="AA86" s="96">
        <v>369552.77</v>
      </c>
      <c r="AB86" s="96"/>
      <c r="AC86" s="96">
        <v>0</v>
      </c>
      <c r="AD86" s="96"/>
      <c r="AE86" s="96">
        <v>0</v>
      </c>
      <c r="AF86" s="96"/>
      <c r="AG86" s="96">
        <v>0</v>
      </c>
      <c r="AH86" s="96"/>
      <c r="AI86" s="96">
        <f aca="true" t="shared" si="3" ref="AI86">SUM(E86:AG86)</f>
        <v>1388484.33</v>
      </c>
      <c r="AJ86" s="10"/>
    </row>
    <row r="87" spans="1:39" s="15" customFormat="1" ht="12.75">
      <c r="A87" s="15" t="s">
        <v>72</v>
      </c>
      <c r="C87" s="15" t="s">
        <v>768</v>
      </c>
      <c r="E87" s="36">
        <v>38652.05</v>
      </c>
      <c r="F87" s="36"/>
      <c r="G87" s="36">
        <v>33578.74</v>
      </c>
      <c r="H87" s="36"/>
      <c r="I87" s="36">
        <v>11555.73</v>
      </c>
      <c r="J87" s="36"/>
      <c r="K87" s="36">
        <v>0</v>
      </c>
      <c r="L87" s="36"/>
      <c r="M87" s="36">
        <v>400</v>
      </c>
      <c r="N87" s="36"/>
      <c r="O87" s="36">
        <v>46763.96</v>
      </c>
      <c r="P87" s="36"/>
      <c r="Q87" s="36">
        <v>10.86</v>
      </c>
      <c r="R87" s="36"/>
      <c r="S87" s="36">
        <v>583.57</v>
      </c>
      <c r="T87" s="36"/>
      <c r="U87" s="36">
        <v>0</v>
      </c>
      <c r="V87" s="36"/>
      <c r="W87" s="36">
        <v>0</v>
      </c>
      <c r="X87" s="36"/>
      <c r="Y87" s="36">
        <v>1000</v>
      </c>
      <c r="Z87" s="36"/>
      <c r="AA87" s="36">
        <v>0</v>
      </c>
      <c r="AB87" s="36"/>
      <c r="AC87" s="36">
        <v>0</v>
      </c>
      <c r="AD87" s="36"/>
      <c r="AE87" s="36">
        <v>175</v>
      </c>
      <c r="AF87" s="36"/>
      <c r="AG87" s="36">
        <v>0</v>
      </c>
      <c r="AH87" s="36"/>
      <c r="AI87" s="36">
        <f>SUM(E87:AG87)</f>
        <v>132719.91</v>
      </c>
      <c r="AJ87" s="24"/>
      <c r="AK87" s="30"/>
      <c r="AL87" s="30"/>
      <c r="AM87" s="30"/>
    </row>
    <row r="88" spans="1:39" s="21" customFormat="1" ht="12.6" customHeight="1">
      <c r="A88" s="1" t="s">
        <v>281</v>
      </c>
      <c r="B88" s="1"/>
      <c r="C88" s="1" t="s">
        <v>279</v>
      </c>
      <c r="D88" s="1"/>
      <c r="E88" s="36">
        <v>149717.99</v>
      </c>
      <c r="F88" s="36"/>
      <c r="G88" s="36">
        <v>0</v>
      </c>
      <c r="H88" s="36"/>
      <c r="I88" s="36">
        <v>103942.26</v>
      </c>
      <c r="J88" s="36"/>
      <c r="K88" s="36">
        <v>0</v>
      </c>
      <c r="L88" s="36"/>
      <c r="M88" s="36">
        <v>210963.74</v>
      </c>
      <c r="N88" s="36"/>
      <c r="O88" s="36">
        <v>42850.13</v>
      </c>
      <c r="P88" s="36"/>
      <c r="Q88" s="36">
        <v>376.28</v>
      </c>
      <c r="R88" s="36"/>
      <c r="S88" s="36">
        <v>69421.27</v>
      </c>
      <c r="T88" s="36"/>
      <c r="U88" s="36">
        <v>0</v>
      </c>
      <c r="V88" s="36"/>
      <c r="W88" s="36">
        <v>0</v>
      </c>
      <c r="X88" s="36"/>
      <c r="Y88" s="36">
        <v>0</v>
      </c>
      <c r="Z88" s="36"/>
      <c r="AA88" s="36">
        <v>0</v>
      </c>
      <c r="AB88" s="36"/>
      <c r="AC88" s="36">
        <v>40000</v>
      </c>
      <c r="AD88" s="36"/>
      <c r="AE88" s="36">
        <v>21752.47</v>
      </c>
      <c r="AF88" s="36"/>
      <c r="AG88" s="36">
        <v>150</v>
      </c>
      <c r="AH88" s="36"/>
      <c r="AI88" s="36">
        <f>SUM(E88:AG88)</f>
        <v>639174.14</v>
      </c>
      <c r="AJ88" s="10"/>
      <c r="AK88" s="22"/>
      <c r="AL88" s="22"/>
      <c r="AM88" s="22"/>
    </row>
    <row r="89" spans="5:39" ht="12.75"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5"/>
      <c r="W89" s="41"/>
      <c r="X89" s="85"/>
      <c r="Y89" s="36"/>
      <c r="Z89" s="83"/>
      <c r="AA89" s="83"/>
      <c r="AB89" s="83"/>
      <c r="AC89" s="83"/>
      <c r="AD89" s="83"/>
      <c r="AE89" s="83"/>
      <c r="AF89" s="83"/>
      <c r="AG89" s="36"/>
      <c r="AH89" s="83"/>
      <c r="AI89" s="83" t="s">
        <v>864</v>
      </c>
      <c r="AJ89" s="10"/>
      <c r="AK89" s="7"/>
      <c r="AL89" s="7"/>
      <c r="AM89" s="7"/>
    </row>
    <row r="90" spans="1:39" ht="12.75">
      <c r="A90" s="1" t="s">
        <v>318</v>
      </c>
      <c r="C90" s="1" t="s">
        <v>316</v>
      </c>
      <c r="E90" s="102">
        <v>347201</v>
      </c>
      <c r="F90" s="102"/>
      <c r="G90" s="102">
        <v>3936293</v>
      </c>
      <c r="H90" s="102"/>
      <c r="I90" s="102">
        <v>286376</v>
      </c>
      <c r="J90" s="102"/>
      <c r="K90" s="102">
        <v>0</v>
      </c>
      <c r="L90" s="102"/>
      <c r="M90" s="102">
        <v>106113</v>
      </c>
      <c r="N90" s="102"/>
      <c r="O90" s="102">
        <v>117831</v>
      </c>
      <c r="P90" s="102"/>
      <c r="Q90" s="102">
        <v>927</v>
      </c>
      <c r="R90" s="102"/>
      <c r="S90" s="102">
        <v>62560</v>
      </c>
      <c r="T90" s="102"/>
      <c r="U90" s="102">
        <v>0</v>
      </c>
      <c r="V90" s="102"/>
      <c r="W90" s="102">
        <v>0</v>
      </c>
      <c r="X90" s="102"/>
      <c r="Y90" s="102">
        <v>1306</v>
      </c>
      <c r="Z90" s="102"/>
      <c r="AA90" s="102">
        <v>0</v>
      </c>
      <c r="AB90" s="102"/>
      <c r="AC90" s="102">
        <v>0</v>
      </c>
      <c r="AD90" s="102"/>
      <c r="AE90" s="102">
        <v>0</v>
      </c>
      <c r="AF90" s="102"/>
      <c r="AG90" s="102">
        <v>0</v>
      </c>
      <c r="AH90" s="102"/>
      <c r="AI90" s="102">
        <f t="shared" si="2"/>
        <v>4858607</v>
      </c>
      <c r="AJ90" s="10"/>
      <c r="AK90" s="7"/>
      <c r="AL90" s="7"/>
      <c r="AM90" s="7"/>
    </row>
    <row r="91" spans="1:39" s="21" customFormat="1" ht="12.6" customHeight="1">
      <c r="A91" s="1" t="s">
        <v>16</v>
      </c>
      <c r="B91" s="1"/>
      <c r="C91" s="1" t="s">
        <v>750</v>
      </c>
      <c r="D91" s="1"/>
      <c r="E91" s="93">
        <v>44184.17</v>
      </c>
      <c r="F91" s="93"/>
      <c r="G91" s="93">
        <v>0</v>
      </c>
      <c r="H91" s="93"/>
      <c r="I91" s="93">
        <v>46463.46</v>
      </c>
      <c r="J91" s="93"/>
      <c r="K91" s="93">
        <v>0</v>
      </c>
      <c r="L91" s="93"/>
      <c r="M91" s="93">
        <v>13323.68</v>
      </c>
      <c r="N91" s="93"/>
      <c r="O91" s="93">
        <v>1711</v>
      </c>
      <c r="P91" s="93"/>
      <c r="Q91" s="93">
        <v>159.15</v>
      </c>
      <c r="R91" s="93"/>
      <c r="S91" s="93">
        <v>4858.27</v>
      </c>
      <c r="T91" s="93"/>
      <c r="U91" s="93">
        <v>0</v>
      </c>
      <c r="V91" s="93"/>
      <c r="W91" s="93">
        <v>0</v>
      </c>
      <c r="X91" s="93"/>
      <c r="Y91" s="93">
        <v>0</v>
      </c>
      <c r="Z91" s="93"/>
      <c r="AA91" s="93">
        <v>0</v>
      </c>
      <c r="AB91" s="93"/>
      <c r="AC91" s="93">
        <v>0</v>
      </c>
      <c r="AD91" s="93"/>
      <c r="AE91" s="93">
        <v>0</v>
      </c>
      <c r="AF91" s="93"/>
      <c r="AG91" s="93">
        <v>0</v>
      </c>
      <c r="AH91" s="93"/>
      <c r="AI91" s="93">
        <f>SUM(E91:AG91)</f>
        <v>110699.73</v>
      </c>
      <c r="AJ91" s="10"/>
      <c r="AK91" s="22"/>
      <c r="AL91" s="22"/>
      <c r="AM91" s="22"/>
    </row>
    <row r="92" spans="1:36" ht="12.75">
      <c r="A92" s="1" t="s">
        <v>498</v>
      </c>
      <c r="C92" s="1" t="s">
        <v>497</v>
      </c>
      <c r="E92" s="36">
        <v>4170.61</v>
      </c>
      <c r="F92" s="36"/>
      <c r="G92" s="36">
        <v>0</v>
      </c>
      <c r="H92" s="36"/>
      <c r="I92" s="36">
        <v>7678.97</v>
      </c>
      <c r="J92" s="36"/>
      <c r="K92" s="36">
        <v>0</v>
      </c>
      <c r="L92" s="36"/>
      <c r="M92" s="36">
        <v>0</v>
      </c>
      <c r="N92" s="36"/>
      <c r="O92" s="36">
        <v>0</v>
      </c>
      <c r="P92" s="36"/>
      <c r="Q92" s="36">
        <v>32.15</v>
      </c>
      <c r="R92" s="36"/>
      <c r="S92" s="36">
        <v>204.12</v>
      </c>
      <c r="T92" s="36"/>
      <c r="U92" s="36">
        <v>0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0</v>
      </c>
      <c r="AD92" s="36"/>
      <c r="AE92" s="36">
        <v>0</v>
      </c>
      <c r="AF92" s="36"/>
      <c r="AG92" s="36">
        <v>0</v>
      </c>
      <c r="AH92" s="36"/>
      <c r="AI92" s="36">
        <f>SUM(E92:AG92)</f>
        <v>12085.85</v>
      </c>
      <c r="AJ92" s="10"/>
    </row>
    <row r="93" spans="1:39" s="21" customFormat="1" ht="12.75">
      <c r="A93" s="1" t="s">
        <v>272</v>
      </c>
      <c r="B93" s="1"/>
      <c r="C93" s="1" t="s">
        <v>271</v>
      </c>
      <c r="D93" s="1"/>
      <c r="E93" s="83">
        <v>65056.28</v>
      </c>
      <c r="F93" s="83"/>
      <c r="G93" s="83">
        <v>0</v>
      </c>
      <c r="H93" s="83"/>
      <c r="I93" s="83">
        <v>21014.81</v>
      </c>
      <c r="J93" s="83"/>
      <c r="K93" s="83">
        <v>0</v>
      </c>
      <c r="L93" s="83"/>
      <c r="M93" s="83">
        <v>0</v>
      </c>
      <c r="N93" s="83"/>
      <c r="O93" s="83">
        <v>17625.2</v>
      </c>
      <c r="P93" s="83"/>
      <c r="Q93" s="83">
        <v>240.43</v>
      </c>
      <c r="R93" s="83"/>
      <c r="S93" s="83">
        <v>725</v>
      </c>
      <c r="T93" s="83"/>
      <c r="U93" s="83">
        <v>0</v>
      </c>
      <c r="V93" s="83"/>
      <c r="W93" s="41">
        <v>0</v>
      </c>
      <c r="X93" s="83"/>
      <c r="Y93" s="83">
        <v>0</v>
      </c>
      <c r="Z93" s="83"/>
      <c r="AA93" s="83">
        <v>0</v>
      </c>
      <c r="AB93" s="83"/>
      <c r="AC93" s="83">
        <v>0</v>
      </c>
      <c r="AD93" s="83"/>
      <c r="AE93" s="83">
        <v>0</v>
      </c>
      <c r="AF93" s="83"/>
      <c r="AG93" s="36">
        <v>0</v>
      </c>
      <c r="AH93" s="83"/>
      <c r="AI93" s="83">
        <f t="shared" si="2"/>
        <v>104661.71999999999</v>
      </c>
      <c r="AJ93" s="10"/>
      <c r="AK93" s="22"/>
      <c r="AL93" s="22"/>
      <c r="AM93" s="22"/>
    </row>
    <row r="94" spans="1:36" ht="12.75">
      <c r="A94" s="1" t="s">
        <v>130</v>
      </c>
      <c r="C94" s="1" t="s">
        <v>785</v>
      </c>
      <c r="E94" s="36">
        <v>122607.85</v>
      </c>
      <c r="F94" s="36"/>
      <c r="G94" s="36">
        <v>0</v>
      </c>
      <c r="H94" s="36"/>
      <c r="I94" s="36">
        <v>27248.4</v>
      </c>
      <c r="J94" s="36"/>
      <c r="K94" s="36">
        <v>0</v>
      </c>
      <c r="L94" s="36"/>
      <c r="M94" s="36">
        <v>17892</v>
      </c>
      <c r="N94" s="36"/>
      <c r="O94" s="36">
        <v>54361.14</v>
      </c>
      <c r="P94" s="36"/>
      <c r="Q94" s="36">
        <v>1817.95</v>
      </c>
      <c r="R94" s="36"/>
      <c r="S94" s="36">
        <v>38532.08</v>
      </c>
      <c r="T94" s="36"/>
      <c r="U94" s="36">
        <v>0</v>
      </c>
      <c r="V94" s="36"/>
      <c r="W94" s="36">
        <v>0</v>
      </c>
      <c r="X94" s="36"/>
      <c r="Y94" s="36">
        <v>0</v>
      </c>
      <c r="Z94" s="36"/>
      <c r="AA94" s="36">
        <v>10000</v>
      </c>
      <c r="AB94" s="36"/>
      <c r="AC94" s="36">
        <v>0</v>
      </c>
      <c r="AD94" s="36"/>
      <c r="AE94" s="36">
        <v>0</v>
      </c>
      <c r="AF94" s="36"/>
      <c r="AG94" s="36">
        <v>10</v>
      </c>
      <c r="AH94" s="36"/>
      <c r="AI94" s="36">
        <f>SUM(E94:AG94)</f>
        <v>272469.42000000004</v>
      </c>
      <c r="AJ94" s="10"/>
    </row>
    <row r="95" spans="1:39" s="21" customFormat="1" ht="12.75">
      <c r="A95" s="1" t="s">
        <v>11</v>
      </c>
      <c r="B95" s="1"/>
      <c r="C95" s="1" t="s">
        <v>749</v>
      </c>
      <c r="D95" s="1"/>
      <c r="E95" s="36">
        <v>4790.64</v>
      </c>
      <c r="F95" s="36"/>
      <c r="G95" s="36">
        <v>0</v>
      </c>
      <c r="H95" s="36"/>
      <c r="I95" s="36">
        <v>64433.1</v>
      </c>
      <c r="J95" s="36"/>
      <c r="K95" s="36">
        <v>0</v>
      </c>
      <c r="L95" s="36"/>
      <c r="M95" s="36">
        <v>0</v>
      </c>
      <c r="N95" s="36"/>
      <c r="O95" s="36">
        <v>1737.99</v>
      </c>
      <c r="P95" s="36"/>
      <c r="Q95" s="36">
        <v>60.89</v>
      </c>
      <c r="R95" s="36"/>
      <c r="S95" s="36">
        <v>2</v>
      </c>
      <c r="T95" s="36"/>
      <c r="U95" s="36">
        <v>0</v>
      </c>
      <c r="V95" s="36"/>
      <c r="W95" s="36">
        <v>0</v>
      </c>
      <c r="X95" s="36"/>
      <c r="Y95" s="36">
        <v>0</v>
      </c>
      <c r="Z95" s="36"/>
      <c r="AA95" s="36">
        <v>0</v>
      </c>
      <c r="AB95" s="36"/>
      <c r="AC95" s="36">
        <v>0</v>
      </c>
      <c r="AD95" s="36"/>
      <c r="AE95" s="36">
        <v>0</v>
      </c>
      <c r="AF95" s="36"/>
      <c r="AG95" s="36">
        <v>0</v>
      </c>
      <c r="AH95" s="36"/>
      <c r="AI95" s="36">
        <f>SUM(E95:AG95)</f>
        <v>71024.62000000001</v>
      </c>
      <c r="AJ95" s="10"/>
      <c r="AK95" s="22"/>
      <c r="AL95" s="22"/>
      <c r="AM95" s="22"/>
    </row>
    <row r="96" spans="1:36" ht="12.75">
      <c r="A96" s="1" t="s">
        <v>248</v>
      </c>
      <c r="C96" s="1" t="s">
        <v>823</v>
      </c>
      <c r="E96" s="36">
        <v>37878.75</v>
      </c>
      <c r="F96" s="36"/>
      <c r="G96" s="36">
        <v>0</v>
      </c>
      <c r="H96" s="36"/>
      <c r="I96" s="36">
        <v>13936.55</v>
      </c>
      <c r="J96" s="36"/>
      <c r="K96" s="36">
        <v>0</v>
      </c>
      <c r="L96" s="36"/>
      <c r="M96" s="36">
        <v>0</v>
      </c>
      <c r="N96" s="36"/>
      <c r="O96" s="36">
        <v>205</v>
      </c>
      <c r="P96" s="36"/>
      <c r="Q96" s="36">
        <v>144.1</v>
      </c>
      <c r="R96" s="36"/>
      <c r="S96" s="36">
        <v>961.36</v>
      </c>
      <c r="T96" s="36"/>
      <c r="U96" s="36">
        <v>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0</v>
      </c>
      <c r="AD96" s="36"/>
      <c r="AE96" s="36">
        <v>0</v>
      </c>
      <c r="AF96" s="36"/>
      <c r="AG96" s="36">
        <v>0</v>
      </c>
      <c r="AH96" s="36"/>
      <c r="AI96" s="36">
        <f>SUM(E96:AG96)</f>
        <v>53125.76</v>
      </c>
      <c r="AJ96" s="10"/>
    </row>
    <row r="97" spans="1:36" s="15" customFormat="1" ht="12.75">
      <c r="A97" s="15" t="s">
        <v>526</v>
      </c>
      <c r="C97" s="15" t="s">
        <v>527</v>
      </c>
      <c r="E97" s="36">
        <v>21975.6</v>
      </c>
      <c r="F97" s="36"/>
      <c r="G97" s="36">
        <v>0</v>
      </c>
      <c r="H97" s="36"/>
      <c r="I97" s="36">
        <v>18267.33</v>
      </c>
      <c r="J97" s="36"/>
      <c r="K97" s="36">
        <v>0</v>
      </c>
      <c r="L97" s="36"/>
      <c r="M97" s="36">
        <v>0</v>
      </c>
      <c r="N97" s="36"/>
      <c r="O97" s="36">
        <v>1392.05</v>
      </c>
      <c r="P97" s="36"/>
      <c r="Q97" s="36">
        <v>56.47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0</v>
      </c>
      <c r="AD97" s="36"/>
      <c r="AE97" s="36">
        <v>0</v>
      </c>
      <c r="AF97" s="36"/>
      <c r="AG97" s="36">
        <v>0</v>
      </c>
      <c r="AH97" s="36"/>
      <c r="AI97" s="36">
        <f>SUM(E97:AG97)</f>
        <v>41691.450000000004</v>
      </c>
      <c r="AJ97" s="24"/>
    </row>
    <row r="98" spans="1:36" ht="12.75">
      <c r="A98" s="1" t="s">
        <v>465</v>
      </c>
      <c r="C98" s="1" t="s">
        <v>705</v>
      </c>
      <c r="E98" s="83">
        <v>5081</v>
      </c>
      <c r="F98" s="83"/>
      <c r="G98" s="83">
        <v>0</v>
      </c>
      <c r="H98" s="83"/>
      <c r="I98" s="83">
        <v>23800</v>
      </c>
      <c r="J98" s="83"/>
      <c r="K98" s="83">
        <v>26414</v>
      </c>
      <c r="L98" s="83"/>
      <c r="M98" s="83">
        <v>0</v>
      </c>
      <c r="N98" s="83"/>
      <c r="O98" s="83">
        <v>1487</v>
      </c>
      <c r="P98" s="83"/>
      <c r="Q98" s="83">
        <v>0</v>
      </c>
      <c r="R98" s="83"/>
      <c r="S98" s="83">
        <v>5440</v>
      </c>
      <c r="T98" s="83"/>
      <c r="U98" s="83">
        <v>0</v>
      </c>
      <c r="V98" s="83"/>
      <c r="W98" s="41">
        <v>0</v>
      </c>
      <c r="X98" s="83"/>
      <c r="Y98" s="83">
        <v>0</v>
      </c>
      <c r="Z98" s="83"/>
      <c r="AA98" s="83">
        <v>0</v>
      </c>
      <c r="AB98" s="83"/>
      <c r="AC98" s="83">
        <v>0</v>
      </c>
      <c r="AD98" s="83"/>
      <c r="AE98" s="83">
        <v>0</v>
      </c>
      <c r="AF98" s="83"/>
      <c r="AG98" s="36">
        <v>0</v>
      </c>
      <c r="AH98" s="83"/>
      <c r="AI98" s="83">
        <f t="shared" si="2"/>
        <v>62222</v>
      </c>
      <c r="AJ98" s="10"/>
    </row>
    <row r="99" spans="1:36" ht="12.75">
      <c r="A99" s="1" t="s">
        <v>687</v>
      </c>
      <c r="C99" s="1" t="s">
        <v>368</v>
      </c>
      <c r="E99" s="83">
        <v>70194.23</v>
      </c>
      <c r="F99" s="83"/>
      <c r="G99" s="83">
        <v>460291.01</v>
      </c>
      <c r="H99" s="83"/>
      <c r="I99" s="83">
        <v>911774.63</v>
      </c>
      <c r="J99" s="83"/>
      <c r="K99" s="83">
        <v>0</v>
      </c>
      <c r="L99" s="83"/>
      <c r="M99" s="83">
        <v>32913.24</v>
      </c>
      <c r="N99" s="83"/>
      <c r="O99" s="83">
        <v>1620</v>
      </c>
      <c r="P99" s="83"/>
      <c r="Q99" s="83">
        <v>7706.75</v>
      </c>
      <c r="R99" s="83"/>
      <c r="S99" s="83">
        <v>5328.81</v>
      </c>
      <c r="T99" s="83"/>
      <c r="U99" s="83">
        <v>0</v>
      </c>
      <c r="V99" s="83"/>
      <c r="W99" s="41">
        <v>0</v>
      </c>
      <c r="X99" s="83"/>
      <c r="Y99" s="83">
        <v>0</v>
      </c>
      <c r="Z99" s="83"/>
      <c r="AA99" s="83">
        <v>0</v>
      </c>
      <c r="AB99" s="83"/>
      <c r="AC99" s="83">
        <v>0</v>
      </c>
      <c r="AD99" s="83"/>
      <c r="AE99" s="83">
        <v>8556</v>
      </c>
      <c r="AF99" s="83"/>
      <c r="AG99" s="36">
        <v>0</v>
      </c>
      <c r="AH99" s="83"/>
      <c r="AI99" s="83">
        <f t="shared" si="2"/>
        <v>1498384.6700000002</v>
      </c>
      <c r="AJ99" s="38"/>
    </row>
    <row r="100" spans="1:36" s="15" customFormat="1" ht="12.75">
      <c r="A100" s="15" t="s">
        <v>519</v>
      </c>
      <c r="C100" s="15" t="s">
        <v>520</v>
      </c>
      <c r="E100" s="85">
        <v>0</v>
      </c>
      <c r="F100" s="85"/>
      <c r="G100" s="85">
        <v>126479.25</v>
      </c>
      <c r="H100" s="85"/>
      <c r="I100" s="85">
        <v>151593.15</v>
      </c>
      <c r="J100" s="85"/>
      <c r="K100" s="85">
        <v>0</v>
      </c>
      <c r="L100" s="85"/>
      <c r="M100" s="85">
        <v>308169.18</v>
      </c>
      <c r="N100" s="85"/>
      <c r="O100" s="85">
        <v>9056.6</v>
      </c>
      <c r="P100" s="85"/>
      <c r="Q100" s="85">
        <v>0</v>
      </c>
      <c r="R100" s="85"/>
      <c r="S100" s="85">
        <v>5915.89</v>
      </c>
      <c r="T100" s="85"/>
      <c r="U100" s="85">
        <v>0</v>
      </c>
      <c r="V100" s="85"/>
      <c r="W100" s="41">
        <v>0</v>
      </c>
      <c r="X100" s="85"/>
      <c r="Y100" s="85">
        <v>0</v>
      </c>
      <c r="Z100" s="85"/>
      <c r="AA100" s="83">
        <v>0</v>
      </c>
      <c r="AB100" s="85"/>
      <c r="AC100" s="83">
        <v>0</v>
      </c>
      <c r="AD100" s="85"/>
      <c r="AE100" s="85">
        <v>0</v>
      </c>
      <c r="AF100" s="85"/>
      <c r="AG100" s="36">
        <v>0</v>
      </c>
      <c r="AH100" s="85"/>
      <c r="AI100" s="83">
        <f t="shared" si="2"/>
        <v>601214.0700000001</v>
      </c>
      <c r="AJ100" s="24"/>
    </row>
    <row r="101" spans="1:36" ht="12.75">
      <c r="A101" s="1" t="s">
        <v>241</v>
      </c>
      <c r="C101" s="1" t="s">
        <v>821</v>
      </c>
      <c r="E101" s="36">
        <v>3692.41</v>
      </c>
      <c r="F101" s="36"/>
      <c r="G101" s="36">
        <v>0</v>
      </c>
      <c r="H101" s="36"/>
      <c r="I101" s="36">
        <v>3645.46</v>
      </c>
      <c r="J101" s="36"/>
      <c r="K101" s="36">
        <v>0</v>
      </c>
      <c r="L101" s="36"/>
      <c r="M101" s="36">
        <v>0</v>
      </c>
      <c r="N101" s="36"/>
      <c r="O101" s="36">
        <v>5382.63</v>
      </c>
      <c r="P101" s="36"/>
      <c r="Q101" s="36">
        <v>0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v>6</v>
      </c>
      <c r="AF101" s="36"/>
      <c r="AG101" s="36">
        <v>0</v>
      </c>
      <c r="AH101" s="36"/>
      <c r="AI101" s="36">
        <f aca="true" t="shared" si="4" ref="AI101:AI107">SUM(E101:AG101)</f>
        <v>12726.5</v>
      </c>
      <c r="AJ101" s="10"/>
    </row>
    <row r="102" spans="1:36" s="21" customFormat="1" ht="12.75">
      <c r="A102" s="1" t="s">
        <v>86</v>
      </c>
      <c r="B102" s="1"/>
      <c r="C102" s="1" t="s">
        <v>772</v>
      </c>
      <c r="D102" s="1"/>
      <c r="E102" s="36">
        <v>91689.35</v>
      </c>
      <c r="F102" s="36"/>
      <c r="G102" s="36">
        <v>326671.23</v>
      </c>
      <c r="H102" s="36"/>
      <c r="I102" s="36">
        <v>125474.38</v>
      </c>
      <c r="J102" s="36"/>
      <c r="K102" s="36">
        <v>0</v>
      </c>
      <c r="L102" s="36"/>
      <c r="M102" s="36">
        <v>0</v>
      </c>
      <c r="N102" s="36"/>
      <c r="O102" s="36">
        <v>1981.1</v>
      </c>
      <c r="P102" s="36"/>
      <c r="Q102" s="36">
        <v>2761.27</v>
      </c>
      <c r="R102" s="36"/>
      <c r="S102" s="36">
        <v>66863.74</v>
      </c>
      <c r="T102" s="36"/>
      <c r="U102" s="36">
        <v>0</v>
      </c>
      <c r="V102" s="36"/>
      <c r="W102" s="36">
        <v>0</v>
      </c>
      <c r="X102" s="36"/>
      <c r="Y102" s="36">
        <v>0</v>
      </c>
      <c r="Z102" s="36"/>
      <c r="AA102" s="36">
        <v>0</v>
      </c>
      <c r="AB102" s="36"/>
      <c r="AC102" s="36">
        <v>0</v>
      </c>
      <c r="AD102" s="36"/>
      <c r="AE102" s="36">
        <v>0</v>
      </c>
      <c r="AF102" s="36"/>
      <c r="AG102" s="36">
        <v>0</v>
      </c>
      <c r="AH102" s="36"/>
      <c r="AI102" s="36">
        <f t="shared" si="4"/>
        <v>615441.07</v>
      </c>
      <c r="AJ102" s="10"/>
    </row>
    <row r="103" spans="1:36" s="21" customFormat="1" ht="12.75">
      <c r="A103" s="1" t="s">
        <v>100</v>
      </c>
      <c r="B103" s="1"/>
      <c r="C103" s="1" t="s">
        <v>403</v>
      </c>
      <c r="D103" s="1"/>
      <c r="E103" s="36">
        <v>100113.4</v>
      </c>
      <c r="F103" s="36"/>
      <c r="G103" s="36">
        <v>576953.18</v>
      </c>
      <c r="H103" s="36"/>
      <c r="I103" s="36">
        <v>43118.24</v>
      </c>
      <c r="J103" s="36"/>
      <c r="K103" s="36">
        <v>0</v>
      </c>
      <c r="L103" s="36"/>
      <c r="M103" s="36">
        <v>253222.43</v>
      </c>
      <c r="N103" s="36"/>
      <c r="O103" s="36">
        <v>44984.96</v>
      </c>
      <c r="P103" s="36"/>
      <c r="Q103" s="36">
        <v>2520.75</v>
      </c>
      <c r="R103" s="36"/>
      <c r="S103" s="36">
        <v>21848.56</v>
      </c>
      <c r="T103" s="36"/>
      <c r="U103" s="36">
        <v>0</v>
      </c>
      <c r="V103" s="36"/>
      <c r="W103" s="36">
        <v>0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v>21127.15</v>
      </c>
      <c r="AF103" s="36"/>
      <c r="AG103" s="36">
        <v>0</v>
      </c>
      <c r="AH103" s="36"/>
      <c r="AI103" s="36">
        <f t="shared" si="4"/>
        <v>1063888.67</v>
      </c>
      <c r="AJ103" s="10"/>
    </row>
    <row r="104" spans="1:37" s="21" customFormat="1" ht="12.75">
      <c r="A104" s="1" t="s">
        <v>708</v>
      </c>
      <c r="B104" s="1"/>
      <c r="C104" s="1" t="s">
        <v>709</v>
      </c>
      <c r="D104" s="1"/>
      <c r="E104" s="36">
        <v>44856.72</v>
      </c>
      <c r="F104" s="36"/>
      <c r="G104" s="36">
        <v>20580.73</v>
      </c>
      <c r="H104" s="36"/>
      <c r="I104" s="36">
        <v>27430.85</v>
      </c>
      <c r="J104" s="36"/>
      <c r="K104" s="36">
        <v>0</v>
      </c>
      <c r="L104" s="36"/>
      <c r="M104" s="36">
        <v>4575</v>
      </c>
      <c r="N104" s="36"/>
      <c r="O104" s="36">
        <v>1707.59</v>
      </c>
      <c r="P104" s="36"/>
      <c r="Q104" s="36">
        <v>16.37</v>
      </c>
      <c r="R104" s="36"/>
      <c r="S104" s="36">
        <v>2340.57</v>
      </c>
      <c r="T104" s="36"/>
      <c r="U104" s="36">
        <v>0</v>
      </c>
      <c r="V104" s="36"/>
      <c r="W104" s="36">
        <v>0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v>0</v>
      </c>
      <c r="AF104" s="36"/>
      <c r="AG104" s="36">
        <v>0</v>
      </c>
      <c r="AH104" s="36"/>
      <c r="AI104" s="36">
        <f t="shared" si="4"/>
        <v>101507.82999999999</v>
      </c>
      <c r="AJ104" s="10"/>
      <c r="AK104" s="10"/>
    </row>
    <row r="105" spans="1:36" ht="12.75">
      <c r="A105" s="1" t="s">
        <v>177</v>
      </c>
      <c r="C105" s="1" t="s">
        <v>801</v>
      </c>
      <c r="E105" s="36">
        <v>42902.09</v>
      </c>
      <c r="F105" s="36"/>
      <c r="G105" s="36">
        <v>0</v>
      </c>
      <c r="H105" s="36"/>
      <c r="I105" s="36">
        <v>46237.34</v>
      </c>
      <c r="J105" s="36"/>
      <c r="K105" s="36">
        <v>933.58</v>
      </c>
      <c r="L105" s="36"/>
      <c r="M105" s="36">
        <v>0</v>
      </c>
      <c r="N105" s="36"/>
      <c r="O105" s="36">
        <v>938</v>
      </c>
      <c r="P105" s="36"/>
      <c r="Q105" s="36">
        <v>192382.13</v>
      </c>
      <c r="R105" s="36"/>
      <c r="S105" s="36">
        <v>1445.52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v>0</v>
      </c>
      <c r="AF105" s="36"/>
      <c r="AG105" s="36">
        <v>0</v>
      </c>
      <c r="AH105" s="36"/>
      <c r="AI105" s="36">
        <f t="shared" si="4"/>
        <v>284838.66000000003</v>
      </c>
      <c r="AJ105" s="10"/>
    </row>
    <row r="106" spans="1:36" ht="12.75">
      <c r="A106" s="1" t="s">
        <v>147</v>
      </c>
      <c r="C106" s="1" t="s">
        <v>791</v>
      </c>
      <c r="E106" s="36">
        <v>52015.77</v>
      </c>
      <c r="F106" s="36"/>
      <c r="G106" s="36">
        <v>0</v>
      </c>
      <c r="H106" s="36"/>
      <c r="I106" s="36">
        <v>36928.43</v>
      </c>
      <c r="J106" s="36"/>
      <c r="K106" s="36">
        <v>0</v>
      </c>
      <c r="L106" s="36"/>
      <c r="M106" s="36">
        <v>2025</v>
      </c>
      <c r="N106" s="36"/>
      <c r="O106" s="36">
        <v>3806.84</v>
      </c>
      <c r="P106" s="36"/>
      <c r="Q106" s="36">
        <v>316.75</v>
      </c>
      <c r="R106" s="36"/>
      <c r="S106" s="36">
        <v>448.88</v>
      </c>
      <c r="T106" s="36"/>
      <c r="U106" s="36">
        <v>0</v>
      </c>
      <c r="V106" s="36"/>
      <c r="W106" s="36">
        <v>0</v>
      </c>
      <c r="X106" s="36"/>
      <c r="Y106" s="36">
        <v>0</v>
      </c>
      <c r="Z106" s="36"/>
      <c r="AA106" s="36">
        <v>0</v>
      </c>
      <c r="AB106" s="36"/>
      <c r="AC106" s="36">
        <v>0</v>
      </c>
      <c r="AD106" s="36"/>
      <c r="AE106" s="36">
        <v>0</v>
      </c>
      <c r="AF106" s="36"/>
      <c r="AG106" s="36">
        <v>0</v>
      </c>
      <c r="AH106" s="36"/>
      <c r="AI106" s="36">
        <f t="shared" si="4"/>
        <v>95541.67</v>
      </c>
      <c r="AJ106" s="10"/>
    </row>
    <row r="107" spans="1:36" ht="12.75">
      <c r="A107" s="1" t="s">
        <v>198</v>
      </c>
      <c r="C107" s="1" t="s">
        <v>807</v>
      </c>
      <c r="E107" s="36">
        <v>232578.86</v>
      </c>
      <c r="F107" s="36"/>
      <c r="G107" s="36">
        <v>0</v>
      </c>
      <c r="H107" s="36"/>
      <c r="I107" s="36">
        <v>58918.68</v>
      </c>
      <c r="J107" s="36"/>
      <c r="K107" s="36">
        <v>0</v>
      </c>
      <c r="L107" s="36"/>
      <c r="M107" s="36">
        <v>7204.75</v>
      </c>
      <c r="N107" s="36"/>
      <c r="O107" s="36">
        <v>15650.06</v>
      </c>
      <c r="P107" s="36"/>
      <c r="Q107" s="36">
        <v>3957.44</v>
      </c>
      <c r="R107" s="36"/>
      <c r="S107" s="36">
        <v>18353.42</v>
      </c>
      <c r="T107" s="36"/>
      <c r="U107" s="36">
        <v>0</v>
      </c>
      <c r="V107" s="36"/>
      <c r="W107" s="36">
        <v>0</v>
      </c>
      <c r="X107" s="36"/>
      <c r="Y107" s="36">
        <v>0</v>
      </c>
      <c r="Z107" s="36"/>
      <c r="AA107" s="36">
        <v>0</v>
      </c>
      <c r="AB107" s="36"/>
      <c r="AC107" s="36">
        <v>0</v>
      </c>
      <c r="AD107" s="36"/>
      <c r="AE107" s="36">
        <v>0</v>
      </c>
      <c r="AF107" s="36"/>
      <c r="AG107" s="36">
        <v>0</v>
      </c>
      <c r="AH107" s="36"/>
      <c r="AI107" s="36">
        <f t="shared" si="4"/>
        <v>336663.20999999996</v>
      </c>
      <c r="AJ107" s="10"/>
    </row>
    <row r="108" spans="1:39" s="21" customFormat="1" ht="12.75" hidden="1">
      <c r="A108" s="1" t="s">
        <v>352</v>
      </c>
      <c r="B108" s="1"/>
      <c r="C108" s="1" t="s">
        <v>353</v>
      </c>
      <c r="D108" s="1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41"/>
      <c r="X108" s="83"/>
      <c r="Y108" s="83"/>
      <c r="Z108" s="83"/>
      <c r="AA108" s="83"/>
      <c r="AB108" s="83"/>
      <c r="AC108" s="83"/>
      <c r="AD108" s="83"/>
      <c r="AE108" s="83"/>
      <c r="AF108" s="83"/>
      <c r="AG108" s="36"/>
      <c r="AH108" s="83"/>
      <c r="AI108" s="83">
        <f t="shared" si="2"/>
        <v>0</v>
      </c>
      <c r="AJ108" s="10"/>
      <c r="AK108" s="22"/>
      <c r="AL108" s="22"/>
      <c r="AM108" s="22"/>
    </row>
    <row r="109" spans="1:36" ht="12.75">
      <c r="A109" s="1" t="s">
        <v>170</v>
      </c>
      <c r="C109" s="1" t="s">
        <v>799</v>
      </c>
      <c r="E109" s="83">
        <v>292961</v>
      </c>
      <c r="F109" s="83"/>
      <c r="G109" s="83">
        <v>0</v>
      </c>
      <c r="H109" s="83"/>
      <c r="I109" s="83">
        <v>32923</v>
      </c>
      <c r="J109" s="83"/>
      <c r="K109" s="83">
        <v>429</v>
      </c>
      <c r="L109" s="83"/>
      <c r="M109" s="83">
        <v>97</v>
      </c>
      <c r="N109" s="83"/>
      <c r="O109" s="83">
        <v>56005</v>
      </c>
      <c r="P109" s="83"/>
      <c r="Q109" s="83">
        <v>352</v>
      </c>
      <c r="R109" s="83"/>
      <c r="S109" s="83">
        <v>24500</v>
      </c>
      <c r="T109" s="83"/>
      <c r="U109" s="83">
        <v>0</v>
      </c>
      <c r="V109" s="85"/>
      <c r="W109" s="41">
        <v>0</v>
      </c>
      <c r="X109" s="85"/>
      <c r="Y109" s="83">
        <v>2500</v>
      </c>
      <c r="Z109" s="83"/>
      <c r="AA109" s="83">
        <v>250000</v>
      </c>
      <c r="AB109" s="83"/>
      <c r="AC109" s="83">
        <v>0</v>
      </c>
      <c r="AD109" s="83"/>
      <c r="AE109" s="83">
        <v>0</v>
      </c>
      <c r="AF109" s="83"/>
      <c r="AG109" s="36">
        <v>0</v>
      </c>
      <c r="AH109" s="83"/>
      <c r="AI109" s="83">
        <f t="shared" si="2"/>
        <v>659767</v>
      </c>
      <c r="AJ109" s="10"/>
    </row>
    <row r="110" spans="1:36" ht="12.75">
      <c r="A110" s="1" t="s">
        <v>610</v>
      </c>
      <c r="C110" s="1" t="s">
        <v>611</v>
      </c>
      <c r="E110" s="83">
        <f>77955+288428</f>
        <v>366383</v>
      </c>
      <c r="F110" s="83"/>
      <c r="G110" s="83">
        <v>620592</v>
      </c>
      <c r="H110" s="83"/>
      <c r="I110" s="83">
        <v>152253</v>
      </c>
      <c r="J110" s="83"/>
      <c r="K110" s="83">
        <v>470</v>
      </c>
      <c r="L110" s="83"/>
      <c r="M110" s="83">
        <v>22440</v>
      </c>
      <c r="N110" s="83"/>
      <c r="O110" s="83">
        <f>2707+8329</f>
        <v>11036</v>
      </c>
      <c r="P110" s="83"/>
      <c r="Q110" s="83">
        <v>2880</v>
      </c>
      <c r="R110" s="83"/>
      <c r="S110" s="83">
        <f>13900+68594</f>
        <v>82494</v>
      </c>
      <c r="T110" s="83"/>
      <c r="U110" s="83">
        <v>0</v>
      </c>
      <c r="V110" s="83"/>
      <c r="W110" s="41">
        <v>0</v>
      </c>
      <c r="X110" s="83"/>
      <c r="Y110" s="83">
        <v>0</v>
      </c>
      <c r="Z110" s="83"/>
      <c r="AA110" s="83">
        <v>0</v>
      </c>
      <c r="AB110" s="83"/>
      <c r="AC110" s="83">
        <v>0</v>
      </c>
      <c r="AD110" s="83"/>
      <c r="AE110" s="83">
        <v>0</v>
      </c>
      <c r="AF110" s="83"/>
      <c r="AG110" s="36">
        <v>0</v>
      </c>
      <c r="AH110" s="83"/>
      <c r="AI110" s="83">
        <f t="shared" si="2"/>
        <v>1258548</v>
      </c>
      <c r="AJ110" s="10"/>
    </row>
    <row r="111" spans="1:36" ht="12.75">
      <c r="A111" s="1" t="s">
        <v>963</v>
      </c>
      <c r="C111" s="1" t="s">
        <v>583</v>
      </c>
      <c r="E111" s="83">
        <v>65928</v>
      </c>
      <c r="F111" s="83"/>
      <c r="G111" s="83">
        <v>589910</v>
      </c>
      <c r="H111" s="83"/>
      <c r="I111" s="83">
        <v>76219</v>
      </c>
      <c r="J111" s="83"/>
      <c r="K111" s="83">
        <v>31220</v>
      </c>
      <c r="L111" s="83"/>
      <c r="M111" s="83">
        <v>0</v>
      </c>
      <c r="N111" s="83"/>
      <c r="O111" s="83">
        <f>49204+98634</f>
        <v>147838</v>
      </c>
      <c r="P111" s="83"/>
      <c r="Q111" s="83">
        <v>23211</v>
      </c>
      <c r="R111" s="83"/>
      <c r="S111" s="83">
        <v>0</v>
      </c>
      <c r="T111" s="83"/>
      <c r="U111" s="83">
        <v>0</v>
      </c>
      <c r="V111" s="83"/>
      <c r="W111" s="41">
        <v>0</v>
      </c>
      <c r="X111" s="83"/>
      <c r="Y111" s="83">
        <v>0</v>
      </c>
      <c r="Z111" s="83"/>
      <c r="AA111" s="83">
        <v>0</v>
      </c>
      <c r="AB111" s="83"/>
      <c r="AC111" s="83">
        <v>0</v>
      </c>
      <c r="AD111" s="83"/>
      <c r="AE111" s="83">
        <v>0</v>
      </c>
      <c r="AF111" s="83"/>
      <c r="AG111" s="36">
        <v>0</v>
      </c>
      <c r="AH111" s="83"/>
      <c r="AI111" s="83">
        <f t="shared" si="2"/>
        <v>934326</v>
      </c>
      <c r="AJ111" s="10"/>
    </row>
    <row r="112" spans="1:39" ht="12.75">
      <c r="A112" s="1" t="s">
        <v>62</v>
      </c>
      <c r="C112" s="1" t="s">
        <v>766</v>
      </c>
      <c r="E112" s="36">
        <v>15229.52</v>
      </c>
      <c r="F112" s="36"/>
      <c r="G112" s="36">
        <v>136977.97</v>
      </c>
      <c r="H112" s="36"/>
      <c r="I112" s="36">
        <v>16263.51</v>
      </c>
      <c r="J112" s="36"/>
      <c r="K112" s="36">
        <v>0</v>
      </c>
      <c r="L112" s="36"/>
      <c r="M112" s="36">
        <v>14666.67</v>
      </c>
      <c r="N112" s="36"/>
      <c r="O112" s="36">
        <v>11450.77</v>
      </c>
      <c r="P112" s="36"/>
      <c r="Q112" s="36">
        <v>17349.21</v>
      </c>
      <c r="R112" s="36"/>
      <c r="S112" s="36">
        <v>6645.83</v>
      </c>
      <c r="T112" s="36"/>
      <c r="U112" s="36">
        <v>0</v>
      </c>
      <c r="V112" s="36"/>
      <c r="W112" s="36">
        <v>0</v>
      </c>
      <c r="X112" s="36"/>
      <c r="Y112" s="36">
        <v>0</v>
      </c>
      <c r="Z112" s="36"/>
      <c r="AA112" s="36">
        <v>0</v>
      </c>
      <c r="AB112" s="36"/>
      <c r="AC112" s="36">
        <v>15000</v>
      </c>
      <c r="AD112" s="36"/>
      <c r="AE112" s="36">
        <v>0</v>
      </c>
      <c r="AF112" s="36"/>
      <c r="AG112" s="36">
        <v>0</v>
      </c>
      <c r="AH112" s="36"/>
      <c r="AI112" s="36">
        <f>SUM(E112:AG112)</f>
        <v>233583.47999999998</v>
      </c>
      <c r="AJ112" s="10"/>
      <c r="AK112" s="7"/>
      <c r="AL112" s="7"/>
      <c r="AM112" s="7"/>
    </row>
    <row r="113" spans="1:39" s="21" customFormat="1" ht="12.75">
      <c r="A113" s="1" t="s">
        <v>285</v>
      </c>
      <c r="B113" s="1"/>
      <c r="C113" s="1" t="s">
        <v>62</v>
      </c>
      <c r="D113" s="1"/>
      <c r="E113" s="83">
        <v>191190</v>
      </c>
      <c r="F113" s="83"/>
      <c r="G113" s="83">
        <v>0</v>
      </c>
      <c r="H113" s="83"/>
      <c r="I113" s="83">
        <v>140628</v>
      </c>
      <c r="J113" s="83"/>
      <c r="K113" s="83">
        <v>0</v>
      </c>
      <c r="L113" s="83"/>
      <c r="M113" s="83">
        <v>9502</v>
      </c>
      <c r="N113" s="83"/>
      <c r="O113" s="83">
        <v>73818</v>
      </c>
      <c r="P113" s="83"/>
      <c r="Q113" s="83">
        <v>2972</v>
      </c>
      <c r="R113" s="83"/>
      <c r="S113" s="83">
        <v>1822</v>
      </c>
      <c r="T113" s="83"/>
      <c r="U113" s="83">
        <v>0</v>
      </c>
      <c r="V113" s="83"/>
      <c r="W113" s="41">
        <v>0</v>
      </c>
      <c r="X113" s="83"/>
      <c r="Y113" s="83">
        <v>3056</v>
      </c>
      <c r="Z113" s="83"/>
      <c r="AA113" s="83">
        <v>800000</v>
      </c>
      <c r="AB113" s="83"/>
      <c r="AC113" s="83">
        <v>0</v>
      </c>
      <c r="AD113" s="83"/>
      <c r="AE113" s="83">
        <v>12208</v>
      </c>
      <c r="AF113" s="83"/>
      <c r="AG113" s="36">
        <v>0</v>
      </c>
      <c r="AH113" s="83"/>
      <c r="AI113" s="83">
        <f t="shared" si="2"/>
        <v>1235196</v>
      </c>
      <c r="AJ113" s="10"/>
      <c r="AK113" s="22"/>
      <c r="AL113" s="22"/>
      <c r="AM113" s="22"/>
    </row>
    <row r="114" spans="1:39" s="21" customFormat="1" ht="12.75">
      <c r="A114" s="1" t="s">
        <v>936</v>
      </c>
      <c r="B114" s="1"/>
      <c r="C114" s="1" t="s">
        <v>470</v>
      </c>
      <c r="D114" s="1"/>
      <c r="E114" s="36">
        <v>9811.46</v>
      </c>
      <c r="F114" s="36"/>
      <c r="G114" s="36">
        <v>0</v>
      </c>
      <c r="H114" s="36"/>
      <c r="I114" s="36">
        <v>21849.67</v>
      </c>
      <c r="J114" s="36"/>
      <c r="K114" s="36">
        <v>4501.44</v>
      </c>
      <c r="L114" s="36"/>
      <c r="M114" s="36">
        <v>780</v>
      </c>
      <c r="N114" s="36"/>
      <c r="O114" s="36">
        <v>1878.32</v>
      </c>
      <c r="P114" s="36"/>
      <c r="Q114" s="36">
        <v>458.76</v>
      </c>
      <c r="R114" s="36"/>
      <c r="S114" s="36">
        <v>1000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0</v>
      </c>
      <c r="AD114" s="36"/>
      <c r="AE114" s="36">
        <v>0</v>
      </c>
      <c r="AF114" s="36"/>
      <c r="AG114" s="36">
        <v>0</v>
      </c>
      <c r="AH114" s="36"/>
      <c r="AI114" s="36">
        <f>SUM(E114:AG114)</f>
        <v>40279.65</v>
      </c>
      <c r="AJ114" s="10"/>
      <c r="AK114" s="22"/>
      <c r="AL114" s="22"/>
      <c r="AM114" s="22"/>
    </row>
    <row r="115" spans="1:39" s="21" customFormat="1" ht="12.75">
      <c r="A115" s="1" t="s">
        <v>60</v>
      </c>
      <c r="B115" s="1"/>
      <c r="C115" s="1" t="s">
        <v>765</v>
      </c>
      <c r="D115" s="1"/>
      <c r="E115" s="36">
        <v>155614.9</v>
      </c>
      <c r="F115" s="36"/>
      <c r="G115" s="36">
        <v>0</v>
      </c>
      <c r="H115" s="36"/>
      <c r="I115" s="36">
        <v>31894.02</v>
      </c>
      <c r="J115" s="36"/>
      <c r="K115" s="36">
        <v>0</v>
      </c>
      <c r="L115" s="36"/>
      <c r="M115" s="36">
        <v>272696</v>
      </c>
      <c r="N115" s="36"/>
      <c r="O115" s="36">
        <v>28385.4</v>
      </c>
      <c r="P115" s="36"/>
      <c r="Q115" s="36">
        <v>532.56</v>
      </c>
      <c r="R115" s="36"/>
      <c r="S115" s="36">
        <v>5099.96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v>0</v>
      </c>
      <c r="AF115" s="36"/>
      <c r="AG115" s="36">
        <v>0</v>
      </c>
      <c r="AH115" s="36"/>
      <c r="AI115" s="36">
        <f>SUM(E115:AG115)</f>
        <v>494222.84</v>
      </c>
      <c r="AJ115" s="10"/>
      <c r="AK115" s="22"/>
      <c r="AL115" s="22"/>
      <c r="AM115" s="22"/>
    </row>
    <row r="116" spans="1:39" s="21" customFormat="1" ht="12.75">
      <c r="A116" s="1" t="s">
        <v>51</v>
      </c>
      <c r="B116" s="1"/>
      <c r="C116" s="1" t="s">
        <v>762</v>
      </c>
      <c r="D116" s="1"/>
      <c r="E116" s="93">
        <v>736.8</v>
      </c>
      <c r="F116" s="93"/>
      <c r="G116" s="93">
        <v>0</v>
      </c>
      <c r="H116" s="93"/>
      <c r="I116" s="93">
        <v>23392.85</v>
      </c>
      <c r="J116" s="93"/>
      <c r="K116" s="93">
        <v>0</v>
      </c>
      <c r="L116" s="93"/>
      <c r="M116" s="93">
        <v>362.31</v>
      </c>
      <c r="N116" s="93"/>
      <c r="O116" s="93">
        <v>0</v>
      </c>
      <c r="P116" s="93"/>
      <c r="Q116" s="93">
        <v>45.07</v>
      </c>
      <c r="R116" s="93"/>
      <c r="S116" s="93">
        <v>431.54</v>
      </c>
      <c r="T116" s="93"/>
      <c r="U116" s="93">
        <v>0</v>
      </c>
      <c r="V116" s="93"/>
      <c r="W116" s="93">
        <v>0</v>
      </c>
      <c r="X116" s="93"/>
      <c r="Y116" s="93">
        <v>0</v>
      </c>
      <c r="Z116" s="93"/>
      <c r="AA116" s="93">
        <v>0</v>
      </c>
      <c r="AB116" s="93"/>
      <c r="AC116" s="93">
        <v>0</v>
      </c>
      <c r="AD116" s="93"/>
      <c r="AE116" s="93">
        <v>0</v>
      </c>
      <c r="AF116" s="93"/>
      <c r="AG116" s="93">
        <v>0</v>
      </c>
      <c r="AH116" s="93"/>
      <c r="AI116" s="93">
        <f>SUM(E116:AG116)</f>
        <v>24968.57</v>
      </c>
      <c r="AJ116" s="10"/>
      <c r="AK116" s="22"/>
      <c r="AL116" s="22"/>
      <c r="AM116" s="22"/>
    </row>
    <row r="117" spans="1:39" ht="12.75">
      <c r="A117" s="1" t="s">
        <v>34</v>
      </c>
      <c r="C117" s="1" t="s">
        <v>755</v>
      </c>
      <c r="E117" s="93">
        <v>4215.84</v>
      </c>
      <c r="F117" s="93"/>
      <c r="G117" s="93">
        <v>32556.36</v>
      </c>
      <c r="H117" s="93"/>
      <c r="I117" s="93">
        <v>5172.39</v>
      </c>
      <c r="J117" s="93"/>
      <c r="K117" s="93">
        <v>0</v>
      </c>
      <c r="L117" s="93"/>
      <c r="M117" s="93">
        <v>0</v>
      </c>
      <c r="N117" s="93"/>
      <c r="O117" s="93">
        <v>10292.1</v>
      </c>
      <c r="P117" s="93"/>
      <c r="Q117" s="93">
        <v>25.71</v>
      </c>
      <c r="R117" s="93"/>
      <c r="S117" s="93">
        <v>700</v>
      </c>
      <c r="T117" s="93"/>
      <c r="U117" s="93">
        <v>0</v>
      </c>
      <c r="V117" s="93"/>
      <c r="W117" s="93">
        <v>0</v>
      </c>
      <c r="X117" s="93"/>
      <c r="Y117" s="93">
        <v>0</v>
      </c>
      <c r="Z117" s="93"/>
      <c r="AA117" s="93">
        <v>0</v>
      </c>
      <c r="AB117" s="93"/>
      <c r="AC117" s="93">
        <v>0</v>
      </c>
      <c r="AD117" s="93"/>
      <c r="AE117" s="93">
        <v>0</v>
      </c>
      <c r="AF117" s="93"/>
      <c r="AG117" s="93">
        <v>0</v>
      </c>
      <c r="AH117" s="93"/>
      <c r="AI117" s="93">
        <f>SUM(E117:AG117)</f>
        <v>52962.399999999994</v>
      </c>
      <c r="AJ117" s="10"/>
      <c r="AK117" s="7"/>
      <c r="AL117" s="7"/>
      <c r="AM117" s="7"/>
    </row>
    <row r="118" spans="1:36" ht="12.75">
      <c r="A118" s="1" t="s">
        <v>182</v>
      </c>
      <c r="C118" s="1" t="s">
        <v>803</v>
      </c>
      <c r="E118" s="36">
        <v>2401.96</v>
      </c>
      <c r="F118" s="36"/>
      <c r="G118" s="36">
        <v>13530.59</v>
      </c>
      <c r="H118" s="36"/>
      <c r="I118" s="36">
        <v>13272.82</v>
      </c>
      <c r="J118" s="36"/>
      <c r="K118" s="36">
        <v>0</v>
      </c>
      <c r="L118" s="36"/>
      <c r="M118" s="36">
        <v>200</v>
      </c>
      <c r="N118" s="36"/>
      <c r="O118" s="36">
        <v>732.93</v>
      </c>
      <c r="P118" s="36"/>
      <c r="Q118" s="36">
        <v>21.95</v>
      </c>
      <c r="R118" s="36"/>
      <c r="S118" s="36">
        <v>79.5</v>
      </c>
      <c r="T118" s="36"/>
      <c r="U118" s="36">
        <v>0</v>
      </c>
      <c r="V118" s="36"/>
      <c r="W118" s="36">
        <v>0</v>
      </c>
      <c r="X118" s="36"/>
      <c r="Y118" s="36">
        <v>226</v>
      </c>
      <c r="Z118" s="36"/>
      <c r="AA118" s="36">
        <v>0</v>
      </c>
      <c r="AB118" s="36"/>
      <c r="AC118" s="36">
        <v>0</v>
      </c>
      <c r="AD118" s="36"/>
      <c r="AE118" s="36">
        <v>0</v>
      </c>
      <c r="AF118" s="36"/>
      <c r="AG118" s="36">
        <v>0</v>
      </c>
      <c r="AH118" s="36"/>
      <c r="AI118" s="36">
        <f>SUM(E118:AG118)</f>
        <v>30465.75</v>
      </c>
      <c r="AJ118" s="10"/>
    </row>
    <row r="119" spans="1:36" s="21" customFormat="1" ht="12.75">
      <c r="A119" s="1" t="s">
        <v>370</v>
      </c>
      <c r="B119" s="1"/>
      <c r="C119" s="1" t="s">
        <v>371</v>
      </c>
      <c r="D119" s="1"/>
      <c r="E119" s="83">
        <f>61436+68000</f>
        <v>129436</v>
      </c>
      <c r="F119" s="83"/>
      <c r="G119" s="83">
        <v>521345</v>
      </c>
      <c r="H119" s="83"/>
      <c r="I119" s="83">
        <v>138565</v>
      </c>
      <c r="J119" s="83"/>
      <c r="K119" s="83">
        <v>0</v>
      </c>
      <c r="L119" s="83"/>
      <c r="M119" s="83">
        <v>0</v>
      </c>
      <c r="N119" s="83"/>
      <c r="O119" s="83">
        <v>105</v>
      </c>
      <c r="P119" s="83"/>
      <c r="Q119" s="83">
        <v>894</v>
      </c>
      <c r="R119" s="83"/>
      <c r="S119" s="83">
        <v>67279</v>
      </c>
      <c r="T119" s="83"/>
      <c r="U119" s="83">
        <v>0</v>
      </c>
      <c r="V119" s="83"/>
      <c r="W119" s="41">
        <v>0</v>
      </c>
      <c r="X119" s="83"/>
      <c r="Y119" s="83">
        <v>0</v>
      </c>
      <c r="Z119" s="83"/>
      <c r="AA119" s="83">
        <v>0</v>
      </c>
      <c r="AB119" s="83"/>
      <c r="AC119" s="83">
        <v>0</v>
      </c>
      <c r="AD119" s="83"/>
      <c r="AE119" s="83">
        <v>0</v>
      </c>
      <c r="AF119" s="83"/>
      <c r="AG119" s="36">
        <v>0</v>
      </c>
      <c r="AH119" s="83"/>
      <c r="AI119" s="83">
        <f t="shared" si="2"/>
        <v>857624</v>
      </c>
      <c r="AJ119" s="10"/>
    </row>
    <row r="120" spans="1:36" ht="12.75">
      <c r="A120" s="1" t="s">
        <v>121</v>
      </c>
      <c r="C120" s="1" t="s">
        <v>782</v>
      </c>
      <c r="E120" s="36">
        <v>53720.46</v>
      </c>
      <c r="F120" s="36"/>
      <c r="G120" s="36">
        <v>330872.58</v>
      </c>
      <c r="H120" s="36"/>
      <c r="I120" s="36">
        <v>46580.96</v>
      </c>
      <c r="J120" s="36"/>
      <c r="K120" s="36">
        <v>0</v>
      </c>
      <c r="L120" s="36"/>
      <c r="M120" s="36">
        <v>0</v>
      </c>
      <c r="N120" s="36"/>
      <c r="O120" s="36">
        <v>27301.39</v>
      </c>
      <c r="P120" s="36"/>
      <c r="Q120" s="36">
        <v>1051.47</v>
      </c>
      <c r="R120" s="36"/>
      <c r="S120" s="36">
        <v>4026.72</v>
      </c>
      <c r="T120" s="36"/>
      <c r="U120" s="36">
        <v>0</v>
      </c>
      <c r="V120" s="36"/>
      <c r="W120" s="36">
        <v>0</v>
      </c>
      <c r="X120" s="36"/>
      <c r="Y120" s="36">
        <v>0</v>
      </c>
      <c r="Z120" s="36"/>
      <c r="AA120" s="36">
        <v>0</v>
      </c>
      <c r="AB120" s="36"/>
      <c r="AC120" s="36">
        <v>0</v>
      </c>
      <c r="AD120" s="36"/>
      <c r="AE120" s="36">
        <v>0</v>
      </c>
      <c r="AF120" s="36"/>
      <c r="AG120" s="36">
        <v>0</v>
      </c>
      <c r="AH120" s="36"/>
      <c r="AI120" s="36">
        <f>SUM(E120:AG120)</f>
        <v>463553.58</v>
      </c>
      <c r="AJ120" s="10"/>
    </row>
    <row r="121" spans="1:36" ht="12.75">
      <c r="A121" s="1" t="s">
        <v>839</v>
      </c>
      <c r="C121" s="1" t="s">
        <v>770</v>
      </c>
      <c r="E121" s="36">
        <v>2451.97</v>
      </c>
      <c r="F121" s="36"/>
      <c r="G121" s="36">
        <v>0</v>
      </c>
      <c r="H121" s="36"/>
      <c r="I121" s="36">
        <v>66109.77</v>
      </c>
      <c r="J121" s="36"/>
      <c r="K121" s="36">
        <v>0</v>
      </c>
      <c r="L121" s="36"/>
      <c r="M121" s="36">
        <v>4948.36</v>
      </c>
      <c r="N121" s="36"/>
      <c r="O121" s="36">
        <v>34</v>
      </c>
      <c r="P121" s="36"/>
      <c r="Q121" s="36">
        <v>0</v>
      </c>
      <c r="R121" s="36"/>
      <c r="S121" s="36">
        <v>12712.44</v>
      </c>
      <c r="T121" s="36"/>
      <c r="U121" s="36">
        <v>0</v>
      </c>
      <c r="V121" s="36"/>
      <c r="W121" s="36">
        <v>0</v>
      </c>
      <c r="X121" s="36"/>
      <c r="Y121" s="36">
        <v>0</v>
      </c>
      <c r="Z121" s="36"/>
      <c r="AA121" s="36">
        <v>0</v>
      </c>
      <c r="AB121" s="36"/>
      <c r="AC121" s="36">
        <v>0</v>
      </c>
      <c r="AD121" s="36"/>
      <c r="AE121" s="36">
        <v>2466.4</v>
      </c>
      <c r="AF121" s="36"/>
      <c r="AG121" s="36">
        <v>0</v>
      </c>
      <c r="AH121" s="36"/>
      <c r="AI121" s="36">
        <f>SUM(E121:AG121)</f>
        <v>88722.94</v>
      </c>
      <c r="AJ121" s="10"/>
    </row>
    <row r="122" spans="1:39" s="21" customFormat="1" ht="12.75">
      <c r="A122" s="1" t="s">
        <v>319</v>
      </c>
      <c r="B122" s="1"/>
      <c r="C122" s="1" t="s">
        <v>316</v>
      </c>
      <c r="D122" s="1"/>
      <c r="E122" s="83">
        <v>1229041</v>
      </c>
      <c r="F122" s="83"/>
      <c r="G122" s="83">
        <v>2389954</v>
      </c>
      <c r="H122" s="83"/>
      <c r="I122" s="83">
        <v>828925</v>
      </c>
      <c r="J122" s="83"/>
      <c r="K122" s="83">
        <v>0</v>
      </c>
      <c r="L122" s="83"/>
      <c r="M122" s="83">
        <v>841560</v>
      </c>
      <c r="N122" s="83"/>
      <c r="O122" s="83">
        <v>94762</v>
      </c>
      <c r="P122" s="83"/>
      <c r="Q122" s="83">
        <v>3467</v>
      </c>
      <c r="R122" s="83"/>
      <c r="S122" s="83">
        <v>20677</v>
      </c>
      <c r="T122" s="83"/>
      <c r="U122" s="83">
        <v>0</v>
      </c>
      <c r="V122" s="83"/>
      <c r="W122" s="41">
        <v>0</v>
      </c>
      <c r="X122" s="83"/>
      <c r="Y122" s="83">
        <v>0</v>
      </c>
      <c r="Z122" s="83"/>
      <c r="AA122" s="83">
        <v>0</v>
      </c>
      <c r="AB122" s="83"/>
      <c r="AC122" s="83">
        <v>0</v>
      </c>
      <c r="AD122" s="83"/>
      <c r="AE122" s="83">
        <v>0</v>
      </c>
      <c r="AF122" s="83"/>
      <c r="AG122" s="36">
        <v>0</v>
      </c>
      <c r="AH122" s="83"/>
      <c r="AI122" s="83">
        <f t="shared" si="2"/>
        <v>5408386</v>
      </c>
      <c r="AJ122" s="10"/>
      <c r="AK122" s="22"/>
      <c r="AL122" s="22"/>
      <c r="AM122" s="22"/>
    </row>
    <row r="123" spans="1:36" s="21" customFormat="1" ht="12.75">
      <c r="A123" s="1" t="s">
        <v>311</v>
      </c>
      <c r="B123" s="1"/>
      <c r="C123" s="1" t="s">
        <v>312</v>
      </c>
      <c r="D123" s="1"/>
      <c r="E123" s="83">
        <v>2174</v>
      </c>
      <c r="F123" s="83"/>
      <c r="G123" s="83">
        <v>0</v>
      </c>
      <c r="H123" s="83"/>
      <c r="I123" s="83">
        <v>10539</v>
      </c>
      <c r="J123" s="83"/>
      <c r="K123" s="83">
        <v>0</v>
      </c>
      <c r="L123" s="83"/>
      <c r="M123" s="83">
        <v>0</v>
      </c>
      <c r="N123" s="83"/>
      <c r="O123" s="83">
        <v>50</v>
      </c>
      <c r="P123" s="83"/>
      <c r="Q123" s="83">
        <v>71</v>
      </c>
      <c r="R123" s="83"/>
      <c r="S123" s="83">
        <v>202</v>
      </c>
      <c r="T123" s="83"/>
      <c r="U123" s="83">
        <v>0</v>
      </c>
      <c r="V123" s="83"/>
      <c r="W123" s="41">
        <v>0</v>
      </c>
      <c r="X123" s="83"/>
      <c r="Y123" s="83">
        <v>0</v>
      </c>
      <c r="Z123" s="83"/>
      <c r="AA123" s="83">
        <v>0</v>
      </c>
      <c r="AB123" s="83"/>
      <c r="AC123" s="83">
        <v>0</v>
      </c>
      <c r="AD123" s="83"/>
      <c r="AE123" s="83">
        <v>0</v>
      </c>
      <c r="AF123" s="83"/>
      <c r="AG123" s="36">
        <v>0</v>
      </c>
      <c r="AH123" s="83"/>
      <c r="AI123" s="83">
        <f t="shared" si="2"/>
        <v>13036</v>
      </c>
      <c r="AJ123" s="10"/>
    </row>
    <row r="124" spans="1:39" s="21" customFormat="1" ht="12.75">
      <c r="A124" s="1" t="s">
        <v>273</v>
      </c>
      <c r="B124" s="1"/>
      <c r="C124" s="1" t="s">
        <v>271</v>
      </c>
      <c r="D124" s="1"/>
      <c r="E124" s="36">
        <v>51905.47</v>
      </c>
      <c r="F124" s="36"/>
      <c r="G124" s="36">
        <v>0</v>
      </c>
      <c r="H124" s="36"/>
      <c r="I124" s="36">
        <v>25691.97</v>
      </c>
      <c r="J124" s="36"/>
      <c r="K124" s="36">
        <v>0</v>
      </c>
      <c r="L124" s="36"/>
      <c r="M124" s="36">
        <v>0</v>
      </c>
      <c r="N124" s="36"/>
      <c r="O124" s="36">
        <v>0</v>
      </c>
      <c r="P124" s="36"/>
      <c r="Q124" s="36">
        <v>11.19</v>
      </c>
      <c r="R124" s="36"/>
      <c r="S124" s="36">
        <v>27275.3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v>0</v>
      </c>
      <c r="AF124" s="36"/>
      <c r="AG124" s="36">
        <v>0</v>
      </c>
      <c r="AH124" s="36"/>
      <c r="AI124" s="36">
        <f>SUM(E124:AG124)</f>
        <v>104883.93000000001</v>
      </c>
      <c r="AJ124" s="10"/>
      <c r="AK124" s="22"/>
      <c r="AL124" s="22"/>
      <c r="AM124" s="22"/>
    </row>
    <row r="125" spans="1:36" s="31" customFormat="1" ht="12.75">
      <c r="A125" s="15" t="s">
        <v>663</v>
      </c>
      <c r="B125" s="15"/>
      <c r="C125" s="15" t="s">
        <v>664</v>
      </c>
      <c r="D125" s="15"/>
      <c r="E125" s="85">
        <v>7119</v>
      </c>
      <c r="F125" s="85"/>
      <c r="G125" s="85">
        <v>0</v>
      </c>
      <c r="H125" s="85"/>
      <c r="I125" s="85">
        <v>1644</v>
      </c>
      <c r="J125" s="85"/>
      <c r="K125" s="85">
        <v>0</v>
      </c>
      <c r="L125" s="85"/>
      <c r="M125" s="85">
        <v>0</v>
      </c>
      <c r="N125" s="85"/>
      <c r="O125" s="85">
        <v>1458</v>
      </c>
      <c r="P125" s="85"/>
      <c r="Q125" s="85">
        <v>0</v>
      </c>
      <c r="R125" s="85"/>
      <c r="S125" s="85">
        <v>245</v>
      </c>
      <c r="T125" s="85"/>
      <c r="U125" s="85">
        <v>0</v>
      </c>
      <c r="V125" s="85"/>
      <c r="W125" s="41">
        <v>0</v>
      </c>
      <c r="X125" s="85"/>
      <c r="Y125" s="85">
        <v>0</v>
      </c>
      <c r="Z125" s="85"/>
      <c r="AA125" s="83">
        <v>0</v>
      </c>
      <c r="AB125" s="85"/>
      <c r="AC125" s="83">
        <v>0</v>
      </c>
      <c r="AD125" s="85"/>
      <c r="AE125" s="83">
        <v>0</v>
      </c>
      <c r="AF125" s="85"/>
      <c r="AG125" s="85">
        <v>0</v>
      </c>
      <c r="AH125" s="85"/>
      <c r="AI125" s="83">
        <f t="shared" si="2"/>
        <v>10466</v>
      </c>
      <c r="AJ125" s="24"/>
    </row>
    <row r="126" spans="1:36" ht="12.75">
      <c r="A126" s="1" t="s">
        <v>436</v>
      </c>
      <c r="C126" s="1" t="s">
        <v>437</v>
      </c>
      <c r="E126" s="36">
        <v>20474.95</v>
      </c>
      <c r="F126" s="36"/>
      <c r="G126" s="36">
        <v>0</v>
      </c>
      <c r="H126" s="36"/>
      <c r="I126" s="36">
        <v>38307.82</v>
      </c>
      <c r="J126" s="36"/>
      <c r="K126" s="36">
        <v>0</v>
      </c>
      <c r="L126" s="36"/>
      <c r="M126" s="36">
        <v>0</v>
      </c>
      <c r="N126" s="36"/>
      <c r="O126" s="36">
        <v>131905.39</v>
      </c>
      <c r="P126" s="36"/>
      <c r="Q126" s="36">
        <v>91.01</v>
      </c>
      <c r="R126" s="36"/>
      <c r="S126" s="36">
        <v>25503.6</v>
      </c>
      <c r="T126" s="36"/>
      <c r="U126" s="36">
        <v>0</v>
      </c>
      <c r="V126" s="36"/>
      <c r="W126" s="36">
        <v>0</v>
      </c>
      <c r="X126" s="36"/>
      <c r="Y126" s="36">
        <v>0</v>
      </c>
      <c r="Z126" s="36"/>
      <c r="AA126" s="36">
        <v>0</v>
      </c>
      <c r="AB126" s="36"/>
      <c r="AC126" s="36">
        <v>0</v>
      </c>
      <c r="AD126" s="36"/>
      <c r="AE126" s="36">
        <v>0</v>
      </c>
      <c r="AF126" s="36"/>
      <c r="AG126" s="36">
        <v>0</v>
      </c>
      <c r="AH126" s="36"/>
      <c r="AI126" s="36">
        <f>SUM(E126:AG126)</f>
        <v>216282.77000000005</v>
      </c>
      <c r="AJ126" s="10"/>
    </row>
    <row r="127" spans="1:36" s="21" customFormat="1" ht="12.75">
      <c r="A127" s="1" t="s">
        <v>79</v>
      </c>
      <c r="B127" s="1"/>
      <c r="C127" s="1" t="s">
        <v>770</v>
      </c>
      <c r="D127" s="1"/>
      <c r="E127" s="36">
        <v>2928.02</v>
      </c>
      <c r="F127" s="36"/>
      <c r="G127" s="36">
        <v>0</v>
      </c>
      <c r="H127" s="36"/>
      <c r="I127" s="36">
        <v>60757.1</v>
      </c>
      <c r="J127" s="36"/>
      <c r="K127" s="36">
        <v>0</v>
      </c>
      <c r="L127" s="36"/>
      <c r="M127" s="36">
        <v>0</v>
      </c>
      <c r="N127" s="36"/>
      <c r="O127" s="36">
        <v>669.4</v>
      </c>
      <c r="P127" s="36"/>
      <c r="Q127" s="36">
        <v>10015.32</v>
      </c>
      <c r="R127" s="36"/>
      <c r="S127" s="36">
        <v>14043.77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v>0</v>
      </c>
      <c r="AF127" s="36"/>
      <c r="AG127" s="36">
        <v>100</v>
      </c>
      <c r="AH127" s="36"/>
      <c r="AI127" s="36">
        <f>SUM(E127:AG127)</f>
        <v>88513.61</v>
      </c>
      <c r="AJ127" s="10"/>
    </row>
    <row r="128" spans="1:36" s="15" customFormat="1" ht="12.75">
      <c r="A128" s="15" t="s">
        <v>896</v>
      </c>
      <c r="C128" s="15" t="s">
        <v>897</v>
      </c>
      <c r="E128" s="85">
        <v>2659</v>
      </c>
      <c r="F128" s="85"/>
      <c r="G128" s="85">
        <v>0</v>
      </c>
      <c r="H128" s="85"/>
      <c r="I128" s="85">
        <v>0</v>
      </c>
      <c r="J128" s="85"/>
      <c r="K128" s="85">
        <v>0</v>
      </c>
      <c r="L128" s="85"/>
      <c r="M128" s="85">
        <v>0</v>
      </c>
      <c r="N128" s="85"/>
      <c r="O128" s="85">
        <v>0</v>
      </c>
      <c r="P128" s="85"/>
      <c r="Q128" s="85">
        <v>130</v>
      </c>
      <c r="R128" s="85"/>
      <c r="S128" s="85">
        <v>49020</v>
      </c>
      <c r="T128" s="85"/>
      <c r="U128" s="85">
        <v>0</v>
      </c>
      <c r="V128" s="85"/>
      <c r="W128" s="41">
        <v>0</v>
      </c>
      <c r="X128" s="85"/>
      <c r="Y128" s="85">
        <v>0</v>
      </c>
      <c r="Z128" s="85"/>
      <c r="AA128" s="83">
        <v>0</v>
      </c>
      <c r="AB128" s="85"/>
      <c r="AC128" s="83">
        <v>0</v>
      </c>
      <c r="AD128" s="85"/>
      <c r="AE128" s="83">
        <v>0</v>
      </c>
      <c r="AF128" s="85"/>
      <c r="AG128" s="85">
        <v>0</v>
      </c>
      <c r="AH128" s="85"/>
      <c r="AI128" s="83">
        <f t="shared" si="2"/>
        <v>51809</v>
      </c>
      <c r="AJ128" s="24"/>
    </row>
    <row r="129" spans="1:36" ht="12.75">
      <c r="A129" s="1" t="s">
        <v>171</v>
      </c>
      <c r="C129" s="1" t="s">
        <v>799</v>
      </c>
      <c r="E129" s="93">
        <v>32616.92</v>
      </c>
      <c r="F129" s="93"/>
      <c r="G129" s="93">
        <v>0</v>
      </c>
      <c r="H129" s="93"/>
      <c r="I129" s="93">
        <v>13310</v>
      </c>
      <c r="J129" s="93"/>
      <c r="K129" s="93">
        <v>0</v>
      </c>
      <c r="L129" s="93"/>
      <c r="M129" s="93">
        <v>2251.74</v>
      </c>
      <c r="N129" s="93"/>
      <c r="O129" s="93">
        <v>2117.01</v>
      </c>
      <c r="P129" s="93"/>
      <c r="Q129" s="93">
        <v>83.75</v>
      </c>
      <c r="R129" s="93"/>
      <c r="S129" s="93">
        <v>0</v>
      </c>
      <c r="T129" s="93"/>
      <c r="U129" s="93">
        <v>0</v>
      </c>
      <c r="V129" s="93"/>
      <c r="W129" s="93">
        <v>0</v>
      </c>
      <c r="X129" s="93"/>
      <c r="Y129" s="93">
        <v>0</v>
      </c>
      <c r="Z129" s="93"/>
      <c r="AA129" s="93">
        <v>0</v>
      </c>
      <c r="AB129" s="93"/>
      <c r="AC129" s="93">
        <v>0</v>
      </c>
      <c r="AD129" s="93"/>
      <c r="AE129" s="93">
        <v>0</v>
      </c>
      <c r="AF129" s="93"/>
      <c r="AG129" s="93">
        <v>0</v>
      </c>
      <c r="AH129" s="93"/>
      <c r="AI129" s="93">
        <f>SUM(E129:AG129)</f>
        <v>50379.42</v>
      </c>
      <c r="AJ129" s="10"/>
    </row>
    <row r="130" spans="1:36" ht="12.75">
      <c r="A130" s="1" t="s">
        <v>851</v>
      </c>
      <c r="C130" s="1" t="s">
        <v>794</v>
      </c>
      <c r="E130" s="36">
        <v>33658.49</v>
      </c>
      <c r="F130" s="36"/>
      <c r="G130" s="36">
        <v>0</v>
      </c>
      <c r="H130" s="36"/>
      <c r="I130" s="36">
        <v>36372.52</v>
      </c>
      <c r="J130" s="36"/>
      <c r="K130" s="36">
        <v>0</v>
      </c>
      <c r="L130" s="36"/>
      <c r="M130" s="36">
        <v>2201.14</v>
      </c>
      <c r="N130" s="36"/>
      <c r="O130" s="36">
        <v>100</v>
      </c>
      <c r="P130" s="36"/>
      <c r="Q130" s="36">
        <v>1974.48</v>
      </c>
      <c r="R130" s="36"/>
      <c r="S130" s="36">
        <v>0</v>
      </c>
      <c r="T130" s="36"/>
      <c r="U130" s="36">
        <v>0</v>
      </c>
      <c r="V130" s="36"/>
      <c r="W130" s="36">
        <v>0</v>
      </c>
      <c r="X130" s="36"/>
      <c r="Y130" s="36">
        <v>4910</v>
      </c>
      <c r="Z130" s="36"/>
      <c r="AA130" s="36">
        <v>0</v>
      </c>
      <c r="AB130" s="36"/>
      <c r="AC130" s="36">
        <v>0</v>
      </c>
      <c r="AD130" s="36"/>
      <c r="AE130" s="36">
        <v>0</v>
      </c>
      <c r="AF130" s="36"/>
      <c r="AG130" s="36">
        <v>0</v>
      </c>
      <c r="AH130" s="36"/>
      <c r="AI130" s="36">
        <f>SUM(E130:AG130)</f>
        <v>79216.62999999999</v>
      </c>
      <c r="AJ130" s="10"/>
    </row>
    <row r="131" spans="1:36" ht="12.75">
      <c r="A131" s="1" t="s">
        <v>898</v>
      </c>
      <c r="C131" s="1" t="s">
        <v>295</v>
      </c>
      <c r="E131" s="83">
        <v>843</v>
      </c>
      <c r="F131" s="83"/>
      <c r="G131" s="83">
        <v>0</v>
      </c>
      <c r="H131" s="83"/>
      <c r="I131" s="83">
        <v>18829</v>
      </c>
      <c r="J131" s="83"/>
      <c r="K131" s="83">
        <v>0</v>
      </c>
      <c r="L131" s="83"/>
      <c r="M131" s="83">
        <v>0</v>
      </c>
      <c r="N131" s="83"/>
      <c r="O131" s="83">
        <v>0</v>
      </c>
      <c r="P131" s="83"/>
      <c r="Q131" s="83">
        <v>83</v>
      </c>
      <c r="R131" s="83"/>
      <c r="S131" s="83">
        <v>2667</v>
      </c>
      <c r="T131" s="83"/>
      <c r="U131" s="83">
        <v>0</v>
      </c>
      <c r="V131" s="85"/>
      <c r="W131" s="41">
        <v>0</v>
      </c>
      <c r="X131" s="85"/>
      <c r="Y131" s="83">
        <v>0</v>
      </c>
      <c r="Z131" s="83"/>
      <c r="AA131" s="83">
        <v>0</v>
      </c>
      <c r="AB131" s="83"/>
      <c r="AC131" s="83">
        <v>0</v>
      </c>
      <c r="AD131" s="83"/>
      <c r="AE131" s="83">
        <v>0</v>
      </c>
      <c r="AF131" s="83"/>
      <c r="AG131" s="83">
        <v>0</v>
      </c>
      <c r="AH131" s="83"/>
      <c r="AI131" s="83">
        <f t="shared" si="2"/>
        <v>22422</v>
      </c>
      <c r="AJ131" s="10"/>
    </row>
    <row r="132" spans="1:36" ht="12.75">
      <c r="A132" s="1" t="s">
        <v>152</v>
      </c>
      <c r="C132" s="1" t="s">
        <v>792</v>
      </c>
      <c r="E132" s="93">
        <v>103288.81</v>
      </c>
      <c r="F132" s="93"/>
      <c r="G132" s="93">
        <v>0</v>
      </c>
      <c r="H132" s="93"/>
      <c r="I132" s="93">
        <v>55433.64</v>
      </c>
      <c r="J132" s="93"/>
      <c r="K132" s="93">
        <v>0</v>
      </c>
      <c r="L132" s="93"/>
      <c r="M132" s="93">
        <v>0</v>
      </c>
      <c r="N132" s="93"/>
      <c r="O132" s="93">
        <v>2145</v>
      </c>
      <c r="P132" s="93"/>
      <c r="Q132" s="93">
        <v>223.49</v>
      </c>
      <c r="R132" s="93"/>
      <c r="S132" s="93">
        <v>9820.96</v>
      </c>
      <c r="T132" s="93"/>
      <c r="U132" s="93">
        <v>0</v>
      </c>
      <c r="V132" s="93"/>
      <c r="W132" s="93">
        <v>0</v>
      </c>
      <c r="X132" s="93"/>
      <c r="Y132" s="93">
        <v>0</v>
      </c>
      <c r="Z132" s="93"/>
      <c r="AA132" s="93">
        <v>0</v>
      </c>
      <c r="AB132" s="93"/>
      <c r="AC132" s="93">
        <v>0</v>
      </c>
      <c r="AD132" s="93"/>
      <c r="AE132" s="93">
        <v>0</v>
      </c>
      <c r="AF132" s="93"/>
      <c r="AG132" s="93">
        <v>0</v>
      </c>
      <c r="AH132" s="93"/>
      <c r="AI132" s="93">
        <f>SUM(E132:AG132)</f>
        <v>170911.9</v>
      </c>
      <c r="AJ132" s="10"/>
    </row>
    <row r="133" spans="1:39" s="21" customFormat="1" ht="12.75">
      <c r="A133" s="1" t="s">
        <v>32</v>
      </c>
      <c r="B133" s="1"/>
      <c r="C133" s="1" t="s">
        <v>754</v>
      </c>
      <c r="D133" s="1"/>
      <c r="E133" s="93">
        <v>15351.96</v>
      </c>
      <c r="F133" s="93"/>
      <c r="G133" s="93">
        <v>0</v>
      </c>
      <c r="H133" s="93"/>
      <c r="I133" s="93">
        <v>23780.78</v>
      </c>
      <c r="J133" s="93"/>
      <c r="K133" s="93">
        <v>0</v>
      </c>
      <c r="L133" s="93"/>
      <c r="M133" s="93">
        <v>0</v>
      </c>
      <c r="N133" s="93"/>
      <c r="O133" s="93">
        <v>88</v>
      </c>
      <c r="P133" s="93"/>
      <c r="Q133" s="93">
        <v>979.44</v>
      </c>
      <c r="R133" s="93"/>
      <c r="S133" s="93">
        <v>5</v>
      </c>
      <c r="T133" s="93"/>
      <c r="U133" s="93">
        <v>0</v>
      </c>
      <c r="V133" s="93"/>
      <c r="W133" s="93">
        <v>0</v>
      </c>
      <c r="X133" s="93"/>
      <c r="Y133" s="93">
        <v>0</v>
      </c>
      <c r="Z133" s="93"/>
      <c r="AA133" s="93">
        <v>0</v>
      </c>
      <c r="AB133" s="93"/>
      <c r="AC133" s="93">
        <v>0</v>
      </c>
      <c r="AD133" s="93"/>
      <c r="AE133" s="93">
        <v>0</v>
      </c>
      <c r="AF133" s="93"/>
      <c r="AG133" s="93">
        <v>0</v>
      </c>
      <c r="AH133" s="93"/>
      <c r="AI133" s="93">
        <f>SUM(E133:AG133)</f>
        <v>40205.18</v>
      </c>
      <c r="AJ133" s="10"/>
      <c r="AK133" s="22"/>
      <c r="AL133" s="22"/>
      <c r="AM133" s="22"/>
    </row>
    <row r="134" spans="1:36" ht="12.75">
      <c r="A134" s="1" t="s">
        <v>211</v>
      </c>
      <c r="C134" s="1" t="s">
        <v>810</v>
      </c>
      <c r="E134" s="36">
        <v>7243.14</v>
      </c>
      <c r="F134" s="36"/>
      <c r="G134" s="36">
        <v>0</v>
      </c>
      <c r="H134" s="36"/>
      <c r="I134" s="36">
        <v>48826.33</v>
      </c>
      <c r="J134" s="36"/>
      <c r="K134" s="36">
        <v>0</v>
      </c>
      <c r="L134" s="36"/>
      <c r="M134" s="36">
        <v>51</v>
      </c>
      <c r="N134" s="36"/>
      <c r="O134" s="36">
        <v>2872.2</v>
      </c>
      <c r="P134" s="36"/>
      <c r="Q134" s="36">
        <v>647.55</v>
      </c>
      <c r="R134" s="36"/>
      <c r="S134" s="36">
        <v>1338.69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v>0</v>
      </c>
      <c r="AF134" s="36"/>
      <c r="AG134" s="36">
        <v>0</v>
      </c>
      <c r="AH134" s="36"/>
      <c r="AI134" s="36">
        <f>SUM(E134:AG134)</f>
        <v>60978.91</v>
      </c>
      <c r="AJ134" s="10"/>
    </row>
    <row r="135" spans="1:39" s="21" customFormat="1" ht="12.75" hidden="1">
      <c r="A135" s="1" t="s">
        <v>300</v>
      </c>
      <c r="B135" s="1"/>
      <c r="C135" s="1" t="s">
        <v>299</v>
      </c>
      <c r="D135" s="1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5"/>
      <c r="W135" s="41"/>
      <c r="X135" s="85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>
        <f t="shared" si="2"/>
        <v>0</v>
      </c>
      <c r="AJ135" s="10"/>
      <c r="AK135" s="22"/>
      <c r="AL135" s="22"/>
      <c r="AM135" s="22"/>
    </row>
    <row r="136" spans="1:36" ht="12.75">
      <c r="A136" s="1" t="s">
        <v>179</v>
      </c>
      <c r="C136" s="1" t="s">
        <v>802</v>
      </c>
      <c r="E136" s="36">
        <v>9964.22</v>
      </c>
      <c r="F136" s="36"/>
      <c r="G136" s="36">
        <v>0</v>
      </c>
      <c r="H136" s="36"/>
      <c r="I136" s="36">
        <v>21656.59</v>
      </c>
      <c r="J136" s="36"/>
      <c r="K136" s="36">
        <v>0</v>
      </c>
      <c r="L136" s="36"/>
      <c r="M136" s="36">
        <v>4729</v>
      </c>
      <c r="N136" s="36"/>
      <c r="O136" s="36">
        <v>2019.48</v>
      </c>
      <c r="P136" s="36"/>
      <c r="Q136" s="36">
        <v>209.01</v>
      </c>
      <c r="R136" s="36"/>
      <c r="S136" s="36">
        <v>0</v>
      </c>
      <c r="T136" s="36"/>
      <c r="U136" s="36">
        <v>0</v>
      </c>
      <c r="V136" s="36"/>
      <c r="W136" s="36">
        <v>0</v>
      </c>
      <c r="X136" s="36"/>
      <c r="Y136" s="36">
        <v>0</v>
      </c>
      <c r="Z136" s="36"/>
      <c r="AA136" s="36">
        <v>30000</v>
      </c>
      <c r="AB136" s="36"/>
      <c r="AC136" s="36">
        <v>0</v>
      </c>
      <c r="AD136" s="36"/>
      <c r="AE136" s="36">
        <v>0</v>
      </c>
      <c r="AF136" s="36"/>
      <c r="AG136" s="36">
        <v>0</v>
      </c>
      <c r="AH136" s="36"/>
      <c r="AI136" s="36">
        <f>SUM(E136:AG136)</f>
        <v>68578.3</v>
      </c>
      <c r="AJ136" s="10"/>
    </row>
    <row r="137" spans="1:36" ht="12.75">
      <c r="A137" s="1" t="s">
        <v>852</v>
      </c>
      <c r="C137" s="1" t="s">
        <v>773</v>
      </c>
      <c r="E137" s="93">
        <v>269493.31</v>
      </c>
      <c r="F137" s="93"/>
      <c r="G137" s="93">
        <v>0</v>
      </c>
      <c r="H137" s="93"/>
      <c r="I137" s="93">
        <v>90160.56</v>
      </c>
      <c r="J137" s="93"/>
      <c r="K137" s="93">
        <v>0</v>
      </c>
      <c r="L137" s="93"/>
      <c r="M137" s="93">
        <v>23008.29</v>
      </c>
      <c r="N137" s="93"/>
      <c r="O137" s="93">
        <v>104515.41</v>
      </c>
      <c r="P137" s="93"/>
      <c r="Q137" s="93">
        <v>3399.82</v>
      </c>
      <c r="R137" s="93"/>
      <c r="S137" s="93">
        <v>11062.07</v>
      </c>
      <c r="T137" s="93"/>
      <c r="U137" s="93">
        <v>0</v>
      </c>
      <c r="V137" s="93"/>
      <c r="W137" s="93">
        <v>0</v>
      </c>
      <c r="X137" s="93"/>
      <c r="Y137" s="93">
        <v>6300</v>
      </c>
      <c r="Z137" s="93"/>
      <c r="AA137" s="93">
        <v>0</v>
      </c>
      <c r="AB137" s="93"/>
      <c r="AC137" s="93">
        <v>0</v>
      </c>
      <c r="AD137" s="93"/>
      <c r="AE137" s="93">
        <v>0</v>
      </c>
      <c r="AF137" s="93"/>
      <c r="AG137" s="93">
        <v>0</v>
      </c>
      <c r="AH137" s="93"/>
      <c r="AI137" s="93">
        <f>SUM(E137:AG137)</f>
        <v>507939.45999999996</v>
      </c>
      <c r="AJ137" s="10"/>
    </row>
    <row r="138" spans="1:36" s="21" customFormat="1" ht="12.75">
      <c r="A138" s="1" t="s">
        <v>372</v>
      </c>
      <c r="B138" s="1"/>
      <c r="C138" s="1" t="s">
        <v>373</v>
      </c>
      <c r="D138" s="1"/>
      <c r="E138" s="83">
        <v>21515</v>
      </c>
      <c r="F138" s="83"/>
      <c r="G138" s="83">
        <v>0</v>
      </c>
      <c r="H138" s="83"/>
      <c r="I138" s="83">
        <v>2367</v>
      </c>
      <c r="J138" s="83"/>
      <c r="K138" s="83">
        <v>0</v>
      </c>
      <c r="L138" s="83"/>
      <c r="M138" s="83">
        <v>0</v>
      </c>
      <c r="N138" s="83"/>
      <c r="O138" s="83">
        <v>0</v>
      </c>
      <c r="P138" s="83"/>
      <c r="Q138" s="83">
        <v>3</v>
      </c>
      <c r="R138" s="83"/>
      <c r="S138" s="83">
        <f>20+1680</f>
        <v>1700</v>
      </c>
      <c r="T138" s="83"/>
      <c r="U138" s="83">
        <v>0</v>
      </c>
      <c r="V138" s="83"/>
      <c r="W138" s="41">
        <v>0</v>
      </c>
      <c r="X138" s="83"/>
      <c r="Y138" s="83">
        <v>0</v>
      </c>
      <c r="Z138" s="83"/>
      <c r="AA138" s="83">
        <v>0</v>
      </c>
      <c r="AB138" s="83"/>
      <c r="AC138" s="83">
        <v>0</v>
      </c>
      <c r="AD138" s="83"/>
      <c r="AE138" s="83">
        <v>0</v>
      </c>
      <c r="AF138" s="83"/>
      <c r="AG138" s="83">
        <v>0</v>
      </c>
      <c r="AH138" s="83"/>
      <c r="AI138" s="83">
        <f aca="true" t="shared" si="5" ref="AI138:AI202">SUM(E138:AG138)</f>
        <v>25585</v>
      </c>
      <c r="AJ138" s="10"/>
    </row>
    <row r="139" spans="1:36" s="21" customFormat="1" ht="12.75">
      <c r="A139" s="1" t="s">
        <v>299</v>
      </c>
      <c r="B139" s="1"/>
      <c r="C139" s="1" t="s">
        <v>551</v>
      </c>
      <c r="D139" s="1"/>
      <c r="E139" s="36">
        <v>86544.18</v>
      </c>
      <c r="F139" s="36"/>
      <c r="G139" s="36">
        <v>0</v>
      </c>
      <c r="H139" s="36"/>
      <c r="I139" s="36">
        <v>69078.95</v>
      </c>
      <c r="J139" s="36"/>
      <c r="K139" s="36">
        <v>0</v>
      </c>
      <c r="L139" s="36"/>
      <c r="M139" s="36">
        <v>2117.7</v>
      </c>
      <c r="N139" s="36"/>
      <c r="O139" s="36">
        <v>13161.5</v>
      </c>
      <c r="P139" s="36"/>
      <c r="Q139" s="36">
        <v>396.97</v>
      </c>
      <c r="R139" s="36"/>
      <c r="S139" s="36">
        <v>6213.82</v>
      </c>
      <c r="T139" s="36"/>
      <c r="U139" s="36">
        <v>0</v>
      </c>
      <c r="V139" s="36"/>
      <c r="W139" s="36">
        <v>0</v>
      </c>
      <c r="X139" s="36"/>
      <c r="Y139" s="36">
        <v>0</v>
      </c>
      <c r="Z139" s="36"/>
      <c r="AA139" s="36">
        <v>0</v>
      </c>
      <c r="AB139" s="36"/>
      <c r="AC139" s="36">
        <v>0</v>
      </c>
      <c r="AD139" s="36"/>
      <c r="AE139" s="36">
        <v>0</v>
      </c>
      <c r="AF139" s="36"/>
      <c r="AG139" s="36">
        <v>0</v>
      </c>
      <c r="AH139" s="36"/>
      <c r="AI139" s="36">
        <f>SUM(E139:AG139)</f>
        <v>177513.12000000002</v>
      </c>
      <c r="AJ139" s="10"/>
    </row>
    <row r="140" spans="1:36" s="15" customFormat="1" ht="12.75">
      <c r="A140" s="15" t="s">
        <v>665</v>
      </c>
      <c r="C140" s="15" t="s">
        <v>514</v>
      </c>
      <c r="E140" s="85">
        <v>126602</v>
      </c>
      <c r="F140" s="85"/>
      <c r="G140" s="85">
        <v>0</v>
      </c>
      <c r="H140" s="85"/>
      <c r="I140" s="85">
        <v>0</v>
      </c>
      <c r="J140" s="85"/>
      <c r="K140" s="85">
        <v>0</v>
      </c>
      <c r="L140" s="85"/>
      <c r="M140" s="85">
        <v>0</v>
      </c>
      <c r="N140" s="85"/>
      <c r="O140" s="85">
        <v>0</v>
      </c>
      <c r="P140" s="85"/>
      <c r="Q140" s="85">
        <v>178</v>
      </c>
      <c r="R140" s="85"/>
      <c r="S140" s="85">
        <v>1144</v>
      </c>
      <c r="T140" s="85"/>
      <c r="U140" s="85">
        <v>0</v>
      </c>
      <c r="V140" s="85"/>
      <c r="W140" s="41">
        <v>0</v>
      </c>
      <c r="X140" s="85"/>
      <c r="Y140" s="85">
        <v>0</v>
      </c>
      <c r="Z140" s="85"/>
      <c r="AA140" s="83">
        <v>0</v>
      </c>
      <c r="AB140" s="85"/>
      <c r="AC140" s="85">
        <v>0</v>
      </c>
      <c r="AD140" s="85"/>
      <c r="AE140" s="83">
        <v>0</v>
      </c>
      <c r="AF140" s="86"/>
      <c r="AG140" s="85">
        <v>0</v>
      </c>
      <c r="AH140" s="86"/>
      <c r="AI140" s="83">
        <f t="shared" si="5"/>
        <v>127924</v>
      </c>
      <c r="AJ140" s="24"/>
    </row>
    <row r="141" spans="1:36" s="21" customFormat="1" ht="12.75">
      <c r="A141" s="1" t="s">
        <v>125</v>
      </c>
      <c r="B141" s="1"/>
      <c r="C141" s="1" t="s">
        <v>784</v>
      </c>
      <c r="D141" s="1"/>
      <c r="E141" s="36">
        <v>43167.14</v>
      </c>
      <c r="F141" s="36"/>
      <c r="G141" s="36">
        <v>246321.96</v>
      </c>
      <c r="H141" s="36"/>
      <c r="I141" s="36">
        <v>37043.08</v>
      </c>
      <c r="J141" s="36"/>
      <c r="K141" s="36">
        <v>0</v>
      </c>
      <c r="L141" s="36"/>
      <c r="M141" s="36">
        <v>1575</v>
      </c>
      <c r="N141" s="36"/>
      <c r="O141" s="36">
        <v>187902.45</v>
      </c>
      <c r="P141" s="36"/>
      <c r="Q141" s="36">
        <v>0</v>
      </c>
      <c r="R141" s="36"/>
      <c r="S141" s="36">
        <v>13660</v>
      </c>
      <c r="T141" s="36"/>
      <c r="U141" s="36">
        <v>0</v>
      </c>
      <c r="V141" s="36"/>
      <c r="W141" s="36">
        <v>40000</v>
      </c>
      <c r="X141" s="36"/>
      <c r="Y141" s="36">
        <v>625</v>
      </c>
      <c r="Z141" s="36"/>
      <c r="AA141" s="36">
        <v>0</v>
      </c>
      <c r="AB141" s="36"/>
      <c r="AC141" s="36">
        <v>0</v>
      </c>
      <c r="AD141" s="36"/>
      <c r="AE141" s="36">
        <v>0</v>
      </c>
      <c r="AF141" s="36"/>
      <c r="AG141" s="36">
        <v>0</v>
      </c>
      <c r="AH141" s="36"/>
      <c r="AI141" s="36">
        <f>SUM(E141:AG141)</f>
        <v>570294.63</v>
      </c>
      <c r="AJ141" s="10"/>
    </row>
    <row r="142" spans="1:36" s="21" customFormat="1" ht="12.75">
      <c r="A142" s="1" t="s">
        <v>667</v>
      </c>
      <c r="B142" s="1"/>
      <c r="C142" s="1" t="s">
        <v>666</v>
      </c>
      <c r="D142" s="1"/>
      <c r="E142" s="36">
        <v>32190.13</v>
      </c>
      <c r="F142" s="36"/>
      <c r="G142" s="36">
        <v>0</v>
      </c>
      <c r="H142" s="36"/>
      <c r="I142" s="36">
        <v>51733.69</v>
      </c>
      <c r="J142" s="36"/>
      <c r="K142" s="36">
        <v>0</v>
      </c>
      <c r="L142" s="36"/>
      <c r="M142" s="36">
        <v>0</v>
      </c>
      <c r="N142" s="36"/>
      <c r="O142" s="36">
        <v>13992.82</v>
      </c>
      <c r="P142" s="36"/>
      <c r="Q142" s="36">
        <v>998.27</v>
      </c>
      <c r="R142" s="36"/>
      <c r="S142" s="36">
        <v>2008.23</v>
      </c>
      <c r="T142" s="36"/>
      <c r="U142" s="36">
        <v>0</v>
      </c>
      <c r="V142" s="36"/>
      <c r="W142" s="36">
        <v>0</v>
      </c>
      <c r="X142" s="36"/>
      <c r="Y142" s="36">
        <v>0</v>
      </c>
      <c r="Z142" s="36"/>
      <c r="AA142" s="36">
        <v>0</v>
      </c>
      <c r="AB142" s="36"/>
      <c r="AC142" s="36">
        <v>0</v>
      </c>
      <c r="AD142" s="36"/>
      <c r="AE142" s="36">
        <v>0</v>
      </c>
      <c r="AF142" s="36"/>
      <c r="AG142" s="36">
        <v>0</v>
      </c>
      <c r="AH142" s="36"/>
      <c r="AI142" s="36">
        <f>SUM(E142:AG142)</f>
        <v>100923.14000000001</v>
      </c>
      <c r="AJ142" s="10"/>
    </row>
    <row r="143" spans="1:36" ht="12.75">
      <c r="A143" s="1" t="s">
        <v>899</v>
      </c>
      <c r="C143" s="1" t="s">
        <v>466</v>
      </c>
      <c r="E143" s="83">
        <v>1504001</v>
      </c>
      <c r="F143" s="83"/>
      <c r="G143" s="83">
        <v>0</v>
      </c>
      <c r="H143" s="83"/>
      <c r="I143" s="83">
        <f>260273+7865</f>
        <v>268138</v>
      </c>
      <c r="J143" s="83"/>
      <c r="K143" s="83">
        <v>0</v>
      </c>
      <c r="L143" s="83"/>
      <c r="M143" s="83">
        <v>39840</v>
      </c>
      <c r="N143" s="83"/>
      <c r="O143" s="83">
        <v>23033</v>
      </c>
      <c r="P143" s="83"/>
      <c r="Q143" s="83">
        <v>319</v>
      </c>
      <c r="R143" s="83"/>
      <c r="S143" s="83">
        <v>531</v>
      </c>
      <c r="T143" s="83"/>
      <c r="U143" s="83">
        <v>0</v>
      </c>
      <c r="V143" s="85"/>
      <c r="W143" s="41">
        <v>0</v>
      </c>
      <c r="X143" s="85"/>
      <c r="Y143" s="83">
        <v>0</v>
      </c>
      <c r="Z143" s="83"/>
      <c r="AA143" s="83">
        <v>0</v>
      </c>
      <c r="AB143" s="83"/>
      <c r="AC143" s="83">
        <v>0</v>
      </c>
      <c r="AD143" s="83"/>
      <c r="AE143" s="83">
        <v>12895</v>
      </c>
      <c r="AF143" s="83"/>
      <c r="AG143" s="83">
        <v>0</v>
      </c>
      <c r="AH143" s="83"/>
      <c r="AI143" s="83">
        <f t="shared" si="5"/>
        <v>1848757</v>
      </c>
      <c r="AJ143" s="10"/>
    </row>
    <row r="144" spans="1:36" ht="12.75">
      <c r="A144" s="1" t="s">
        <v>199</v>
      </c>
      <c r="C144" s="1" t="s">
        <v>807</v>
      </c>
      <c r="E144" s="36">
        <v>23166.12</v>
      </c>
      <c r="F144" s="36"/>
      <c r="G144" s="36">
        <v>0</v>
      </c>
      <c r="H144" s="36"/>
      <c r="I144" s="36">
        <v>31406.81</v>
      </c>
      <c r="J144" s="36"/>
      <c r="K144" s="36">
        <v>0</v>
      </c>
      <c r="L144" s="36"/>
      <c r="M144" s="36">
        <v>22000</v>
      </c>
      <c r="N144" s="36"/>
      <c r="O144" s="36">
        <v>2619.76</v>
      </c>
      <c r="P144" s="36"/>
      <c r="Q144" s="36">
        <v>669.67</v>
      </c>
      <c r="R144" s="36"/>
      <c r="S144" s="36">
        <v>0</v>
      </c>
      <c r="T144" s="36"/>
      <c r="U144" s="36">
        <v>0</v>
      </c>
      <c r="V144" s="36"/>
      <c r="W144" s="36">
        <v>0</v>
      </c>
      <c r="X144" s="36"/>
      <c r="Y144" s="36">
        <v>0</v>
      </c>
      <c r="Z144" s="36"/>
      <c r="AA144" s="36">
        <v>0</v>
      </c>
      <c r="AB144" s="36"/>
      <c r="AC144" s="36">
        <v>0</v>
      </c>
      <c r="AD144" s="36"/>
      <c r="AE144" s="36">
        <v>0</v>
      </c>
      <c r="AF144" s="36"/>
      <c r="AG144" s="36">
        <v>0</v>
      </c>
      <c r="AH144" s="36"/>
      <c r="AI144" s="36">
        <f>SUM(E144:AG144)</f>
        <v>79862.35999999999</v>
      </c>
      <c r="AJ144" s="10"/>
    </row>
    <row r="145" spans="1:36" ht="12.75">
      <c r="A145" s="1" t="s">
        <v>515</v>
      </c>
      <c r="C145" s="1" t="s">
        <v>514</v>
      </c>
      <c r="E145" s="83">
        <v>77917</v>
      </c>
      <c r="F145" s="83"/>
      <c r="G145" s="83">
        <v>457129</v>
      </c>
      <c r="H145" s="83"/>
      <c r="I145" s="83">
        <v>104177</v>
      </c>
      <c r="J145" s="83"/>
      <c r="K145" s="83">
        <v>0</v>
      </c>
      <c r="L145" s="83"/>
      <c r="M145" s="83">
        <v>62259</v>
      </c>
      <c r="N145" s="83"/>
      <c r="O145" s="83">
        <v>607</v>
      </c>
      <c r="P145" s="83"/>
      <c r="Q145" s="83">
        <v>9565</v>
      </c>
      <c r="R145" s="83"/>
      <c r="S145" s="83">
        <v>17295</v>
      </c>
      <c r="T145" s="83"/>
      <c r="U145" s="83">
        <v>0</v>
      </c>
      <c r="V145" s="83"/>
      <c r="W145" s="41">
        <v>0</v>
      </c>
      <c r="X145" s="83"/>
      <c r="Y145" s="83">
        <v>0</v>
      </c>
      <c r="Z145" s="83"/>
      <c r="AA145" s="83">
        <v>0</v>
      </c>
      <c r="AB145" s="83"/>
      <c r="AC145" s="83">
        <v>0</v>
      </c>
      <c r="AD145" s="83"/>
      <c r="AE145" s="83">
        <v>0</v>
      </c>
      <c r="AF145" s="83"/>
      <c r="AG145" s="83">
        <v>0</v>
      </c>
      <c r="AH145" s="83"/>
      <c r="AI145" s="83">
        <f t="shared" si="5"/>
        <v>728949</v>
      </c>
      <c r="AJ145" s="10"/>
    </row>
    <row r="146" spans="1:36" ht="12.75">
      <c r="A146" s="1" t="s">
        <v>188</v>
      </c>
      <c r="C146" s="1" t="s">
        <v>804</v>
      </c>
      <c r="E146" s="36">
        <v>185138.79</v>
      </c>
      <c r="F146" s="36"/>
      <c r="G146" s="36">
        <v>330286.93</v>
      </c>
      <c r="H146" s="36"/>
      <c r="I146" s="36">
        <v>24637.25</v>
      </c>
      <c r="J146" s="36"/>
      <c r="K146" s="36">
        <v>0</v>
      </c>
      <c r="L146" s="36"/>
      <c r="M146" s="36">
        <v>0</v>
      </c>
      <c r="N146" s="36"/>
      <c r="O146" s="36">
        <v>25980.08</v>
      </c>
      <c r="P146" s="36"/>
      <c r="Q146" s="36">
        <v>1589.18</v>
      </c>
      <c r="R146" s="36"/>
      <c r="S146" s="36">
        <v>7739.54</v>
      </c>
      <c r="T146" s="36"/>
      <c r="U146" s="36">
        <v>0</v>
      </c>
      <c r="V146" s="36"/>
      <c r="W146" s="36">
        <v>0</v>
      </c>
      <c r="X146" s="36"/>
      <c r="Y146" s="36">
        <v>0</v>
      </c>
      <c r="Z146" s="36"/>
      <c r="AA146" s="36">
        <v>0</v>
      </c>
      <c r="AB146" s="36"/>
      <c r="AC146" s="36">
        <v>0</v>
      </c>
      <c r="AD146" s="36"/>
      <c r="AE146" s="36">
        <v>0</v>
      </c>
      <c r="AF146" s="36"/>
      <c r="AG146" s="36">
        <v>0</v>
      </c>
      <c r="AH146" s="36"/>
      <c r="AI146" s="36">
        <f>SUM(E146:AG146)</f>
        <v>575371.77</v>
      </c>
      <c r="AJ146" s="38"/>
    </row>
    <row r="147" spans="1:39" s="21" customFormat="1" ht="12.75" hidden="1">
      <c r="A147" s="1" t="s">
        <v>307</v>
      </c>
      <c r="B147" s="1"/>
      <c r="C147" s="1" t="s">
        <v>308</v>
      </c>
      <c r="D147" s="1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41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>
        <f t="shared" si="5"/>
        <v>0</v>
      </c>
      <c r="AJ147" s="10"/>
      <c r="AK147" s="22"/>
      <c r="AL147" s="22"/>
      <c r="AM147" s="22"/>
    </row>
    <row r="148" spans="1:39" s="21" customFormat="1" ht="12.75">
      <c r="A148" s="1" t="s">
        <v>937</v>
      </c>
      <c r="B148" s="1"/>
      <c r="C148" s="1" t="s">
        <v>590</v>
      </c>
      <c r="D148" s="1"/>
      <c r="E148" s="93">
        <v>19737.37</v>
      </c>
      <c r="F148" s="93"/>
      <c r="G148" s="93">
        <v>0</v>
      </c>
      <c r="H148" s="93"/>
      <c r="I148" s="93">
        <v>6786.94</v>
      </c>
      <c r="J148" s="93"/>
      <c r="K148" s="93">
        <v>0</v>
      </c>
      <c r="L148" s="93"/>
      <c r="M148" s="93">
        <v>0</v>
      </c>
      <c r="N148" s="93"/>
      <c r="O148" s="93">
        <v>0</v>
      </c>
      <c r="P148" s="93"/>
      <c r="Q148" s="93">
        <v>0</v>
      </c>
      <c r="R148" s="93"/>
      <c r="S148" s="93">
        <v>1719.51</v>
      </c>
      <c r="T148" s="93"/>
      <c r="U148" s="93">
        <v>0</v>
      </c>
      <c r="V148" s="93"/>
      <c r="W148" s="93">
        <v>0</v>
      </c>
      <c r="X148" s="93"/>
      <c r="Y148" s="93">
        <v>0</v>
      </c>
      <c r="Z148" s="93"/>
      <c r="AA148" s="93">
        <v>3303.78</v>
      </c>
      <c r="AB148" s="93"/>
      <c r="AC148" s="93">
        <v>0</v>
      </c>
      <c r="AD148" s="93"/>
      <c r="AE148" s="93">
        <v>0</v>
      </c>
      <c r="AF148" s="93"/>
      <c r="AG148" s="93">
        <v>0</v>
      </c>
      <c r="AH148" s="93"/>
      <c r="AI148" s="93">
        <f aca="true" t="shared" si="6" ref="AI148:AI153">SUM(E148:AG148)</f>
        <v>31547.599999999995</v>
      </c>
      <c r="AJ148" s="10"/>
      <c r="AK148" s="22"/>
      <c r="AL148" s="22"/>
      <c r="AM148" s="22"/>
    </row>
    <row r="149" spans="1:35" s="10" customFormat="1" ht="12.75">
      <c r="A149" s="10" t="s">
        <v>202</v>
      </c>
      <c r="C149" s="10" t="s">
        <v>808</v>
      </c>
      <c r="E149" s="36">
        <v>62712.45</v>
      </c>
      <c r="F149" s="36"/>
      <c r="G149" s="36">
        <v>0</v>
      </c>
      <c r="H149" s="36"/>
      <c r="I149" s="36">
        <v>73030.67</v>
      </c>
      <c r="J149" s="36"/>
      <c r="K149" s="36">
        <v>0</v>
      </c>
      <c r="L149" s="36"/>
      <c r="M149" s="36">
        <v>53608.44</v>
      </c>
      <c r="N149" s="36"/>
      <c r="O149" s="36">
        <v>3219.32</v>
      </c>
      <c r="P149" s="36"/>
      <c r="Q149" s="36">
        <v>260.93</v>
      </c>
      <c r="R149" s="36"/>
      <c r="S149" s="36">
        <v>20819.98</v>
      </c>
      <c r="T149" s="36"/>
      <c r="U149" s="36">
        <v>0</v>
      </c>
      <c r="V149" s="36"/>
      <c r="W149" s="36">
        <v>272116.5</v>
      </c>
      <c r="X149" s="36"/>
      <c r="Y149" s="36">
        <v>0</v>
      </c>
      <c r="Z149" s="36"/>
      <c r="AA149" s="36">
        <v>0</v>
      </c>
      <c r="AB149" s="36"/>
      <c r="AC149" s="36">
        <v>20500</v>
      </c>
      <c r="AD149" s="36"/>
      <c r="AE149" s="36">
        <v>0</v>
      </c>
      <c r="AF149" s="36"/>
      <c r="AG149" s="36">
        <v>0</v>
      </c>
      <c r="AH149" s="36"/>
      <c r="AI149" s="36">
        <f t="shared" si="6"/>
        <v>506268.29000000004</v>
      </c>
    </row>
    <row r="150" spans="1:36" ht="12.75">
      <c r="A150" s="1" t="s">
        <v>239</v>
      </c>
      <c r="C150" s="1" t="s">
        <v>820</v>
      </c>
      <c r="E150" s="36">
        <v>55168.33</v>
      </c>
      <c r="F150" s="36"/>
      <c r="G150" s="36">
        <v>128573.17</v>
      </c>
      <c r="H150" s="36"/>
      <c r="I150" s="36">
        <v>51534.48</v>
      </c>
      <c r="J150" s="36"/>
      <c r="K150" s="36">
        <v>0</v>
      </c>
      <c r="L150" s="36"/>
      <c r="M150" s="36">
        <v>70107.28</v>
      </c>
      <c r="N150" s="36"/>
      <c r="O150" s="36">
        <v>624</v>
      </c>
      <c r="P150" s="36"/>
      <c r="Q150" s="36">
        <v>14167.42</v>
      </c>
      <c r="R150" s="36"/>
      <c r="S150" s="36">
        <v>17988.87</v>
      </c>
      <c r="T150" s="36"/>
      <c r="U150" s="36">
        <v>0</v>
      </c>
      <c r="V150" s="36"/>
      <c r="W150" s="36">
        <v>0</v>
      </c>
      <c r="X150" s="36"/>
      <c r="Y150" s="36">
        <v>0</v>
      </c>
      <c r="Z150" s="36"/>
      <c r="AA150" s="36">
        <v>0</v>
      </c>
      <c r="AB150" s="36"/>
      <c r="AC150" s="36">
        <v>0</v>
      </c>
      <c r="AD150" s="36"/>
      <c r="AE150" s="36">
        <v>0</v>
      </c>
      <c r="AF150" s="36"/>
      <c r="AG150" s="36">
        <v>0</v>
      </c>
      <c r="AH150" s="36"/>
      <c r="AI150" s="36">
        <f t="shared" si="6"/>
        <v>338163.55</v>
      </c>
      <c r="AJ150" s="10"/>
    </row>
    <row r="151" spans="1:36" ht="12.75">
      <c r="A151" s="1" t="s">
        <v>938</v>
      </c>
      <c r="C151" s="1" t="s">
        <v>271</v>
      </c>
      <c r="E151" s="36">
        <v>15988.33</v>
      </c>
      <c r="F151" s="36"/>
      <c r="G151" s="36">
        <v>0</v>
      </c>
      <c r="H151" s="36"/>
      <c r="I151" s="36">
        <v>13009.13</v>
      </c>
      <c r="J151" s="36"/>
      <c r="K151" s="36">
        <v>0</v>
      </c>
      <c r="L151" s="36"/>
      <c r="M151" s="36">
        <v>5313.96</v>
      </c>
      <c r="N151" s="36"/>
      <c r="O151" s="36">
        <v>8561.1</v>
      </c>
      <c r="P151" s="36"/>
      <c r="Q151" s="36">
        <v>50.5</v>
      </c>
      <c r="R151" s="36"/>
      <c r="S151" s="36">
        <v>0</v>
      </c>
      <c r="T151" s="36"/>
      <c r="U151" s="36">
        <v>0</v>
      </c>
      <c r="V151" s="36"/>
      <c r="W151" s="36">
        <v>0</v>
      </c>
      <c r="X151" s="36"/>
      <c r="Y151" s="36">
        <v>0</v>
      </c>
      <c r="Z151" s="36"/>
      <c r="AA151" s="36">
        <v>0</v>
      </c>
      <c r="AB151" s="36"/>
      <c r="AC151" s="36">
        <v>7000</v>
      </c>
      <c r="AD151" s="36"/>
      <c r="AE151" s="36">
        <v>0</v>
      </c>
      <c r="AF151" s="36"/>
      <c r="AG151" s="36">
        <v>0</v>
      </c>
      <c r="AH151" s="36"/>
      <c r="AI151" s="36">
        <f t="shared" si="6"/>
        <v>49923.02</v>
      </c>
      <c r="AJ151" s="10"/>
    </row>
    <row r="152" spans="1:36" ht="12.75">
      <c r="A152" s="1" t="s">
        <v>186</v>
      </c>
      <c r="C152" s="1" t="s">
        <v>433</v>
      </c>
      <c r="E152" s="36">
        <v>41227.06</v>
      </c>
      <c r="F152" s="36"/>
      <c r="G152" s="36">
        <v>0</v>
      </c>
      <c r="H152" s="36"/>
      <c r="I152" s="36">
        <v>20274.92</v>
      </c>
      <c r="J152" s="36"/>
      <c r="K152" s="36">
        <v>0</v>
      </c>
      <c r="L152" s="36"/>
      <c r="M152" s="36">
        <v>0</v>
      </c>
      <c r="N152" s="36"/>
      <c r="O152" s="36">
        <v>541</v>
      </c>
      <c r="P152" s="36"/>
      <c r="Q152" s="36">
        <v>969.08</v>
      </c>
      <c r="R152" s="36"/>
      <c r="S152" s="36">
        <v>75</v>
      </c>
      <c r="T152" s="36"/>
      <c r="U152" s="36">
        <v>0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v>0</v>
      </c>
      <c r="AF152" s="36"/>
      <c r="AG152" s="36">
        <v>0</v>
      </c>
      <c r="AH152" s="36"/>
      <c r="AI152" s="36">
        <f t="shared" si="6"/>
        <v>63087.06</v>
      </c>
      <c r="AJ152" s="10"/>
    </row>
    <row r="153" spans="1:36" ht="12.75">
      <c r="A153" s="1" t="s">
        <v>939</v>
      </c>
      <c r="C153" s="1" t="s">
        <v>485</v>
      </c>
      <c r="E153" s="36">
        <v>57418.8</v>
      </c>
      <c r="F153" s="36"/>
      <c r="G153" s="36">
        <v>309152.4</v>
      </c>
      <c r="H153" s="36"/>
      <c r="I153" s="36">
        <v>52281.06</v>
      </c>
      <c r="J153" s="36"/>
      <c r="K153" s="36">
        <v>0</v>
      </c>
      <c r="L153" s="36"/>
      <c r="M153" s="36">
        <v>68589.97</v>
      </c>
      <c r="N153" s="36"/>
      <c r="O153" s="36">
        <v>5485</v>
      </c>
      <c r="P153" s="36"/>
      <c r="Q153" s="36">
        <v>331</v>
      </c>
      <c r="R153" s="36"/>
      <c r="S153" s="36">
        <v>37648.39</v>
      </c>
      <c r="T153" s="36"/>
      <c r="U153" s="36">
        <v>0</v>
      </c>
      <c r="V153" s="36"/>
      <c r="W153" s="36">
        <v>0</v>
      </c>
      <c r="X153" s="36"/>
      <c r="Y153" s="36">
        <v>0</v>
      </c>
      <c r="Z153" s="36"/>
      <c r="AA153" s="36">
        <v>0</v>
      </c>
      <c r="AB153" s="36"/>
      <c r="AC153" s="36">
        <v>0</v>
      </c>
      <c r="AD153" s="36"/>
      <c r="AE153" s="36">
        <v>0</v>
      </c>
      <c r="AF153" s="36"/>
      <c r="AG153" s="36">
        <v>0</v>
      </c>
      <c r="AH153" s="36"/>
      <c r="AI153" s="36">
        <f t="shared" si="6"/>
        <v>530906.62</v>
      </c>
      <c r="AJ153" s="10"/>
    </row>
    <row r="154" spans="1:36" s="21" customFormat="1" ht="12.75">
      <c r="A154" s="1" t="s">
        <v>581</v>
      </c>
      <c r="B154" s="1"/>
      <c r="C154" s="1" t="s">
        <v>583</v>
      </c>
      <c r="D154" s="1"/>
      <c r="E154" s="83">
        <v>15896</v>
      </c>
      <c r="F154" s="83"/>
      <c r="G154" s="83">
        <v>15684</v>
      </c>
      <c r="H154" s="83"/>
      <c r="I154" s="83">
        <v>7668</v>
      </c>
      <c r="J154" s="83"/>
      <c r="K154" s="83">
        <v>0</v>
      </c>
      <c r="L154" s="83"/>
      <c r="M154" s="83">
        <v>0</v>
      </c>
      <c r="N154" s="83"/>
      <c r="O154" s="83">
        <v>2994</v>
      </c>
      <c r="P154" s="83"/>
      <c r="Q154" s="83">
        <v>1542</v>
      </c>
      <c r="R154" s="83"/>
      <c r="S154" s="83">
        <v>0</v>
      </c>
      <c r="T154" s="83"/>
      <c r="U154" s="83">
        <v>0</v>
      </c>
      <c r="V154" s="83"/>
      <c r="W154" s="41">
        <v>0</v>
      </c>
      <c r="X154" s="83"/>
      <c r="Y154" s="83">
        <v>0</v>
      </c>
      <c r="Z154" s="83"/>
      <c r="AA154" s="83">
        <v>0</v>
      </c>
      <c r="AB154" s="83"/>
      <c r="AC154" s="83">
        <v>0</v>
      </c>
      <c r="AD154" s="83"/>
      <c r="AE154" s="83">
        <v>0</v>
      </c>
      <c r="AF154" s="87"/>
      <c r="AG154" s="83">
        <v>0</v>
      </c>
      <c r="AH154" s="87"/>
      <c r="AI154" s="83">
        <f t="shared" si="5"/>
        <v>43784</v>
      </c>
      <c r="AJ154" s="10"/>
    </row>
    <row r="155" spans="1:36" ht="12.75">
      <c r="A155" s="1" t="s">
        <v>900</v>
      </c>
      <c r="C155" s="1" t="s">
        <v>470</v>
      </c>
      <c r="E155" s="83">
        <v>243355</v>
      </c>
      <c r="F155" s="83"/>
      <c r="G155" s="83">
        <v>656963</v>
      </c>
      <c r="H155" s="83"/>
      <c r="I155" s="83">
        <v>121732</v>
      </c>
      <c r="J155" s="83"/>
      <c r="K155" s="83">
        <v>1454</v>
      </c>
      <c r="L155" s="83"/>
      <c r="M155" s="83">
        <v>8050</v>
      </c>
      <c r="N155" s="83"/>
      <c r="O155" s="83">
        <v>22261</v>
      </c>
      <c r="P155" s="83"/>
      <c r="Q155" s="83">
        <v>101</v>
      </c>
      <c r="R155" s="83"/>
      <c r="S155" s="83">
        <v>46638</v>
      </c>
      <c r="T155" s="83"/>
      <c r="U155" s="83">
        <v>0</v>
      </c>
      <c r="V155" s="85"/>
      <c r="W155" s="41">
        <v>0</v>
      </c>
      <c r="X155" s="85"/>
      <c r="Y155" s="83">
        <v>0</v>
      </c>
      <c r="Z155" s="83"/>
      <c r="AA155" s="83">
        <v>0</v>
      </c>
      <c r="AB155" s="83"/>
      <c r="AC155" s="83">
        <v>20000</v>
      </c>
      <c r="AD155" s="83"/>
      <c r="AE155" s="83">
        <v>0</v>
      </c>
      <c r="AF155" s="83"/>
      <c r="AG155" s="83">
        <v>0</v>
      </c>
      <c r="AH155" s="83"/>
      <c r="AI155" s="83">
        <f t="shared" si="5"/>
        <v>1120554</v>
      </c>
      <c r="AJ155" s="10"/>
    </row>
    <row r="156" spans="1:36" ht="12.75">
      <c r="A156" s="1" t="s">
        <v>144</v>
      </c>
      <c r="C156" s="1" t="s">
        <v>790</v>
      </c>
      <c r="E156" s="36">
        <v>34550.66</v>
      </c>
      <c r="F156" s="36"/>
      <c r="G156" s="36">
        <v>0</v>
      </c>
      <c r="H156" s="36"/>
      <c r="I156" s="36">
        <v>45802.06</v>
      </c>
      <c r="J156" s="36"/>
      <c r="K156" s="36">
        <v>0</v>
      </c>
      <c r="L156" s="36"/>
      <c r="M156" s="36">
        <v>0</v>
      </c>
      <c r="N156" s="36"/>
      <c r="O156" s="36">
        <v>59747.42</v>
      </c>
      <c r="P156" s="36"/>
      <c r="Q156" s="36">
        <v>93.9</v>
      </c>
      <c r="R156" s="36"/>
      <c r="S156" s="36">
        <v>513.28</v>
      </c>
      <c r="T156" s="36"/>
      <c r="U156" s="36">
        <v>0</v>
      </c>
      <c r="V156" s="36"/>
      <c r="W156" s="36">
        <v>0</v>
      </c>
      <c r="X156" s="36"/>
      <c r="Y156" s="36">
        <v>312.5</v>
      </c>
      <c r="Z156" s="36"/>
      <c r="AA156" s="36">
        <v>0</v>
      </c>
      <c r="AB156" s="36"/>
      <c r="AC156" s="36">
        <v>0</v>
      </c>
      <c r="AD156" s="36"/>
      <c r="AE156" s="36">
        <v>450</v>
      </c>
      <c r="AF156" s="36"/>
      <c r="AG156" s="36">
        <v>0</v>
      </c>
      <c r="AH156" s="36"/>
      <c r="AI156" s="36">
        <f>SUM(E156:AG156)</f>
        <v>141469.82</v>
      </c>
      <c r="AJ156" s="10"/>
    </row>
    <row r="157" spans="1:36" ht="12.75">
      <c r="A157" s="1" t="s">
        <v>973</v>
      </c>
      <c r="C157" s="1" t="s">
        <v>312</v>
      </c>
      <c r="E157" s="36">
        <v>161774</v>
      </c>
      <c r="F157" s="36"/>
      <c r="G157" s="36">
        <v>804481</v>
      </c>
      <c r="H157" s="36"/>
      <c r="I157" s="36">
        <v>291472</v>
      </c>
      <c r="J157" s="36"/>
      <c r="K157" s="36">
        <v>0</v>
      </c>
      <c r="L157" s="36"/>
      <c r="M157" s="36">
        <v>66055</v>
      </c>
      <c r="N157" s="36"/>
      <c r="O157" s="36">
        <f>71711+74417</f>
        <v>146128</v>
      </c>
      <c r="P157" s="36"/>
      <c r="Q157" s="36">
        <v>16102</v>
      </c>
      <c r="R157" s="36"/>
      <c r="S157" s="36">
        <f>6950+55874</f>
        <v>62824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100000</v>
      </c>
      <c r="AB157" s="36"/>
      <c r="AC157" s="36">
        <v>0</v>
      </c>
      <c r="AD157" s="36"/>
      <c r="AE157" s="36">
        <v>0</v>
      </c>
      <c r="AF157" s="36"/>
      <c r="AG157" s="36">
        <v>0</v>
      </c>
      <c r="AH157" s="36"/>
      <c r="AI157" s="36">
        <f>SUM(E157:AG157)</f>
        <v>1648836</v>
      </c>
      <c r="AJ157" s="10"/>
    </row>
    <row r="158" spans="1:36" s="21" customFormat="1" ht="12.75">
      <c r="A158" s="1" t="s">
        <v>591</v>
      </c>
      <c r="B158" s="1"/>
      <c r="C158" s="1" t="s">
        <v>592</v>
      </c>
      <c r="D158" s="1"/>
      <c r="E158" s="36">
        <v>79689.1</v>
      </c>
      <c r="F158" s="36"/>
      <c r="G158" s="36">
        <v>198958.68</v>
      </c>
      <c r="H158" s="36"/>
      <c r="I158" s="36">
        <v>80527.76</v>
      </c>
      <c r="J158" s="36"/>
      <c r="K158" s="36">
        <v>0</v>
      </c>
      <c r="L158" s="36"/>
      <c r="M158" s="36">
        <v>0</v>
      </c>
      <c r="N158" s="36"/>
      <c r="O158" s="36">
        <v>18926.11</v>
      </c>
      <c r="P158" s="36"/>
      <c r="Q158" s="36">
        <v>1518.4</v>
      </c>
      <c r="R158" s="36"/>
      <c r="S158" s="36">
        <v>9079.04</v>
      </c>
      <c r="T158" s="36"/>
      <c r="U158" s="36">
        <v>0</v>
      </c>
      <c r="V158" s="36"/>
      <c r="W158" s="36">
        <v>0</v>
      </c>
      <c r="X158" s="36"/>
      <c r="Y158" s="36">
        <v>0</v>
      </c>
      <c r="Z158" s="36"/>
      <c r="AA158" s="36">
        <v>0</v>
      </c>
      <c r="AB158" s="36"/>
      <c r="AC158" s="36">
        <v>0</v>
      </c>
      <c r="AD158" s="36"/>
      <c r="AE158" s="36">
        <v>0</v>
      </c>
      <c r="AF158" s="36"/>
      <c r="AG158" s="36">
        <v>0</v>
      </c>
      <c r="AH158" s="36"/>
      <c r="AI158" s="36">
        <f>SUM(E158:AG158)</f>
        <v>388699.09</v>
      </c>
      <c r="AJ158" s="10"/>
    </row>
    <row r="159" spans="1:39" s="21" customFormat="1" ht="12.75">
      <c r="A159" s="1" t="s">
        <v>274</v>
      </c>
      <c r="B159" s="1"/>
      <c r="C159" s="1" t="s">
        <v>275</v>
      </c>
      <c r="D159" s="1"/>
      <c r="E159" s="83">
        <v>87680</v>
      </c>
      <c r="F159" s="83"/>
      <c r="G159" s="83">
        <v>305347</v>
      </c>
      <c r="H159" s="83"/>
      <c r="I159" s="83">
        <v>134398</v>
      </c>
      <c r="J159" s="83"/>
      <c r="K159" s="83">
        <v>0</v>
      </c>
      <c r="L159" s="83"/>
      <c r="M159" s="83">
        <v>0</v>
      </c>
      <c r="N159" s="83"/>
      <c r="O159" s="83">
        <v>41842</v>
      </c>
      <c r="P159" s="83"/>
      <c r="Q159" s="83">
        <v>529</v>
      </c>
      <c r="R159" s="83"/>
      <c r="S159" s="83">
        <v>24329</v>
      </c>
      <c r="T159" s="83"/>
      <c r="U159" s="83">
        <v>0</v>
      </c>
      <c r="V159" s="83"/>
      <c r="W159" s="41">
        <v>0</v>
      </c>
      <c r="X159" s="83"/>
      <c r="Y159" s="83">
        <v>0</v>
      </c>
      <c r="Z159" s="83"/>
      <c r="AA159" s="83">
        <v>0</v>
      </c>
      <c r="AB159" s="83"/>
      <c r="AC159" s="83">
        <v>23621</v>
      </c>
      <c r="AD159" s="83"/>
      <c r="AE159" s="83">
        <v>0</v>
      </c>
      <c r="AF159" s="83"/>
      <c r="AG159" s="83">
        <v>0</v>
      </c>
      <c r="AH159" s="83"/>
      <c r="AI159" s="83">
        <f t="shared" si="5"/>
        <v>617746</v>
      </c>
      <c r="AJ159" s="10"/>
      <c r="AK159" s="22"/>
      <c r="AL159" s="22"/>
      <c r="AM159" s="22"/>
    </row>
    <row r="160" spans="1:36" s="21" customFormat="1" ht="12.75">
      <c r="A160" s="1" t="s">
        <v>500</v>
      </c>
      <c r="B160" s="1"/>
      <c r="C160" s="1" t="s">
        <v>501</v>
      </c>
      <c r="D160" s="1"/>
      <c r="E160" s="83">
        <v>29088</v>
      </c>
      <c r="F160" s="83"/>
      <c r="G160" s="83">
        <v>0</v>
      </c>
      <c r="H160" s="83"/>
      <c r="I160" s="83">
        <v>66288</v>
      </c>
      <c r="J160" s="83"/>
      <c r="K160" s="83">
        <v>0</v>
      </c>
      <c r="L160" s="83"/>
      <c r="M160" s="83">
        <v>10200</v>
      </c>
      <c r="N160" s="83"/>
      <c r="O160" s="83">
        <v>35644</v>
      </c>
      <c r="P160" s="83"/>
      <c r="Q160" s="83">
        <v>2810</v>
      </c>
      <c r="R160" s="83"/>
      <c r="S160" s="83">
        <v>0</v>
      </c>
      <c r="T160" s="83"/>
      <c r="U160" s="83">
        <v>0</v>
      </c>
      <c r="V160" s="83"/>
      <c r="W160" s="41">
        <v>0</v>
      </c>
      <c r="X160" s="83"/>
      <c r="Y160" s="83">
        <v>0</v>
      </c>
      <c r="Z160" s="83"/>
      <c r="AA160" s="83">
        <v>0</v>
      </c>
      <c r="AB160" s="83"/>
      <c r="AC160" s="83">
        <v>0</v>
      </c>
      <c r="AD160" s="83"/>
      <c r="AE160" s="83">
        <v>332081</v>
      </c>
      <c r="AF160" s="83"/>
      <c r="AG160" s="83">
        <v>0</v>
      </c>
      <c r="AH160" s="83"/>
      <c r="AI160" s="83">
        <f t="shared" si="5"/>
        <v>476111</v>
      </c>
      <c r="AJ160" s="10"/>
    </row>
    <row r="161" spans="1:36" ht="12.75">
      <c r="A161" s="1" t="s">
        <v>80</v>
      </c>
      <c r="C161" s="1" t="s">
        <v>770</v>
      </c>
      <c r="E161" s="36">
        <v>1304.27</v>
      </c>
      <c r="F161" s="36"/>
      <c r="G161" s="36">
        <v>0</v>
      </c>
      <c r="H161" s="36"/>
      <c r="I161" s="36">
        <v>66534.85</v>
      </c>
      <c r="J161" s="36"/>
      <c r="K161" s="36">
        <v>0</v>
      </c>
      <c r="L161" s="36"/>
      <c r="M161" s="36">
        <v>1086.86</v>
      </c>
      <c r="N161" s="36"/>
      <c r="O161" s="36">
        <v>685</v>
      </c>
      <c r="P161" s="36"/>
      <c r="Q161" s="36">
        <v>198.08</v>
      </c>
      <c r="R161" s="36"/>
      <c r="S161" s="36">
        <v>449.19</v>
      </c>
      <c r="T161" s="36"/>
      <c r="U161" s="36">
        <v>0</v>
      </c>
      <c r="V161" s="36"/>
      <c r="W161" s="36">
        <v>0</v>
      </c>
      <c r="X161" s="36"/>
      <c r="Y161" s="36">
        <v>0</v>
      </c>
      <c r="Z161" s="36"/>
      <c r="AA161" s="36">
        <v>0</v>
      </c>
      <c r="AB161" s="36"/>
      <c r="AC161" s="36">
        <v>0</v>
      </c>
      <c r="AD161" s="36"/>
      <c r="AE161" s="36">
        <v>0</v>
      </c>
      <c r="AF161" s="36"/>
      <c r="AG161" s="36">
        <v>0</v>
      </c>
      <c r="AH161" s="36"/>
      <c r="AI161" s="36">
        <f>SUM(E161:AG161)</f>
        <v>70258.25000000001</v>
      </c>
      <c r="AJ161" s="10"/>
    </row>
    <row r="162" spans="1:36" s="21" customFormat="1" ht="12.75">
      <c r="A162" s="1" t="s">
        <v>87</v>
      </c>
      <c r="B162" s="1"/>
      <c r="C162" s="1" t="s">
        <v>772</v>
      </c>
      <c r="D162" s="1"/>
      <c r="E162" s="36">
        <v>15721.92</v>
      </c>
      <c r="F162" s="36"/>
      <c r="G162" s="36">
        <v>0</v>
      </c>
      <c r="H162" s="36"/>
      <c r="I162" s="36">
        <v>18352.57</v>
      </c>
      <c r="J162" s="36"/>
      <c r="K162" s="36">
        <v>0</v>
      </c>
      <c r="L162" s="36"/>
      <c r="M162" s="36">
        <v>0</v>
      </c>
      <c r="N162" s="36"/>
      <c r="O162" s="36">
        <v>0</v>
      </c>
      <c r="P162" s="36"/>
      <c r="Q162" s="36">
        <v>422.52</v>
      </c>
      <c r="R162" s="36"/>
      <c r="S162" s="36">
        <v>296.66</v>
      </c>
      <c r="T162" s="36"/>
      <c r="U162" s="36">
        <v>0</v>
      </c>
      <c r="V162" s="36"/>
      <c r="W162" s="36">
        <v>0</v>
      </c>
      <c r="X162" s="36"/>
      <c r="Y162" s="36">
        <v>0</v>
      </c>
      <c r="Z162" s="36"/>
      <c r="AA162" s="36">
        <v>0</v>
      </c>
      <c r="AB162" s="36"/>
      <c r="AC162" s="36">
        <v>0</v>
      </c>
      <c r="AD162" s="36"/>
      <c r="AE162" s="36">
        <v>0</v>
      </c>
      <c r="AF162" s="36"/>
      <c r="AG162" s="36">
        <v>0</v>
      </c>
      <c r="AH162" s="36"/>
      <c r="AI162" s="36">
        <f>SUM(E162:AG162)</f>
        <v>34793.67</v>
      </c>
      <c r="AJ162" s="10"/>
    </row>
    <row r="163" spans="1:36" ht="12.75">
      <c r="A163" s="1" t="s">
        <v>254</v>
      </c>
      <c r="C163" s="1" t="s">
        <v>825</v>
      </c>
      <c r="E163" s="36">
        <v>20153.8</v>
      </c>
      <c r="F163" s="36"/>
      <c r="G163" s="36">
        <v>0</v>
      </c>
      <c r="H163" s="36"/>
      <c r="I163" s="36">
        <v>10455.71</v>
      </c>
      <c r="J163" s="36"/>
      <c r="K163" s="36">
        <v>0</v>
      </c>
      <c r="L163" s="36"/>
      <c r="M163" s="36">
        <v>0</v>
      </c>
      <c r="N163" s="36"/>
      <c r="O163" s="36">
        <v>50</v>
      </c>
      <c r="P163" s="36"/>
      <c r="Q163" s="36">
        <v>3955.72</v>
      </c>
      <c r="R163" s="36"/>
      <c r="S163" s="36">
        <v>165.24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v>0</v>
      </c>
      <c r="AF163" s="36"/>
      <c r="AG163" s="36">
        <v>0</v>
      </c>
      <c r="AH163" s="36"/>
      <c r="AI163" s="36">
        <f>SUM(E163:AG163)</f>
        <v>34780.469999999994</v>
      </c>
      <c r="AJ163" s="10"/>
    </row>
    <row r="164" spans="1:36" ht="12.75">
      <c r="A164" s="1" t="s">
        <v>927</v>
      </c>
      <c r="C164" s="1" t="s">
        <v>316</v>
      </c>
      <c r="E164" s="83">
        <v>599430</v>
      </c>
      <c r="F164" s="83"/>
      <c r="G164" s="83">
        <v>7507543</v>
      </c>
      <c r="H164" s="83"/>
      <c r="I164" s="83">
        <v>141504</v>
      </c>
      <c r="J164" s="83"/>
      <c r="K164" s="83">
        <v>0</v>
      </c>
      <c r="L164" s="83"/>
      <c r="M164" s="83">
        <v>359291</v>
      </c>
      <c r="N164" s="83"/>
      <c r="O164" s="83">
        <v>169495</v>
      </c>
      <c r="P164" s="83"/>
      <c r="Q164" s="83">
        <v>3747</v>
      </c>
      <c r="R164" s="83"/>
      <c r="S164" s="83">
        <v>399798</v>
      </c>
      <c r="T164" s="83"/>
      <c r="U164" s="83">
        <v>0</v>
      </c>
      <c r="V164" s="85"/>
      <c r="W164" s="41">
        <v>0</v>
      </c>
      <c r="X164" s="85"/>
      <c r="Y164" s="83">
        <v>0</v>
      </c>
      <c r="Z164" s="83"/>
      <c r="AA164" s="83">
        <v>0</v>
      </c>
      <c r="AB164" s="83"/>
      <c r="AC164" s="83">
        <v>0</v>
      </c>
      <c r="AD164" s="83"/>
      <c r="AE164" s="83">
        <v>0</v>
      </c>
      <c r="AF164" s="83"/>
      <c r="AG164" s="83">
        <v>0</v>
      </c>
      <c r="AH164" s="83"/>
      <c r="AI164" s="83">
        <f t="shared" si="5"/>
        <v>9180808</v>
      </c>
      <c r="AJ164" s="10"/>
    </row>
    <row r="165" spans="1:36" ht="12.75">
      <c r="A165" s="1" t="s">
        <v>843</v>
      </c>
      <c r="C165" s="1" t="s">
        <v>825</v>
      </c>
      <c r="E165" s="96">
        <v>15117.24</v>
      </c>
      <c r="F165" s="96"/>
      <c r="G165" s="96">
        <v>79145.72</v>
      </c>
      <c r="H165" s="96"/>
      <c r="I165" s="96">
        <v>79715.5</v>
      </c>
      <c r="J165" s="96"/>
      <c r="K165" s="96">
        <v>0</v>
      </c>
      <c r="L165" s="96"/>
      <c r="M165" s="96">
        <v>10342.16</v>
      </c>
      <c r="N165" s="96"/>
      <c r="O165" s="96">
        <v>1306.8</v>
      </c>
      <c r="P165" s="96"/>
      <c r="Q165" s="96">
        <v>708.62</v>
      </c>
      <c r="R165" s="96"/>
      <c r="S165" s="96">
        <v>2792.38</v>
      </c>
      <c r="T165" s="96"/>
      <c r="U165" s="96">
        <v>0</v>
      </c>
      <c r="V165" s="96"/>
      <c r="W165" s="96">
        <v>0</v>
      </c>
      <c r="X165" s="96"/>
      <c r="Y165" s="96">
        <v>0</v>
      </c>
      <c r="Z165" s="96"/>
      <c r="AA165" s="96">
        <v>98923.72</v>
      </c>
      <c r="AB165" s="96"/>
      <c r="AC165" s="96">
        <v>0</v>
      </c>
      <c r="AD165" s="96"/>
      <c r="AE165" s="96">
        <v>2067.39</v>
      </c>
      <c r="AF165" s="96"/>
      <c r="AG165" s="96">
        <v>0</v>
      </c>
      <c r="AH165" s="96"/>
      <c r="AI165" s="96">
        <f>SUM(E165:AG165)</f>
        <v>290119.53</v>
      </c>
      <c r="AJ165" s="10"/>
    </row>
    <row r="166" spans="1:36" s="21" customFormat="1" ht="12.75">
      <c r="A166" s="1" t="s">
        <v>593</v>
      </c>
      <c r="B166" s="1"/>
      <c r="C166" s="1" t="s">
        <v>590</v>
      </c>
      <c r="D166" s="1"/>
      <c r="E166" s="83">
        <v>112665.54</v>
      </c>
      <c r="F166" s="83"/>
      <c r="G166" s="83">
        <v>413171.52</v>
      </c>
      <c r="H166" s="83"/>
      <c r="I166" s="83">
        <v>111389.23</v>
      </c>
      <c r="J166" s="83"/>
      <c r="K166" s="83">
        <v>0</v>
      </c>
      <c r="L166" s="83"/>
      <c r="M166" s="83">
        <v>1320.46</v>
      </c>
      <c r="N166" s="83"/>
      <c r="O166" s="83">
        <v>35854.37</v>
      </c>
      <c r="P166" s="83"/>
      <c r="Q166" s="83">
        <v>390.07</v>
      </c>
      <c r="R166" s="83"/>
      <c r="S166" s="83">
        <v>899</v>
      </c>
      <c r="T166" s="83"/>
      <c r="U166" s="83">
        <v>0</v>
      </c>
      <c r="V166" s="83"/>
      <c r="W166" s="41">
        <v>0</v>
      </c>
      <c r="X166" s="83"/>
      <c r="Y166" s="83">
        <v>0</v>
      </c>
      <c r="Z166" s="83"/>
      <c r="AA166" s="83">
        <v>0</v>
      </c>
      <c r="AB166" s="83"/>
      <c r="AC166" s="83">
        <v>0</v>
      </c>
      <c r="AD166" s="83"/>
      <c r="AE166" s="83">
        <v>0</v>
      </c>
      <c r="AF166" s="83"/>
      <c r="AG166" s="83">
        <v>0</v>
      </c>
      <c r="AH166" s="83"/>
      <c r="AI166" s="83">
        <f aca="true" t="shared" si="7" ref="AI166">SUM(E166:AG166)</f>
        <v>675690.19</v>
      </c>
      <c r="AJ166" s="10"/>
    </row>
    <row r="167" spans="1:36" s="21" customFormat="1" ht="12.75">
      <c r="A167" s="1" t="s">
        <v>426</v>
      </c>
      <c r="B167" s="1"/>
      <c r="C167" s="1" t="s">
        <v>427</v>
      </c>
      <c r="D167" s="1"/>
      <c r="E167" s="36">
        <v>43933.31</v>
      </c>
      <c r="F167" s="36"/>
      <c r="G167" s="36">
        <v>173779.79</v>
      </c>
      <c r="H167" s="36"/>
      <c r="I167" s="36">
        <v>30653.2</v>
      </c>
      <c r="J167" s="36"/>
      <c r="K167" s="36">
        <v>0</v>
      </c>
      <c r="L167" s="36"/>
      <c r="M167" s="36">
        <v>124.27</v>
      </c>
      <c r="N167" s="36"/>
      <c r="O167" s="36">
        <v>10964.93</v>
      </c>
      <c r="P167" s="36"/>
      <c r="Q167" s="36">
        <v>1323.01</v>
      </c>
      <c r="R167" s="36"/>
      <c r="S167" s="36">
        <v>177.25</v>
      </c>
      <c r="T167" s="36"/>
      <c r="U167" s="36">
        <v>0</v>
      </c>
      <c r="V167" s="36"/>
      <c r="W167" s="36">
        <v>0</v>
      </c>
      <c r="X167" s="36"/>
      <c r="Y167" s="36">
        <v>0</v>
      </c>
      <c r="Z167" s="36"/>
      <c r="AA167" s="36">
        <v>0</v>
      </c>
      <c r="AB167" s="36"/>
      <c r="AC167" s="36">
        <v>0</v>
      </c>
      <c r="AD167" s="36"/>
      <c r="AE167" s="36">
        <v>351.97</v>
      </c>
      <c r="AF167" s="36"/>
      <c r="AG167" s="36">
        <v>0</v>
      </c>
      <c r="AH167" s="36"/>
      <c r="AI167" s="36">
        <f>SUM(E167:AG167)</f>
        <v>261307.73</v>
      </c>
      <c r="AJ167" s="10"/>
    </row>
    <row r="168" spans="5:36" ht="12.75"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5"/>
      <c r="W168" s="41"/>
      <c r="X168" s="85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 t="s">
        <v>864</v>
      </c>
      <c r="AJ168" s="10"/>
    </row>
    <row r="169" spans="1:36" s="31" customFormat="1" ht="12.75">
      <c r="A169" s="15" t="s">
        <v>404</v>
      </c>
      <c r="B169" s="15"/>
      <c r="C169" s="15" t="s">
        <v>403</v>
      </c>
      <c r="D169" s="15"/>
      <c r="E169" s="102">
        <v>0</v>
      </c>
      <c r="F169" s="102"/>
      <c r="G169" s="102">
        <v>0</v>
      </c>
      <c r="H169" s="102"/>
      <c r="I169" s="102">
        <v>15267</v>
      </c>
      <c r="J169" s="102"/>
      <c r="K169" s="102">
        <v>0</v>
      </c>
      <c r="L169" s="102"/>
      <c r="M169" s="102">
        <v>0</v>
      </c>
      <c r="N169" s="102"/>
      <c r="O169" s="102">
        <v>0</v>
      </c>
      <c r="P169" s="102"/>
      <c r="Q169" s="102">
        <v>16</v>
      </c>
      <c r="R169" s="102"/>
      <c r="S169" s="102">
        <v>96</v>
      </c>
      <c r="T169" s="102"/>
      <c r="U169" s="102">
        <v>0</v>
      </c>
      <c r="V169" s="102"/>
      <c r="W169" s="102">
        <v>0</v>
      </c>
      <c r="X169" s="102"/>
      <c r="Y169" s="102">
        <v>0</v>
      </c>
      <c r="Z169" s="102"/>
      <c r="AA169" s="102">
        <v>0</v>
      </c>
      <c r="AB169" s="102"/>
      <c r="AC169" s="102">
        <v>0</v>
      </c>
      <c r="AD169" s="102"/>
      <c r="AE169" s="102">
        <v>0</v>
      </c>
      <c r="AF169" s="102"/>
      <c r="AG169" s="102">
        <v>0</v>
      </c>
      <c r="AH169" s="102"/>
      <c r="AI169" s="102">
        <f t="shared" si="5"/>
        <v>15379</v>
      </c>
      <c r="AJ169" s="24"/>
    </row>
    <row r="170" spans="1:36" s="21" customFormat="1" ht="12.75">
      <c r="A170" s="1" t="s">
        <v>445</v>
      </c>
      <c r="B170" s="1"/>
      <c r="C170" s="1" t="s">
        <v>446</v>
      </c>
      <c r="D170" s="1"/>
      <c r="E170" s="36">
        <v>37232.08</v>
      </c>
      <c r="F170" s="36"/>
      <c r="G170" s="36">
        <v>147147.89</v>
      </c>
      <c r="H170" s="36"/>
      <c r="I170" s="36">
        <v>32719.08</v>
      </c>
      <c r="J170" s="36"/>
      <c r="K170" s="36">
        <v>0</v>
      </c>
      <c r="L170" s="36"/>
      <c r="M170" s="36">
        <v>0</v>
      </c>
      <c r="N170" s="36"/>
      <c r="O170" s="36">
        <v>9458.32</v>
      </c>
      <c r="P170" s="36"/>
      <c r="Q170" s="36">
        <v>1404.9</v>
      </c>
      <c r="R170" s="36"/>
      <c r="S170" s="36">
        <v>4036.63</v>
      </c>
      <c r="T170" s="36"/>
      <c r="U170" s="36">
        <v>0</v>
      </c>
      <c r="V170" s="36"/>
      <c r="W170" s="36">
        <v>0</v>
      </c>
      <c r="X170" s="36"/>
      <c r="Y170" s="36">
        <v>0</v>
      </c>
      <c r="Z170" s="36"/>
      <c r="AA170" s="36">
        <v>0</v>
      </c>
      <c r="AB170" s="36"/>
      <c r="AC170" s="36">
        <v>0</v>
      </c>
      <c r="AD170" s="36"/>
      <c r="AE170" s="36">
        <v>0</v>
      </c>
      <c r="AF170" s="36"/>
      <c r="AG170" s="36">
        <v>0</v>
      </c>
      <c r="AH170" s="36"/>
      <c r="AI170" s="36">
        <f>SUM(E170:AG170)</f>
        <v>231998.90000000005</v>
      </c>
      <c r="AJ170" s="10"/>
    </row>
    <row r="171" spans="1:39" ht="12.75">
      <c r="A171" s="1" t="s">
        <v>28</v>
      </c>
      <c r="C171" s="1" t="s">
        <v>753</v>
      </c>
      <c r="E171" s="36">
        <v>23111.96</v>
      </c>
      <c r="F171" s="36"/>
      <c r="G171" s="36">
        <v>0</v>
      </c>
      <c r="H171" s="36"/>
      <c r="I171" s="36">
        <v>42621.3</v>
      </c>
      <c r="J171" s="36"/>
      <c r="K171" s="36">
        <v>0</v>
      </c>
      <c r="L171" s="36"/>
      <c r="M171" s="36">
        <v>0</v>
      </c>
      <c r="N171" s="36"/>
      <c r="O171" s="36">
        <v>2014.59</v>
      </c>
      <c r="P171" s="36"/>
      <c r="Q171" s="36">
        <v>66.88</v>
      </c>
      <c r="R171" s="36"/>
      <c r="S171" s="36">
        <v>4943.87</v>
      </c>
      <c r="T171" s="36"/>
      <c r="U171" s="36">
        <v>0</v>
      </c>
      <c r="V171" s="36"/>
      <c r="W171" s="36">
        <v>0</v>
      </c>
      <c r="X171" s="36"/>
      <c r="Y171" s="36">
        <v>5212</v>
      </c>
      <c r="Z171" s="36"/>
      <c r="AA171" s="36">
        <v>0</v>
      </c>
      <c r="AB171" s="36"/>
      <c r="AC171" s="36">
        <v>0</v>
      </c>
      <c r="AD171" s="36"/>
      <c r="AE171" s="36">
        <v>0</v>
      </c>
      <c r="AF171" s="36"/>
      <c r="AG171" s="36">
        <v>0</v>
      </c>
      <c r="AH171" s="36"/>
      <c r="AI171" s="36">
        <f>SUM(E171:AG171)</f>
        <v>77970.6</v>
      </c>
      <c r="AJ171" s="10"/>
      <c r="AK171" s="7"/>
      <c r="AL171" s="7"/>
      <c r="AM171" s="7"/>
    </row>
    <row r="172" spans="1:36" s="31" customFormat="1" ht="12.75">
      <c r="A172" s="15" t="s">
        <v>359</v>
      </c>
      <c r="B172" s="15"/>
      <c r="C172" s="15" t="s">
        <v>358</v>
      </c>
      <c r="D172" s="15"/>
      <c r="E172" s="85">
        <v>135401.43</v>
      </c>
      <c r="F172" s="85"/>
      <c r="G172" s="85">
        <v>388179.18</v>
      </c>
      <c r="H172" s="85"/>
      <c r="I172" s="85">
        <v>189047.82</v>
      </c>
      <c r="J172" s="85"/>
      <c r="K172" s="85">
        <v>0</v>
      </c>
      <c r="L172" s="85"/>
      <c r="M172" s="85">
        <v>79606.14</v>
      </c>
      <c r="N172" s="85"/>
      <c r="O172" s="85">
        <v>44519</v>
      </c>
      <c r="P172" s="85"/>
      <c r="Q172" s="85">
        <v>9083.29</v>
      </c>
      <c r="R172" s="85"/>
      <c r="S172" s="85">
        <v>21244.3</v>
      </c>
      <c r="T172" s="85"/>
      <c r="U172" s="85">
        <v>0</v>
      </c>
      <c r="V172" s="85"/>
      <c r="W172" s="41">
        <v>0</v>
      </c>
      <c r="X172" s="85"/>
      <c r="Y172" s="85">
        <v>0</v>
      </c>
      <c r="Z172" s="85"/>
      <c r="AA172" s="85">
        <v>3000</v>
      </c>
      <c r="AB172" s="85"/>
      <c r="AC172" s="83">
        <v>0</v>
      </c>
      <c r="AD172" s="85"/>
      <c r="AE172" s="85">
        <v>0</v>
      </c>
      <c r="AF172" s="85"/>
      <c r="AG172" s="83">
        <v>0</v>
      </c>
      <c r="AH172" s="85"/>
      <c r="AI172" s="83">
        <f t="shared" si="5"/>
        <v>870081.16</v>
      </c>
      <c r="AJ172" s="24"/>
    </row>
    <row r="173" spans="1:36" ht="12.75">
      <c r="A173" s="1" t="s">
        <v>232</v>
      </c>
      <c r="C173" s="1" t="s">
        <v>818</v>
      </c>
      <c r="E173" s="36">
        <v>119065.19</v>
      </c>
      <c r="F173" s="36"/>
      <c r="G173" s="36">
        <v>628720.24</v>
      </c>
      <c r="H173" s="36"/>
      <c r="I173" s="36">
        <v>171720.42</v>
      </c>
      <c r="J173" s="36"/>
      <c r="K173" s="36">
        <v>0</v>
      </c>
      <c r="L173" s="36"/>
      <c r="M173" s="36">
        <v>36400</v>
      </c>
      <c r="N173" s="36"/>
      <c r="O173" s="36">
        <v>8722.5</v>
      </c>
      <c r="P173" s="36"/>
      <c r="Q173" s="36">
        <v>1354.3</v>
      </c>
      <c r="R173" s="36"/>
      <c r="S173" s="36">
        <v>29787.52</v>
      </c>
      <c r="T173" s="36"/>
      <c r="U173" s="36">
        <v>0</v>
      </c>
      <c r="V173" s="36"/>
      <c r="W173" s="36">
        <v>0</v>
      </c>
      <c r="X173" s="36"/>
      <c r="Y173" s="36">
        <v>236331</v>
      </c>
      <c r="Z173" s="36"/>
      <c r="AA173" s="36">
        <v>0</v>
      </c>
      <c r="AB173" s="36"/>
      <c r="AC173" s="36">
        <v>0</v>
      </c>
      <c r="AD173" s="36"/>
      <c r="AE173" s="36">
        <v>0</v>
      </c>
      <c r="AF173" s="36"/>
      <c r="AG173" s="36">
        <v>0</v>
      </c>
      <c r="AH173" s="36"/>
      <c r="AI173" s="36">
        <f>SUM(E173:AG173)</f>
        <v>1232101.17</v>
      </c>
      <c r="AJ173" s="10"/>
    </row>
    <row r="174" spans="1:36" ht="12.75">
      <c r="A174" s="1" t="s">
        <v>104</v>
      </c>
      <c r="C174" s="1" t="s">
        <v>777</v>
      </c>
      <c r="E174" s="36">
        <v>61771.56</v>
      </c>
      <c r="F174" s="36"/>
      <c r="G174" s="36">
        <v>0</v>
      </c>
      <c r="H174" s="36"/>
      <c r="I174" s="36">
        <v>137713.46</v>
      </c>
      <c r="J174" s="36"/>
      <c r="K174" s="36">
        <v>0</v>
      </c>
      <c r="L174" s="36"/>
      <c r="M174" s="36">
        <v>2500</v>
      </c>
      <c r="N174" s="36"/>
      <c r="O174" s="36">
        <v>14472.33</v>
      </c>
      <c r="P174" s="36"/>
      <c r="Q174" s="36">
        <v>5507.94</v>
      </c>
      <c r="R174" s="36"/>
      <c r="S174" s="36">
        <v>15320.68</v>
      </c>
      <c r="T174" s="36"/>
      <c r="U174" s="36">
        <v>0</v>
      </c>
      <c r="V174" s="36"/>
      <c r="W174" s="36">
        <v>0</v>
      </c>
      <c r="X174" s="36"/>
      <c r="Y174" s="36">
        <v>1200</v>
      </c>
      <c r="Z174" s="36"/>
      <c r="AA174" s="36">
        <v>90000</v>
      </c>
      <c r="AB174" s="36"/>
      <c r="AC174" s="36">
        <v>0</v>
      </c>
      <c r="AD174" s="36"/>
      <c r="AE174" s="36">
        <v>0</v>
      </c>
      <c r="AF174" s="36"/>
      <c r="AG174" s="36">
        <v>0</v>
      </c>
      <c r="AH174" s="36"/>
      <c r="AI174" s="36">
        <f>SUM(E174:AG174)</f>
        <v>328485.97</v>
      </c>
      <c r="AJ174" s="10"/>
    </row>
    <row r="175" spans="1:36" ht="12.75" hidden="1">
      <c r="A175" s="1" t="s">
        <v>493</v>
      </c>
      <c r="C175" s="1" t="s">
        <v>491</v>
      </c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41"/>
      <c r="X175" s="83"/>
      <c r="Y175" s="83"/>
      <c r="Z175" s="83"/>
      <c r="AA175" s="83"/>
      <c r="AB175" s="83"/>
      <c r="AC175" s="83"/>
      <c r="AD175" s="83"/>
      <c r="AE175" s="85"/>
      <c r="AF175" s="83"/>
      <c r="AG175" s="83"/>
      <c r="AH175" s="83"/>
      <c r="AI175" s="83">
        <f t="shared" si="5"/>
        <v>0</v>
      </c>
      <c r="AJ175" s="10"/>
    </row>
    <row r="176" spans="1:36" s="21" customFormat="1" ht="12.75">
      <c r="A176" s="1" t="s">
        <v>116</v>
      </c>
      <c r="B176" s="1"/>
      <c r="C176" s="1" t="s">
        <v>781</v>
      </c>
      <c r="D176" s="1"/>
      <c r="E176" s="36">
        <v>38885.41</v>
      </c>
      <c r="F176" s="36"/>
      <c r="G176" s="36">
        <v>0</v>
      </c>
      <c r="H176" s="36"/>
      <c r="I176" s="36">
        <v>52553.92</v>
      </c>
      <c r="J176" s="36"/>
      <c r="K176" s="36">
        <v>0</v>
      </c>
      <c r="L176" s="36"/>
      <c r="M176" s="36">
        <v>2285.63</v>
      </c>
      <c r="N176" s="36"/>
      <c r="O176" s="36">
        <v>11747.77</v>
      </c>
      <c r="P176" s="36"/>
      <c r="Q176" s="36">
        <v>1557.27</v>
      </c>
      <c r="R176" s="36"/>
      <c r="S176" s="36">
        <v>1216</v>
      </c>
      <c r="T176" s="36"/>
      <c r="U176" s="36">
        <v>0</v>
      </c>
      <c r="V176" s="36"/>
      <c r="W176" s="36">
        <v>0</v>
      </c>
      <c r="X176" s="36"/>
      <c r="Y176" s="36">
        <v>0</v>
      </c>
      <c r="Z176" s="36"/>
      <c r="AA176" s="36">
        <v>0</v>
      </c>
      <c r="AB176" s="36"/>
      <c r="AC176" s="36">
        <v>0</v>
      </c>
      <c r="AD176" s="36"/>
      <c r="AE176" s="36">
        <v>0</v>
      </c>
      <c r="AF176" s="36"/>
      <c r="AG176" s="36">
        <v>0</v>
      </c>
      <c r="AH176" s="36"/>
      <c r="AI176" s="36">
        <f aca="true" t="shared" si="8" ref="AI176:AI182">SUM(E176:AG176)</f>
        <v>108246.00000000001</v>
      </c>
      <c r="AJ176" s="10"/>
    </row>
    <row r="177" spans="1:39" s="21" customFormat="1" ht="12.75">
      <c r="A177" s="1" t="s">
        <v>829</v>
      </c>
      <c r="B177" s="1"/>
      <c r="C177" s="1" t="s">
        <v>292</v>
      </c>
      <c r="D177" s="1"/>
      <c r="E177" s="36">
        <v>38297.81</v>
      </c>
      <c r="F177" s="36"/>
      <c r="G177" s="36">
        <v>0</v>
      </c>
      <c r="H177" s="36"/>
      <c r="I177" s="36">
        <v>12959.65</v>
      </c>
      <c r="J177" s="36"/>
      <c r="K177" s="36">
        <v>0</v>
      </c>
      <c r="L177" s="36"/>
      <c r="M177" s="36">
        <v>3168</v>
      </c>
      <c r="N177" s="36"/>
      <c r="O177" s="36">
        <v>10100.07</v>
      </c>
      <c r="P177" s="36"/>
      <c r="Q177" s="36">
        <v>528.85</v>
      </c>
      <c r="R177" s="36"/>
      <c r="S177" s="36">
        <v>1322.21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v>0</v>
      </c>
      <c r="AF177" s="36"/>
      <c r="AG177" s="36">
        <v>0</v>
      </c>
      <c r="AH177" s="36"/>
      <c r="AI177" s="36">
        <f t="shared" si="8"/>
        <v>66376.59</v>
      </c>
      <c r="AJ177" s="10"/>
      <c r="AK177" s="22"/>
      <c r="AL177" s="22"/>
      <c r="AM177" s="22"/>
    </row>
    <row r="178" spans="1:36" s="21" customFormat="1" ht="12.75">
      <c r="A178" s="1" t="s">
        <v>594</v>
      </c>
      <c r="B178" s="1"/>
      <c r="C178" s="1" t="s">
        <v>590</v>
      </c>
      <c r="D178" s="1"/>
      <c r="E178" s="36">
        <v>306425.82</v>
      </c>
      <c r="F178" s="36"/>
      <c r="G178" s="36">
        <v>546274.9</v>
      </c>
      <c r="H178" s="36"/>
      <c r="I178" s="36">
        <v>130271.75</v>
      </c>
      <c r="J178" s="36"/>
      <c r="K178" s="36">
        <v>0</v>
      </c>
      <c r="L178" s="36"/>
      <c r="M178" s="36">
        <v>14730</v>
      </c>
      <c r="N178" s="36"/>
      <c r="O178" s="36">
        <v>40451.15</v>
      </c>
      <c r="P178" s="36"/>
      <c r="Q178" s="36">
        <v>860.04</v>
      </c>
      <c r="R178" s="36"/>
      <c r="S178" s="36">
        <v>23682.25</v>
      </c>
      <c r="T178" s="36"/>
      <c r="U178" s="36">
        <v>0</v>
      </c>
      <c r="V178" s="36"/>
      <c r="W178" s="36">
        <v>0</v>
      </c>
      <c r="X178" s="36"/>
      <c r="Y178" s="36">
        <v>0</v>
      </c>
      <c r="Z178" s="36"/>
      <c r="AA178" s="36">
        <v>0</v>
      </c>
      <c r="AB178" s="36"/>
      <c r="AC178" s="36">
        <v>40000</v>
      </c>
      <c r="AD178" s="36"/>
      <c r="AE178" s="36">
        <v>0</v>
      </c>
      <c r="AF178" s="36"/>
      <c r="AG178" s="36">
        <v>0</v>
      </c>
      <c r="AH178" s="36"/>
      <c r="AI178" s="36">
        <f t="shared" si="8"/>
        <v>1102695.9100000001</v>
      </c>
      <c r="AJ178" s="10"/>
    </row>
    <row r="179" spans="1:36" ht="12.75">
      <c r="A179" s="1" t="s">
        <v>174</v>
      </c>
      <c r="C179" s="1" t="s">
        <v>800</v>
      </c>
      <c r="E179" s="36">
        <v>96296.86</v>
      </c>
      <c r="F179" s="36"/>
      <c r="G179" s="36">
        <v>1520.17</v>
      </c>
      <c r="H179" s="36"/>
      <c r="I179" s="36">
        <v>92692.43</v>
      </c>
      <c r="J179" s="36"/>
      <c r="K179" s="36">
        <v>0</v>
      </c>
      <c r="L179" s="36"/>
      <c r="M179" s="36">
        <v>0</v>
      </c>
      <c r="N179" s="36"/>
      <c r="O179" s="36">
        <v>1141.87</v>
      </c>
      <c r="P179" s="36"/>
      <c r="Q179" s="36">
        <v>2437.68</v>
      </c>
      <c r="R179" s="36"/>
      <c r="S179" s="36">
        <v>20794.02</v>
      </c>
      <c r="T179" s="36"/>
      <c r="U179" s="36">
        <v>0</v>
      </c>
      <c r="V179" s="36"/>
      <c r="W179" s="36">
        <v>0</v>
      </c>
      <c r="X179" s="36"/>
      <c r="Y179" s="36">
        <v>0</v>
      </c>
      <c r="Z179" s="36"/>
      <c r="AA179" s="36">
        <v>105875</v>
      </c>
      <c r="AB179" s="36"/>
      <c r="AC179" s="36">
        <v>42218</v>
      </c>
      <c r="AD179" s="36"/>
      <c r="AE179" s="36">
        <v>6515</v>
      </c>
      <c r="AF179" s="36"/>
      <c r="AG179" s="36">
        <v>0</v>
      </c>
      <c r="AH179" s="36"/>
      <c r="AI179" s="36">
        <f t="shared" si="8"/>
        <v>369491.02999999997</v>
      </c>
      <c r="AJ179" s="10"/>
    </row>
    <row r="180" spans="1:36" s="21" customFormat="1" ht="12.75">
      <c r="A180" s="1" t="s">
        <v>397</v>
      </c>
      <c r="B180" s="1"/>
      <c r="C180" s="1" t="s">
        <v>396</v>
      </c>
      <c r="D180" s="1"/>
      <c r="E180" s="36">
        <v>14017.98</v>
      </c>
      <c r="F180" s="36"/>
      <c r="G180" s="36">
        <v>67422.58</v>
      </c>
      <c r="H180" s="36"/>
      <c r="I180" s="36">
        <v>60754.5</v>
      </c>
      <c r="J180" s="36"/>
      <c r="K180" s="36">
        <v>0</v>
      </c>
      <c r="L180" s="36"/>
      <c r="M180" s="36">
        <v>0</v>
      </c>
      <c r="N180" s="36"/>
      <c r="O180" s="36">
        <v>4802.73</v>
      </c>
      <c r="P180" s="36"/>
      <c r="Q180" s="36">
        <v>2043.72</v>
      </c>
      <c r="R180" s="36"/>
      <c r="S180" s="36">
        <v>6161.75</v>
      </c>
      <c r="T180" s="36"/>
      <c r="U180" s="36">
        <v>0</v>
      </c>
      <c r="V180" s="36"/>
      <c r="W180" s="36">
        <v>0</v>
      </c>
      <c r="X180" s="36"/>
      <c r="Y180" s="36">
        <v>0</v>
      </c>
      <c r="Z180" s="36"/>
      <c r="AA180" s="36">
        <v>0</v>
      </c>
      <c r="AB180" s="36"/>
      <c r="AC180" s="36">
        <v>0</v>
      </c>
      <c r="AD180" s="36"/>
      <c r="AE180" s="36">
        <v>0</v>
      </c>
      <c r="AF180" s="36"/>
      <c r="AG180" s="36">
        <v>0</v>
      </c>
      <c r="AH180" s="36"/>
      <c r="AI180" s="36">
        <f t="shared" si="8"/>
        <v>155203.26</v>
      </c>
      <c r="AJ180" s="10"/>
    </row>
    <row r="181" spans="1:36" ht="12.75">
      <c r="A181" s="1" t="s">
        <v>203</v>
      </c>
      <c r="C181" s="1" t="s">
        <v>808</v>
      </c>
      <c r="E181" s="36">
        <v>13453.39</v>
      </c>
      <c r="F181" s="36"/>
      <c r="G181" s="36">
        <v>0</v>
      </c>
      <c r="H181" s="36"/>
      <c r="I181" s="36">
        <v>33529.05</v>
      </c>
      <c r="J181" s="36"/>
      <c r="K181" s="36">
        <v>0</v>
      </c>
      <c r="L181" s="36"/>
      <c r="M181" s="36">
        <v>0</v>
      </c>
      <c r="N181" s="36"/>
      <c r="O181" s="36">
        <v>0</v>
      </c>
      <c r="P181" s="36"/>
      <c r="Q181" s="36">
        <v>97.17</v>
      </c>
      <c r="R181" s="36"/>
      <c r="S181" s="36">
        <v>650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v>0</v>
      </c>
      <c r="AF181" s="36"/>
      <c r="AG181" s="36">
        <v>0</v>
      </c>
      <c r="AH181" s="36"/>
      <c r="AI181" s="36">
        <f t="shared" si="8"/>
        <v>47729.61</v>
      </c>
      <c r="AJ181" s="10"/>
    </row>
    <row r="182" spans="1:36" s="21" customFormat="1" ht="12.75">
      <c r="A182" s="1" t="s">
        <v>544</v>
      </c>
      <c r="B182" s="1"/>
      <c r="C182" s="1" t="s">
        <v>542</v>
      </c>
      <c r="D182" s="1"/>
      <c r="E182" s="36">
        <v>50055.11</v>
      </c>
      <c r="F182" s="36"/>
      <c r="G182" s="36">
        <v>293205.54</v>
      </c>
      <c r="H182" s="36"/>
      <c r="I182" s="36">
        <v>46978.57</v>
      </c>
      <c r="J182" s="36"/>
      <c r="K182" s="36">
        <v>0</v>
      </c>
      <c r="L182" s="36"/>
      <c r="M182" s="36">
        <v>1081.32</v>
      </c>
      <c r="N182" s="36"/>
      <c r="O182" s="36">
        <v>58427.21</v>
      </c>
      <c r="P182" s="36"/>
      <c r="Q182" s="36">
        <v>17648.53</v>
      </c>
      <c r="R182" s="36"/>
      <c r="S182" s="36">
        <v>0</v>
      </c>
      <c r="T182" s="36"/>
      <c r="U182" s="36">
        <v>0</v>
      </c>
      <c r="V182" s="36"/>
      <c r="W182" s="36">
        <v>0</v>
      </c>
      <c r="X182" s="36"/>
      <c r="Y182" s="36">
        <v>657</v>
      </c>
      <c r="Z182" s="36"/>
      <c r="AA182" s="36">
        <v>0</v>
      </c>
      <c r="AB182" s="36"/>
      <c r="AC182" s="36">
        <v>0</v>
      </c>
      <c r="AD182" s="36"/>
      <c r="AE182" s="36">
        <v>0</v>
      </c>
      <c r="AF182" s="36"/>
      <c r="AG182" s="36">
        <v>2598.74</v>
      </c>
      <c r="AH182" s="36"/>
      <c r="AI182" s="36">
        <f t="shared" si="8"/>
        <v>470652.02</v>
      </c>
      <c r="AJ182" s="10"/>
    </row>
    <row r="183" spans="1:36" s="21" customFormat="1" ht="12.75">
      <c r="A183" s="1" t="s">
        <v>965</v>
      </c>
      <c r="B183" s="1"/>
      <c r="C183" s="1" t="s">
        <v>305</v>
      </c>
      <c r="D183" s="1"/>
      <c r="E183" s="83">
        <v>1031438</v>
      </c>
      <c r="F183" s="83"/>
      <c r="G183" s="83">
        <v>0</v>
      </c>
      <c r="H183" s="83"/>
      <c r="I183" s="83">
        <v>119059</v>
      </c>
      <c r="J183" s="83"/>
      <c r="K183" s="83">
        <v>0</v>
      </c>
      <c r="L183" s="83"/>
      <c r="M183" s="83">
        <v>218765</v>
      </c>
      <c r="N183" s="83"/>
      <c r="O183" s="83">
        <f>74733+6476</f>
        <v>81209</v>
      </c>
      <c r="P183" s="83"/>
      <c r="Q183" s="83">
        <v>572</v>
      </c>
      <c r="R183" s="83"/>
      <c r="S183" s="83">
        <v>56097</v>
      </c>
      <c r="T183" s="83"/>
      <c r="U183" s="83">
        <v>0</v>
      </c>
      <c r="V183" s="85"/>
      <c r="W183" s="41">
        <v>0</v>
      </c>
      <c r="X183" s="85"/>
      <c r="Y183" s="83">
        <v>0</v>
      </c>
      <c r="Z183" s="83"/>
      <c r="AA183" s="83">
        <v>0</v>
      </c>
      <c r="AB183" s="83"/>
      <c r="AC183" s="83">
        <v>0</v>
      </c>
      <c r="AD183" s="83"/>
      <c r="AE183" s="83">
        <v>0</v>
      </c>
      <c r="AF183" s="83"/>
      <c r="AG183" s="83">
        <v>0</v>
      </c>
      <c r="AH183" s="83"/>
      <c r="AI183" s="83">
        <f t="shared" si="5"/>
        <v>1507140</v>
      </c>
      <c r="AJ183" s="10"/>
    </row>
    <row r="184" spans="1:36" ht="12.75">
      <c r="A184" s="1" t="s">
        <v>224</v>
      </c>
      <c r="C184" s="1" t="s">
        <v>815</v>
      </c>
      <c r="E184" s="36">
        <v>130186.18</v>
      </c>
      <c r="F184" s="36"/>
      <c r="G184" s="36">
        <v>0</v>
      </c>
      <c r="H184" s="36"/>
      <c r="I184" s="36">
        <v>11908.26</v>
      </c>
      <c r="J184" s="36"/>
      <c r="K184" s="36">
        <v>0</v>
      </c>
      <c r="L184" s="36"/>
      <c r="M184" s="36">
        <v>1525</v>
      </c>
      <c r="N184" s="36"/>
      <c r="O184" s="36">
        <v>11313.87</v>
      </c>
      <c r="P184" s="36"/>
      <c r="Q184" s="36">
        <v>180.81</v>
      </c>
      <c r="R184" s="36"/>
      <c r="S184" s="36">
        <v>2401.7</v>
      </c>
      <c r="T184" s="36"/>
      <c r="U184" s="36">
        <v>0</v>
      </c>
      <c r="V184" s="36"/>
      <c r="W184" s="36">
        <v>0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v>0</v>
      </c>
      <c r="AF184" s="36"/>
      <c r="AG184" s="36">
        <v>0</v>
      </c>
      <c r="AH184" s="36"/>
      <c r="AI184" s="36">
        <f>SUM(E184:AG184)</f>
        <v>157515.82</v>
      </c>
      <c r="AJ184" s="10"/>
    </row>
    <row r="185" spans="1:36" s="21" customFormat="1" ht="12.75">
      <c r="A185" s="1" t="s">
        <v>597</v>
      </c>
      <c r="B185" s="1"/>
      <c r="C185" s="1" t="s">
        <v>598</v>
      </c>
      <c r="D185" s="1"/>
      <c r="E185" s="83">
        <v>187932.47</v>
      </c>
      <c r="F185" s="83"/>
      <c r="G185" s="83">
        <v>269008.16</v>
      </c>
      <c r="H185" s="83"/>
      <c r="I185" s="83">
        <v>156881.24</v>
      </c>
      <c r="J185" s="83"/>
      <c r="K185" s="83">
        <v>0</v>
      </c>
      <c r="L185" s="83"/>
      <c r="M185" s="83">
        <v>51916.53</v>
      </c>
      <c r="N185" s="83"/>
      <c r="O185" s="83">
        <v>9549.53</v>
      </c>
      <c r="P185" s="83"/>
      <c r="Q185" s="83">
        <v>2074.21</v>
      </c>
      <c r="R185" s="83"/>
      <c r="S185" s="83">
        <v>26458.61</v>
      </c>
      <c r="T185" s="83"/>
      <c r="U185" s="83">
        <v>0</v>
      </c>
      <c r="V185" s="83"/>
      <c r="W185" s="41">
        <v>0</v>
      </c>
      <c r="X185" s="83"/>
      <c r="Y185" s="83">
        <v>0</v>
      </c>
      <c r="Z185" s="83"/>
      <c r="AA185" s="83">
        <v>0</v>
      </c>
      <c r="AB185" s="83"/>
      <c r="AC185" s="83">
        <v>0</v>
      </c>
      <c r="AD185" s="83"/>
      <c r="AE185" s="83">
        <v>0</v>
      </c>
      <c r="AF185" s="83"/>
      <c r="AG185" s="83">
        <v>0</v>
      </c>
      <c r="AH185" s="83"/>
      <c r="AI185" s="83">
        <f t="shared" si="5"/>
        <v>703820.75</v>
      </c>
      <c r="AJ185" s="10"/>
    </row>
    <row r="186" spans="1:36" ht="12.75">
      <c r="A186" s="1" t="s">
        <v>172</v>
      </c>
      <c r="C186" s="1" t="s">
        <v>799</v>
      </c>
      <c r="E186" s="36">
        <v>25134.28</v>
      </c>
      <c r="F186" s="36"/>
      <c r="G186" s="36">
        <v>18771.89</v>
      </c>
      <c r="H186" s="36"/>
      <c r="I186" s="36">
        <v>14749.99</v>
      </c>
      <c r="J186" s="36"/>
      <c r="K186" s="36">
        <v>0</v>
      </c>
      <c r="L186" s="36"/>
      <c r="M186" s="36">
        <v>0</v>
      </c>
      <c r="N186" s="36"/>
      <c r="O186" s="36">
        <v>13743.44</v>
      </c>
      <c r="P186" s="36"/>
      <c r="Q186" s="36">
        <v>42.31</v>
      </c>
      <c r="R186" s="36"/>
      <c r="S186" s="36">
        <v>389.69</v>
      </c>
      <c r="T186" s="36"/>
      <c r="U186" s="36">
        <v>0</v>
      </c>
      <c r="V186" s="36"/>
      <c r="W186" s="36">
        <v>0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v>0</v>
      </c>
      <c r="AF186" s="36"/>
      <c r="AG186" s="36">
        <v>0</v>
      </c>
      <c r="AH186" s="36"/>
      <c r="AI186" s="36">
        <f>SUM(E186:AG186)</f>
        <v>72831.59999999999</v>
      </c>
      <c r="AJ186" s="10"/>
    </row>
    <row r="187" spans="1:36" ht="12.75">
      <c r="A187" s="1" t="s">
        <v>253</v>
      </c>
      <c r="C187" s="1" t="s">
        <v>824</v>
      </c>
      <c r="E187" s="36">
        <v>22235.8</v>
      </c>
      <c r="F187" s="36"/>
      <c r="G187" s="36">
        <v>282101.88</v>
      </c>
      <c r="H187" s="36"/>
      <c r="I187" s="36">
        <v>81570.57</v>
      </c>
      <c r="J187" s="36"/>
      <c r="K187" s="36">
        <v>4022.46</v>
      </c>
      <c r="L187" s="36"/>
      <c r="M187" s="36">
        <v>0</v>
      </c>
      <c r="N187" s="36"/>
      <c r="O187" s="36">
        <v>4637</v>
      </c>
      <c r="P187" s="36"/>
      <c r="Q187" s="36">
        <v>1465.05</v>
      </c>
      <c r="R187" s="36"/>
      <c r="S187" s="36">
        <v>15238.68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0</v>
      </c>
      <c r="AD187" s="36"/>
      <c r="AE187" s="36">
        <v>0</v>
      </c>
      <c r="AF187" s="36"/>
      <c r="AG187" s="36">
        <v>0</v>
      </c>
      <c r="AH187" s="36"/>
      <c r="AI187" s="36">
        <f>SUM(E187:AG187)</f>
        <v>411271.44</v>
      </c>
      <c r="AJ187" s="10"/>
    </row>
    <row r="188" spans="1:36" ht="12.75">
      <c r="A188" s="1" t="s">
        <v>200</v>
      </c>
      <c r="C188" s="1" t="s">
        <v>807</v>
      </c>
      <c r="E188" s="36">
        <v>20562.11</v>
      </c>
      <c r="F188" s="36"/>
      <c r="G188" s="36">
        <v>0</v>
      </c>
      <c r="H188" s="36"/>
      <c r="I188" s="36">
        <v>43890.28</v>
      </c>
      <c r="J188" s="36"/>
      <c r="K188" s="36">
        <v>0</v>
      </c>
      <c r="L188" s="36"/>
      <c r="M188" s="36">
        <v>37002.88</v>
      </c>
      <c r="N188" s="36"/>
      <c r="O188" s="36">
        <v>100</v>
      </c>
      <c r="P188" s="36"/>
      <c r="Q188" s="36">
        <v>5167.32</v>
      </c>
      <c r="R188" s="36"/>
      <c r="S188" s="36">
        <v>2130.99</v>
      </c>
      <c r="T188" s="36"/>
      <c r="U188" s="36">
        <v>0</v>
      </c>
      <c r="V188" s="36"/>
      <c r="W188" s="36">
        <v>0</v>
      </c>
      <c r="X188" s="36"/>
      <c r="Y188" s="36">
        <v>0</v>
      </c>
      <c r="Z188" s="36"/>
      <c r="AA188" s="36">
        <v>18389.58</v>
      </c>
      <c r="AB188" s="36"/>
      <c r="AC188" s="36">
        <v>0</v>
      </c>
      <c r="AD188" s="36"/>
      <c r="AE188" s="36">
        <v>0</v>
      </c>
      <c r="AF188" s="36"/>
      <c r="AG188" s="36">
        <v>0</v>
      </c>
      <c r="AH188" s="36"/>
      <c r="AI188" s="36">
        <f>SUM(E188:AG188)</f>
        <v>127243.16</v>
      </c>
      <c r="AJ188" s="10"/>
    </row>
    <row r="189" spans="1:36" s="15" customFormat="1" ht="12.75" hidden="1">
      <c r="A189" s="15" t="s">
        <v>573</v>
      </c>
      <c r="C189" s="15" t="s">
        <v>574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41"/>
      <c r="X189" s="85"/>
      <c r="Y189" s="83"/>
      <c r="Z189" s="85"/>
      <c r="AA189" s="85"/>
      <c r="AB189" s="85"/>
      <c r="AC189" s="83"/>
      <c r="AD189" s="85"/>
      <c r="AE189" s="85"/>
      <c r="AF189" s="85"/>
      <c r="AG189" s="83"/>
      <c r="AH189" s="85"/>
      <c r="AI189" s="83">
        <f t="shared" si="5"/>
        <v>0</v>
      </c>
      <c r="AJ189" s="24"/>
    </row>
    <row r="190" spans="1:36" s="21" customFormat="1" ht="12.75">
      <c r="A190" s="1" t="s">
        <v>3</v>
      </c>
      <c r="B190" s="1"/>
      <c r="C190" s="1" t="s">
        <v>746</v>
      </c>
      <c r="D190" s="1"/>
      <c r="E190" s="36">
        <v>59753.39</v>
      </c>
      <c r="F190" s="36"/>
      <c r="G190" s="36">
        <v>0</v>
      </c>
      <c r="H190" s="36"/>
      <c r="I190" s="36">
        <v>76884.75</v>
      </c>
      <c r="J190" s="36"/>
      <c r="K190" s="36">
        <v>0</v>
      </c>
      <c r="L190" s="36"/>
      <c r="M190" s="36">
        <v>0</v>
      </c>
      <c r="N190" s="36"/>
      <c r="O190" s="36">
        <v>27278.63</v>
      </c>
      <c r="P190" s="36"/>
      <c r="Q190" s="36">
        <v>747.38</v>
      </c>
      <c r="R190" s="36"/>
      <c r="S190" s="36">
        <v>1818.62</v>
      </c>
      <c r="T190" s="36"/>
      <c r="U190" s="36">
        <v>0</v>
      </c>
      <c r="V190" s="36"/>
      <c r="W190" s="36">
        <v>0</v>
      </c>
      <c r="X190" s="36"/>
      <c r="Y190" s="36">
        <v>0</v>
      </c>
      <c r="Z190" s="36"/>
      <c r="AA190" s="36">
        <v>235530.97</v>
      </c>
      <c r="AB190" s="36"/>
      <c r="AC190" s="36">
        <v>0</v>
      </c>
      <c r="AD190" s="36"/>
      <c r="AE190" s="36">
        <v>0</v>
      </c>
      <c r="AF190" s="36"/>
      <c r="AG190" s="36">
        <v>0</v>
      </c>
      <c r="AH190" s="36"/>
      <c r="AI190" s="36">
        <f>SUM(E190:AG190)</f>
        <v>402013.74</v>
      </c>
      <c r="AJ190" s="10"/>
    </row>
    <row r="191" spans="1:36" ht="12.75">
      <c r="A191" s="1" t="s">
        <v>180</v>
      </c>
      <c r="C191" s="1" t="s">
        <v>802</v>
      </c>
      <c r="E191" s="36">
        <v>170287.37</v>
      </c>
      <c r="F191" s="36"/>
      <c r="G191" s="36">
        <v>279973.27</v>
      </c>
      <c r="H191" s="36"/>
      <c r="I191" s="36">
        <v>64990.56</v>
      </c>
      <c r="J191" s="36"/>
      <c r="K191" s="36">
        <v>0</v>
      </c>
      <c r="L191" s="36"/>
      <c r="M191" s="36">
        <v>2000</v>
      </c>
      <c r="N191" s="36"/>
      <c r="O191" s="36">
        <v>14967.35</v>
      </c>
      <c r="P191" s="36"/>
      <c r="Q191" s="36">
        <v>2033.04</v>
      </c>
      <c r="R191" s="36"/>
      <c r="S191" s="36">
        <v>9537.75</v>
      </c>
      <c r="T191" s="36"/>
      <c r="U191" s="36">
        <v>0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0</v>
      </c>
      <c r="AD191" s="36"/>
      <c r="AE191" s="36">
        <v>0</v>
      </c>
      <c r="AF191" s="36"/>
      <c r="AG191" s="36">
        <v>0</v>
      </c>
      <c r="AH191" s="36"/>
      <c r="AI191" s="36">
        <f>SUM(E191:AG191)</f>
        <v>543789.3400000001</v>
      </c>
      <c r="AJ191" s="10"/>
    </row>
    <row r="192" spans="1:36" s="21" customFormat="1" ht="12.75">
      <c r="A192" s="1" t="s">
        <v>92</v>
      </c>
      <c r="B192" s="1"/>
      <c r="C192" s="1" t="s">
        <v>378</v>
      </c>
      <c r="D192" s="1"/>
      <c r="E192" s="93">
        <v>349492.1</v>
      </c>
      <c r="F192" s="93"/>
      <c r="G192" s="93">
        <v>295882.13</v>
      </c>
      <c r="H192" s="93"/>
      <c r="I192" s="93">
        <v>86520.44</v>
      </c>
      <c r="J192" s="93"/>
      <c r="K192" s="93">
        <v>0</v>
      </c>
      <c r="L192" s="93"/>
      <c r="M192" s="93">
        <v>55007.39</v>
      </c>
      <c r="N192" s="93"/>
      <c r="O192" s="93">
        <v>179156.8</v>
      </c>
      <c r="P192" s="93"/>
      <c r="Q192" s="93">
        <v>238.55</v>
      </c>
      <c r="R192" s="93"/>
      <c r="S192" s="93">
        <v>28773.01</v>
      </c>
      <c r="T192" s="93"/>
      <c r="U192" s="93">
        <v>0</v>
      </c>
      <c r="V192" s="93"/>
      <c r="W192" s="93">
        <v>0</v>
      </c>
      <c r="X192" s="93"/>
      <c r="Y192" s="93">
        <v>0</v>
      </c>
      <c r="Z192" s="93"/>
      <c r="AA192" s="93">
        <v>0</v>
      </c>
      <c r="AB192" s="93"/>
      <c r="AC192" s="93">
        <v>0</v>
      </c>
      <c r="AD192" s="93"/>
      <c r="AE192" s="93">
        <v>3555.16</v>
      </c>
      <c r="AF192" s="93"/>
      <c r="AG192" s="93">
        <v>0</v>
      </c>
      <c r="AH192" s="93"/>
      <c r="AI192" s="93">
        <f>SUM(E192:AG192)</f>
        <v>998625.58</v>
      </c>
      <c r="AJ192" s="10"/>
    </row>
    <row r="193" spans="1:36" ht="12.75">
      <c r="A193" s="1" t="s">
        <v>117</v>
      </c>
      <c r="C193" s="1" t="s">
        <v>781</v>
      </c>
      <c r="E193" s="93">
        <v>9705.93</v>
      </c>
      <c r="F193" s="93"/>
      <c r="G193" s="93">
        <v>0</v>
      </c>
      <c r="H193" s="93"/>
      <c r="I193" s="93">
        <v>12458.15</v>
      </c>
      <c r="J193" s="93"/>
      <c r="K193" s="93">
        <v>0</v>
      </c>
      <c r="L193" s="93"/>
      <c r="M193" s="93">
        <v>0</v>
      </c>
      <c r="N193" s="93"/>
      <c r="O193" s="93">
        <v>18781</v>
      </c>
      <c r="P193" s="93"/>
      <c r="Q193" s="93">
        <v>33.23</v>
      </c>
      <c r="R193" s="93"/>
      <c r="S193" s="93">
        <v>0</v>
      </c>
      <c r="T193" s="93"/>
      <c r="U193" s="93">
        <v>0</v>
      </c>
      <c r="V193" s="93"/>
      <c r="W193" s="93">
        <v>0</v>
      </c>
      <c r="X193" s="93"/>
      <c r="Y193" s="93">
        <v>0</v>
      </c>
      <c r="Z193" s="93"/>
      <c r="AA193" s="93">
        <v>0</v>
      </c>
      <c r="AB193" s="93"/>
      <c r="AC193" s="93">
        <v>0</v>
      </c>
      <c r="AD193" s="93"/>
      <c r="AE193" s="93">
        <v>0</v>
      </c>
      <c r="AF193" s="93"/>
      <c r="AG193" s="93">
        <v>0</v>
      </c>
      <c r="AH193" s="93"/>
      <c r="AI193" s="93">
        <f>SUM(E193:AG193)</f>
        <v>40978.310000000005</v>
      </c>
      <c r="AJ193" s="10"/>
    </row>
    <row r="194" spans="1:39" s="21" customFormat="1" ht="12.75">
      <c r="A194" s="1" t="s">
        <v>291</v>
      </c>
      <c r="B194" s="1"/>
      <c r="C194" s="1" t="s">
        <v>292</v>
      </c>
      <c r="D194" s="1"/>
      <c r="E194" s="83">
        <f>175179.25+18332.89</f>
        <v>193512.14</v>
      </c>
      <c r="F194" s="83"/>
      <c r="G194" s="83">
        <v>81209.2</v>
      </c>
      <c r="H194" s="83"/>
      <c r="I194" s="83">
        <v>15953.72</v>
      </c>
      <c r="J194" s="83"/>
      <c r="K194" s="83">
        <v>137.5</v>
      </c>
      <c r="L194" s="83"/>
      <c r="M194" s="83">
        <v>17672.11</v>
      </c>
      <c r="N194" s="83"/>
      <c r="O194" s="83">
        <f>3179.1+66828.48</f>
        <v>70007.58</v>
      </c>
      <c r="P194" s="83"/>
      <c r="Q194" s="83">
        <v>463.59</v>
      </c>
      <c r="R194" s="83"/>
      <c r="S194" s="83">
        <v>41337.94</v>
      </c>
      <c r="T194" s="83"/>
      <c r="U194" s="83">
        <v>0</v>
      </c>
      <c r="V194" s="83"/>
      <c r="W194" s="41">
        <v>0</v>
      </c>
      <c r="X194" s="83"/>
      <c r="Y194" s="83">
        <v>0</v>
      </c>
      <c r="Z194" s="83"/>
      <c r="AA194" s="83">
        <v>0</v>
      </c>
      <c r="AB194" s="83"/>
      <c r="AC194" s="83">
        <v>579.65</v>
      </c>
      <c r="AD194" s="83"/>
      <c r="AE194" s="83">
        <v>0</v>
      </c>
      <c r="AF194" s="83"/>
      <c r="AG194" s="83">
        <v>0</v>
      </c>
      <c r="AH194" s="83"/>
      <c r="AI194" s="83">
        <f t="shared" si="5"/>
        <v>420873.43000000005</v>
      </c>
      <c r="AJ194" s="10"/>
      <c r="AK194" s="22"/>
      <c r="AL194" s="22"/>
      <c r="AM194" s="22"/>
    </row>
    <row r="195" spans="1:36" s="21" customFormat="1" ht="12.75">
      <c r="A195" s="1" t="s">
        <v>380</v>
      </c>
      <c r="B195" s="1"/>
      <c r="C195" s="1" t="s">
        <v>378</v>
      </c>
      <c r="D195" s="1"/>
      <c r="E195" s="83">
        <v>0</v>
      </c>
      <c r="F195" s="83"/>
      <c r="G195" s="83">
        <v>11626268</v>
      </c>
      <c r="H195" s="83"/>
      <c r="I195" s="83">
        <v>305784</v>
      </c>
      <c r="J195" s="83"/>
      <c r="K195" s="83">
        <v>0</v>
      </c>
      <c r="L195" s="83"/>
      <c r="M195" s="83">
        <v>264865</v>
      </c>
      <c r="N195" s="83"/>
      <c r="O195" s="83">
        <v>256250</v>
      </c>
      <c r="P195" s="83"/>
      <c r="Q195" s="83">
        <v>53964</v>
      </c>
      <c r="R195" s="83"/>
      <c r="S195" s="83">
        <v>0</v>
      </c>
      <c r="T195" s="83"/>
      <c r="U195" s="83">
        <v>0</v>
      </c>
      <c r="V195" s="83"/>
      <c r="W195" s="41">
        <v>0</v>
      </c>
      <c r="X195" s="83"/>
      <c r="Y195" s="83">
        <v>874</v>
      </c>
      <c r="Z195" s="83"/>
      <c r="AA195" s="83">
        <v>0</v>
      </c>
      <c r="AB195" s="83"/>
      <c r="AC195" s="83">
        <v>25000</v>
      </c>
      <c r="AD195" s="83"/>
      <c r="AE195" s="83">
        <v>50264</v>
      </c>
      <c r="AF195" s="83"/>
      <c r="AG195" s="83">
        <v>0</v>
      </c>
      <c r="AH195" s="83"/>
      <c r="AI195" s="83">
        <f t="shared" si="5"/>
        <v>12583269</v>
      </c>
      <c r="AJ195" s="38"/>
    </row>
    <row r="196" spans="1:36" s="21" customFormat="1" ht="12.75">
      <c r="A196" s="1" t="s">
        <v>93</v>
      </c>
      <c r="B196" s="1"/>
      <c r="C196" s="1" t="s">
        <v>773</v>
      </c>
      <c r="D196" s="1"/>
      <c r="E196" s="36">
        <v>148638.37</v>
      </c>
      <c r="F196" s="36"/>
      <c r="G196" s="36">
        <v>2639802.49</v>
      </c>
      <c r="H196" s="36"/>
      <c r="I196" s="36">
        <v>84741.85</v>
      </c>
      <c r="J196" s="36"/>
      <c r="K196" s="36">
        <v>0</v>
      </c>
      <c r="L196" s="36"/>
      <c r="M196" s="36">
        <v>22167.48</v>
      </c>
      <c r="N196" s="36"/>
      <c r="O196" s="36">
        <v>98535.91</v>
      </c>
      <c r="P196" s="36"/>
      <c r="Q196" s="36">
        <v>12277.76</v>
      </c>
      <c r="R196" s="36"/>
      <c r="S196" s="36">
        <v>20340.11</v>
      </c>
      <c r="T196" s="36"/>
      <c r="U196" s="36">
        <v>0</v>
      </c>
      <c r="V196" s="36"/>
      <c r="W196" s="36">
        <v>0</v>
      </c>
      <c r="X196" s="36"/>
      <c r="Y196" s="36">
        <v>0</v>
      </c>
      <c r="Z196" s="36"/>
      <c r="AA196" s="36">
        <v>4539.67</v>
      </c>
      <c r="AB196" s="36"/>
      <c r="AC196" s="36">
        <v>61217.96</v>
      </c>
      <c r="AD196" s="36"/>
      <c r="AE196" s="36">
        <v>0</v>
      </c>
      <c r="AF196" s="36"/>
      <c r="AG196" s="36">
        <v>0</v>
      </c>
      <c r="AH196" s="36"/>
      <c r="AI196" s="36">
        <f>SUM(E196:AG196)</f>
        <v>3092261.6</v>
      </c>
      <c r="AJ196" s="10"/>
    </row>
    <row r="197" spans="1:36" s="21" customFormat="1" ht="12.75">
      <c r="A197" s="1" t="s">
        <v>429</v>
      </c>
      <c r="B197" s="1"/>
      <c r="C197" s="1" t="s">
        <v>430</v>
      </c>
      <c r="D197" s="1"/>
      <c r="E197" s="36">
        <v>431056.99</v>
      </c>
      <c r="F197" s="36"/>
      <c r="G197" s="36">
        <v>770434.52</v>
      </c>
      <c r="H197" s="36"/>
      <c r="I197" s="36">
        <v>470478.83</v>
      </c>
      <c r="J197" s="36"/>
      <c r="K197" s="36">
        <v>0</v>
      </c>
      <c r="L197" s="36"/>
      <c r="M197" s="36">
        <v>144731.25</v>
      </c>
      <c r="N197" s="36"/>
      <c r="O197" s="36">
        <v>93385.72</v>
      </c>
      <c r="P197" s="36"/>
      <c r="Q197" s="36">
        <v>5459.98</v>
      </c>
      <c r="R197" s="36"/>
      <c r="S197" s="36">
        <v>74067.12</v>
      </c>
      <c r="T197" s="36"/>
      <c r="U197" s="36">
        <v>0</v>
      </c>
      <c r="V197" s="36"/>
      <c r="W197" s="36">
        <v>0</v>
      </c>
      <c r="X197" s="36"/>
      <c r="Y197" s="36">
        <v>0</v>
      </c>
      <c r="Z197" s="36"/>
      <c r="AA197" s="36">
        <v>0</v>
      </c>
      <c r="AB197" s="36"/>
      <c r="AC197" s="36">
        <v>15000</v>
      </c>
      <c r="AD197" s="36"/>
      <c r="AE197" s="36">
        <v>0</v>
      </c>
      <c r="AF197" s="36"/>
      <c r="AG197" s="36">
        <v>0</v>
      </c>
      <c r="AH197" s="36"/>
      <c r="AI197" s="36">
        <f>SUM(E197:AG197)</f>
        <v>2004614.4100000001</v>
      </c>
      <c r="AJ197" s="10"/>
    </row>
    <row r="198" spans="1:36" ht="12.75" hidden="1">
      <c r="A198" s="1" t="s">
        <v>901</v>
      </c>
      <c r="C198" s="1" t="s">
        <v>375</v>
      </c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5"/>
      <c r="W198" s="41"/>
      <c r="X198" s="85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>
        <f t="shared" si="5"/>
        <v>0</v>
      </c>
      <c r="AJ198" s="10"/>
    </row>
    <row r="199" spans="1:36" ht="12.75">
      <c r="A199" s="1" t="s">
        <v>167</v>
      </c>
      <c r="C199" s="1" t="s">
        <v>797</v>
      </c>
      <c r="E199" s="36">
        <v>84047.33</v>
      </c>
      <c r="F199" s="36"/>
      <c r="G199" s="36">
        <v>152445.28</v>
      </c>
      <c r="H199" s="36"/>
      <c r="I199" s="36">
        <v>38674.01</v>
      </c>
      <c r="J199" s="36"/>
      <c r="K199" s="36">
        <v>0</v>
      </c>
      <c r="L199" s="36"/>
      <c r="M199" s="36">
        <v>3600</v>
      </c>
      <c r="N199" s="36"/>
      <c r="O199" s="36">
        <v>5559.08</v>
      </c>
      <c r="P199" s="36"/>
      <c r="Q199" s="36">
        <v>1.43</v>
      </c>
      <c r="R199" s="36"/>
      <c r="S199" s="36">
        <v>5362.69</v>
      </c>
      <c r="T199" s="36"/>
      <c r="U199" s="36">
        <v>0</v>
      </c>
      <c r="V199" s="36"/>
      <c r="W199" s="36">
        <v>0</v>
      </c>
      <c r="X199" s="36"/>
      <c r="Y199" s="36">
        <v>0</v>
      </c>
      <c r="Z199" s="36"/>
      <c r="AA199" s="36">
        <v>45623.72</v>
      </c>
      <c r="AB199" s="36"/>
      <c r="AC199" s="36">
        <v>20000</v>
      </c>
      <c r="AD199" s="36"/>
      <c r="AE199" s="36">
        <v>0</v>
      </c>
      <c r="AF199" s="36"/>
      <c r="AG199" s="36">
        <v>0</v>
      </c>
      <c r="AH199" s="36"/>
      <c r="AI199" s="36">
        <f>SUM(E199:AG199)</f>
        <v>355313.54000000004</v>
      </c>
      <c r="AJ199" s="10"/>
    </row>
    <row r="200" spans="1:36" s="21" customFormat="1" ht="12.75">
      <c r="A200" s="1" t="s">
        <v>360</v>
      </c>
      <c r="B200" s="1"/>
      <c r="C200" s="1" t="s">
        <v>358</v>
      </c>
      <c r="D200" s="1"/>
      <c r="E200" s="83">
        <v>61790.83</v>
      </c>
      <c r="F200" s="83"/>
      <c r="G200" s="83">
        <v>291225.28</v>
      </c>
      <c r="H200" s="83"/>
      <c r="I200" s="83">
        <v>65242.47</v>
      </c>
      <c r="J200" s="83"/>
      <c r="K200" s="83">
        <v>0</v>
      </c>
      <c r="L200" s="83"/>
      <c r="M200" s="83">
        <v>370.34</v>
      </c>
      <c r="N200" s="83"/>
      <c r="O200" s="83">
        <v>7362.58</v>
      </c>
      <c r="P200" s="83"/>
      <c r="Q200" s="83">
        <v>1296.99</v>
      </c>
      <c r="R200" s="83"/>
      <c r="S200" s="83">
        <v>9219.16</v>
      </c>
      <c r="T200" s="83"/>
      <c r="U200" s="83">
        <v>0</v>
      </c>
      <c r="V200" s="83"/>
      <c r="W200" s="41">
        <v>0</v>
      </c>
      <c r="X200" s="83"/>
      <c r="Y200" s="83">
        <v>15.5</v>
      </c>
      <c r="Z200" s="83"/>
      <c r="AA200" s="83">
        <v>0</v>
      </c>
      <c r="AB200" s="83"/>
      <c r="AC200" s="83">
        <v>0</v>
      </c>
      <c r="AD200" s="83"/>
      <c r="AE200" s="83">
        <v>0</v>
      </c>
      <c r="AF200" s="83"/>
      <c r="AG200" s="83">
        <v>0</v>
      </c>
      <c r="AH200" s="83"/>
      <c r="AI200" s="83">
        <f t="shared" si="5"/>
        <v>436523.1500000001</v>
      </c>
      <c r="AJ200" s="10"/>
    </row>
    <row r="201" spans="1:36" s="21" customFormat="1" ht="12.75">
      <c r="A201" s="1" t="s">
        <v>21</v>
      </c>
      <c r="B201" s="1"/>
      <c r="C201" s="1" t="s">
        <v>751</v>
      </c>
      <c r="D201" s="1"/>
      <c r="E201" s="36">
        <v>42393.43</v>
      </c>
      <c r="F201" s="36"/>
      <c r="G201" s="36">
        <v>0</v>
      </c>
      <c r="H201" s="36"/>
      <c r="I201" s="36">
        <v>18962.12</v>
      </c>
      <c r="J201" s="36"/>
      <c r="K201" s="36">
        <v>0</v>
      </c>
      <c r="L201" s="36"/>
      <c r="M201" s="36">
        <v>12250</v>
      </c>
      <c r="N201" s="36"/>
      <c r="O201" s="36">
        <v>92186.62</v>
      </c>
      <c r="P201" s="36"/>
      <c r="Q201" s="36">
        <v>1290.32</v>
      </c>
      <c r="R201" s="36"/>
      <c r="S201" s="36">
        <v>1253.03</v>
      </c>
      <c r="T201" s="36"/>
      <c r="U201" s="36">
        <v>0</v>
      </c>
      <c r="V201" s="36"/>
      <c r="W201" s="36">
        <v>17.66</v>
      </c>
      <c r="X201" s="36"/>
      <c r="Y201" s="36">
        <v>0</v>
      </c>
      <c r="Z201" s="36"/>
      <c r="AA201" s="36">
        <v>0</v>
      </c>
      <c r="AB201" s="36"/>
      <c r="AC201" s="36">
        <v>0</v>
      </c>
      <c r="AD201" s="36"/>
      <c r="AE201" s="36">
        <v>374</v>
      </c>
      <c r="AF201" s="36"/>
      <c r="AG201" s="36">
        <v>0</v>
      </c>
      <c r="AH201" s="36"/>
      <c r="AI201" s="36">
        <f>SUM(E201:AG201)</f>
        <v>168727.18</v>
      </c>
      <c r="AJ201" s="10"/>
    </row>
    <row r="202" spans="1:39" s="21" customFormat="1" ht="12.75" hidden="1">
      <c r="A202" s="15" t="s">
        <v>297</v>
      </c>
      <c r="B202" s="15"/>
      <c r="C202" s="1" t="s">
        <v>295</v>
      </c>
      <c r="D202" s="1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41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>
        <f t="shared" si="5"/>
        <v>0</v>
      </c>
      <c r="AJ202" s="10"/>
      <c r="AK202" s="22"/>
      <c r="AL202" s="22"/>
      <c r="AM202" s="22"/>
    </row>
    <row r="203" spans="1:39" s="21" customFormat="1" ht="12.75">
      <c r="A203" s="15" t="s">
        <v>940</v>
      </c>
      <c r="B203" s="15"/>
      <c r="C203" s="1" t="s">
        <v>470</v>
      </c>
      <c r="D203" s="1"/>
      <c r="E203" s="93">
        <v>3682.14</v>
      </c>
      <c r="F203" s="93"/>
      <c r="G203" s="93">
        <v>0</v>
      </c>
      <c r="H203" s="93"/>
      <c r="I203" s="93">
        <v>25280.19</v>
      </c>
      <c r="J203" s="93"/>
      <c r="K203" s="93">
        <v>9612.65</v>
      </c>
      <c r="L203" s="93"/>
      <c r="M203" s="93">
        <v>0</v>
      </c>
      <c r="N203" s="93"/>
      <c r="O203" s="93">
        <v>2101</v>
      </c>
      <c r="P203" s="93"/>
      <c r="Q203" s="93">
        <v>127.78</v>
      </c>
      <c r="R203" s="93"/>
      <c r="S203" s="93">
        <v>786</v>
      </c>
      <c r="T203" s="93"/>
      <c r="U203" s="93">
        <v>0</v>
      </c>
      <c r="V203" s="93"/>
      <c r="W203" s="93">
        <v>0</v>
      </c>
      <c r="X203" s="93"/>
      <c r="Y203" s="93">
        <v>0</v>
      </c>
      <c r="Z203" s="93"/>
      <c r="AA203" s="93">
        <v>0</v>
      </c>
      <c r="AB203" s="93"/>
      <c r="AC203" s="93">
        <v>0</v>
      </c>
      <c r="AD203" s="93"/>
      <c r="AE203" s="93">
        <v>0</v>
      </c>
      <c r="AF203" s="93"/>
      <c r="AG203" s="93">
        <v>0</v>
      </c>
      <c r="AH203" s="93"/>
      <c r="AI203" s="93">
        <f>SUM(E203:AG203)</f>
        <v>41589.759999999995</v>
      </c>
      <c r="AJ203" s="10"/>
      <c r="AK203" s="22"/>
      <c r="AL203" s="22"/>
      <c r="AM203" s="22"/>
    </row>
    <row r="204" spans="1:36" s="21" customFormat="1" ht="12.75">
      <c r="A204" s="1" t="s">
        <v>105</v>
      </c>
      <c r="B204" s="1"/>
      <c r="C204" s="1" t="s">
        <v>777</v>
      </c>
      <c r="D204" s="1"/>
      <c r="E204" s="36">
        <v>18067.97</v>
      </c>
      <c r="F204" s="36"/>
      <c r="G204" s="36">
        <v>0</v>
      </c>
      <c r="H204" s="36"/>
      <c r="I204" s="36">
        <v>12496.74</v>
      </c>
      <c r="J204" s="36"/>
      <c r="K204" s="36">
        <v>0</v>
      </c>
      <c r="L204" s="36"/>
      <c r="M204" s="36">
        <v>2236</v>
      </c>
      <c r="N204" s="36"/>
      <c r="O204" s="36">
        <v>0</v>
      </c>
      <c r="P204" s="36"/>
      <c r="Q204" s="36">
        <v>124.46</v>
      </c>
      <c r="R204" s="36"/>
      <c r="S204" s="36">
        <v>3462.86</v>
      </c>
      <c r="T204" s="36"/>
      <c r="U204" s="36">
        <v>0</v>
      </c>
      <c r="V204" s="36"/>
      <c r="W204" s="36">
        <v>0</v>
      </c>
      <c r="X204" s="36"/>
      <c r="Y204" s="36">
        <v>0</v>
      </c>
      <c r="Z204" s="36"/>
      <c r="AA204" s="36">
        <v>0</v>
      </c>
      <c r="AB204" s="36"/>
      <c r="AC204" s="36">
        <v>0</v>
      </c>
      <c r="AD204" s="36"/>
      <c r="AE204" s="36">
        <v>0</v>
      </c>
      <c r="AF204" s="36"/>
      <c r="AG204" s="36">
        <v>0</v>
      </c>
      <c r="AH204" s="36"/>
      <c r="AI204" s="36">
        <f>SUM(E204:AG204)</f>
        <v>36388.03</v>
      </c>
      <c r="AJ204" s="10"/>
    </row>
    <row r="205" spans="1:36" s="21" customFormat="1" ht="12.75">
      <c r="A205" s="1" t="s">
        <v>941</v>
      </c>
      <c r="B205" s="1"/>
      <c r="C205" s="1" t="s">
        <v>750</v>
      </c>
      <c r="D205" s="1"/>
      <c r="E205" s="36">
        <v>15250.87</v>
      </c>
      <c r="F205" s="36"/>
      <c r="G205" s="36">
        <v>0</v>
      </c>
      <c r="H205" s="36"/>
      <c r="I205" s="36">
        <v>44842.04</v>
      </c>
      <c r="J205" s="36"/>
      <c r="K205" s="36">
        <v>0</v>
      </c>
      <c r="L205" s="36"/>
      <c r="M205" s="36">
        <v>0</v>
      </c>
      <c r="N205" s="36"/>
      <c r="O205" s="36">
        <v>0</v>
      </c>
      <c r="P205" s="36"/>
      <c r="Q205" s="36">
        <v>18856.66</v>
      </c>
      <c r="R205" s="36"/>
      <c r="S205" s="36">
        <v>1122.58</v>
      </c>
      <c r="T205" s="36"/>
      <c r="U205" s="36">
        <v>0</v>
      </c>
      <c r="V205" s="36"/>
      <c r="W205" s="36">
        <v>0</v>
      </c>
      <c r="X205" s="36"/>
      <c r="Y205" s="36">
        <v>0</v>
      </c>
      <c r="Z205" s="36"/>
      <c r="AA205" s="36">
        <v>0</v>
      </c>
      <c r="AB205" s="36"/>
      <c r="AC205" s="36">
        <v>0</v>
      </c>
      <c r="AD205" s="36"/>
      <c r="AE205" s="36">
        <v>0</v>
      </c>
      <c r="AF205" s="36"/>
      <c r="AG205" s="36">
        <v>0</v>
      </c>
      <c r="AH205" s="36"/>
      <c r="AI205" s="36">
        <f>SUM(E205:AG205)</f>
        <v>80072.15000000001</v>
      </c>
      <c r="AJ205" s="10"/>
    </row>
    <row r="206" spans="1:36" ht="12.75">
      <c r="A206" s="1" t="s">
        <v>398</v>
      </c>
      <c r="C206" s="1" t="s">
        <v>396</v>
      </c>
      <c r="E206" s="83">
        <v>26272</v>
      </c>
      <c r="F206" s="83"/>
      <c r="G206" s="83">
        <v>325796</v>
      </c>
      <c r="H206" s="83"/>
      <c r="I206" s="83">
        <v>54834</v>
      </c>
      <c r="J206" s="83"/>
      <c r="K206" s="83">
        <v>0</v>
      </c>
      <c r="L206" s="83"/>
      <c r="M206" s="83">
        <v>16934</v>
      </c>
      <c r="N206" s="83"/>
      <c r="O206" s="83">
        <v>2189</v>
      </c>
      <c r="P206" s="83"/>
      <c r="Q206" s="83">
        <v>2323</v>
      </c>
      <c r="R206" s="83"/>
      <c r="S206" s="83">
        <v>16969</v>
      </c>
      <c r="T206" s="83"/>
      <c r="U206" s="83">
        <v>0</v>
      </c>
      <c r="V206" s="83"/>
      <c r="W206" s="41">
        <v>0</v>
      </c>
      <c r="X206" s="83"/>
      <c r="Y206" s="83">
        <v>0</v>
      </c>
      <c r="Z206" s="83"/>
      <c r="AA206" s="83">
        <v>0</v>
      </c>
      <c r="AB206" s="83"/>
      <c r="AC206" s="83">
        <v>0</v>
      </c>
      <c r="AD206" s="83"/>
      <c r="AE206" s="83">
        <v>0</v>
      </c>
      <c r="AF206" s="83"/>
      <c r="AG206" s="83">
        <v>0</v>
      </c>
      <c r="AH206" s="83"/>
      <c r="AI206" s="83">
        <f aca="true" t="shared" si="9" ref="AI206:AI268">SUM(E206:AG206)</f>
        <v>445317</v>
      </c>
      <c r="AJ206" s="10"/>
    </row>
    <row r="207" spans="1:36" ht="12.75">
      <c r="A207" s="1" t="s">
        <v>204</v>
      </c>
      <c r="C207" s="1" t="s">
        <v>808</v>
      </c>
      <c r="E207" s="36">
        <v>14553.41</v>
      </c>
      <c r="F207" s="36"/>
      <c r="G207" s="36">
        <v>69554.92</v>
      </c>
      <c r="H207" s="36"/>
      <c r="I207" s="36">
        <v>45845.43</v>
      </c>
      <c r="J207" s="36"/>
      <c r="K207" s="36">
        <v>0</v>
      </c>
      <c r="L207" s="36"/>
      <c r="M207" s="36">
        <v>0</v>
      </c>
      <c r="N207" s="36"/>
      <c r="O207" s="36">
        <v>115</v>
      </c>
      <c r="P207" s="36"/>
      <c r="Q207" s="36">
        <v>3480.81</v>
      </c>
      <c r="R207" s="36"/>
      <c r="S207" s="36">
        <v>31119.85</v>
      </c>
      <c r="T207" s="36"/>
      <c r="U207" s="36">
        <v>0</v>
      </c>
      <c r="V207" s="36"/>
      <c r="W207" s="36">
        <v>0</v>
      </c>
      <c r="X207" s="36"/>
      <c r="Y207" s="36">
        <v>0</v>
      </c>
      <c r="Z207" s="36"/>
      <c r="AA207" s="36">
        <v>0</v>
      </c>
      <c r="AB207" s="36"/>
      <c r="AC207" s="36">
        <v>0</v>
      </c>
      <c r="AD207" s="36"/>
      <c r="AE207" s="36">
        <v>0</v>
      </c>
      <c r="AF207" s="36"/>
      <c r="AG207" s="36">
        <v>0</v>
      </c>
      <c r="AH207" s="36"/>
      <c r="AI207" s="36">
        <f>SUM(E207:AG207)</f>
        <v>164669.42</v>
      </c>
      <c r="AJ207" s="10"/>
    </row>
    <row r="208" spans="1:36" ht="12.75">
      <c r="A208" s="1" t="s">
        <v>222</v>
      </c>
      <c r="C208" s="1" t="s">
        <v>814</v>
      </c>
      <c r="E208" s="36">
        <v>119459.34</v>
      </c>
      <c r="F208" s="36"/>
      <c r="G208" s="36">
        <v>1030376.85</v>
      </c>
      <c r="H208" s="36"/>
      <c r="I208" s="36">
        <v>88088.76</v>
      </c>
      <c r="J208" s="36"/>
      <c r="K208" s="36">
        <v>6951.87</v>
      </c>
      <c r="L208" s="36"/>
      <c r="M208" s="36">
        <v>325</v>
      </c>
      <c r="N208" s="36"/>
      <c r="O208" s="36">
        <v>1990</v>
      </c>
      <c r="P208" s="36"/>
      <c r="Q208" s="36">
        <v>4595.85</v>
      </c>
      <c r="R208" s="36"/>
      <c r="S208" s="36">
        <v>12159.56</v>
      </c>
      <c r="T208" s="36"/>
      <c r="U208" s="36">
        <v>0</v>
      </c>
      <c r="V208" s="36"/>
      <c r="W208" s="36">
        <v>0</v>
      </c>
      <c r="X208" s="36"/>
      <c r="Y208" s="36">
        <v>91185</v>
      </c>
      <c r="Z208" s="36"/>
      <c r="AA208" s="36">
        <v>0</v>
      </c>
      <c r="AB208" s="36"/>
      <c r="AC208" s="36">
        <v>0</v>
      </c>
      <c r="AD208" s="36"/>
      <c r="AE208" s="36">
        <v>0</v>
      </c>
      <c r="AF208" s="36"/>
      <c r="AG208" s="36">
        <v>0</v>
      </c>
      <c r="AH208" s="36"/>
      <c r="AI208" s="36">
        <f>SUM(E208:AG208)</f>
        <v>1355132.2300000002</v>
      </c>
      <c r="AJ208" s="10"/>
    </row>
    <row r="209" spans="1:36" ht="12.75">
      <c r="A209" s="1" t="s">
        <v>467</v>
      </c>
      <c r="C209" s="1" t="s">
        <v>466</v>
      </c>
      <c r="E209" s="83">
        <v>135050</v>
      </c>
      <c r="F209" s="83"/>
      <c r="G209" s="83">
        <v>0</v>
      </c>
      <c r="H209" s="83"/>
      <c r="I209" s="83">
        <v>80247</v>
      </c>
      <c r="J209" s="83"/>
      <c r="K209" s="83">
        <v>90215</v>
      </c>
      <c r="L209" s="83"/>
      <c r="M209" s="83">
        <v>4080</v>
      </c>
      <c r="N209" s="83"/>
      <c r="O209" s="83">
        <v>1941</v>
      </c>
      <c r="P209" s="83"/>
      <c r="Q209" s="83">
        <v>4312</v>
      </c>
      <c r="R209" s="83"/>
      <c r="S209" s="83">
        <v>4568</v>
      </c>
      <c r="T209" s="83"/>
      <c r="U209" s="83">
        <v>0</v>
      </c>
      <c r="V209" s="83"/>
      <c r="W209" s="41">
        <v>0</v>
      </c>
      <c r="X209" s="83"/>
      <c r="Y209" s="83">
        <v>0</v>
      </c>
      <c r="Z209" s="83"/>
      <c r="AA209" s="83">
        <v>50000</v>
      </c>
      <c r="AB209" s="83"/>
      <c r="AC209" s="83">
        <v>0</v>
      </c>
      <c r="AD209" s="83"/>
      <c r="AE209" s="83">
        <v>0</v>
      </c>
      <c r="AF209" s="83"/>
      <c r="AG209" s="83">
        <v>0</v>
      </c>
      <c r="AH209" s="83"/>
      <c r="AI209" s="83">
        <f t="shared" si="9"/>
        <v>370413</v>
      </c>
      <c r="AJ209" s="10"/>
    </row>
    <row r="210" spans="1:36" ht="12.75">
      <c r="A210" s="1" t="s">
        <v>942</v>
      </c>
      <c r="C210" s="1" t="s">
        <v>709</v>
      </c>
      <c r="E210" s="36">
        <v>65778.52</v>
      </c>
      <c r="F210" s="36"/>
      <c r="G210" s="36">
        <v>0</v>
      </c>
      <c r="H210" s="36"/>
      <c r="I210" s="36">
        <v>131080.28</v>
      </c>
      <c r="J210" s="36"/>
      <c r="K210" s="36">
        <v>0</v>
      </c>
      <c r="L210" s="36"/>
      <c r="M210" s="36">
        <v>0</v>
      </c>
      <c r="N210" s="36"/>
      <c r="O210" s="36">
        <v>81115.46</v>
      </c>
      <c r="P210" s="36"/>
      <c r="Q210" s="36">
        <v>1.06</v>
      </c>
      <c r="R210" s="36"/>
      <c r="S210" s="36">
        <v>11967.21</v>
      </c>
      <c r="T210" s="36"/>
      <c r="U210" s="36">
        <v>0</v>
      </c>
      <c r="V210" s="36"/>
      <c r="W210" s="36">
        <v>0</v>
      </c>
      <c r="X210" s="36"/>
      <c r="Y210" s="36">
        <v>0</v>
      </c>
      <c r="Z210" s="36"/>
      <c r="AA210" s="36">
        <v>0</v>
      </c>
      <c r="AB210" s="36"/>
      <c r="AC210" s="36">
        <v>0</v>
      </c>
      <c r="AD210" s="36"/>
      <c r="AE210" s="36">
        <v>0</v>
      </c>
      <c r="AF210" s="36"/>
      <c r="AG210" s="36">
        <v>0</v>
      </c>
      <c r="AH210" s="36"/>
      <c r="AI210" s="36">
        <f>SUM(E210:AG210)</f>
        <v>289942.53</v>
      </c>
      <c r="AJ210" s="10"/>
    </row>
    <row r="211" spans="1:36" ht="12.75">
      <c r="A211" s="1" t="s">
        <v>212</v>
      </c>
      <c r="C211" s="1" t="s">
        <v>810</v>
      </c>
      <c r="E211" s="36">
        <v>47657.8</v>
      </c>
      <c r="F211" s="36"/>
      <c r="G211" s="36">
        <v>0</v>
      </c>
      <c r="H211" s="36"/>
      <c r="I211" s="36">
        <v>63232.57</v>
      </c>
      <c r="J211" s="36"/>
      <c r="K211" s="36">
        <v>0</v>
      </c>
      <c r="L211" s="36"/>
      <c r="M211" s="36">
        <v>0</v>
      </c>
      <c r="N211" s="36"/>
      <c r="O211" s="36">
        <v>22574.27</v>
      </c>
      <c r="P211" s="36"/>
      <c r="Q211" s="36">
        <v>5244.07</v>
      </c>
      <c r="R211" s="36"/>
      <c r="S211" s="36">
        <v>0</v>
      </c>
      <c r="T211" s="36"/>
      <c r="U211" s="36">
        <v>0</v>
      </c>
      <c r="V211" s="36"/>
      <c r="W211" s="36">
        <v>0</v>
      </c>
      <c r="X211" s="36"/>
      <c r="Y211" s="36">
        <v>0</v>
      </c>
      <c r="Z211" s="36"/>
      <c r="AA211" s="36">
        <v>0</v>
      </c>
      <c r="AB211" s="36"/>
      <c r="AC211" s="36">
        <v>0</v>
      </c>
      <c r="AD211" s="36"/>
      <c r="AE211" s="36">
        <v>40945.38</v>
      </c>
      <c r="AF211" s="36"/>
      <c r="AG211" s="36">
        <v>0</v>
      </c>
      <c r="AH211" s="36"/>
      <c r="AI211" s="36">
        <f>SUM(E211:AG211)</f>
        <v>179654.09</v>
      </c>
      <c r="AJ211" s="10"/>
    </row>
    <row r="212" spans="1:36" ht="12.75">
      <c r="A212" s="1" t="s">
        <v>175</v>
      </c>
      <c r="C212" s="1" t="s">
        <v>800</v>
      </c>
      <c r="E212" s="36">
        <v>29883.11</v>
      </c>
      <c r="F212" s="36"/>
      <c r="G212" s="36">
        <v>112559.38</v>
      </c>
      <c r="H212" s="36"/>
      <c r="I212" s="36">
        <v>31560.08</v>
      </c>
      <c r="J212" s="36"/>
      <c r="K212" s="36">
        <v>0</v>
      </c>
      <c r="L212" s="36"/>
      <c r="M212" s="36">
        <v>29511.68</v>
      </c>
      <c r="N212" s="36"/>
      <c r="O212" s="36">
        <v>22419.68</v>
      </c>
      <c r="P212" s="36"/>
      <c r="Q212" s="36">
        <v>610.32</v>
      </c>
      <c r="R212" s="36"/>
      <c r="S212" s="36">
        <v>4450.93</v>
      </c>
      <c r="T212" s="36"/>
      <c r="U212" s="36">
        <v>0</v>
      </c>
      <c r="V212" s="36"/>
      <c r="W212" s="36">
        <v>0</v>
      </c>
      <c r="X212" s="36"/>
      <c r="Y212" s="36">
        <v>2472.45</v>
      </c>
      <c r="Z212" s="36"/>
      <c r="AA212" s="36">
        <v>0</v>
      </c>
      <c r="AB212" s="36"/>
      <c r="AC212" s="36">
        <v>0</v>
      </c>
      <c r="AD212" s="36"/>
      <c r="AE212" s="36">
        <v>124</v>
      </c>
      <c r="AF212" s="36"/>
      <c r="AG212" s="36">
        <v>0</v>
      </c>
      <c r="AH212" s="36"/>
      <c r="AI212" s="36">
        <f>SUM(E212:AG212)</f>
        <v>233591.63</v>
      </c>
      <c r="AJ212" s="10"/>
    </row>
    <row r="213" spans="1:36" ht="12.75">
      <c r="A213" s="1" t="s">
        <v>595</v>
      </c>
      <c r="C213" s="1" t="s">
        <v>590</v>
      </c>
      <c r="E213" s="83">
        <v>44471</v>
      </c>
      <c r="F213" s="83"/>
      <c r="G213" s="83">
        <v>0</v>
      </c>
      <c r="H213" s="83"/>
      <c r="I213" s="83">
        <v>4468</v>
      </c>
      <c r="J213" s="83"/>
      <c r="K213" s="83">
        <v>0</v>
      </c>
      <c r="L213" s="83"/>
      <c r="M213" s="83">
        <v>0</v>
      </c>
      <c r="N213" s="83"/>
      <c r="O213" s="83">
        <v>0</v>
      </c>
      <c r="P213" s="83"/>
      <c r="Q213" s="83">
        <v>0</v>
      </c>
      <c r="R213" s="83"/>
      <c r="S213" s="83">
        <v>12066</v>
      </c>
      <c r="T213" s="83"/>
      <c r="U213" s="83">
        <v>0</v>
      </c>
      <c r="V213" s="83"/>
      <c r="W213" s="41">
        <v>0</v>
      </c>
      <c r="X213" s="83"/>
      <c r="Y213" s="83">
        <v>0</v>
      </c>
      <c r="Z213" s="83"/>
      <c r="AA213" s="83">
        <v>0</v>
      </c>
      <c r="AB213" s="83"/>
      <c r="AC213" s="83">
        <v>0</v>
      </c>
      <c r="AD213" s="83"/>
      <c r="AE213" s="83">
        <v>0</v>
      </c>
      <c r="AF213" s="83"/>
      <c r="AG213" s="83">
        <v>0</v>
      </c>
      <c r="AH213" s="83"/>
      <c r="AI213" s="83">
        <f t="shared" si="9"/>
        <v>61005</v>
      </c>
      <c r="AJ213" s="10"/>
    </row>
    <row r="214" spans="1:36" s="21" customFormat="1" ht="12.75">
      <c r="A214" s="1" t="s">
        <v>428</v>
      </c>
      <c r="B214" s="1"/>
      <c r="C214" s="1" t="s">
        <v>427</v>
      </c>
      <c r="D214" s="1"/>
      <c r="E214" s="36">
        <v>131569.47</v>
      </c>
      <c r="F214" s="36"/>
      <c r="G214" s="36">
        <v>428448.35</v>
      </c>
      <c r="H214" s="36"/>
      <c r="I214" s="36">
        <v>156359.31</v>
      </c>
      <c r="J214" s="36"/>
      <c r="K214" s="36">
        <v>0</v>
      </c>
      <c r="L214" s="36"/>
      <c r="M214" s="36">
        <v>30</v>
      </c>
      <c r="N214" s="36"/>
      <c r="O214" s="36">
        <v>26399.69</v>
      </c>
      <c r="P214" s="36"/>
      <c r="Q214" s="36">
        <v>540.33</v>
      </c>
      <c r="R214" s="36"/>
      <c r="S214" s="36">
        <f>18402.39+4272.41+11839</f>
        <v>34513.8</v>
      </c>
      <c r="T214" s="36"/>
      <c r="U214" s="36">
        <v>0</v>
      </c>
      <c r="V214" s="36"/>
      <c r="W214" s="36">
        <v>0</v>
      </c>
      <c r="X214" s="36"/>
      <c r="Y214" s="36">
        <v>0</v>
      </c>
      <c r="Z214" s="36"/>
      <c r="AA214" s="36">
        <v>0</v>
      </c>
      <c r="AB214" s="36"/>
      <c r="AC214" s="36">
        <v>0</v>
      </c>
      <c r="AD214" s="36"/>
      <c r="AE214" s="36">
        <v>0</v>
      </c>
      <c r="AF214" s="36"/>
      <c r="AG214" s="36">
        <v>13387.14</v>
      </c>
      <c r="AH214" s="36"/>
      <c r="AI214" s="36">
        <f>SUM(E214:AG214)</f>
        <v>791248.0899999999</v>
      </c>
      <c r="AJ214" s="10"/>
    </row>
    <row r="215" spans="1:36" ht="12.75">
      <c r="A215" s="1" t="s">
        <v>405</v>
      </c>
      <c r="C215" s="1" t="s">
        <v>403</v>
      </c>
      <c r="E215" s="83">
        <v>39063.38</v>
      </c>
      <c r="F215" s="83"/>
      <c r="G215" s="83">
        <v>56907.97</v>
      </c>
      <c r="H215" s="83"/>
      <c r="I215" s="83">
        <v>0</v>
      </c>
      <c r="J215" s="83"/>
      <c r="K215" s="83">
        <v>0</v>
      </c>
      <c r="L215" s="83"/>
      <c r="M215" s="83">
        <v>0</v>
      </c>
      <c r="N215" s="83"/>
      <c r="O215" s="83">
        <v>88.2</v>
      </c>
      <c r="P215" s="83"/>
      <c r="Q215" s="83">
        <v>60.04</v>
      </c>
      <c r="R215" s="83"/>
      <c r="S215" s="83">
        <v>21349.02</v>
      </c>
      <c r="T215" s="83"/>
      <c r="U215" s="83">
        <v>0</v>
      </c>
      <c r="V215" s="83"/>
      <c r="W215" s="41">
        <v>0</v>
      </c>
      <c r="X215" s="83"/>
      <c r="Y215" s="83">
        <v>0</v>
      </c>
      <c r="Z215" s="83"/>
      <c r="AA215" s="83">
        <v>0</v>
      </c>
      <c r="AB215" s="83"/>
      <c r="AC215" s="83">
        <v>0</v>
      </c>
      <c r="AD215" s="83"/>
      <c r="AE215" s="83">
        <v>0</v>
      </c>
      <c r="AF215" s="83"/>
      <c r="AG215" s="83">
        <v>0</v>
      </c>
      <c r="AH215" s="83"/>
      <c r="AI215" s="83">
        <f t="shared" si="9"/>
        <v>117468.61</v>
      </c>
      <c r="AJ215" s="10"/>
    </row>
    <row r="216" spans="1:36" ht="12.75">
      <c r="A216" s="1" t="s">
        <v>358</v>
      </c>
      <c r="C216" s="1" t="s">
        <v>243</v>
      </c>
      <c r="E216" s="36">
        <v>9714.08</v>
      </c>
      <c r="F216" s="36"/>
      <c r="G216" s="36">
        <v>0</v>
      </c>
      <c r="H216" s="36"/>
      <c r="I216" s="36">
        <v>14157.39</v>
      </c>
      <c r="J216" s="36"/>
      <c r="K216" s="36">
        <v>0</v>
      </c>
      <c r="L216" s="36"/>
      <c r="M216" s="36">
        <v>35</v>
      </c>
      <c r="N216" s="36"/>
      <c r="O216" s="36">
        <v>4067.4</v>
      </c>
      <c r="P216" s="36"/>
      <c r="Q216" s="36">
        <v>11.23</v>
      </c>
      <c r="R216" s="36"/>
      <c r="S216" s="36">
        <v>35</v>
      </c>
      <c r="T216" s="36"/>
      <c r="U216" s="36">
        <v>0</v>
      </c>
      <c r="V216" s="36"/>
      <c r="W216" s="36">
        <v>0</v>
      </c>
      <c r="X216" s="36"/>
      <c r="Y216" s="36">
        <v>0</v>
      </c>
      <c r="Z216" s="36"/>
      <c r="AA216" s="36">
        <v>0</v>
      </c>
      <c r="AB216" s="36"/>
      <c r="AC216" s="36">
        <v>0</v>
      </c>
      <c r="AD216" s="36"/>
      <c r="AE216" s="36">
        <v>0</v>
      </c>
      <c r="AF216" s="36"/>
      <c r="AG216" s="36">
        <v>0</v>
      </c>
      <c r="AH216" s="36"/>
      <c r="AI216" s="36">
        <f>SUM(E216:AG216)</f>
        <v>28020.100000000002</v>
      </c>
      <c r="AJ216" s="10"/>
    </row>
    <row r="217" spans="1:36" s="21" customFormat="1" ht="12.75">
      <c r="A217" s="1" t="s">
        <v>486</v>
      </c>
      <c r="B217" s="1"/>
      <c r="C217" s="1" t="s">
        <v>485</v>
      </c>
      <c r="D217" s="1"/>
      <c r="E217" s="93">
        <v>2224.19</v>
      </c>
      <c r="F217" s="93"/>
      <c r="G217" s="93">
        <v>0</v>
      </c>
      <c r="H217" s="93"/>
      <c r="I217" s="93">
        <v>11626.74</v>
      </c>
      <c r="J217" s="93"/>
      <c r="K217" s="93">
        <v>0</v>
      </c>
      <c r="L217" s="93"/>
      <c r="M217" s="93">
        <v>0</v>
      </c>
      <c r="N217" s="93"/>
      <c r="O217" s="93">
        <v>0</v>
      </c>
      <c r="P217" s="93"/>
      <c r="Q217" s="93">
        <v>20.63</v>
      </c>
      <c r="R217" s="93"/>
      <c r="S217" s="93">
        <v>399.06</v>
      </c>
      <c r="T217" s="93"/>
      <c r="U217" s="93">
        <v>0</v>
      </c>
      <c r="V217" s="93"/>
      <c r="W217" s="93">
        <v>0</v>
      </c>
      <c r="X217" s="93"/>
      <c r="Y217" s="93">
        <v>0</v>
      </c>
      <c r="Z217" s="93"/>
      <c r="AA217" s="93">
        <v>0</v>
      </c>
      <c r="AB217" s="93"/>
      <c r="AC217" s="93">
        <v>0</v>
      </c>
      <c r="AD217" s="93"/>
      <c r="AE217" s="93">
        <v>0</v>
      </c>
      <c r="AF217" s="93"/>
      <c r="AG217" s="93">
        <v>0</v>
      </c>
      <c r="AH217" s="93"/>
      <c r="AI217" s="93">
        <f>SUM(E217:AG217)</f>
        <v>14270.619999999999</v>
      </c>
      <c r="AJ217" s="10"/>
    </row>
    <row r="218" spans="1:36" s="21" customFormat="1" ht="12.75">
      <c r="A218" s="1" t="s">
        <v>57</v>
      </c>
      <c r="B218" s="1"/>
      <c r="C218" s="1" t="s">
        <v>764</v>
      </c>
      <c r="D218" s="1"/>
      <c r="E218" s="36">
        <v>68331.61</v>
      </c>
      <c r="F218" s="36"/>
      <c r="G218" s="36">
        <v>265924.51</v>
      </c>
      <c r="H218" s="36"/>
      <c r="I218" s="36">
        <v>19349.76</v>
      </c>
      <c r="J218" s="36"/>
      <c r="K218" s="36">
        <v>0</v>
      </c>
      <c r="L218" s="36"/>
      <c r="M218" s="36">
        <v>0</v>
      </c>
      <c r="N218" s="36"/>
      <c r="O218" s="36">
        <v>2125</v>
      </c>
      <c r="P218" s="36"/>
      <c r="Q218" s="36">
        <v>1686.55</v>
      </c>
      <c r="R218" s="36"/>
      <c r="S218" s="36">
        <v>35288.33</v>
      </c>
      <c r="T218" s="36"/>
      <c r="U218" s="36">
        <v>0</v>
      </c>
      <c r="V218" s="36"/>
      <c r="W218" s="36">
        <v>712300</v>
      </c>
      <c r="X218" s="36"/>
      <c r="Y218" s="36">
        <v>0</v>
      </c>
      <c r="Z218" s="36"/>
      <c r="AA218" s="36">
        <v>0</v>
      </c>
      <c r="AB218" s="36"/>
      <c r="AC218" s="36">
        <v>0</v>
      </c>
      <c r="AD218" s="36"/>
      <c r="AE218" s="36">
        <v>2848.34</v>
      </c>
      <c r="AF218" s="36"/>
      <c r="AG218" s="36">
        <v>0</v>
      </c>
      <c r="AH218" s="36"/>
      <c r="AI218" s="36">
        <f>SUM(E218:AG218)</f>
        <v>1107854.1</v>
      </c>
      <c r="AJ218" s="10"/>
    </row>
    <row r="219" spans="1:36" s="21" customFormat="1" ht="12.75">
      <c r="A219" s="1" t="s">
        <v>363</v>
      </c>
      <c r="B219" s="1"/>
      <c r="C219" s="1" t="s">
        <v>364</v>
      </c>
      <c r="D219" s="1"/>
      <c r="E219" s="83">
        <v>213742</v>
      </c>
      <c r="F219" s="83"/>
      <c r="G219" s="83">
        <v>1595135</v>
      </c>
      <c r="H219" s="83"/>
      <c r="I219" s="83">
        <v>312192</v>
      </c>
      <c r="J219" s="83"/>
      <c r="K219" s="83">
        <v>0</v>
      </c>
      <c r="L219" s="83"/>
      <c r="M219" s="83">
        <v>343193</v>
      </c>
      <c r="N219" s="83"/>
      <c r="O219" s="83">
        <v>396277</v>
      </c>
      <c r="P219" s="83"/>
      <c r="Q219" s="83">
        <v>82155</v>
      </c>
      <c r="R219" s="83"/>
      <c r="S219" s="83">
        <f>3000+16046+60937</f>
        <v>79983</v>
      </c>
      <c r="T219" s="83"/>
      <c r="U219" s="83">
        <v>62000</v>
      </c>
      <c r="V219" s="83"/>
      <c r="W219" s="21">
        <v>0</v>
      </c>
      <c r="Y219" s="83">
        <v>46050</v>
      </c>
      <c r="Z219" s="83"/>
      <c r="AA219" s="83">
        <v>0</v>
      </c>
      <c r="AB219" s="83"/>
      <c r="AC219" s="83">
        <v>212006</v>
      </c>
      <c r="AD219" s="83"/>
      <c r="AE219" s="83">
        <v>0</v>
      </c>
      <c r="AF219" s="83"/>
      <c r="AG219" s="83">
        <v>0</v>
      </c>
      <c r="AH219" s="83"/>
      <c r="AI219" s="83">
        <f t="shared" si="9"/>
        <v>3342733</v>
      </c>
      <c r="AJ219" s="10"/>
    </row>
    <row r="220" spans="1:36" ht="12.75">
      <c r="A220" s="1" t="s">
        <v>902</v>
      </c>
      <c r="C220" s="1" t="s">
        <v>782</v>
      </c>
      <c r="E220" s="83">
        <v>0</v>
      </c>
      <c r="F220" s="83"/>
      <c r="G220" s="83">
        <v>747833.59</v>
      </c>
      <c r="H220" s="83"/>
      <c r="I220" s="83">
        <v>64054.4</v>
      </c>
      <c r="J220" s="83"/>
      <c r="K220" s="83">
        <v>0</v>
      </c>
      <c r="L220" s="83"/>
      <c r="M220" s="83">
        <v>62409.7</v>
      </c>
      <c r="N220" s="83"/>
      <c r="O220" s="83">
        <v>12869.38</v>
      </c>
      <c r="P220" s="83"/>
      <c r="Q220" s="83">
        <v>1178.73</v>
      </c>
      <c r="R220" s="83"/>
      <c r="S220" s="83">
        <v>31480.85</v>
      </c>
      <c r="T220" s="83"/>
      <c r="U220" s="83">
        <v>0</v>
      </c>
      <c r="V220" s="85"/>
      <c r="W220" s="83">
        <v>0</v>
      </c>
      <c r="X220" s="85"/>
      <c r="Y220" s="83">
        <v>0</v>
      </c>
      <c r="Z220" s="83"/>
      <c r="AA220" s="83">
        <v>0</v>
      </c>
      <c r="AB220" s="83"/>
      <c r="AC220" s="83">
        <v>0</v>
      </c>
      <c r="AD220" s="83"/>
      <c r="AE220" s="83">
        <v>15107.07</v>
      </c>
      <c r="AF220" s="83"/>
      <c r="AG220" s="83">
        <v>0</v>
      </c>
      <c r="AH220" s="83"/>
      <c r="AI220" s="83">
        <f t="shared" si="9"/>
        <v>934933.7199999999</v>
      </c>
      <c r="AJ220" s="10"/>
    </row>
    <row r="221" spans="1:36" ht="12.75" hidden="1">
      <c r="A221" s="1" t="s">
        <v>122</v>
      </c>
      <c r="C221" s="1" t="s">
        <v>782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5"/>
      <c r="W221" s="83"/>
      <c r="X221" s="85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>
        <f t="shared" si="9"/>
        <v>0</v>
      </c>
      <c r="AJ221" s="10"/>
    </row>
    <row r="222" spans="1:35" s="38" customFormat="1" ht="12.75">
      <c r="A222" s="38" t="s">
        <v>508</v>
      </c>
      <c r="C222" s="38" t="s">
        <v>259</v>
      </c>
      <c r="E222" s="83">
        <v>137289</v>
      </c>
      <c r="F222" s="83"/>
      <c r="G222" s="83">
        <v>857034</v>
      </c>
      <c r="H222" s="83"/>
      <c r="I222" s="83">
        <v>119403</v>
      </c>
      <c r="J222" s="83"/>
      <c r="K222" s="83">
        <v>0</v>
      </c>
      <c r="L222" s="83"/>
      <c r="M222" s="83">
        <v>48632</v>
      </c>
      <c r="N222" s="83"/>
      <c r="O222" s="83">
        <v>10588</v>
      </c>
      <c r="P222" s="83"/>
      <c r="Q222" s="83">
        <v>7421</v>
      </c>
      <c r="R222" s="83"/>
      <c r="S222" s="83">
        <v>76797</v>
      </c>
      <c r="T222" s="83"/>
      <c r="U222" s="83">
        <v>0</v>
      </c>
      <c r="V222" s="83"/>
      <c r="W222" s="83">
        <v>0</v>
      </c>
      <c r="X222" s="83"/>
      <c r="Y222" s="83">
        <v>0</v>
      </c>
      <c r="Z222" s="83"/>
      <c r="AA222" s="83">
        <v>0</v>
      </c>
      <c r="AB222" s="83"/>
      <c r="AC222" s="83">
        <v>0</v>
      </c>
      <c r="AD222" s="83"/>
      <c r="AE222" s="83">
        <v>0</v>
      </c>
      <c r="AF222" s="83"/>
      <c r="AG222" s="83">
        <v>0</v>
      </c>
      <c r="AH222" s="83"/>
      <c r="AI222" s="83">
        <f t="shared" si="9"/>
        <v>1257164</v>
      </c>
    </row>
    <row r="223" spans="1:39" s="21" customFormat="1" ht="12.75">
      <c r="A223" s="1" t="s">
        <v>320</v>
      </c>
      <c r="B223" s="1"/>
      <c r="C223" s="1" t="s">
        <v>316</v>
      </c>
      <c r="D223" s="1"/>
      <c r="E223" s="83">
        <v>2075106</v>
      </c>
      <c r="F223" s="83"/>
      <c r="G223" s="83">
        <v>1627549</v>
      </c>
      <c r="H223" s="83"/>
      <c r="I223" s="83">
        <v>1709394</v>
      </c>
      <c r="J223" s="83"/>
      <c r="K223" s="83">
        <v>32513</v>
      </c>
      <c r="L223" s="83"/>
      <c r="M223" s="83">
        <v>363306</v>
      </c>
      <c r="N223" s="83"/>
      <c r="O223" s="83">
        <v>104246</v>
      </c>
      <c r="P223" s="83"/>
      <c r="Q223" s="83">
        <v>13033</v>
      </c>
      <c r="R223" s="83"/>
      <c r="S223" s="83">
        <v>0</v>
      </c>
      <c r="T223" s="83"/>
      <c r="U223" s="83">
        <v>0</v>
      </c>
      <c r="V223" s="83"/>
      <c r="W223" s="83">
        <v>0</v>
      </c>
      <c r="X223" s="83"/>
      <c r="Y223" s="83">
        <v>0</v>
      </c>
      <c r="Z223" s="83"/>
      <c r="AA223" s="83">
        <v>0</v>
      </c>
      <c r="AB223" s="83"/>
      <c r="AC223" s="83">
        <v>0</v>
      </c>
      <c r="AD223" s="83"/>
      <c r="AE223" s="83">
        <v>0</v>
      </c>
      <c r="AF223" s="83"/>
      <c r="AG223" s="83">
        <v>0</v>
      </c>
      <c r="AH223" s="83"/>
      <c r="AI223" s="83">
        <f t="shared" si="9"/>
        <v>5925147</v>
      </c>
      <c r="AJ223" s="10"/>
      <c r="AK223" s="22"/>
      <c r="AL223" s="22"/>
      <c r="AM223" s="22"/>
    </row>
    <row r="224" spans="1:39" ht="12.75">
      <c r="A224" s="1" t="s">
        <v>269</v>
      </c>
      <c r="C224" s="1" t="s">
        <v>747</v>
      </c>
      <c r="E224" s="93">
        <v>190203.75</v>
      </c>
      <c r="F224" s="93"/>
      <c r="G224" s="93">
        <v>131944.3</v>
      </c>
      <c r="H224" s="93"/>
      <c r="I224" s="93">
        <v>71263.3</v>
      </c>
      <c r="J224" s="93"/>
      <c r="K224" s="93">
        <v>375</v>
      </c>
      <c r="L224" s="93"/>
      <c r="M224" s="93">
        <v>28763.21</v>
      </c>
      <c r="N224" s="93"/>
      <c r="O224" s="93">
        <v>58365</v>
      </c>
      <c r="P224" s="93"/>
      <c r="Q224" s="93">
        <v>3539.93</v>
      </c>
      <c r="R224" s="93"/>
      <c r="S224" s="93">
        <v>35851.83</v>
      </c>
      <c r="T224" s="93"/>
      <c r="U224" s="93">
        <v>0</v>
      </c>
      <c r="V224" s="93"/>
      <c r="W224" s="93">
        <v>0</v>
      </c>
      <c r="X224" s="93"/>
      <c r="Y224" s="93">
        <v>0</v>
      </c>
      <c r="Z224" s="93"/>
      <c r="AA224" s="93">
        <v>0</v>
      </c>
      <c r="AB224" s="93"/>
      <c r="AC224" s="93">
        <v>0</v>
      </c>
      <c r="AD224" s="93"/>
      <c r="AE224" s="93">
        <v>0</v>
      </c>
      <c r="AF224" s="93"/>
      <c r="AG224" s="93">
        <v>0</v>
      </c>
      <c r="AH224" s="93"/>
      <c r="AI224" s="93">
        <f>SUM(E224:AG224)</f>
        <v>520306.32</v>
      </c>
      <c r="AJ224" s="10"/>
      <c r="AK224" s="7"/>
      <c r="AL224" s="7"/>
      <c r="AM224" s="7"/>
    </row>
    <row r="225" spans="1:36" ht="12.75">
      <c r="A225" s="1" t="s">
        <v>494</v>
      </c>
      <c r="C225" s="1" t="s">
        <v>207</v>
      </c>
      <c r="E225" s="83">
        <f>102636+65825</f>
        <v>168461</v>
      </c>
      <c r="F225" s="83"/>
      <c r="G225" s="83">
        <v>0</v>
      </c>
      <c r="H225" s="83"/>
      <c r="I225" s="83">
        <v>99560</v>
      </c>
      <c r="J225" s="83"/>
      <c r="K225" s="83">
        <v>0</v>
      </c>
      <c r="L225" s="83"/>
      <c r="M225" s="83">
        <v>4179</v>
      </c>
      <c r="N225" s="83"/>
      <c r="O225" s="83">
        <v>4688</v>
      </c>
      <c r="P225" s="83"/>
      <c r="Q225" s="83">
        <v>15968</v>
      </c>
      <c r="R225" s="83"/>
      <c r="S225" s="83">
        <v>3002</v>
      </c>
      <c r="T225" s="83"/>
      <c r="U225" s="83">
        <v>0</v>
      </c>
      <c r="V225" s="83"/>
      <c r="W225" s="83">
        <v>0</v>
      </c>
      <c r="X225" s="83"/>
      <c r="Y225" s="83">
        <v>0</v>
      </c>
      <c r="Z225" s="83"/>
      <c r="AA225" s="83">
        <v>475428</v>
      </c>
      <c r="AB225" s="83"/>
      <c r="AC225" s="83">
        <v>15000</v>
      </c>
      <c r="AD225" s="83"/>
      <c r="AE225" s="83">
        <v>0</v>
      </c>
      <c r="AF225" s="83"/>
      <c r="AG225" s="83">
        <v>0</v>
      </c>
      <c r="AH225" s="83"/>
      <c r="AI225" s="83">
        <f t="shared" si="9"/>
        <v>786286</v>
      </c>
      <c r="AJ225" s="10"/>
    </row>
    <row r="226" spans="1:39" s="21" customFormat="1" ht="12.75">
      <c r="A226" s="1" t="s">
        <v>22</v>
      </c>
      <c r="B226" s="1"/>
      <c r="C226" s="1" t="s">
        <v>751</v>
      </c>
      <c r="D226" s="1"/>
      <c r="E226" s="36">
        <v>49123.82</v>
      </c>
      <c r="F226" s="36"/>
      <c r="G226" s="36">
        <v>253113.5</v>
      </c>
      <c r="H226" s="36"/>
      <c r="I226" s="36">
        <v>90161.01</v>
      </c>
      <c r="J226" s="36"/>
      <c r="K226" s="36">
        <v>223727.9</v>
      </c>
      <c r="L226" s="36"/>
      <c r="M226" s="36">
        <v>11544</v>
      </c>
      <c r="N226" s="36"/>
      <c r="O226" s="36">
        <v>108271.52</v>
      </c>
      <c r="P226" s="36"/>
      <c r="Q226" s="36">
        <v>15324.86</v>
      </c>
      <c r="R226" s="36"/>
      <c r="S226" s="36">
        <v>11739.09</v>
      </c>
      <c r="T226" s="36"/>
      <c r="U226" s="36">
        <v>0</v>
      </c>
      <c r="V226" s="36"/>
      <c r="W226" s="36">
        <v>0</v>
      </c>
      <c r="X226" s="36"/>
      <c r="Y226" s="36">
        <v>2502</v>
      </c>
      <c r="Z226" s="36"/>
      <c r="AA226" s="36">
        <v>0</v>
      </c>
      <c r="AB226" s="36"/>
      <c r="AC226" s="36">
        <v>0</v>
      </c>
      <c r="AD226" s="36"/>
      <c r="AE226" s="36">
        <v>0</v>
      </c>
      <c r="AF226" s="36"/>
      <c r="AG226" s="36">
        <v>0</v>
      </c>
      <c r="AH226" s="36"/>
      <c r="AI226" s="36">
        <f>SUM(E226:AG226)</f>
        <v>765507.7</v>
      </c>
      <c r="AJ226" s="10"/>
      <c r="AK226" s="22"/>
      <c r="AL226" s="22"/>
      <c r="AM226" s="22"/>
    </row>
    <row r="227" spans="1:36" s="19" customFormat="1" ht="12.75" hidden="1">
      <c r="A227" s="10" t="s">
        <v>480</v>
      </c>
      <c r="B227" s="10"/>
      <c r="C227" s="10" t="s">
        <v>479</v>
      </c>
      <c r="D227" s="1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>
        <f t="shared" si="9"/>
        <v>0</v>
      </c>
      <c r="AJ227" s="10"/>
    </row>
    <row r="228" spans="1:39" ht="12.75">
      <c r="A228" s="1" t="s">
        <v>52</v>
      </c>
      <c r="C228" s="1" t="s">
        <v>762</v>
      </c>
      <c r="E228" s="36">
        <v>20011.12</v>
      </c>
      <c r="F228" s="36"/>
      <c r="G228" s="36">
        <v>0</v>
      </c>
      <c r="H228" s="36"/>
      <c r="I228" s="36">
        <v>61542.52</v>
      </c>
      <c r="J228" s="36"/>
      <c r="K228" s="36">
        <v>0</v>
      </c>
      <c r="L228" s="36"/>
      <c r="M228" s="36">
        <v>0</v>
      </c>
      <c r="N228" s="36"/>
      <c r="O228" s="36">
        <v>3365.15</v>
      </c>
      <c r="P228" s="36"/>
      <c r="Q228" s="36">
        <v>414.68</v>
      </c>
      <c r="R228" s="36"/>
      <c r="S228" s="36">
        <v>820.58</v>
      </c>
      <c r="T228" s="36"/>
      <c r="U228" s="36">
        <v>0</v>
      </c>
      <c r="V228" s="36"/>
      <c r="W228" s="36">
        <v>0</v>
      </c>
      <c r="X228" s="36"/>
      <c r="Y228" s="36">
        <v>0</v>
      </c>
      <c r="Z228" s="36"/>
      <c r="AA228" s="36">
        <v>0</v>
      </c>
      <c r="AB228" s="36"/>
      <c r="AC228" s="36">
        <v>0</v>
      </c>
      <c r="AD228" s="36"/>
      <c r="AE228" s="36">
        <v>0</v>
      </c>
      <c r="AF228" s="36"/>
      <c r="AG228" s="36">
        <v>15500</v>
      </c>
      <c r="AH228" s="36"/>
      <c r="AI228" s="36">
        <f>SUM(E228:AG228)</f>
        <v>101654.04999999999</v>
      </c>
      <c r="AJ228" s="10"/>
      <c r="AK228" s="7"/>
      <c r="AL228" s="7"/>
      <c r="AM228" s="7"/>
    </row>
    <row r="229" spans="1:36" ht="12.75">
      <c r="A229" s="1" t="s">
        <v>528</v>
      </c>
      <c r="C229" s="1" t="s">
        <v>527</v>
      </c>
      <c r="E229" s="36">
        <v>106058.58</v>
      </c>
      <c r="F229" s="36"/>
      <c r="G229" s="36">
        <v>568021.79</v>
      </c>
      <c r="H229" s="36"/>
      <c r="I229" s="36">
        <v>124364.43</v>
      </c>
      <c r="J229" s="36"/>
      <c r="K229" s="36">
        <v>0</v>
      </c>
      <c r="L229" s="36"/>
      <c r="M229" s="36">
        <v>2496.03</v>
      </c>
      <c r="N229" s="36"/>
      <c r="O229" s="36">
        <v>2315</v>
      </c>
      <c r="P229" s="36"/>
      <c r="Q229" s="36">
        <v>7912.29</v>
      </c>
      <c r="R229" s="36"/>
      <c r="S229" s="36">
        <v>5067.22</v>
      </c>
      <c r="T229" s="36"/>
      <c r="U229" s="36">
        <v>0</v>
      </c>
      <c r="V229" s="36"/>
      <c r="W229" s="36">
        <v>0</v>
      </c>
      <c r="X229" s="36"/>
      <c r="Y229" s="36">
        <v>0</v>
      </c>
      <c r="Z229" s="36"/>
      <c r="AA229" s="36">
        <v>0</v>
      </c>
      <c r="AB229" s="36"/>
      <c r="AC229" s="36">
        <v>0</v>
      </c>
      <c r="AD229" s="36"/>
      <c r="AE229" s="36">
        <v>0</v>
      </c>
      <c r="AF229" s="36"/>
      <c r="AG229" s="36">
        <v>0</v>
      </c>
      <c r="AH229" s="36"/>
      <c r="AI229" s="36">
        <f>SUM(E229:AG229)</f>
        <v>816235.3400000001</v>
      </c>
      <c r="AJ229" s="10"/>
    </row>
    <row r="230" spans="1:36" ht="12.75">
      <c r="A230" s="1" t="s">
        <v>205</v>
      </c>
      <c r="C230" s="1" t="s">
        <v>808</v>
      </c>
      <c r="E230" s="93">
        <v>10239.4</v>
      </c>
      <c r="F230" s="93"/>
      <c r="G230" s="93">
        <v>0</v>
      </c>
      <c r="H230" s="93"/>
      <c r="I230" s="93">
        <v>37798.28</v>
      </c>
      <c r="J230" s="93"/>
      <c r="K230" s="93">
        <v>1021.32</v>
      </c>
      <c r="L230" s="93"/>
      <c r="M230" s="93">
        <v>20</v>
      </c>
      <c r="N230" s="93"/>
      <c r="O230" s="93">
        <v>1842.5</v>
      </c>
      <c r="P230" s="93"/>
      <c r="Q230" s="93">
        <v>2134.5</v>
      </c>
      <c r="R230" s="93"/>
      <c r="S230" s="93">
        <v>180</v>
      </c>
      <c r="T230" s="93"/>
      <c r="U230" s="93">
        <v>0</v>
      </c>
      <c r="V230" s="93"/>
      <c r="W230" s="93">
        <v>0</v>
      </c>
      <c r="X230" s="93"/>
      <c r="Y230" s="93">
        <v>0</v>
      </c>
      <c r="Z230" s="93"/>
      <c r="AA230" s="93">
        <v>0</v>
      </c>
      <c r="AB230" s="93"/>
      <c r="AC230" s="93">
        <v>0</v>
      </c>
      <c r="AD230" s="93"/>
      <c r="AE230" s="93">
        <v>0</v>
      </c>
      <c r="AF230" s="93"/>
      <c r="AG230" s="93">
        <v>0</v>
      </c>
      <c r="AH230" s="93"/>
      <c r="AI230" s="93">
        <f>SUM(E230:AG230)</f>
        <v>53236</v>
      </c>
      <c r="AJ230" s="10"/>
    </row>
    <row r="231" spans="1:36" ht="12.75">
      <c r="A231" s="1" t="s">
        <v>516</v>
      </c>
      <c r="C231" s="1" t="s">
        <v>514</v>
      </c>
      <c r="E231" s="93">
        <v>86763.07</v>
      </c>
      <c r="F231" s="93"/>
      <c r="G231" s="93">
        <v>231377.05</v>
      </c>
      <c r="H231" s="93"/>
      <c r="I231" s="93">
        <v>57418.79</v>
      </c>
      <c r="J231" s="93"/>
      <c r="K231" s="93">
        <v>0</v>
      </c>
      <c r="L231" s="93"/>
      <c r="M231" s="93">
        <v>19405.07</v>
      </c>
      <c r="N231" s="93"/>
      <c r="O231" s="93">
        <v>1372</v>
      </c>
      <c r="P231" s="93"/>
      <c r="Q231" s="93">
        <v>4133.07</v>
      </c>
      <c r="R231" s="93"/>
      <c r="S231" s="93">
        <v>2306.24</v>
      </c>
      <c r="T231" s="93"/>
      <c r="U231" s="93">
        <v>0</v>
      </c>
      <c r="V231" s="93"/>
      <c r="W231" s="93">
        <v>0</v>
      </c>
      <c r="X231" s="93"/>
      <c r="Y231" s="93">
        <v>0</v>
      </c>
      <c r="Z231" s="93"/>
      <c r="AA231" s="93">
        <v>0</v>
      </c>
      <c r="AB231" s="93"/>
      <c r="AC231" s="93">
        <v>0</v>
      </c>
      <c r="AD231" s="93"/>
      <c r="AE231" s="93">
        <v>0</v>
      </c>
      <c r="AF231" s="93"/>
      <c r="AG231" s="93">
        <v>0</v>
      </c>
      <c r="AH231" s="93"/>
      <c r="AI231" s="93">
        <f>SUM(E231:AG231)</f>
        <v>402775.29</v>
      </c>
      <c r="AJ231" s="10"/>
    </row>
    <row r="232" spans="1:36" ht="12.75">
      <c r="A232" s="1" t="s">
        <v>381</v>
      </c>
      <c r="C232" s="1" t="s">
        <v>378</v>
      </c>
      <c r="E232" s="83">
        <v>1962819</v>
      </c>
      <c r="F232" s="83"/>
      <c r="G232" s="83">
        <v>0</v>
      </c>
      <c r="H232" s="83"/>
      <c r="I232" s="83">
        <v>309915</v>
      </c>
      <c r="J232" s="83"/>
      <c r="K232" s="83">
        <v>0</v>
      </c>
      <c r="L232" s="83"/>
      <c r="M232" s="83">
        <v>4615</v>
      </c>
      <c r="N232" s="83"/>
      <c r="O232" s="83">
        <v>63884</v>
      </c>
      <c r="P232" s="83"/>
      <c r="Q232" s="83">
        <v>3937</v>
      </c>
      <c r="R232" s="83"/>
      <c r="S232" s="83">
        <v>63711</v>
      </c>
      <c r="T232" s="83"/>
      <c r="U232" s="83">
        <v>0</v>
      </c>
      <c r="V232" s="83"/>
      <c r="W232" s="83">
        <v>0</v>
      </c>
      <c r="X232" s="83"/>
      <c r="Y232" s="83">
        <v>0</v>
      </c>
      <c r="Z232" s="83"/>
      <c r="AA232" s="83">
        <v>0</v>
      </c>
      <c r="AB232" s="83"/>
      <c r="AC232" s="83">
        <v>1500</v>
      </c>
      <c r="AD232" s="83"/>
      <c r="AE232" s="83">
        <v>0</v>
      </c>
      <c r="AF232" s="83"/>
      <c r="AG232" s="83">
        <v>0</v>
      </c>
      <c r="AH232" s="83"/>
      <c r="AI232" s="83">
        <f t="shared" si="9"/>
        <v>2410381</v>
      </c>
      <c r="AJ232" s="10"/>
    </row>
    <row r="233" spans="1:36" s="21" customFormat="1" ht="12.75">
      <c r="A233" s="1" t="s">
        <v>502</v>
      </c>
      <c r="B233" s="1"/>
      <c r="C233" s="1" t="s">
        <v>501</v>
      </c>
      <c r="D233" s="1"/>
      <c r="E233" s="83">
        <v>13726</v>
      </c>
      <c r="F233" s="83"/>
      <c r="G233" s="83">
        <v>0</v>
      </c>
      <c r="H233" s="83"/>
      <c r="I233" s="83">
        <v>0</v>
      </c>
      <c r="J233" s="83"/>
      <c r="K233" s="83">
        <v>1156</v>
      </c>
      <c r="L233" s="83"/>
      <c r="M233" s="83">
        <v>0</v>
      </c>
      <c r="N233" s="83"/>
      <c r="O233" s="83">
        <v>360</v>
      </c>
      <c r="P233" s="83"/>
      <c r="Q233" s="83">
        <v>3</v>
      </c>
      <c r="R233" s="83"/>
      <c r="S233" s="83">
        <v>0</v>
      </c>
      <c r="T233" s="83"/>
      <c r="U233" s="83">
        <v>0</v>
      </c>
      <c r="V233" s="83"/>
      <c r="W233" s="83">
        <v>0</v>
      </c>
      <c r="X233" s="83"/>
      <c r="Y233" s="83">
        <v>0</v>
      </c>
      <c r="Z233" s="83"/>
      <c r="AA233" s="83">
        <v>0</v>
      </c>
      <c r="AB233" s="83"/>
      <c r="AC233" s="83">
        <v>0</v>
      </c>
      <c r="AD233" s="83"/>
      <c r="AE233" s="83">
        <v>0</v>
      </c>
      <c r="AF233" s="83"/>
      <c r="AG233" s="83">
        <v>0</v>
      </c>
      <c r="AH233" s="83"/>
      <c r="AI233" s="83">
        <f t="shared" si="9"/>
        <v>15245</v>
      </c>
      <c r="AJ233" s="10"/>
    </row>
    <row r="234" spans="1:36" ht="12.75">
      <c r="A234" s="1" t="s">
        <v>865</v>
      </c>
      <c r="C234" s="1" t="s">
        <v>412</v>
      </c>
      <c r="E234" s="10">
        <v>0</v>
      </c>
      <c r="F234" s="83"/>
      <c r="G234" s="83">
        <v>2802</v>
      </c>
      <c r="H234" s="83"/>
      <c r="I234" s="83">
        <v>27561</v>
      </c>
      <c r="J234" s="83"/>
      <c r="K234" s="83">
        <v>0</v>
      </c>
      <c r="L234" s="83"/>
      <c r="M234" s="83">
        <v>7875</v>
      </c>
      <c r="N234" s="83"/>
      <c r="O234" s="83">
        <v>0</v>
      </c>
      <c r="P234" s="83"/>
      <c r="Q234" s="83">
        <v>585</v>
      </c>
      <c r="R234" s="83"/>
      <c r="S234" s="83">
        <v>3531</v>
      </c>
      <c r="T234" s="83"/>
      <c r="U234" s="83">
        <v>0</v>
      </c>
      <c r="V234" s="83"/>
      <c r="W234" s="83">
        <v>0</v>
      </c>
      <c r="X234" s="83"/>
      <c r="Y234" s="83">
        <v>0</v>
      </c>
      <c r="Z234" s="83"/>
      <c r="AA234" s="83">
        <v>0</v>
      </c>
      <c r="AB234" s="83"/>
      <c r="AC234" s="83">
        <v>0</v>
      </c>
      <c r="AD234" s="83"/>
      <c r="AE234" s="83">
        <v>0</v>
      </c>
      <c r="AF234" s="83"/>
      <c r="AG234" s="83">
        <v>0</v>
      </c>
      <c r="AH234" s="83"/>
      <c r="AI234" s="83">
        <f t="shared" si="9"/>
        <v>42354</v>
      </c>
      <c r="AJ234" s="10"/>
    </row>
    <row r="235" spans="1:36" s="21" customFormat="1" ht="12.75">
      <c r="A235" s="1" t="s">
        <v>49</v>
      </c>
      <c r="B235" s="1"/>
      <c r="C235" s="1" t="s">
        <v>761</v>
      </c>
      <c r="D235" s="1"/>
      <c r="E235" s="36">
        <v>148732.67</v>
      </c>
      <c r="F235" s="36"/>
      <c r="G235" s="36">
        <v>2497810.47</v>
      </c>
      <c r="H235" s="36"/>
      <c r="I235" s="36">
        <v>130233.37</v>
      </c>
      <c r="J235" s="36"/>
      <c r="K235" s="36">
        <v>0</v>
      </c>
      <c r="L235" s="36"/>
      <c r="M235" s="36">
        <v>8250</v>
      </c>
      <c r="N235" s="36"/>
      <c r="O235" s="36">
        <v>182153.08</v>
      </c>
      <c r="P235" s="36"/>
      <c r="Q235" s="36">
        <v>372.01</v>
      </c>
      <c r="R235" s="36"/>
      <c r="S235" s="36">
        <v>168214.8</v>
      </c>
      <c r="T235" s="36"/>
      <c r="U235" s="36">
        <v>0</v>
      </c>
      <c r="V235" s="36"/>
      <c r="W235" s="36">
        <v>0</v>
      </c>
      <c r="X235" s="36"/>
      <c r="Y235" s="36">
        <v>0</v>
      </c>
      <c r="Z235" s="36"/>
      <c r="AA235" s="36">
        <v>0</v>
      </c>
      <c r="AB235" s="36"/>
      <c r="AC235" s="36">
        <v>0</v>
      </c>
      <c r="AD235" s="36"/>
      <c r="AE235" s="36">
        <v>0</v>
      </c>
      <c r="AF235" s="36"/>
      <c r="AG235" s="36">
        <v>0</v>
      </c>
      <c r="AH235" s="36"/>
      <c r="AI235" s="36">
        <f>SUM(E235:AG235)</f>
        <v>3135766.4</v>
      </c>
      <c r="AJ235" s="10"/>
    </row>
    <row r="236" spans="1:36" ht="12.75">
      <c r="A236" s="1" t="s">
        <v>153</v>
      </c>
      <c r="C236" s="1" t="s">
        <v>792</v>
      </c>
      <c r="E236" s="36">
        <v>58791.05</v>
      </c>
      <c r="F236" s="36"/>
      <c r="G236" s="36">
        <v>0</v>
      </c>
      <c r="H236" s="36"/>
      <c r="I236" s="36">
        <v>19605.37</v>
      </c>
      <c r="J236" s="36"/>
      <c r="K236" s="36">
        <v>0</v>
      </c>
      <c r="L236" s="36"/>
      <c r="M236" s="36">
        <v>1573.82</v>
      </c>
      <c r="N236" s="36"/>
      <c r="O236" s="36">
        <v>1281</v>
      </c>
      <c r="P236" s="36"/>
      <c r="Q236" s="36">
        <v>2106.9</v>
      </c>
      <c r="R236" s="36"/>
      <c r="S236" s="36">
        <v>0</v>
      </c>
      <c r="T236" s="36"/>
      <c r="U236" s="36">
        <v>0</v>
      </c>
      <c r="V236" s="36"/>
      <c r="W236" s="36">
        <v>0</v>
      </c>
      <c r="X236" s="36"/>
      <c r="Y236" s="36">
        <v>0</v>
      </c>
      <c r="Z236" s="36"/>
      <c r="AA236" s="36">
        <v>0</v>
      </c>
      <c r="AB236" s="36"/>
      <c r="AC236" s="36">
        <v>0</v>
      </c>
      <c r="AD236" s="36"/>
      <c r="AE236" s="36">
        <v>0</v>
      </c>
      <c r="AF236" s="36"/>
      <c r="AG236" s="36">
        <v>0</v>
      </c>
      <c r="AH236" s="36"/>
      <c r="AI236" s="36">
        <f>SUM(E236:AG236)</f>
        <v>83358.14</v>
      </c>
      <c r="AJ236" s="10"/>
    </row>
    <row r="237" spans="1:39" s="21" customFormat="1" ht="12.75">
      <c r="A237" s="1" t="s">
        <v>10</v>
      </c>
      <c r="B237" s="1"/>
      <c r="C237" s="1" t="s">
        <v>748</v>
      </c>
      <c r="D237" s="1"/>
      <c r="E237" s="36">
        <v>136248.56</v>
      </c>
      <c r="F237" s="36"/>
      <c r="G237" s="36">
        <v>0</v>
      </c>
      <c r="H237" s="36"/>
      <c r="I237" s="36">
        <v>185797.47</v>
      </c>
      <c r="J237" s="36"/>
      <c r="K237" s="36">
        <v>0</v>
      </c>
      <c r="L237" s="36"/>
      <c r="M237" s="36">
        <v>39232.4</v>
      </c>
      <c r="N237" s="36"/>
      <c r="O237" s="36">
        <v>24533.36</v>
      </c>
      <c r="P237" s="36"/>
      <c r="Q237" s="36">
        <v>1733.29</v>
      </c>
      <c r="R237" s="36"/>
      <c r="S237" s="36">
        <v>765.54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v>0</v>
      </c>
      <c r="AF237" s="36"/>
      <c r="AG237" s="36">
        <v>0</v>
      </c>
      <c r="AH237" s="36"/>
      <c r="AI237" s="36">
        <f>SUM(E237:AG237)</f>
        <v>388310.62</v>
      </c>
      <c r="AJ237" s="10"/>
      <c r="AK237" s="22"/>
      <c r="AL237" s="22"/>
      <c r="AM237" s="22"/>
    </row>
    <row r="238" spans="1:36" s="21" customFormat="1" ht="12.75">
      <c r="A238" s="1" t="s">
        <v>565</v>
      </c>
      <c r="B238" s="1"/>
      <c r="C238" s="1" t="s">
        <v>562</v>
      </c>
      <c r="D238" s="1"/>
      <c r="E238" s="83">
        <v>81365</v>
      </c>
      <c r="F238" s="83"/>
      <c r="G238" s="83">
        <v>0</v>
      </c>
      <c r="H238" s="83"/>
      <c r="I238" s="83">
        <v>36658</v>
      </c>
      <c r="J238" s="83"/>
      <c r="K238" s="83">
        <v>0</v>
      </c>
      <c r="L238" s="83"/>
      <c r="M238" s="83">
        <v>57234</v>
      </c>
      <c r="N238" s="83"/>
      <c r="O238" s="83">
        <v>1044</v>
      </c>
      <c r="P238" s="83"/>
      <c r="Q238" s="83">
        <v>1276</v>
      </c>
      <c r="R238" s="83"/>
      <c r="S238" s="83">
        <v>38797</v>
      </c>
      <c r="T238" s="83"/>
      <c r="U238" s="83">
        <v>0</v>
      </c>
      <c r="V238" s="83"/>
      <c r="W238" s="83">
        <v>0</v>
      </c>
      <c r="X238" s="83"/>
      <c r="Y238" s="83">
        <v>0</v>
      </c>
      <c r="Z238" s="83"/>
      <c r="AA238" s="83">
        <v>145227</v>
      </c>
      <c r="AB238" s="83"/>
      <c r="AC238" s="83">
        <v>0</v>
      </c>
      <c r="AD238" s="83"/>
      <c r="AE238" s="83">
        <v>0</v>
      </c>
      <c r="AF238" s="83"/>
      <c r="AG238" s="83">
        <v>0</v>
      </c>
      <c r="AH238" s="83"/>
      <c r="AI238" s="83">
        <f t="shared" si="9"/>
        <v>361601</v>
      </c>
      <c r="AJ238" s="10"/>
    </row>
    <row r="239" spans="1:36" s="21" customFormat="1" ht="12.75">
      <c r="A239" s="1" t="s">
        <v>382</v>
      </c>
      <c r="B239" s="1"/>
      <c r="C239" s="1" t="s">
        <v>378</v>
      </c>
      <c r="D239" s="1"/>
      <c r="E239" s="83">
        <v>929375.11</v>
      </c>
      <c r="F239" s="83"/>
      <c r="G239" s="83">
        <v>0</v>
      </c>
      <c r="H239" s="83"/>
      <c r="I239" s="83">
        <v>104745.85</v>
      </c>
      <c r="J239" s="83"/>
      <c r="K239" s="83">
        <v>0</v>
      </c>
      <c r="L239" s="83"/>
      <c r="M239" s="83">
        <v>716966.93</v>
      </c>
      <c r="N239" s="83"/>
      <c r="O239" s="83">
        <v>110483.9</v>
      </c>
      <c r="P239" s="83"/>
      <c r="Q239" s="83">
        <v>0</v>
      </c>
      <c r="R239" s="83"/>
      <c r="S239" s="83">
        <v>89080.44</v>
      </c>
      <c r="T239" s="83"/>
      <c r="U239" s="83">
        <v>0</v>
      </c>
      <c r="V239" s="83"/>
      <c r="W239" s="83">
        <v>0</v>
      </c>
      <c r="X239" s="83"/>
      <c r="Y239" s="83">
        <v>2405</v>
      </c>
      <c r="Z239" s="83"/>
      <c r="AA239" s="83">
        <v>625000</v>
      </c>
      <c r="AB239" s="83"/>
      <c r="AC239" s="83">
        <v>0</v>
      </c>
      <c r="AD239" s="83"/>
      <c r="AE239" s="83">
        <v>0</v>
      </c>
      <c r="AF239" s="83"/>
      <c r="AG239" s="83">
        <v>0</v>
      </c>
      <c r="AH239" s="83"/>
      <c r="AI239" s="83">
        <f t="shared" si="9"/>
        <v>2578057.23</v>
      </c>
      <c r="AJ239" s="10"/>
    </row>
    <row r="240" spans="1:39" s="31" customFormat="1" ht="12.75">
      <c r="A240" s="15" t="s">
        <v>331</v>
      </c>
      <c r="B240" s="15"/>
      <c r="C240" s="15" t="s">
        <v>329</v>
      </c>
      <c r="D240" s="15"/>
      <c r="E240" s="36">
        <v>11960.21</v>
      </c>
      <c r="F240" s="36"/>
      <c r="G240" s="36">
        <v>0</v>
      </c>
      <c r="H240" s="36"/>
      <c r="I240" s="36">
        <v>26886.8</v>
      </c>
      <c r="J240" s="36"/>
      <c r="K240" s="36">
        <v>0</v>
      </c>
      <c r="L240" s="36"/>
      <c r="M240" s="36">
        <v>110</v>
      </c>
      <c r="N240" s="36"/>
      <c r="O240" s="36">
        <v>0</v>
      </c>
      <c r="P240" s="36"/>
      <c r="Q240" s="36">
        <v>50.01</v>
      </c>
      <c r="R240" s="36"/>
      <c r="S240" s="36">
        <v>0</v>
      </c>
      <c r="T240" s="36"/>
      <c r="U240" s="36">
        <v>0</v>
      </c>
      <c r="V240" s="36"/>
      <c r="W240" s="36">
        <v>0</v>
      </c>
      <c r="X240" s="36"/>
      <c r="Y240" s="36">
        <v>0</v>
      </c>
      <c r="Z240" s="36"/>
      <c r="AA240" s="36">
        <v>0</v>
      </c>
      <c r="AB240" s="36"/>
      <c r="AC240" s="36">
        <v>0</v>
      </c>
      <c r="AD240" s="36"/>
      <c r="AE240" s="36">
        <v>0</v>
      </c>
      <c r="AF240" s="36"/>
      <c r="AG240" s="36">
        <v>0</v>
      </c>
      <c r="AH240" s="36"/>
      <c r="AI240" s="36">
        <f>SUM(E240:AG240)</f>
        <v>39007.02</v>
      </c>
      <c r="AJ240" s="24"/>
      <c r="AK240" s="32"/>
      <c r="AL240" s="32"/>
      <c r="AM240" s="32"/>
    </row>
    <row r="241" spans="1:36" ht="12.75">
      <c r="A241" s="1" t="s">
        <v>450</v>
      </c>
      <c r="C241" s="1" t="s">
        <v>451</v>
      </c>
      <c r="E241" s="83">
        <v>228356</v>
      </c>
      <c r="F241" s="83"/>
      <c r="G241" s="83">
        <v>849660</v>
      </c>
      <c r="H241" s="83"/>
      <c r="I241" s="83">
        <v>166440</v>
      </c>
      <c r="J241" s="83"/>
      <c r="K241" s="83">
        <v>1785</v>
      </c>
      <c r="L241" s="83"/>
      <c r="M241" s="83">
        <v>282157</v>
      </c>
      <c r="N241" s="83"/>
      <c r="O241" s="83">
        <v>42140</v>
      </c>
      <c r="P241" s="83"/>
      <c r="Q241" s="83">
        <v>35047</v>
      </c>
      <c r="R241" s="83"/>
      <c r="S241" s="83">
        <v>41615</v>
      </c>
      <c r="T241" s="83"/>
      <c r="U241" s="83">
        <v>0</v>
      </c>
      <c r="V241" s="83"/>
      <c r="W241" s="83">
        <v>0</v>
      </c>
      <c r="X241" s="83"/>
      <c r="Y241" s="83">
        <v>0</v>
      </c>
      <c r="Z241" s="83"/>
      <c r="AA241" s="83">
        <v>134487</v>
      </c>
      <c r="AB241" s="83"/>
      <c r="AC241" s="83">
        <v>0</v>
      </c>
      <c r="AD241" s="83"/>
      <c r="AE241" s="83">
        <v>0</v>
      </c>
      <c r="AF241" s="83"/>
      <c r="AG241" s="83">
        <v>0</v>
      </c>
      <c r="AH241" s="83"/>
      <c r="AI241" s="83">
        <f t="shared" si="9"/>
        <v>1781687</v>
      </c>
      <c r="AJ241" s="10"/>
    </row>
    <row r="242" spans="1:36" ht="12.75">
      <c r="A242" s="1" t="s">
        <v>255</v>
      </c>
      <c r="C242" s="1" t="s">
        <v>603</v>
      </c>
      <c r="E242" s="36">
        <v>32727.46</v>
      </c>
      <c r="F242" s="36"/>
      <c r="G242" s="36">
        <v>849.44</v>
      </c>
      <c r="H242" s="36"/>
      <c r="I242" s="36">
        <v>66783.31</v>
      </c>
      <c r="J242" s="36"/>
      <c r="K242" s="36">
        <v>7719.73</v>
      </c>
      <c r="L242" s="36"/>
      <c r="M242" s="36">
        <v>0</v>
      </c>
      <c r="N242" s="36"/>
      <c r="O242" s="36">
        <v>16242.96</v>
      </c>
      <c r="P242" s="36"/>
      <c r="Q242" s="36">
        <v>39220.35</v>
      </c>
      <c r="R242" s="36"/>
      <c r="S242" s="36">
        <v>11978.91</v>
      </c>
      <c r="T242" s="36"/>
      <c r="U242" s="36">
        <v>0</v>
      </c>
      <c r="V242" s="36"/>
      <c r="W242" s="36">
        <v>0</v>
      </c>
      <c r="X242" s="36"/>
      <c r="Y242" s="36">
        <v>0</v>
      </c>
      <c r="Z242" s="36"/>
      <c r="AA242" s="36">
        <v>129660</v>
      </c>
      <c r="AB242" s="36"/>
      <c r="AC242" s="36">
        <v>0</v>
      </c>
      <c r="AD242" s="36"/>
      <c r="AE242" s="36">
        <v>515.6</v>
      </c>
      <c r="AF242" s="36"/>
      <c r="AG242" s="36">
        <v>23077.29</v>
      </c>
      <c r="AH242" s="36"/>
      <c r="AI242" s="36">
        <f>SUM(E242:AG242)</f>
        <v>328775.05</v>
      </c>
      <c r="AJ242" s="10"/>
    </row>
    <row r="243" spans="1:36" ht="12.75">
      <c r="A243" s="1" t="s">
        <v>431</v>
      </c>
      <c r="C243" s="1" t="s">
        <v>430</v>
      </c>
      <c r="E243" s="96">
        <f>73565.79+84785.43</f>
        <v>158351.21999999997</v>
      </c>
      <c r="F243" s="96"/>
      <c r="G243" s="96">
        <v>236707.83</v>
      </c>
      <c r="H243" s="96"/>
      <c r="I243" s="96">
        <v>7274.09</v>
      </c>
      <c r="J243" s="96"/>
      <c r="K243" s="96">
        <v>0</v>
      </c>
      <c r="L243" s="96"/>
      <c r="M243" s="96">
        <v>7117.74</v>
      </c>
      <c r="N243" s="96"/>
      <c r="O243" s="96">
        <v>25377</v>
      </c>
      <c r="P243" s="96"/>
      <c r="Q243" s="96">
        <v>165.18</v>
      </c>
      <c r="R243" s="96"/>
      <c r="S243" s="96">
        <v>3278.57</v>
      </c>
      <c r="T243" s="96"/>
      <c r="U243" s="96">
        <v>0</v>
      </c>
      <c r="V243" s="96"/>
      <c r="W243" s="96">
        <v>0</v>
      </c>
      <c r="X243" s="96"/>
      <c r="Y243" s="96">
        <v>0</v>
      </c>
      <c r="Z243" s="96"/>
      <c r="AA243" s="96">
        <v>0</v>
      </c>
      <c r="AB243" s="96"/>
      <c r="AC243" s="96">
        <v>29998</v>
      </c>
      <c r="AD243" s="96"/>
      <c r="AE243" s="96">
        <v>0</v>
      </c>
      <c r="AF243" s="96"/>
      <c r="AG243" s="96">
        <v>0</v>
      </c>
      <c r="AH243" s="96"/>
      <c r="AI243" s="96">
        <f aca="true" t="shared" si="10" ref="AI243:AI245">SUM(E243:AG243)</f>
        <v>468269.62999999995</v>
      </c>
      <c r="AJ243" s="38"/>
    </row>
    <row r="244" spans="1:36" ht="12.75">
      <c r="A244" s="1" t="s">
        <v>438</v>
      </c>
      <c r="C244" s="1" t="s">
        <v>439</v>
      </c>
      <c r="E244" s="83">
        <v>3328527.1</v>
      </c>
      <c r="F244" s="83"/>
      <c r="G244" s="83">
        <v>0</v>
      </c>
      <c r="H244" s="83"/>
      <c r="I244" s="83">
        <v>2353752.53</v>
      </c>
      <c r="J244" s="83"/>
      <c r="K244" s="83">
        <v>21523.91</v>
      </c>
      <c r="L244" s="83"/>
      <c r="M244" s="83">
        <v>0</v>
      </c>
      <c r="N244" s="83"/>
      <c r="O244" s="83">
        <v>131564.93</v>
      </c>
      <c r="P244" s="83"/>
      <c r="Q244" s="83">
        <v>0</v>
      </c>
      <c r="R244" s="83"/>
      <c r="S244" s="83">
        <v>258317.11</v>
      </c>
      <c r="T244" s="83"/>
      <c r="U244" s="83">
        <v>0</v>
      </c>
      <c r="V244" s="85"/>
      <c r="W244" s="83">
        <v>359000</v>
      </c>
      <c r="X244" s="85"/>
      <c r="Y244" s="83">
        <v>0</v>
      </c>
      <c r="Z244" s="83"/>
      <c r="AA244" s="83">
        <v>2290311.06</v>
      </c>
      <c r="AB244" s="83"/>
      <c r="AC244" s="83">
        <v>0</v>
      </c>
      <c r="AD244" s="83"/>
      <c r="AE244" s="83">
        <v>0</v>
      </c>
      <c r="AF244" s="83"/>
      <c r="AG244" s="83">
        <v>0</v>
      </c>
      <c r="AH244" s="83"/>
      <c r="AI244" s="83">
        <f t="shared" si="10"/>
        <v>8742996.64</v>
      </c>
      <c r="AJ244" s="38"/>
    </row>
    <row r="245" spans="1:36" ht="12.75">
      <c r="A245" s="1" t="s">
        <v>440</v>
      </c>
      <c r="C245" s="1" t="s">
        <v>439</v>
      </c>
      <c r="E245" s="83">
        <v>3092.66</v>
      </c>
      <c r="F245" s="83"/>
      <c r="G245" s="83">
        <v>0</v>
      </c>
      <c r="H245" s="83"/>
      <c r="I245" s="83">
        <v>19709.62</v>
      </c>
      <c r="J245" s="83"/>
      <c r="K245" s="83">
        <v>0</v>
      </c>
      <c r="L245" s="83"/>
      <c r="M245" s="83">
        <v>0</v>
      </c>
      <c r="N245" s="83"/>
      <c r="O245" s="83">
        <v>0</v>
      </c>
      <c r="P245" s="83"/>
      <c r="Q245" s="83">
        <v>0</v>
      </c>
      <c r="R245" s="83"/>
      <c r="S245" s="83">
        <v>202.93</v>
      </c>
      <c r="T245" s="83"/>
      <c r="U245" s="83">
        <v>0</v>
      </c>
      <c r="V245" s="85"/>
      <c r="W245" s="83">
        <v>0</v>
      </c>
      <c r="X245" s="85"/>
      <c r="Y245" s="83">
        <v>0</v>
      </c>
      <c r="Z245" s="83"/>
      <c r="AA245" s="83">
        <v>0</v>
      </c>
      <c r="AB245" s="83"/>
      <c r="AC245" s="83">
        <v>0</v>
      </c>
      <c r="AD245" s="83"/>
      <c r="AE245" s="83">
        <v>0</v>
      </c>
      <c r="AF245" s="83"/>
      <c r="AG245" s="83">
        <v>0</v>
      </c>
      <c r="AH245" s="83"/>
      <c r="AI245" s="83">
        <f t="shared" si="10"/>
        <v>23005.21</v>
      </c>
      <c r="AJ245" s="38"/>
    </row>
    <row r="246" spans="1:36" ht="12.75">
      <c r="A246" s="1" t="s">
        <v>201</v>
      </c>
      <c r="C246" s="1" t="s">
        <v>807</v>
      </c>
      <c r="E246" s="36">
        <v>37369</v>
      </c>
      <c r="F246" s="36"/>
      <c r="G246" s="36">
        <v>0</v>
      </c>
      <c r="H246" s="36"/>
      <c r="I246" s="36">
        <v>34009.26</v>
      </c>
      <c r="J246" s="36"/>
      <c r="K246" s="36">
        <v>0</v>
      </c>
      <c r="L246" s="36"/>
      <c r="M246" s="36">
        <v>0</v>
      </c>
      <c r="N246" s="36"/>
      <c r="O246" s="36">
        <v>31526.55</v>
      </c>
      <c r="P246" s="36"/>
      <c r="Q246" s="36">
        <v>929.61</v>
      </c>
      <c r="R246" s="36"/>
      <c r="S246" s="36">
        <v>184811.15</v>
      </c>
      <c r="T246" s="36"/>
      <c r="U246" s="36">
        <v>0</v>
      </c>
      <c r="V246" s="36"/>
      <c r="W246" s="36">
        <v>0</v>
      </c>
      <c r="X246" s="36"/>
      <c r="Y246" s="36">
        <v>0</v>
      </c>
      <c r="Z246" s="36"/>
      <c r="AA246" s="36">
        <v>0</v>
      </c>
      <c r="AB246" s="36"/>
      <c r="AC246" s="36">
        <v>5880.23</v>
      </c>
      <c r="AD246" s="36"/>
      <c r="AE246" s="36">
        <v>2138.21</v>
      </c>
      <c r="AF246" s="36"/>
      <c r="AG246" s="36">
        <v>0</v>
      </c>
      <c r="AH246" s="36"/>
      <c r="AI246" s="36">
        <f>SUM(E246:AG246)</f>
        <v>296664.01</v>
      </c>
      <c r="AJ246" s="38"/>
    </row>
    <row r="247" spans="1:36" ht="12.75">
      <c r="A247" s="1" t="s">
        <v>475</v>
      </c>
      <c r="C247" s="1" t="s">
        <v>474</v>
      </c>
      <c r="E247" s="83">
        <v>2180</v>
      </c>
      <c r="F247" s="83"/>
      <c r="G247" s="83">
        <v>0</v>
      </c>
      <c r="H247" s="83"/>
      <c r="I247" s="83">
        <v>5041</v>
      </c>
      <c r="J247" s="83"/>
      <c r="K247" s="83">
        <v>0</v>
      </c>
      <c r="L247" s="83"/>
      <c r="M247" s="83">
        <v>0</v>
      </c>
      <c r="N247" s="83"/>
      <c r="O247" s="83">
        <v>0</v>
      </c>
      <c r="P247" s="83"/>
      <c r="Q247" s="83">
        <v>2</v>
      </c>
      <c r="R247" s="83"/>
      <c r="S247" s="83">
        <v>0</v>
      </c>
      <c r="T247" s="83"/>
      <c r="U247" s="83">
        <v>0</v>
      </c>
      <c r="V247" s="85"/>
      <c r="W247" s="83">
        <v>0</v>
      </c>
      <c r="X247" s="85"/>
      <c r="Y247" s="83">
        <v>0</v>
      </c>
      <c r="Z247" s="83"/>
      <c r="AA247" s="83">
        <v>0</v>
      </c>
      <c r="AB247" s="83"/>
      <c r="AC247" s="83">
        <v>0</v>
      </c>
      <c r="AD247" s="83"/>
      <c r="AE247" s="83">
        <v>0</v>
      </c>
      <c r="AF247" s="83"/>
      <c r="AG247" s="83">
        <v>0</v>
      </c>
      <c r="AH247" s="83"/>
      <c r="AI247" s="83">
        <f aca="true" t="shared" si="11" ref="AI247">SUM(E247:AG247)</f>
        <v>7223</v>
      </c>
      <c r="AJ247" s="38"/>
    </row>
    <row r="248" spans="1:36" ht="12.75">
      <c r="A248" s="1" t="s">
        <v>148</v>
      </c>
      <c r="C248" s="1" t="s">
        <v>463</v>
      </c>
      <c r="E248" s="36">
        <v>55636.81</v>
      </c>
      <c r="F248" s="36"/>
      <c r="G248" s="36">
        <v>0</v>
      </c>
      <c r="H248" s="36"/>
      <c r="I248" s="36">
        <v>16016.36</v>
      </c>
      <c r="J248" s="36"/>
      <c r="K248" s="36">
        <v>0</v>
      </c>
      <c r="L248" s="36"/>
      <c r="M248" s="36">
        <v>26884.45</v>
      </c>
      <c r="N248" s="36"/>
      <c r="O248" s="36">
        <v>1700</v>
      </c>
      <c r="P248" s="36"/>
      <c r="Q248" s="36">
        <v>695.13</v>
      </c>
      <c r="R248" s="36"/>
      <c r="S248" s="36">
        <v>70.48</v>
      </c>
      <c r="T248" s="36"/>
      <c r="U248" s="36">
        <v>0</v>
      </c>
      <c r="V248" s="36"/>
      <c r="W248" s="36">
        <v>0</v>
      </c>
      <c r="X248" s="36"/>
      <c r="Y248" s="36">
        <v>0</v>
      </c>
      <c r="Z248" s="36"/>
      <c r="AA248" s="36">
        <v>0</v>
      </c>
      <c r="AB248" s="36"/>
      <c r="AC248" s="36">
        <v>0</v>
      </c>
      <c r="AD248" s="36"/>
      <c r="AE248" s="36">
        <v>0</v>
      </c>
      <c r="AF248" s="36"/>
      <c r="AG248" s="36">
        <v>0</v>
      </c>
      <c r="AH248" s="36"/>
      <c r="AI248" s="36">
        <f>SUM(E248:AG248)</f>
        <v>101003.23</v>
      </c>
      <c r="AJ248" s="38"/>
    </row>
    <row r="249" spans="1:36" ht="12.75">
      <c r="A249" s="1" t="s">
        <v>219</v>
      </c>
      <c r="C249" s="1" t="s">
        <v>813</v>
      </c>
      <c r="E249" s="36">
        <v>57511.95</v>
      </c>
      <c r="F249" s="36"/>
      <c r="G249" s="36">
        <v>260010.94</v>
      </c>
      <c r="H249" s="36"/>
      <c r="I249" s="36">
        <v>83577.24</v>
      </c>
      <c r="J249" s="36"/>
      <c r="K249" s="36">
        <v>0</v>
      </c>
      <c r="L249" s="36"/>
      <c r="M249" s="36">
        <v>5138.25</v>
      </c>
      <c r="N249" s="36"/>
      <c r="O249" s="36">
        <v>12064.94</v>
      </c>
      <c r="P249" s="36"/>
      <c r="Q249" s="36">
        <v>1950.54</v>
      </c>
      <c r="R249" s="36"/>
      <c r="S249" s="36">
        <v>5251.47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8576.75</v>
      </c>
      <c r="AB249" s="36"/>
      <c r="AC249" s="36">
        <v>0</v>
      </c>
      <c r="AD249" s="36"/>
      <c r="AE249" s="36">
        <v>0</v>
      </c>
      <c r="AF249" s="36"/>
      <c r="AG249" s="36">
        <v>0</v>
      </c>
      <c r="AH249" s="36"/>
      <c r="AI249" s="36">
        <f>SUM(E249:AG249)</f>
        <v>434082.07999999996</v>
      </c>
      <c r="AJ249" s="38"/>
    </row>
    <row r="250" spans="5:36" ht="12.75"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 t="s">
        <v>864</v>
      </c>
      <c r="AJ250" s="10"/>
    </row>
    <row r="251" spans="1:36" ht="12.75">
      <c r="A251" s="1" t="s">
        <v>967</v>
      </c>
      <c r="C251" s="1" t="s">
        <v>409</v>
      </c>
      <c r="E251" s="102">
        <v>92005</v>
      </c>
      <c r="F251" s="102"/>
      <c r="G251" s="102">
        <v>879961</v>
      </c>
      <c r="H251" s="102"/>
      <c r="I251" s="102">
        <v>320669</v>
      </c>
      <c r="J251" s="102"/>
      <c r="K251" s="102">
        <v>0</v>
      </c>
      <c r="L251" s="102"/>
      <c r="M251" s="102">
        <v>36553</v>
      </c>
      <c r="N251" s="102"/>
      <c r="O251" s="102">
        <v>9768</v>
      </c>
      <c r="P251" s="102"/>
      <c r="Q251" s="102">
        <v>6732</v>
      </c>
      <c r="R251" s="102"/>
      <c r="S251" s="102">
        <v>9991</v>
      </c>
      <c r="T251" s="102"/>
      <c r="U251" s="102">
        <v>0</v>
      </c>
      <c r="V251" s="102"/>
      <c r="W251" s="102">
        <v>0</v>
      </c>
      <c r="X251" s="102"/>
      <c r="Y251" s="102">
        <v>0</v>
      </c>
      <c r="Z251" s="102"/>
      <c r="AA251" s="102">
        <v>0</v>
      </c>
      <c r="AB251" s="102"/>
      <c r="AC251" s="102">
        <v>0</v>
      </c>
      <c r="AD251" s="102"/>
      <c r="AE251" s="102">
        <v>0</v>
      </c>
      <c r="AF251" s="102"/>
      <c r="AG251" s="102">
        <v>0</v>
      </c>
      <c r="AH251" s="102"/>
      <c r="AI251" s="102">
        <f t="shared" si="9"/>
        <v>1355679</v>
      </c>
      <c r="AJ251" s="38"/>
    </row>
    <row r="252" spans="1:36" ht="12.75">
      <c r="A252" s="1" t="s">
        <v>94</v>
      </c>
      <c r="C252" s="1" t="s">
        <v>773</v>
      </c>
      <c r="E252" s="93">
        <v>378300.01</v>
      </c>
      <c r="F252" s="93"/>
      <c r="G252" s="93">
        <v>932163.53</v>
      </c>
      <c r="H252" s="93"/>
      <c r="I252" s="93">
        <v>419093.77</v>
      </c>
      <c r="J252" s="93"/>
      <c r="K252" s="93">
        <v>0</v>
      </c>
      <c r="L252" s="93"/>
      <c r="M252" s="93">
        <v>90576.53</v>
      </c>
      <c r="N252" s="93"/>
      <c r="O252" s="93">
        <v>126410.46</v>
      </c>
      <c r="P252" s="93"/>
      <c r="Q252" s="93">
        <v>200.53</v>
      </c>
      <c r="R252" s="93"/>
      <c r="S252" s="93">
        <v>18828.88</v>
      </c>
      <c r="T252" s="93"/>
      <c r="U252" s="93">
        <v>0</v>
      </c>
      <c r="V252" s="93"/>
      <c r="W252" s="93">
        <v>0</v>
      </c>
      <c r="X252" s="93"/>
      <c r="Y252" s="93">
        <v>0</v>
      </c>
      <c r="Z252" s="93"/>
      <c r="AA252" s="93">
        <v>0</v>
      </c>
      <c r="AB252" s="93"/>
      <c r="AC252" s="93">
        <v>10000</v>
      </c>
      <c r="AD252" s="93"/>
      <c r="AE252" s="93">
        <v>0</v>
      </c>
      <c r="AF252" s="93"/>
      <c r="AG252" s="93">
        <v>0</v>
      </c>
      <c r="AH252" s="93"/>
      <c r="AI252" s="93">
        <f>SUM(E252:AG252)</f>
        <v>1975573.71</v>
      </c>
      <c r="AJ252" s="10"/>
    </row>
    <row r="253" spans="1:36" ht="12.75">
      <c r="A253" s="1" t="s">
        <v>113</v>
      </c>
      <c r="C253" s="1" t="s">
        <v>780</v>
      </c>
      <c r="E253" s="36">
        <v>139115.69</v>
      </c>
      <c r="F253" s="36"/>
      <c r="G253" s="36">
        <v>0</v>
      </c>
      <c r="H253" s="36"/>
      <c r="I253" s="36">
        <v>113957.09</v>
      </c>
      <c r="J253" s="36"/>
      <c r="K253" s="36">
        <v>0</v>
      </c>
      <c r="L253" s="36"/>
      <c r="M253" s="36">
        <v>0</v>
      </c>
      <c r="N253" s="36"/>
      <c r="O253" s="36">
        <v>27393.34</v>
      </c>
      <c r="P253" s="36"/>
      <c r="Q253" s="36">
        <v>6391.19</v>
      </c>
      <c r="R253" s="36"/>
      <c r="S253" s="36">
        <v>10320.79</v>
      </c>
      <c r="T253" s="36"/>
      <c r="U253" s="36">
        <v>0</v>
      </c>
      <c r="V253" s="36"/>
      <c r="W253" s="36">
        <v>0</v>
      </c>
      <c r="X253" s="36"/>
      <c r="Y253" s="36">
        <v>0</v>
      </c>
      <c r="Z253" s="36"/>
      <c r="AA253" s="36">
        <v>122352.87</v>
      </c>
      <c r="AB253" s="36"/>
      <c r="AC253" s="36">
        <v>0</v>
      </c>
      <c r="AD253" s="36"/>
      <c r="AE253" s="36">
        <v>0</v>
      </c>
      <c r="AF253" s="36"/>
      <c r="AG253" s="36">
        <v>0</v>
      </c>
      <c r="AH253" s="36"/>
      <c r="AI253" s="36">
        <f>SUM(E253:AG253)</f>
        <v>419530.97</v>
      </c>
      <c r="AJ253" s="10"/>
    </row>
    <row r="254" spans="1:39" s="21" customFormat="1" ht="12.75" hidden="1">
      <c r="A254" s="1" t="s">
        <v>354</v>
      </c>
      <c r="B254" s="1"/>
      <c r="C254" s="1" t="s">
        <v>353</v>
      </c>
      <c r="D254" s="1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>
        <f t="shared" si="9"/>
        <v>0</v>
      </c>
      <c r="AJ254" s="10"/>
      <c r="AK254" s="22"/>
      <c r="AL254" s="22"/>
      <c r="AM254" s="22"/>
    </row>
    <row r="255" spans="1:36" ht="12.75">
      <c r="A255" s="1" t="s">
        <v>690</v>
      </c>
      <c r="C255" s="1" t="s">
        <v>497</v>
      </c>
      <c r="E255" s="83">
        <v>17021</v>
      </c>
      <c r="F255" s="83"/>
      <c r="G255" s="83">
        <v>0</v>
      </c>
      <c r="H255" s="83"/>
      <c r="I255" s="83">
        <v>24076</v>
      </c>
      <c r="J255" s="83"/>
      <c r="K255" s="83">
        <v>0</v>
      </c>
      <c r="L255" s="83"/>
      <c r="M255" s="83">
        <v>0</v>
      </c>
      <c r="N255" s="83"/>
      <c r="O255" s="83">
        <v>4731</v>
      </c>
      <c r="P255" s="83"/>
      <c r="Q255" s="83">
        <v>0</v>
      </c>
      <c r="R255" s="83"/>
      <c r="S255" s="83">
        <v>2706</v>
      </c>
      <c r="T255" s="83"/>
      <c r="U255" s="83">
        <v>0</v>
      </c>
      <c r="V255" s="83"/>
      <c r="W255" s="83">
        <v>0</v>
      </c>
      <c r="X255" s="83"/>
      <c r="Y255" s="83">
        <v>0</v>
      </c>
      <c r="Z255" s="83"/>
      <c r="AA255" s="83">
        <v>0</v>
      </c>
      <c r="AB255" s="83"/>
      <c r="AC255" s="83">
        <v>0</v>
      </c>
      <c r="AD255" s="83"/>
      <c r="AE255" s="83">
        <v>0</v>
      </c>
      <c r="AF255" s="83"/>
      <c r="AG255" s="83">
        <v>0</v>
      </c>
      <c r="AH255" s="83"/>
      <c r="AI255" s="83">
        <f t="shared" si="9"/>
        <v>48534</v>
      </c>
      <c r="AJ255" s="10"/>
    </row>
    <row r="256" spans="1:36" ht="12.75">
      <c r="A256" s="1" t="s">
        <v>365</v>
      </c>
      <c r="C256" s="1" t="s">
        <v>82</v>
      </c>
      <c r="E256" s="36">
        <v>27347.82</v>
      </c>
      <c r="F256" s="36"/>
      <c r="G256" s="36">
        <v>0</v>
      </c>
      <c r="H256" s="36"/>
      <c r="I256" s="36">
        <v>37851.56</v>
      </c>
      <c r="J256" s="36"/>
      <c r="K256" s="36">
        <v>0</v>
      </c>
      <c r="L256" s="36"/>
      <c r="M256" s="36">
        <v>7470</v>
      </c>
      <c r="N256" s="36"/>
      <c r="O256" s="36">
        <v>250</v>
      </c>
      <c r="P256" s="36"/>
      <c r="Q256" s="36">
        <v>1953.86</v>
      </c>
      <c r="R256" s="36"/>
      <c r="S256" s="36">
        <v>1742.6</v>
      </c>
      <c r="T256" s="36"/>
      <c r="U256" s="36">
        <v>0</v>
      </c>
      <c r="V256" s="36"/>
      <c r="W256" s="36">
        <v>0</v>
      </c>
      <c r="X256" s="36"/>
      <c r="Y256" s="36">
        <v>0</v>
      </c>
      <c r="Z256" s="36"/>
      <c r="AA256" s="36">
        <v>0</v>
      </c>
      <c r="AB256" s="36"/>
      <c r="AC256" s="36">
        <v>0</v>
      </c>
      <c r="AD256" s="36"/>
      <c r="AE256" s="36">
        <v>0</v>
      </c>
      <c r="AF256" s="36"/>
      <c r="AG256" s="36">
        <v>0</v>
      </c>
      <c r="AH256" s="36"/>
      <c r="AI256" s="36">
        <f aca="true" t="shared" si="12" ref="AI256:AI266">SUM(E256:AG256)</f>
        <v>76615.84000000001</v>
      </c>
      <c r="AJ256" s="10"/>
    </row>
    <row r="257" spans="1:39" s="21" customFormat="1" ht="12.75">
      <c r="A257" s="1" t="s">
        <v>23</v>
      </c>
      <c r="B257" s="1"/>
      <c r="C257" s="1" t="s">
        <v>751</v>
      </c>
      <c r="D257" s="1"/>
      <c r="E257" s="36">
        <v>3999.51</v>
      </c>
      <c r="F257" s="36"/>
      <c r="G257" s="36">
        <v>0</v>
      </c>
      <c r="H257" s="36"/>
      <c r="I257" s="36">
        <v>9920.2</v>
      </c>
      <c r="J257" s="36"/>
      <c r="K257" s="36">
        <v>0</v>
      </c>
      <c r="L257" s="36"/>
      <c r="M257" s="36">
        <v>0</v>
      </c>
      <c r="N257" s="36"/>
      <c r="O257" s="36">
        <v>16220.11</v>
      </c>
      <c r="P257" s="36"/>
      <c r="Q257" s="36">
        <v>777.61</v>
      </c>
      <c r="R257" s="36"/>
      <c r="S257" s="36">
        <v>15466.04</v>
      </c>
      <c r="T257" s="36"/>
      <c r="U257" s="36">
        <v>0</v>
      </c>
      <c r="V257" s="36"/>
      <c r="W257" s="36">
        <v>0</v>
      </c>
      <c r="X257" s="36"/>
      <c r="Y257" s="36">
        <v>0</v>
      </c>
      <c r="Z257" s="36"/>
      <c r="AA257" s="36">
        <v>0</v>
      </c>
      <c r="AB257" s="36"/>
      <c r="AC257" s="36">
        <v>0</v>
      </c>
      <c r="AD257" s="36"/>
      <c r="AE257" s="36">
        <v>0</v>
      </c>
      <c r="AF257" s="36"/>
      <c r="AG257" s="36">
        <v>0</v>
      </c>
      <c r="AH257" s="36"/>
      <c r="AI257" s="36">
        <f t="shared" si="12"/>
        <v>46383.47</v>
      </c>
      <c r="AJ257" s="10"/>
      <c r="AK257" s="22"/>
      <c r="AL257" s="22"/>
      <c r="AM257" s="22"/>
    </row>
    <row r="258" spans="1:39" s="21" customFormat="1" ht="12.75">
      <c r="A258" s="1" t="s">
        <v>943</v>
      </c>
      <c r="B258" s="1"/>
      <c r="C258" s="1" t="s">
        <v>407</v>
      </c>
      <c r="D258" s="1"/>
      <c r="E258" s="36">
        <v>172758.52</v>
      </c>
      <c r="F258" s="36"/>
      <c r="G258" s="36">
        <v>87753.3</v>
      </c>
      <c r="H258" s="36"/>
      <c r="I258" s="36">
        <v>30596.03</v>
      </c>
      <c r="J258" s="36"/>
      <c r="K258" s="36">
        <v>0</v>
      </c>
      <c r="L258" s="36"/>
      <c r="M258" s="36">
        <v>1159.5</v>
      </c>
      <c r="N258" s="36"/>
      <c r="O258" s="36">
        <v>2525.41</v>
      </c>
      <c r="P258" s="36"/>
      <c r="Q258" s="36">
        <v>736.24</v>
      </c>
      <c r="R258" s="36"/>
      <c r="S258" s="36">
        <v>18907.06</v>
      </c>
      <c r="T258" s="36"/>
      <c r="U258" s="36">
        <v>0</v>
      </c>
      <c r="V258" s="36"/>
      <c r="W258" s="36">
        <v>0</v>
      </c>
      <c r="X258" s="36"/>
      <c r="Y258" s="36">
        <v>0</v>
      </c>
      <c r="Z258" s="36"/>
      <c r="AA258" s="36">
        <v>0</v>
      </c>
      <c r="AB258" s="36"/>
      <c r="AC258" s="36">
        <v>0</v>
      </c>
      <c r="AD258" s="36"/>
      <c r="AE258" s="36">
        <v>0</v>
      </c>
      <c r="AF258" s="36"/>
      <c r="AG258" s="36">
        <v>0</v>
      </c>
      <c r="AH258" s="36"/>
      <c r="AI258" s="36">
        <f t="shared" si="12"/>
        <v>314436.05999999994</v>
      </c>
      <c r="AJ258" s="10"/>
      <c r="AK258" s="22"/>
      <c r="AL258" s="22"/>
      <c r="AM258" s="22"/>
    </row>
    <row r="259" spans="1:36" ht="12.75">
      <c r="A259" s="1" t="s">
        <v>126</v>
      </c>
      <c r="C259" s="1" t="s">
        <v>784</v>
      </c>
      <c r="E259" s="36">
        <v>4174.95</v>
      </c>
      <c r="F259" s="36"/>
      <c r="G259" s="36">
        <v>0</v>
      </c>
      <c r="H259" s="36"/>
      <c r="I259" s="36">
        <v>14711.01</v>
      </c>
      <c r="J259" s="36"/>
      <c r="K259" s="36">
        <v>0</v>
      </c>
      <c r="L259" s="36"/>
      <c r="M259" s="36">
        <v>0</v>
      </c>
      <c r="N259" s="36"/>
      <c r="O259" s="36">
        <v>166754.37</v>
      </c>
      <c r="P259" s="36"/>
      <c r="Q259" s="36">
        <v>92.95</v>
      </c>
      <c r="R259" s="36"/>
      <c r="S259" s="36">
        <v>2120.04</v>
      </c>
      <c r="T259" s="36"/>
      <c r="U259" s="36">
        <v>0</v>
      </c>
      <c r="V259" s="36"/>
      <c r="W259" s="36">
        <v>0</v>
      </c>
      <c r="X259" s="36"/>
      <c r="Y259" s="36">
        <v>5500</v>
      </c>
      <c r="Z259" s="36"/>
      <c r="AA259" s="36">
        <v>0</v>
      </c>
      <c r="AB259" s="36"/>
      <c r="AC259" s="36">
        <v>0</v>
      </c>
      <c r="AD259" s="36"/>
      <c r="AE259" s="36">
        <v>0</v>
      </c>
      <c r="AF259" s="36"/>
      <c r="AG259" s="36">
        <v>0</v>
      </c>
      <c r="AH259" s="36"/>
      <c r="AI259" s="36">
        <f t="shared" si="12"/>
        <v>193353.32</v>
      </c>
      <c r="AJ259" s="10"/>
    </row>
    <row r="260" spans="1:36" s="21" customFormat="1" ht="12.75">
      <c r="A260" s="1" t="s">
        <v>833</v>
      </c>
      <c r="B260" s="1"/>
      <c r="C260" s="1" t="s">
        <v>439</v>
      </c>
      <c r="D260" s="1"/>
      <c r="E260" s="93">
        <v>47137.21</v>
      </c>
      <c r="F260" s="93"/>
      <c r="G260" s="93">
        <v>0</v>
      </c>
      <c r="H260" s="93"/>
      <c r="I260" s="93">
        <v>33964.35</v>
      </c>
      <c r="J260" s="93"/>
      <c r="K260" s="93">
        <v>0</v>
      </c>
      <c r="L260" s="93"/>
      <c r="M260" s="93">
        <v>0</v>
      </c>
      <c r="N260" s="93"/>
      <c r="O260" s="93">
        <v>7509.24</v>
      </c>
      <c r="P260" s="93"/>
      <c r="Q260" s="93">
        <v>131.58</v>
      </c>
      <c r="R260" s="93"/>
      <c r="S260" s="93">
        <v>455</v>
      </c>
      <c r="T260" s="93"/>
      <c r="U260" s="93">
        <v>0</v>
      </c>
      <c r="V260" s="93"/>
      <c r="W260" s="93">
        <v>0</v>
      </c>
      <c r="X260" s="93"/>
      <c r="Y260" s="93">
        <v>0</v>
      </c>
      <c r="Z260" s="93"/>
      <c r="AA260" s="93">
        <v>0</v>
      </c>
      <c r="AB260" s="93"/>
      <c r="AC260" s="93">
        <v>0</v>
      </c>
      <c r="AD260" s="93"/>
      <c r="AE260" s="93">
        <v>0</v>
      </c>
      <c r="AF260" s="93"/>
      <c r="AG260" s="93">
        <v>0</v>
      </c>
      <c r="AH260" s="93"/>
      <c r="AI260" s="93">
        <f t="shared" si="12"/>
        <v>89197.38</v>
      </c>
      <c r="AJ260" s="10"/>
    </row>
    <row r="261" spans="1:39" s="21" customFormat="1" ht="12.75">
      <c r="A261" s="1" t="s">
        <v>42</v>
      </c>
      <c r="B261" s="1"/>
      <c r="C261" s="1" t="s">
        <v>758</v>
      </c>
      <c r="D261" s="1"/>
      <c r="E261" s="93">
        <v>15410.44</v>
      </c>
      <c r="F261" s="93"/>
      <c r="G261" s="93">
        <v>0</v>
      </c>
      <c r="H261" s="93"/>
      <c r="I261" s="93">
        <v>21687.72</v>
      </c>
      <c r="J261" s="93"/>
      <c r="K261" s="93">
        <v>0</v>
      </c>
      <c r="L261" s="93"/>
      <c r="M261" s="93">
        <v>0</v>
      </c>
      <c r="N261" s="93"/>
      <c r="O261" s="93">
        <v>9684.1</v>
      </c>
      <c r="P261" s="93"/>
      <c r="Q261" s="93">
        <v>83.23</v>
      </c>
      <c r="R261" s="93"/>
      <c r="S261" s="93">
        <v>6059.38</v>
      </c>
      <c r="T261" s="93"/>
      <c r="U261" s="93">
        <v>0</v>
      </c>
      <c r="V261" s="93"/>
      <c r="W261" s="93">
        <v>0</v>
      </c>
      <c r="X261" s="93"/>
      <c r="Y261" s="93">
        <v>0</v>
      </c>
      <c r="Z261" s="93"/>
      <c r="AA261" s="93">
        <v>0</v>
      </c>
      <c r="AB261" s="93"/>
      <c r="AC261" s="93">
        <v>0</v>
      </c>
      <c r="AD261" s="93"/>
      <c r="AE261" s="93">
        <v>0</v>
      </c>
      <c r="AF261" s="93"/>
      <c r="AG261" s="93">
        <v>0</v>
      </c>
      <c r="AH261" s="93"/>
      <c r="AI261" s="93">
        <f t="shared" si="12"/>
        <v>52924.87</v>
      </c>
      <c r="AJ261" s="10"/>
      <c r="AK261" s="22"/>
      <c r="AL261" s="22"/>
      <c r="AM261" s="22"/>
    </row>
    <row r="262" spans="1:36" s="21" customFormat="1" ht="12.75">
      <c r="A262" s="1" t="s">
        <v>140</v>
      </c>
      <c r="B262" s="1"/>
      <c r="C262" s="1" t="s">
        <v>788</v>
      </c>
      <c r="D262" s="1"/>
      <c r="E262" s="93">
        <v>3572.64</v>
      </c>
      <c r="F262" s="93"/>
      <c r="G262" s="93">
        <v>0</v>
      </c>
      <c r="H262" s="93"/>
      <c r="I262" s="93">
        <v>7070.45</v>
      </c>
      <c r="J262" s="93"/>
      <c r="K262" s="93">
        <v>0</v>
      </c>
      <c r="L262" s="93"/>
      <c r="M262" s="93">
        <v>0</v>
      </c>
      <c r="N262" s="93"/>
      <c r="O262" s="93">
        <v>483.75</v>
      </c>
      <c r="P262" s="93"/>
      <c r="Q262" s="93">
        <v>0</v>
      </c>
      <c r="R262" s="93"/>
      <c r="S262" s="93">
        <v>31750</v>
      </c>
      <c r="T262" s="93"/>
      <c r="U262" s="93">
        <v>0</v>
      </c>
      <c r="V262" s="93"/>
      <c r="W262" s="93">
        <v>0</v>
      </c>
      <c r="X262" s="93"/>
      <c r="Y262" s="93">
        <v>0</v>
      </c>
      <c r="Z262" s="93"/>
      <c r="AA262" s="93">
        <v>0</v>
      </c>
      <c r="AB262" s="93"/>
      <c r="AC262" s="93">
        <v>0</v>
      </c>
      <c r="AD262" s="93"/>
      <c r="AE262" s="93">
        <v>0</v>
      </c>
      <c r="AF262" s="93"/>
      <c r="AG262" s="93">
        <v>0</v>
      </c>
      <c r="AH262" s="93"/>
      <c r="AI262" s="93">
        <f t="shared" si="12"/>
        <v>42876.84</v>
      </c>
      <c r="AJ262" s="10"/>
    </row>
    <row r="263" spans="1:36" ht="12.75">
      <c r="A263" s="1" t="s">
        <v>264</v>
      </c>
      <c r="C263" s="1" t="s">
        <v>826</v>
      </c>
      <c r="E263" s="93">
        <v>14613.19</v>
      </c>
      <c r="F263" s="93"/>
      <c r="G263" s="93">
        <v>0</v>
      </c>
      <c r="H263" s="93"/>
      <c r="I263" s="93">
        <v>7140.68</v>
      </c>
      <c r="J263" s="93"/>
      <c r="K263" s="93">
        <v>0</v>
      </c>
      <c r="L263" s="93"/>
      <c r="M263" s="93">
        <v>0</v>
      </c>
      <c r="N263" s="93"/>
      <c r="O263" s="93">
        <v>0</v>
      </c>
      <c r="P263" s="93"/>
      <c r="Q263" s="93">
        <v>28.08</v>
      </c>
      <c r="R263" s="93"/>
      <c r="S263" s="93">
        <v>631.4</v>
      </c>
      <c r="T263" s="93"/>
      <c r="U263" s="93">
        <v>0</v>
      </c>
      <c r="V263" s="93"/>
      <c r="W263" s="93">
        <v>0</v>
      </c>
      <c r="X263" s="93"/>
      <c r="Y263" s="93">
        <v>0</v>
      </c>
      <c r="Z263" s="93"/>
      <c r="AA263" s="93">
        <v>0</v>
      </c>
      <c r="AB263" s="93"/>
      <c r="AC263" s="93">
        <v>0</v>
      </c>
      <c r="AD263" s="93"/>
      <c r="AE263" s="93">
        <v>0</v>
      </c>
      <c r="AF263" s="93"/>
      <c r="AG263" s="93">
        <v>0</v>
      </c>
      <c r="AH263" s="93"/>
      <c r="AI263" s="93">
        <f t="shared" si="12"/>
        <v>22413.350000000006</v>
      </c>
      <c r="AJ263" s="10"/>
    </row>
    <row r="264" spans="1:36" ht="12.75">
      <c r="A264" s="1" t="s">
        <v>944</v>
      </c>
      <c r="C264" s="1" t="s">
        <v>353</v>
      </c>
      <c r="E264" s="93">
        <v>6203.97</v>
      </c>
      <c r="F264" s="93"/>
      <c r="G264" s="93">
        <v>80035.96</v>
      </c>
      <c r="H264" s="93"/>
      <c r="I264" s="93">
        <v>38188.96</v>
      </c>
      <c r="J264" s="93"/>
      <c r="K264" s="93">
        <v>0</v>
      </c>
      <c r="L264" s="93"/>
      <c r="M264" s="93">
        <v>1853.25</v>
      </c>
      <c r="N264" s="93"/>
      <c r="O264" s="93">
        <v>14419.23</v>
      </c>
      <c r="P264" s="93"/>
      <c r="Q264" s="93">
        <v>165.92</v>
      </c>
      <c r="R264" s="93"/>
      <c r="S264" s="93">
        <v>436.48</v>
      </c>
      <c r="T264" s="93"/>
      <c r="U264" s="93">
        <v>0</v>
      </c>
      <c r="V264" s="93"/>
      <c r="W264" s="93">
        <v>0</v>
      </c>
      <c r="X264" s="93"/>
      <c r="Y264" s="93">
        <v>0</v>
      </c>
      <c r="Z264" s="93"/>
      <c r="AA264" s="93">
        <v>0</v>
      </c>
      <c r="AB264" s="93"/>
      <c r="AC264" s="93">
        <v>0</v>
      </c>
      <c r="AD264" s="93"/>
      <c r="AE264" s="93">
        <v>75</v>
      </c>
      <c r="AF264" s="93"/>
      <c r="AG264" s="93">
        <v>12048.46</v>
      </c>
      <c r="AH264" s="93"/>
      <c r="AI264" s="93">
        <f t="shared" si="12"/>
        <v>153427.23000000004</v>
      </c>
      <c r="AJ264" s="10"/>
    </row>
    <row r="265" spans="1:36" s="21" customFormat="1" ht="12.75">
      <c r="A265" s="1" t="s">
        <v>845</v>
      </c>
      <c r="B265" s="1"/>
      <c r="C265" s="1" t="s">
        <v>776</v>
      </c>
      <c r="D265" s="1"/>
      <c r="E265" s="93">
        <v>10245.44</v>
      </c>
      <c r="F265" s="93"/>
      <c r="G265" s="93">
        <v>0</v>
      </c>
      <c r="H265" s="93"/>
      <c r="I265" s="93">
        <v>19784.47</v>
      </c>
      <c r="J265" s="93"/>
      <c r="K265" s="93">
        <v>0</v>
      </c>
      <c r="L265" s="93"/>
      <c r="M265" s="93">
        <v>2274.57</v>
      </c>
      <c r="N265" s="93"/>
      <c r="O265" s="93">
        <v>0</v>
      </c>
      <c r="P265" s="93"/>
      <c r="Q265" s="93">
        <v>21.72</v>
      </c>
      <c r="R265" s="93"/>
      <c r="S265" s="93">
        <v>388.46</v>
      </c>
      <c r="T265" s="93"/>
      <c r="U265" s="93">
        <v>0</v>
      </c>
      <c r="V265" s="93"/>
      <c r="W265" s="93">
        <v>0</v>
      </c>
      <c r="X265" s="93"/>
      <c r="Y265" s="93">
        <v>0</v>
      </c>
      <c r="Z265" s="93"/>
      <c r="AA265" s="93">
        <v>0</v>
      </c>
      <c r="AB265" s="93"/>
      <c r="AC265" s="93">
        <v>0</v>
      </c>
      <c r="AD265" s="93"/>
      <c r="AE265" s="93">
        <v>0</v>
      </c>
      <c r="AF265" s="93"/>
      <c r="AG265" s="93">
        <v>0</v>
      </c>
      <c r="AH265" s="93"/>
      <c r="AI265" s="93">
        <f t="shared" si="12"/>
        <v>32714.660000000003</v>
      </c>
      <c r="AJ265" s="10"/>
    </row>
    <row r="266" spans="1:39" ht="12.75">
      <c r="A266" s="1" t="s">
        <v>4</v>
      </c>
      <c r="C266" s="1" t="s">
        <v>746</v>
      </c>
      <c r="E266" s="93">
        <v>28300.62</v>
      </c>
      <c r="F266" s="93"/>
      <c r="G266" s="93">
        <v>0</v>
      </c>
      <c r="H266" s="93"/>
      <c r="I266" s="93">
        <v>26596.84</v>
      </c>
      <c r="J266" s="93"/>
      <c r="K266" s="93">
        <v>0</v>
      </c>
      <c r="L266" s="93"/>
      <c r="M266" s="93">
        <v>0</v>
      </c>
      <c r="N266" s="93"/>
      <c r="O266" s="93">
        <v>50</v>
      </c>
      <c r="P266" s="93"/>
      <c r="Q266" s="93">
        <v>6.04</v>
      </c>
      <c r="R266" s="93"/>
      <c r="S266" s="93">
        <v>847.18</v>
      </c>
      <c r="T266" s="93"/>
      <c r="U266" s="93">
        <v>0</v>
      </c>
      <c r="V266" s="93"/>
      <c r="W266" s="93">
        <v>0</v>
      </c>
      <c r="X266" s="93"/>
      <c r="Y266" s="93">
        <v>0</v>
      </c>
      <c r="Z266" s="93"/>
      <c r="AA266" s="93">
        <v>0</v>
      </c>
      <c r="AB266" s="93"/>
      <c r="AC266" s="93">
        <v>0</v>
      </c>
      <c r="AD266" s="93"/>
      <c r="AE266" s="93">
        <v>0</v>
      </c>
      <c r="AF266" s="93"/>
      <c r="AG266" s="93">
        <v>0</v>
      </c>
      <c r="AH266" s="93"/>
      <c r="AI266" s="93">
        <f t="shared" si="12"/>
        <v>55800.68</v>
      </c>
      <c r="AJ266" s="10"/>
      <c r="AK266" s="7"/>
      <c r="AL266" s="7"/>
      <c r="AM266" s="7"/>
    </row>
    <row r="267" spans="1:36" s="21" customFormat="1" ht="12.75">
      <c r="A267" s="1" t="s">
        <v>441</v>
      </c>
      <c r="B267" s="1"/>
      <c r="C267" s="1" t="s">
        <v>439</v>
      </c>
      <c r="D267" s="1"/>
      <c r="E267" s="83">
        <v>14970</v>
      </c>
      <c r="F267" s="83"/>
      <c r="G267" s="83">
        <v>0</v>
      </c>
      <c r="H267" s="83"/>
      <c r="I267" s="83">
        <v>27593</v>
      </c>
      <c r="J267" s="83"/>
      <c r="K267" s="83">
        <v>0</v>
      </c>
      <c r="L267" s="83"/>
      <c r="M267" s="83">
        <v>0</v>
      </c>
      <c r="N267" s="83"/>
      <c r="O267" s="83">
        <v>2512</v>
      </c>
      <c r="P267" s="83"/>
      <c r="Q267" s="83">
        <v>107</v>
      </c>
      <c r="R267" s="83"/>
      <c r="S267" s="83">
        <v>4729</v>
      </c>
      <c r="T267" s="83"/>
      <c r="U267" s="83">
        <v>0</v>
      </c>
      <c r="V267" s="83"/>
      <c r="W267" s="83">
        <v>0</v>
      </c>
      <c r="X267" s="83"/>
      <c r="Y267" s="83">
        <v>0</v>
      </c>
      <c r="Z267" s="83"/>
      <c r="AA267" s="83">
        <v>0</v>
      </c>
      <c r="AB267" s="83"/>
      <c r="AC267" s="83">
        <v>0</v>
      </c>
      <c r="AD267" s="83"/>
      <c r="AE267" s="83">
        <v>0</v>
      </c>
      <c r="AF267" s="83"/>
      <c r="AG267" s="83">
        <v>0</v>
      </c>
      <c r="AH267" s="83"/>
      <c r="AI267" s="83">
        <f t="shared" si="9"/>
        <v>49911</v>
      </c>
      <c r="AJ267" s="10"/>
    </row>
    <row r="268" spans="1:36" s="15" customFormat="1" ht="12.75">
      <c r="A268" s="1" t="s">
        <v>545</v>
      </c>
      <c r="B268" s="1"/>
      <c r="C268" s="1" t="s">
        <v>542</v>
      </c>
      <c r="D268" s="1"/>
      <c r="E268" s="83">
        <v>140407.1</v>
      </c>
      <c r="F268" s="83"/>
      <c r="G268" s="83">
        <v>936707.89</v>
      </c>
      <c r="H268" s="83"/>
      <c r="I268" s="83">
        <v>127556.04</v>
      </c>
      <c r="J268" s="83"/>
      <c r="K268" s="83">
        <v>0</v>
      </c>
      <c r="L268" s="83"/>
      <c r="M268" s="83">
        <v>3148.8</v>
      </c>
      <c r="N268" s="83"/>
      <c r="O268" s="83">
        <v>76993.19</v>
      </c>
      <c r="P268" s="83"/>
      <c r="Q268" s="83">
        <v>204.39</v>
      </c>
      <c r="R268" s="83"/>
      <c r="S268" s="83">
        <v>11545.56</v>
      </c>
      <c r="T268" s="83"/>
      <c r="U268" s="83">
        <v>0</v>
      </c>
      <c r="V268" s="83"/>
      <c r="W268" s="83">
        <v>0</v>
      </c>
      <c r="X268" s="83"/>
      <c r="Y268" s="83">
        <v>5669</v>
      </c>
      <c r="Z268" s="83"/>
      <c r="AA268" s="83">
        <v>1073000</v>
      </c>
      <c r="AB268" s="83"/>
      <c r="AC268" s="83">
        <v>20000</v>
      </c>
      <c r="AD268" s="83"/>
      <c r="AE268" s="83">
        <v>0</v>
      </c>
      <c r="AF268" s="83"/>
      <c r="AG268" s="83">
        <v>0</v>
      </c>
      <c r="AH268" s="83"/>
      <c r="AI268" s="83">
        <f t="shared" si="9"/>
        <v>2395231.9699999997</v>
      </c>
      <c r="AJ268" s="10"/>
    </row>
    <row r="269" spans="1:36" ht="12.75">
      <c r="A269" s="1" t="s">
        <v>582</v>
      </c>
      <c r="C269" s="1" t="s">
        <v>583</v>
      </c>
      <c r="E269" s="36">
        <v>39991.27</v>
      </c>
      <c r="F269" s="36"/>
      <c r="G269" s="36">
        <v>0</v>
      </c>
      <c r="H269" s="36"/>
      <c r="I269" s="36">
        <v>19671.01</v>
      </c>
      <c r="J269" s="36"/>
      <c r="K269" s="36">
        <v>0</v>
      </c>
      <c r="L269" s="36"/>
      <c r="M269" s="36">
        <v>62481.29</v>
      </c>
      <c r="N269" s="36"/>
      <c r="O269" s="36">
        <v>94178.29</v>
      </c>
      <c r="P269" s="36"/>
      <c r="Q269" s="36">
        <v>738.35</v>
      </c>
      <c r="R269" s="36"/>
      <c r="S269" s="36">
        <v>34477.12</v>
      </c>
      <c r="T269" s="36"/>
      <c r="U269" s="36">
        <v>0</v>
      </c>
      <c r="V269" s="36"/>
      <c r="W269" s="36">
        <v>0</v>
      </c>
      <c r="X269" s="36"/>
      <c r="Y269" s="36">
        <v>0</v>
      </c>
      <c r="Z269" s="36"/>
      <c r="AA269" s="36">
        <v>0</v>
      </c>
      <c r="AB269" s="36"/>
      <c r="AC269" s="36">
        <v>0</v>
      </c>
      <c r="AD269" s="36"/>
      <c r="AE269" s="36">
        <v>0</v>
      </c>
      <c r="AF269" s="36"/>
      <c r="AG269" s="36">
        <v>0</v>
      </c>
      <c r="AH269" s="36"/>
      <c r="AI269" s="36">
        <f aca="true" t="shared" si="13" ref="AI269:AI274">SUM(E269:AG269)</f>
        <v>251537.33</v>
      </c>
      <c r="AJ269" s="10"/>
    </row>
    <row r="270" spans="1:35" s="38" customFormat="1" ht="12.75">
      <c r="A270" s="38" t="s">
        <v>256</v>
      </c>
      <c r="C270" s="38" t="s">
        <v>825</v>
      </c>
      <c r="E270" s="36">
        <v>97689.05</v>
      </c>
      <c r="F270" s="36"/>
      <c r="G270" s="36">
        <v>0</v>
      </c>
      <c r="H270" s="36"/>
      <c r="I270" s="36">
        <v>21463.6</v>
      </c>
      <c r="J270" s="36"/>
      <c r="K270" s="36">
        <v>0</v>
      </c>
      <c r="L270" s="36"/>
      <c r="M270" s="36">
        <v>0</v>
      </c>
      <c r="N270" s="36"/>
      <c r="O270" s="36">
        <v>14545.04</v>
      </c>
      <c r="P270" s="36"/>
      <c r="Q270" s="36">
        <v>1283.35</v>
      </c>
      <c r="R270" s="36"/>
      <c r="S270" s="36">
        <v>1519.05</v>
      </c>
      <c r="T270" s="36"/>
      <c r="U270" s="36">
        <v>0</v>
      </c>
      <c r="V270" s="36"/>
      <c r="W270" s="36">
        <v>0</v>
      </c>
      <c r="X270" s="36"/>
      <c r="Y270" s="36">
        <v>0</v>
      </c>
      <c r="Z270" s="36"/>
      <c r="AA270" s="36">
        <v>159475.62</v>
      </c>
      <c r="AB270" s="36"/>
      <c r="AC270" s="36">
        <v>0</v>
      </c>
      <c r="AD270" s="36"/>
      <c r="AE270" s="36">
        <v>0</v>
      </c>
      <c r="AF270" s="36"/>
      <c r="AG270" s="36">
        <v>0</v>
      </c>
      <c r="AH270" s="36"/>
      <c r="AI270" s="36">
        <f t="shared" si="13"/>
        <v>295975.70999999996</v>
      </c>
    </row>
    <row r="271" spans="1:36" ht="12.75">
      <c r="A271" s="1" t="s">
        <v>183</v>
      </c>
      <c r="C271" s="1" t="s">
        <v>803</v>
      </c>
      <c r="E271" s="93">
        <v>10333.81</v>
      </c>
      <c r="F271" s="93"/>
      <c r="G271" s="93">
        <v>0</v>
      </c>
      <c r="H271" s="93"/>
      <c r="I271" s="93">
        <v>21562.01</v>
      </c>
      <c r="J271" s="93"/>
      <c r="K271" s="93">
        <v>0</v>
      </c>
      <c r="L271" s="93"/>
      <c r="M271" s="93">
        <v>0</v>
      </c>
      <c r="N271" s="93"/>
      <c r="O271" s="93">
        <v>12</v>
      </c>
      <c r="P271" s="93"/>
      <c r="Q271" s="93">
        <v>1948.72</v>
      </c>
      <c r="R271" s="93"/>
      <c r="S271" s="93">
        <v>150</v>
      </c>
      <c r="T271" s="93"/>
      <c r="U271" s="93">
        <v>0</v>
      </c>
      <c r="V271" s="93"/>
      <c r="W271" s="93">
        <v>0</v>
      </c>
      <c r="X271" s="93"/>
      <c r="Y271" s="93">
        <v>0</v>
      </c>
      <c r="Z271" s="93"/>
      <c r="AA271" s="93">
        <v>0</v>
      </c>
      <c r="AB271" s="93"/>
      <c r="AC271" s="93">
        <v>0</v>
      </c>
      <c r="AD271" s="93"/>
      <c r="AE271" s="93">
        <v>0</v>
      </c>
      <c r="AF271" s="93"/>
      <c r="AG271" s="93">
        <v>0</v>
      </c>
      <c r="AH271" s="93"/>
      <c r="AI271" s="93">
        <f t="shared" si="13"/>
        <v>34006.54</v>
      </c>
      <c r="AJ271" s="10"/>
    </row>
    <row r="272" spans="1:39" ht="12.75">
      <c r="A272" s="1" t="s">
        <v>7</v>
      </c>
      <c r="C272" s="1" t="s">
        <v>669</v>
      </c>
      <c r="E272" s="36">
        <v>22789.84</v>
      </c>
      <c r="F272" s="36"/>
      <c r="G272" s="36">
        <v>0</v>
      </c>
      <c r="H272" s="36"/>
      <c r="I272" s="36">
        <v>36319.41</v>
      </c>
      <c r="J272" s="36"/>
      <c r="K272" s="36">
        <v>0</v>
      </c>
      <c r="L272" s="36"/>
      <c r="M272" s="36">
        <v>7940</v>
      </c>
      <c r="N272" s="36"/>
      <c r="O272" s="36">
        <v>89</v>
      </c>
      <c r="P272" s="36"/>
      <c r="Q272" s="36">
        <v>366.62</v>
      </c>
      <c r="R272" s="36"/>
      <c r="S272" s="36">
        <v>285.52</v>
      </c>
      <c r="T272" s="36"/>
      <c r="U272" s="36">
        <v>0</v>
      </c>
      <c r="V272" s="36"/>
      <c r="W272" s="36">
        <v>0</v>
      </c>
      <c r="X272" s="36"/>
      <c r="Y272" s="36">
        <v>0</v>
      </c>
      <c r="Z272" s="36"/>
      <c r="AA272" s="36">
        <v>0</v>
      </c>
      <c r="AB272" s="36"/>
      <c r="AC272" s="36">
        <v>0</v>
      </c>
      <c r="AD272" s="36"/>
      <c r="AE272" s="36">
        <v>0</v>
      </c>
      <c r="AF272" s="36"/>
      <c r="AG272" s="36">
        <v>0</v>
      </c>
      <c r="AH272" s="36"/>
      <c r="AI272" s="36">
        <f t="shared" si="13"/>
        <v>67790.39</v>
      </c>
      <c r="AJ272" s="10"/>
      <c r="AK272" s="7"/>
      <c r="AL272" s="7"/>
      <c r="AM272" s="7"/>
    </row>
    <row r="273" spans="1:36" ht="12.75">
      <c r="A273" s="1" t="s">
        <v>442</v>
      </c>
      <c r="C273" s="1" t="s">
        <v>439</v>
      </c>
      <c r="E273" s="36">
        <v>106319.47</v>
      </c>
      <c r="F273" s="36"/>
      <c r="G273" s="36">
        <v>1272887.29</v>
      </c>
      <c r="H273" s="36"/>
      <c r="I273" s="36">
        <v>210730.6</v>
      </c>
      <c r="J273" s="36"/>
      <c r="K273" s="36">
        <v>0</v>
      </c>
      <c r="L273" s="36"/>
      <c r="M273" s="36">
        <v>102592.19</v>
      </c>
      <c r="N273" s="36"/>
      <c r="O273" s="36">
        <v>6659.16</v>
      </c>
      <c r="P273" s="36"/>
      <c r="Q273" s="36">
        <v>11347.29</v>
      </c>
      <c r="R273" s="36"/>
      <c r="S273" s="36">
        <v>13646.98</v>
      </c>
      <c r="T273" s="36"/>
      <c r="U273" s="36">
        <v>0</v>
      </c>
      <c r="V273" s="36"/>
      <c r="W273" s="36">
        <v>0</v>
      </c>
      <c r="X273" s="36"/>
      <c r="Y273" s="36">
        <v>0</v>
      </c>
      <c r="Z273" s="36"/>
      <c r="AA273" s="36">
        <v>0</v>
      </c>
      <c r="AB273" s="36"/>
      <c r="AC273" s="36">
        <v>0</v>
      </c>
      <c r="AD273" s="36"/>
      <c r="AE273" s="36">
        <v>0</v>
      </c>
      <c r="AF273" s="36"/>
      <c r="AG273" s="36">
        <v>0</v>
      </c>
      <c r="AH273" s="36"/>
      <c r="AI273" s="36">
        <f t="shared" si="13"/>
        <v>1724182.98</v>
      </c>
      <c r="AJ273" s="10"/>
    </row>
    <row r="274" spans="1:36" ht="12.75">
      <c r="A274" s="1" t="s">
        <v>214</v>
      </c>
      <c r="C274" s="1" t="s">
        <v>811</v>
      </c>
      <c r="E274" s="93">
        <v>19943.13</v>
      </c>
      <c r="F274" s="93"/>
      <c r="G274" s="93">
        <v>0</v>
      </c>
      <c r="H274" s="93"/>
      <c r="I274" s="93">
        <v>23530.06</v>
      </c>
      <c r="J274" s="93"/>
      <c r="K274" s="93">
        <v>0</v>
      </c>
      <c r="L274" s="93"/>
      <c r="M274" s="93">
        <v>14378</v>
      </c>
      <c r="N274" s="93"/>
      <c r="O274" s="93">
        <v>0</v>
      </c>
      <c r="P274" s="93"/>
      <c r="Q274" s="93">
        <v>976.88</v>
      </c>
      <c r="R274" s="93"/>
      <c r="S274" s="93">
        <v>371.93</v>
      </c>
      <c r="T274" s="93"/>
      <c r="U274" s="93">
        <v>0</v>
      </c>
      <c r="V274" s="93"/>
      <c r="W274" s="93">
        <v>0</v>
      </c>
      <c r="X274" s="93"/>
      <c r="Y274" s="93">
        <v>0</v>
      </c>
      <c r="Z274" s="93"/>
      <c r="AA274" s="93">
        <v>0</v>
      </c>
      <c r="AB274" s="93"/>
      <c r="AC274" s="93">
        <v>0</v>
      </c>
      <c r="AD274" s="93"/>
      <c r="AE274" s="93">
        <v>0</v>
      </c>
      <c r="AF274" s="93"/>
      <c r="AG274" s="93">
        <v>0</v>
      </c>
      <c r="AH274" s="93"/>
      <c r="AI274" s="93">
        <f t="shared" si="13"/>
        <v>59200</v>
      </c>
      <c r="AJ274" s="10"/>
    </row>
    <row r="275" spans="1:39" ht="12.75">
      <c r="A275" s="1" t="s">
        <v>903</v>
      </c>
      <c r="C275" s="1" t="s">
        <v>501</v>
      </c>
      <c r="E275" s="83">
        <v>1225.24</v>
      </c>
      <c r="F275" s="83"/>
      <c r="G275" s="83">
        <v>0</v>
      </c>
      <c r="H275" s="83"/>
      <c r="I275" s="83">
        <v>6542.26</v>
      </c>
      <c r="J275" s="83"/>
      <c r="K275" s="83">
        <v>0</v>
      </c>
      <c r="L275" s="83"/>
      <c r="M275" s="83">
        <v>0</v>
      </c>
      <c r="N275" s="83"/>
      <c r="O275" s="83">
        <v>0</v>
      </c>
      <c r="P275" s="83"/>
      <c r="Q275" s="83">
        <v>0</v>
      </c>
      <c r="R275" s="83"/>
      <c r="S275" s="83">
        <v>9.15</v>
      </c>
      <c r="T275" s="83"/>
      <c r="U275" s="83">
        <v>0</v>
      </c>
      <c r="V275" s="83"/>
      <c r="W275" s="83">
        <v>0</v>
      </c>
      <c r="X275" s="83"/>
      <c r="Y275" s="83">
        <v>0</v>
      </c>
      <c r="Z275" s="83"/>
      <c r="AA275" s="83">
        <v>0</v>
      </c>
      <c r="AB275" s="83"/>
      <c r="AC275" s="83">
        <v>0</v>
      </c>
      <c r="AD275" s="83"/>
      <c r="AE275" s="83">
        <v>0</v>
      </c>
      <c r="AF275" s="83"/>
      <c r="AG275" s="83">
        <v>0</v>
      </c>
      <c r="AH275" s="83"/>
      <c r="AI275" s="83">
        <f aca="true" t="shared" si="14" ref="AI275:AI334">SUM(E275:AG275)</f>
        <v>7776.65</v>
      </c>
      <c r="AJ275" s="10"/>
      <c r="AK275" s="7"/>
      <c r="AL275" s="7"/>
      <c r="AM275" s="7"/>
    </row>
    <row r="276" spans="1:39" ht="12.75">
      <c r="A276" s="1" t="s">
        <v>341</v>
      </c>
      <c r="C276" s="1" t="s">
        <v>342</v>
      </c>
      <c r="E276" s="83">
        <v>103595</v>
      </c>
      <c r="F276" s="83"/>
      <c r="G276" s="83">
        <v>931733</v>
      </c>
      <c r="H276" s="83"/>
      <c r="I276" s="83">
        <v>208545</v>
      </c>
      <c r="J276" s="83"/>
      <c r="K276" s="83">
        <v>0</v>
      </c>
      <c r="L276" s="83"/>
      <c r="M276" s="83">
        <v>21230</v>
      </c>
      <c r="N276" s="83"/>
      <c r="O276" s="83">
        <v>22387</v>
      </c>
      <c r="P276" s="83"/>
      <c r="Q276" s="83">
        <v>48366</v>
      </c>
      <c r="R276" s="83"/>
      <c r="S276" s="83">
        <f>20588+2125</f>
        <v>22713</v>
      </c>
      <c r="T276" s="83"/>
      <c r="U276" s="83">
        <v>0</v>
      </c>
      <c r="V276" s="83"/>
      <c r="W276" s="83">
        <v>0</v>
      </c>
      <c r="X276" s="83"/>
      <c r="Y276" s="83">
        <v>0</v>
      </c>
      <c r="Z276" s="83"/>
      <c r="AA276" s="83">
        <v>0</v>
      </c>
      <c r="AB276" s="83"/>
      <c r="AC276" s="83">
        <v>0</v>
      </c>
      <c r="AD276" s="83"/>
      <c r="AE276" s="83">
        <v>1125</v>
      </c>
      <c r="AF276" s="83"/>
      <c r="AG276" s="83">
        <v>0</v>
      </c>
      <c r="AH276" s="83"/>
      <c r="AI276" s="83">
        <f t="shared" si="14"/>
        <v>1359694</v>
      </c>
      <c r="AJ276" s="10"/>
      <c r="AK276" s="7"/>
      <c r="AL276" s="7"/>
      <c r="AM276" s="7"/>
    </row>
    <row r="277" spans="1:36" s="21" customFormat="1" ht="12.75" hidden="1">
      <c r="A277" s="1" t="s">
        <v>409</v>
      </c>
      <c r="B277" s="1"/>
      <c r="C277" s="1" t="s">
        <v>409</v>
      </c>
      <c r="D277" s="1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>
        <f t="shared" si="14"/>
        <v>0</v>
      </c>
      <c r="AJ277" s="10"/>
    </row>
    <row r="278" spans="1:36" s="21" customFormat="1" ht="12.75">
      <c r="A278" s="1" t="s">
        <v>968</v>
      </c>
      <c r="B278" s="1"/>
      <c r="C278" s="1" t="s">
        <v>316</v>
      </c>
      <c r="D278" s="1"/>
      <c r="E278" s="83">
        <v>131418</v>
      </c>
      <c r="F278" s="83"/>
      <c r="G278" s="83">
        <v>3080888</v>
      </c>
      <c r="H278" s="83"/>
      <c r="I278" s="83">
        <v>79379</v>
      </c>
      <c r="J278" s="83"/>
      <c r="K278" s="83">
        <v>0</v>
      </c>
      <c r="L278" s="83"/>
      <c r="M278" s="83">
        <v>43914</v>
      </c>
      <c r="N278" s="83"/>
      <c r="O278" s="83">
        <v>286427</v>
      </c>
      <c r="P278" s="83"/>
      <c r="Q278" s="83">
        <v>2467</v>
      </c>
      <c r="R278" s="83"/>
      <c r="S278" s="83">
        <v>85826</v>
      </c>
      <c r="T278" s="83"/>
      <c r="U278" s="83">
        <v>0</v>
      </c>
      <c r="V278" s="83"/>
      <c r="W278" s="83">
        <v>0</v>
      </c>
      <c r="X278" s="83"/>
      <c r="Y278" s="83">
        <v>0</v>
      </c>
      <c r="Z278" s="83"/>
      <c r="AA278" s="83">
        <v>396467</v>
      </c>
      <c r="AB278" s="83"/>
      <c r="AC278" s="83">
        <v>0</v>
      </c>
      <c r="AD278" s="83"/>
      <c r="AE278" s="83">
        <v>0</v>
      </c>
      <c r="AF278" s="83"/>
      <c r="AG278" s="83">
        <v>0</v>
      </c>
      <c r="AH278" s="83"/>
      <c r="AI278" s="83">
        <f t="shared" si="14"/>
        <v>4106786</v>
      </c>
      <c r="AJ278" s="10"/>
    </row>
    <row r="279" spans="1:36" ht="12.75">
      <c r="A279" s="1" t="s">
        <v>225</v>
      </c>
      <c r="C279" s="1" t="s">
        <v>815</v>
      </c>
      <c r="E279" s="36">
        <v>10.5</v>
      </c>
      <c r="F279" s="36"/>
      <c r="G279" s="36">
        <v>0</v>
      </c>
      <c r="H279" s="36"/>
      <c r="I279" s="36">
        <v>78760.41</v>
      </c>
      <c r="J279" s="36"/>
      <c r="K279" s="36">
        <v>0</v>
      </c>
      <c r="L279" s="36"/>
      <c r="M279" s="36">
        <v>0</v>
      </c>
      <c r="N279" s="36"/>
      <c r="O279" s="36">
        <v>0</v>
      </c>
      <c r="P279" s="36"/>
      <c r="Q279" s="36">
        <v>54016.51</v>
      </c>
      <c r="R279" s="36"/>
      <c r="S279" s="36">
        <v>264.8</v>
      </c>
      <c r="T279" s="36"/>
      <c r="U279" s="36">
        <v>0</v>
      </c>
      <c r="V279" s="36"/>
      <c r="W279" s="36">
        <v>0</v>
      </c>
      <c r="X279" s="36"/>
      <c r="Y279" s="36">
        <v>0</v>
      </c>
      <c r="Z279" s="36"/>
      <c r="AA279" s="36">
        <v>0</v>
      </c>
      <c r="AB279" s="36"/>
      <c r="AC279" s="36">
        <v>0</v>
      </c>
      <c r="AD279" s="36"/>
      <c r="AE279" s="36">
        <v>0</v>
      </c>
      <c r="AF279" s="36"/>
      <c r="AG279" s="36">
        <v>0</v>
      </c>
      <c r="AH279" s="36"/>
      <c r="AI279" s="36">
        <f>SUM(E279:AG279)</f>
        <v>133052.22</v>
      </c>
      <c r="AJ279" s="10"/>
    </row>
    <row r="280" spans="1:36" ht="12.75">
      <c r="A280" s="1" t="s">
        <v>194</v>
      </c>
      <c r="C280" s="1" t="s">
        <v>806</v>
      </c>
      <c r="E280" s="36">
        <v>56092.24</v>
      </c>
      <c r="F280" s="36"/>
      <c r="G280" s="36">
        <v>407566.58</v>
      </c>
      <c r="H280" s="36"/>
      <c r="I280" s="36">
        <v>134990.59</v>
      </c>
      <c r="J280" s="36"/>
      <c r="K280" s="36">
        <v>0</v>
      </c>
      <c r="L280" s="36"/>
      <c r="M280" s="36">
        <v>146935.94</v>
      </c>
      <c r="N280" s="36"/>
      <c r="O280" s="36">
        <v>18940.84</v>
      </c>
      <c r="P280" s="36"/>
      <c r="Q280" s="36">
        <v>23402.48</v>
      </c>
      <c r="R280" s="36"/>
      <c r="S280" s="36">
        <v>149880.22</v>
      </c>
      <c r="T280" s="36"/>
      <c r="U280" s="36">
        <v>0</v>
      </c>
      <c r="V280" s="36"/>
      <c r="W280" s="36">
        <v>0</v>
      </c>
      <c r="X280" s="36"/>
      <c r="Y280" s="36">
        <v>0</v>
      </c>
      <c r="Z280" s="36"/>
      <c r="AA280" s="36">
        <v>0</v>
      </c>
      <c r="AB280" s="36"/>
      <c r="AC280" s="36">
        <v>4000</v>
      </c>
      <c r="AD280" s="36"/>
      <c r="AE280" s="36">
        <v>0</v>
      </c>
      <c r="AF280" s="36"/>
      <c r="AG280" s="36">
        <v>0</v>
      </c>
      <c r="AH280" s="36"/>
      <c r="AI280" s="36">
        <f>SUM(E280:AG280)</f>
        <v>941808.89</v>
      </c>
      <c r="AJ280" s="10"/>
    </row>
    <row r="281" spans="1:36" ht="12.75">
      <c r="A281" s="1" t="s">
        <v>408</v>
      </c>
      <c r="C281" s="1" t="s">
        <v>407</v>
      </c>
      <c r="E281" s="83">
        <v>22475.26</v>
      </c>
      <c r="F281" s="83"/>
      <c r="G281" s="83">
        <v>124492.73</v>
      </c>
      <c r="H281" s="83"/>
      <c r="I281" s="83">
        <v>76780.42</v>
      </c>
      <c r="J281" s="83"/>
      <c r="K281" s="83">
        <v>0</v>
      </c>
      <c r="L281" s="83"/>
      <c r="M281" s="83">
        <v>0</v>
      </c>
      <c r="N281" s="83"/>
      <c r="O281" s="83">
        <v>1398.5</v>
      </c>
      <c r="P281" s="83"/>
      <c r="Q281" s="83">
        <v>4313.69</v>
      </c>
      <c r="R281" s="83"/>
      <c r="S281" s="83">
        <v>244818.38</v>
      </c>
      <c r="T281" s="83"/>
      <c r="U281" s="83">
        <v>0</v>
      </c>
      <c r="V281" s="83"/>
      <c r="W281" s="83">
        <v>0</v>
      </c>
      <c r="X281" s="83"/>
      <c r="Y281" s="83">
        <v>0</v>
      </c>
      <c r="Z281" s="83"/>
      <c r="AA281" s="83">
        <v>53212.29</v>
      </c>
      <c r="AB281" s="83"/>
      <c r="AC281" s="83">
        <v>0</v>
      </c>
      <c r="AD281" s="83"/>
      <c r="AE281" s="83">
        <v>0</v>
      </c>
      <c r="AF281" s="83"/>
      <c r="AG281" s="83">
        <v>0</v>
      </c>
      <c r="AH281" s="83"/>
      <c r="AI281" s="83">
        <f t="shared" si="14"/>
        <v>527491.27</v>
      </c>
      <c r="AJ281" s="10"/>
    </row>
    <row r="282" spans="1:36" ht="12.75">
      <c r="A282" s="1" t="s">
        <v>945</v>
      </c>
      <c r="C282" s="1" t="s">
        <v>598</v>
      </c>
      <c r="E282" s="36">
        <v>388780.75</v>
      </c>
      <c r="F282" s="36"/>
      <c r="G282" s="36">
        <v>0</v>
      </c>
      <c r="H282" s="36"/>
      <c r="I282" s="36">
        <v>21997.44</v>
      </c>
      <c r="J282" s="36"/>
      <c r="K282" s="36">
        <v>0</v>
      </c>
      <c r="L282" s="36"/>
      <c r="M282" s="36">
        <v>600</v>
      </c>
      <c r="N282" s="36"/>
      <c r="O282" s="36">
        <v>0</v>
      </c>
      <c r="P282" s="36"/>
      <c r="Q282" s="36">
        <v>3998.25</v>
      </c>
      <c r="R282" s="36"/>
      <c r="S282" s="36">
        <v>0</v>
      </c>
      <c r="T282" s="36"/>
      <c r="U282" s="36">
        <v>0</v>
      </c>
      <c r="V282" s="36"/>
      <c r="W282" s="36">
        <v>0</v>
      </c>
      <c r="X282" s="36"/>
      <c r="Y282" s="36">
        <v>0</v>
      </c>
      <c r="Z282" s="36"/>
      <c r="AA282" s="36">
        <v>0</v>
      </c>
      <c r="AB282" s="36"/>
      <c r="AC282" s="36">
        <v>0</v>
      </c>
      <c r="AD282" s="36"/>
      <c r="AE282" s="36">
        <v>0</v>
      </c>
      <c r="AF282" s="36"/>
      <c r="AG282" s="36">
        <v>0</v>
      </c>
      <c r="AH282" s="36"/>
      <c r="AI282" s="36">
        <f>SUM(E282:AG282)</f>
        <v>415376.44</v>
      </c>
      <c r="AJ282" s="10"/>
    </row>
    <row r="283" spans="1:36" ht="12.75">
      <c r="A283" s="1" t="s">
        <v>454</v>
      </c>
      <c r="C283" s="1" t="s">
        <v>455</v>
      </c>
      <c r="E283" s="83">
        <v>45672</v>
      </c>
      <c r="F283" s="83"/>
      <c r="G283" s="83">
        <v>2054988</v>
      </c>
      <c r="H283" s="83"/>
      <c r="I283" s="83">
        <v>124864</v>
      </c>
      <c r="J283" s="83"/>
      <c r="K283" s="83">
        <v>6955</v>
      </c>
      <c r="L283" s="83"/>
      <c r="M283" s="83">
        <v>93622</v>
      </c>
      <c r="N283" s="83"/>
      <c r="O283" s="83">
        <v>33073</v>
      </c>
      <c r="P283" s="83"/>
      <c r="Q283" s="83">
        <v>55469</v>
      </c>
      <c r="R283" s="83"/>
      <c r="S283" s="83">
        <v>161417</v>
      </c>
      <c r="T283" s="83"/>
      <c r="U283" s="83">
        <v>0</v>
      </c>
      <c r="V283" s="83"/>
      <c r="W283" s="83">
        <v>0</v>
      </c>
      <c r="X283" s="83"/>
      <c r="Y283" s="83">
        <v>0</v>
      </c>
      <c r="Z283" s="83"/>
      <c r="AA283" s="83">
        <v>415065</v>
      </c>
      <c r="AB283" s="83"/>
      <c r="AC283" s="83">
        <v>0</v>
      </c>
      <c r="AD283" s="83"/>
      <c r="AE283" s="83">
        <v>0</v>
      </c>
      <c r="AF283" s="83"/>
      <c r="AG283" s="83">
        <v>0</v>
      </c>
      <c r="AH283" s="83"/>
      <c r="AI283" s="83">
        <f t="shared" si="14"/>
        <v>2991125</v>
      </c>
      <c r="AJ283" s="10"/>
    </row>
    <row r="284" spans="1:36" s="21" customFormat="1" ht="12.75">
      <c r="A284" s="1" t="s">
        <v>332</v>
      </c>
      <c r="B284" s="1"/>
      <c r="C284" s="1" t="s">
        <v>329</v>
      </c>
      <c r="D284" s="1"/>
      <c r="E284" s="83">
        <v>18203</v>
      </c>
      <c r="F284" s="83"/>
      <c r="G284" s="83">
        <v>0</v>
      </c>
      <c r="H284" s="83"/>
      <c r="I284" s="83">
        <v>39150</v>
      </c>
      <c r="J284" s="83"/>
      <c r="K284" s="83">
        <v>0</v>
      </c>
      <c r="L284" s="83"/>
      <c r="M284" s="83">
        <v>0</v>
      </c>
      <c r="N284" s="83"/>
      <c r="O284" s="83">
        <v>0</v>
      </c>
      <c r="P284" s="83"/>
      <c r="Q284" s="83">
        <v>0</v>
      </c>
      <c r="R284" s="83"/>
      <c r="S284" s="83">
        <v>725</v>
      </c>
      <c r="T284" s="83"/>
      <c r="U284" s="83">
        <v>0</v>
      </c>
      <c r="V284" s="83"/>
      <c r="W284" s="83">
        <v>0</v>
      </c>
      <c r="X284" s="83"/>
      <c r="Y284" s="83">
        <v>0</v>
      </c>
      <c r="Z284" s="83"/>
      <c r="AA284" s="83">
        <v>0</v>
      </c>
      <c r="AB284" s="83"/>
      <c r="AC284" s="83">
        <v>0</v>
      </c>
      <c r="AD284" s="83"/>
      <c r="AE284" s="83">
        <v>0</v>
      </c>
      <c r="AF284" s="83"/>
      <c r="AG284" s="83">
        <v>0</v>
      </c>
      <c r="AH284" s="83"/>
      <c r="AI284" s="83">
        <f t="shared" si="14"/>
        <v>58078</v>
      </c>
      <c r="AJ284" s="10"/>
    </row>
    <row r="285" spans="1:39" ht="12.75">
      <c r="A285" s="1" t="s">
        <v>17</v>
      </c>
      <c r="C285" s="1" t="s">
        <v>750</v>
      </c>
      <c r="E285" s="36">
        <v>9563.22</v>
      </c>
      <c r="F285" s="36"/>
      <c r="G285" s="36">
        <v>0</v>
      </c>
      <c r="H285" s="36"/>
      <c r="I285" s="36">
        <v>36950.57</v>
      </c>
      <c r="J285" s="36"/>
      <c r="K285" s="36">
        <v>0</v>
      </c>
      <c r="L285" s="36"/>
      <c r="M285" s="36">
        <v>0</v>
      </c>
      <c r="N285" s="36"/>
      <c r="O285" s="36">
        <v>28</v>
      </c>
      <c r="P285" s="36"/>
      <c r="Q285" s="36">
        <v>699.66</v>
      </c>
      <c r="R285" s="36"/>
      <c r="S285" s="36">
        <v>129.97</v>
      </c>
      <c r="T285" s="36"/>
      <c r="U285" s="36">
        <v>0</v>
      </c>
      <c r="V285" s="36"/>
      <c r="W285" s="36">
        <v>0</v>
      </c>
      <c r="X285" s="36"/>
      <c r="Y285" s="36">
        <v>0</v>
      </c>
      <c r="Z285" s="36"/>
      <c r="AA285" s="36">
        <v>0</v>
      </c>
      <c r="AB285" s="36"/>
      <c r="AC285" s="36">
        <v>0</v>
      </c>
      <c r="AD285" s="36"/>
      <c r="AE285" s="36">
        <v>4041.59</v>
      </c>
      <c r="AF285" s="36"/>
      <c r="AG285" s="36">
        <v>0</v>
      </c>
      <c r="AH285" s="36"/>
      <c r="AI285" s="36">
        <f>SUM(E285:AG285)</f>
        <v>51413.01000000001</v>
      </c>
      <c r="AJ285" s="10"/>
      <c r="AK285" s="7"/>
      <c r="AL285" s="7"/>
      <c r="AM285" s="7"/>
    </row>
    <row r="286" spans="1:36" s="21" customFormat="1" ht="12.75">
      <c r="A286" s="1" t="s">
        <v>413</v>
      </c>
      <c r="B286" s="1"/>
      <c r="C286" s="1" t="s">
        <v>412</v>
      </c>
      <c r="D286" s="1"/>
      <c r="E286" s="36">
        <v>24791.1</v>
      </c>
      <c r="F286" s="36"/>
      <c r="G286" s="36">
        <v>0</v>
      </c>
      <c r="H286" s="36"/>
      <c r="I286" s="36">
        <v>23432.84</v>
      </c>
      <c r="J286" s="36"/>
      <c r="K286" s="36">
        <v>0</v>
      </c>
      <c r="L286" s="36"/>
      <c r="M286" s="36">
        <v>0</v>
      </c>
      <c r="N286" s="36"/>
      <c r="O286" s="36">
        <v>75</v>
      </c>
      <c r="P286" s="36"/>
      <c r="Q286" s="36">
        <v>63.31</v>
      </c>
      <c r="R286" s="36"/>
      <c r="S286" s="36">
        <v>4361.59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0</v>
      </c>
      <c r="AB286" s="36"/>
      <c r="AC286" s="36">
        <v>0</v>
      </c>
      <c r="AD286" s="36"/>
      <c r="AE286" s="36">
        <v>0</v>
      </c>
      <c r="AF286" s="36"/>
      <c r="AG286" s="36">
        <v>0</v>
      </c>
      <c r="AH286" s="36"/>
      <c r="AI286" s="36">
        <f>SUM(E286:AG286)</f>
        <v>52723.84</v>
      </c>
      <c r="AJ286" s="10"/>
    </row>
    <row r="287" spans="1:36" s="21" customFormat="1" ht="12.75">
      <c r="A287" s="1" t="s">
        <v>101</v>
      </c>
      <c r="B287" s="1"/>
      <c r="C287" s="1" t="s">
        <v>776</v>
      </c>
      <c r="D287" s="1"/>
      <c r="E287" s="36">
        <v>66396.53</v>
      </c>
      <c r="F287" s="36"/>
      <c r="G287" s="36">
        <v>128932.82</v>
      </c>
      <c r="H287" s="36"/>
      <c r="I287" s="36">
        <v>32920.69</v>
      </c>
      <c r="J287" s="36"/>
      <c r="K287" s="36">
        <v>0</v>
      </c>
      <c r="L287" s="36"/>
      <c r="M287" s="36">
        <v>0</v>
      </c>
      <c r="N287" s="36"/>
      <c r="O287" s="36">
        <v>6302.1</v>
      </c>
      <c r="P287" s="36"/>
      <c r="Q287" s="36">
        <v>148.35</v>
      </c>
      <c r="R287" s="36"/>
      <c r="S287" s="36">
        <v>9763.28</v>
      </c>
      <c r="T287" s="36"/>
      <c r="U287" s="36">
        <v>0</v>
      </c>
      <c r="V287" s="36"/>
      <c r="W287" s="36">
        <v>0</v>
      </c>
      <c r="X287" s="36"/>
      <c r="Y287" s="36">
        <v>0</v>
      </c>
      <c r="Z287" s="36"/>
      <c r="AA287" s="36">
        <v>0</v>
      </c>
      <c r="AB287" s="36"/>
      <c r="AC287" s="36">
        <v>53</v>
      </c>
      <c r="AD287" s="36"/>
      <c r="AE287" s="36">
        <v>0</v>
      </c>
      <c r="AF287" s="36"/>
      <c r="AG287" s="36">
        <v>0</v>
      </c>
      <c r="AH287" s="36"/>
      <c r="AI287" s="36">
        <f>SUM(E287:AG287)</f>
        <v>244516.77000000002</v>
      </c>
      <c r="AJ287" s="10"/>
    </row>
    <row r="288" spans="1:36" ht="12.75">
      <c r="A288" s="1" t="s">
        <v>257</v>
      </c>
      <c r="C288" s="1" t="s">
        <v>825</v>
      </c>
      <c r="E288" s="36">
        <v>7177.47</v>
      </c>
      <c r="F288" s="36"/>
      <c r="G288" s="36">
        <v>0</v>
      </c>
      <c r="H288" s="36"/>
      <c r="I288" s="36">
        <v>14385.7</v>
      </c>
      <c r="J288" s="36"/>
      <c r="K288" s="36">
        <v>0</v>
      </c>
      <c r="L288" s="36"/>
      <c r="M288" s="36">
        <v>20537.04</v>
      </c>
      <c r="N288" s="36"/>
      <c r="O288" s="36">
        <v>0</v>
      </c>
      <c r="P288" s="36"/>
      <c r="Q288" s="36">
        <v>98.51</v>
      </c>
      <c r="R288" s="36"/>
      <c r="S288" s="36">
        <v>444.58</v>
      </c>
      <c r="T288" s="36"/>
      <c r="U288" s="36">
        <v>0</v>
      </c>
      <c r="V288" s="36"/>
      <c r="W288" s="36">
        <v>0</v>
      </c>
      <c r="X288" s="36"/>
      <c r="Y288" s="36">
        <v>0</v>
      </c>
      <c r="Z288" s="36"/>
      <c r="AA288" s="36">
        <v>0</v>
      </c>
      <c r="AB288" s="36"/>
      <c r="AC288" s="36">
        <v>0</v>
      </c>
      <c r="AD288" s="36"/>
      <c r="AE288" s="36">
        <v>0</v>
      </c>
      <c r="AF288" s="36"/>
      <c r="AG288" s="36">
        <v>0</v>
      </c>
      <c r="AH288" s="36"/>
      <c r="AI288" s="36">
        <f>SUM(E288:AG288)</f>
        <v>42643.30000000001</v>
      </c>
      <c r="AJ288" s="10"/>
    </row>
    <row r="289" spans="1:39" s="21" customFormat="1" ht="12.75">
      <c r="A289" s="1" t="s">
        <v>321</v>
      </c>
      <c r="B289" s="1"/>
      <c r="C289" s="1" t="s">
        <v>316</v>
      </c>
      <c r="D289" s="1"/>
      <c r="E289" s="83">
        <v>634091</v>
      </c>
      <c r="F289" s="83"/>
      <c r="G289" s="83">
        <v>0</v>
      </c>
      <c r="H289" s="83"/>
      <c r="I289" s="83">
        <v>3353510</v>
      </c>
      <c r="J289" s="83"/>
      <c r="K289" s="83">
        <v>0</v>
      </c>
      <c r="L289" s="83"/>
      <c r="M289" s="83">
        <v>52609</v>
      </c>
      <c r="N289" s="83"/>
      <c r="O289" s="83">
        <v>88165</v>
      </c>
      <c r="P289" s="83"/>
      <c r="Q289" s="83">
        <v>109600</v>
      </c>
      <c r="R289" s="83"/>
      <c r="S289" s="83">
        <v>210622</v>
      </c>
      <c r="T289" s="83"/>
      <c r="U289" s="83">
        <v>0</v>
      </c>
      <c r="V289" s="83"/>
      <c r="W289" s="83">
        <v>0</v>
      </c>
      <c r="X289" s="83"/>
      <c r="Y289" s="83">
        <v>0</v>
      </c>
      <c r="Z289" s="83"/>
      <c r="AA289" s="83">
        <v>0</v>
      </c>
      <c r="AB289" s="83"/>
      <c r="AC289" s="83">
        <v>0</v>
      </c>
      <c r="AD289" s="83"/>
      <c r="AE289" s="83">
        <v>0</v>
      </c>
      <c r="AF289" s="83"/>
      <c r="AG289" s="83">
        <v>0</v>
      </c>
      <c r="AH289" s="83"/>
      <c r="AI289" s="83">
        <f t="shared" si="14"/>
        <v>4448597</v>
      </c>
      <c r="AJ289" s="10"/>
      <c r="AK289" s="22"/>
      <c r="AL289" s="22"/>
      <c r="AM289" s="22"/>
    </row>
    <row r="290" spans="1:36" s="21" customFormat="1" ht="12.75">
      <c r="A290" s="1" t="s">
        <v>133</v>
      </c>
      <c r="B290" s="1"/>
      <c r="C290" s="1" t="s">
        <v>786</v>
      </c>
      <c r="D290" s="1"/>
      <c r="E290" s="36">
        <v>12576.64</v>
      </c>
      <c r="F290" s="36"/>
      <c r="G290" s="36">
        <v>53773.88</v>
      </c>
      <c r="H290" s="36"/>
      <c r="I290" s="36">
        <v>14838.26</v>
      </c>
      <c r="J290" s="36"/>
      <c r="K290" s="36">
        <v>0</v>
      </c>
      <c r="L290" s="36"/>
      <c r="M290" s="36">
        <v>40000</v>
      </c>
      <c r="N290" s="36"/>
      <c r="O290" s="36">
        <v>1863</v>
      </c>
      <c r="P290" s="36"/>
      <c r="Q290" s="36">
        <v>8519.78</v>
      </c>
      <c r="R290" s="36"/>
      <c r="S290" s="36">
        <v>4242.8</v>
      </c>
      <c r="T290" s="36"/>
      <c r="U290" s="36">
        <v>0</v>
      </c>
      <c r="V290" s="36"/>
      <c r="W290" s="36">
        <v>0</v>
      </c>
      <c r="X290" s="36"/>
      <c r="Y290" s="36">
        <v>0</v>
      </c>
      <c r="Z290" s="36"/>
      <c r="AA290" s="36">
        <v>0</v>
      </c>
      <c r="AB290" s="36"/>
      <c r="AC290" s="36">
        <v>0</v>
      </c>
      <c r="AD290" s="36"/>
      <c r="AE290" s="36">
        <v>0</v>
      </c>
      <c r="AF290" s="36"/>
      <c r="AG290" s="36">
        <v>0</v>
      </c>
      <c r="AH290" s="36"/>
      <c r="AI290" s="36">
        <f>SUM(E290:AG290)</f>
        <v>135814.36</v>
      </c>
      <c r="AJ290" s="10"/>
    </row>
    <row r="291" spans="1:36" ht="12.75">
      <c r="A291" s="1" t="s">
        <v>118</v>
      </c>
      <c r="C291" s="1" t="s">
        <v>781</v>
      </c>
      <c r="E291" s="36">
        <v>18589.95</v>
      </c>
      <c r="F291" s="36"/>
      <c r="G291" s="36">
        <v>0</v>
      </c>
      <c r="H291" s="36"/>
      <c r="I291" s="36">
        <v>17023.78</v>
      </c>
      <c r="J291" s="36"/>
      <c r="K291" s="36">
        <v>0</v>
      </c>
      <c r="L291" s="36"/>
      <c r="M291" s="36">
        <v>0</v>
      </c>
      <c r="N291" s="36"/>
      <c r="O291" s="36">
        <v>0</v>
      </c>
      <c r="P291" s="36"/>
      <c r="Q291" s="36">
        <v>165.15</v>
      </c>
      <c r="R291" s="36"/>
      <c r="S291" s="36">
        <v>238295.24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0</v>
      </c>
      <c r="AB291" s="36"/>
      <c r="AC291" s="36">
        <v>0</v>
      </c>
      <c r="AD291" s="36"/>
      <c r="AE291" s="36">
        <v>0</v>
      </c>
      <c r="AF291" s="36"/>
      <c r="AG291" s="36">
        <v>0</v>
      </c>
      <c r="AH291" s="36"/>
      <c r="AI291" s="36">
        <f>SUM(E291:AG291)</f>
        <v>274074.12</v>
      </c>
      <c r="AJ291" s="10"/>
    </row>
    <row r="292" spans="1:39" s="31" customFormat="1" ht="12.75">
      <c r="A292" s="15" t="s">
        <v>691</v>
      </c>
      <c r="B292" s="15"/>
      <c r="C292" s="15" t="s">
        <v>329</v>
      </c>
      <c r="D292" s="15"/>
      <c r="E292" s="85">
        <v>22744.32</v>
      </c>
      <c r="F292" s="85"/>
      <c r="G292" s="85">
        <v>0</v>
      </c>
      <c r="H292" s="85"/>
      <c r="I292" s="85">
        <v>0</v>
      </c>
      <c r="J292" s="85"/>
      <c r="K292" s="85">
        <v>0</v>
      </c>
      <c r="L292" s="85"/>
      <c r="M292" s="85">
        <v>0</v>
      </c>
      <c r="N292" s="85"/>
      <c r="O292" s="85">
        <v>0</v>
      </c>
      <c r="P292" s="85"/>
      <c r="Q292" s="85">
        <v>0</v>
      </c>
      <c r="R292" s="85"/>
      <c r="S292" s="85">
        <v>0</v>
      </c>
      <c r="T292" s="85"/>
      <c r="U292" s="83">
        <v>0</v>
      </c>
      <c r="V292" s="85"/>
      <c r="W292" s="83">
        <v>0</v>
      </c>
      <c r="X292" s="85"/>
      <c r="Y292" s="83">
        <v>0</v>
      </c>
      <c r="Z292" s="85"/>
      <c r="AA292" s="85">
        <v>0</v>
      </c>
      <c r="AB292" s="85"/>
      <c r="AC292" s="83">
        <v>0</v>
      </c>
      <c r="AD292" s="85"/>
      <c r="AE292" s="85">
        <v>0</v>
      </c>
      <c r="AF292" s="85"/>
      <c r="AG292" s="83">
        <v>0</v>
      </c>
      <c r="AH292" s="85"/>
      <c r="AI292" s="83">
        <f t="shared" si="14"/>
        <v>22744.32</v>
      </c>
      <c r="AJ292" s="24"/>
      <c r="AK292" s="32"/>
      <c r="AL292" s="32"/>
      <c r="AM292" s="32"/>
    </row>
    <row r="293" spans="1:36" ht="12.75">
      <c r="A293" s="1" t="s">
        <v>223</v>
      </c>
      <c r="C293" s="1" t="s">
        <v>814</v>
      </c>
      <c r="E293" s="36">
        <v>80111.63</v>
      </c>
      <c r="F293" s="36"/>
      <c r="G293" s="36">
        <v>1697.56</v>
      </c>
      <c r="H293" s="36"/>
      <c r="I293" s="36">
        <v>111006.35</v>
      </c>
      <c r="J293" s="36"/>
      <c r="K293" s="36">
        <v>0</v>
      </c>
      <c r="L293" s="36"/>
      <c r="M293" s="36">
        <v>40829.55</v>
      </c>
      <c r="N293" s="36"/>
      <c r="O293" s="36">
        <v>21834.03</v>
      </c>
      <c r="P293" s="36"/>
      <c r="Q293" s="36">
        <v>873.15</v>
      </c>
      <c r="R293" s="36"/>
      <c r="S293" s="36">
        <v>3164.27</v>
      </c>
      <c r="T293" s="36"/>
      <c r="U293" s="36">
        <v>0</v>
      </c>
      <c r="V293" s="36"/>
      <c r="W293" s="36">
        <v>0</v>
      </c>
      <c r="X293" s="36"/>
      <c r="Y293" s="36">
        <v>0</v>
      </c>
      <c r="Z293" s="36"/>
      <c r="AA293" s="36">
        <v>69538.78</v>
      </c>
      <c r="AB293" s="36"/>
      <c r="AC293" s="36">
        <v>0</v>
      </c>
      <c r="AD293" s="36"/>
      <c r="AE293" s="36">
        <v>0</v>
      </c>
      <c r="AF293" s="36"/>
      <c r="AG293" s="36">
        <v>0</v>
      </c>
      <c r="AH293" s="36"/>
      <c r="AI293" s="36">
        <f>SUM(E293:AG293)</f>
        <v>329055.32</v>
      </c>
      <c r="AJ293" s="10"/>
    </row>
    <row r="294" spans="1:39" s="31" customFormat="1" ht="12.75" hidden="1">
      <c r="A294" s="15" t="s">
        <v>693</v>
      </c>
      <c r="B294" s="15"/>
      <c r="C294" s="15" t="s">
        <v>692</v>
      </c>
      <c r="D294" s="1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3"/>
      <c r="V294" s="85"/>
      <c r="W294" s="83"/>
      <c r="X294" s="85"/>
      <c r="Y294" s="83"/>
      <c r="Z294" s="85"/>
      <c r="AA294" s="85"/>
      <c r="AB294" s="85"/>
      <c r="AC294" s="83"/>
      <c r="AD294" s="85"/>
      <c r="AE294" s="85"/>
      <c r="AF294" s="85"/>
      <c r="AG294" s="83"/>
      <c r="AH294" s="85"/>
      <c r="AI294" s="83">
        <f t="shared" si="14"/>
        <v>0</v>
      </c>
      <c r="AJ294" s="24"/>
      <c r="AK294" s="32"/>
      <c r="AL294" s="32"/>
      <c r="AM294" s="32"/>
    </row>
    <row r="295" spans="1:36" s="21" customFormat="1" ht="12.75">
      <c r="A295" s="1" t="s">
        <v>84</v>
      </c>
      <c r="B295" s="1"/>
      <c r="C295" s="1" t="s">
        <v>771</v>
      </c>
      <c r="D295" s="1"/>
      <c r="E295" s="36">
        <v>99463.89</v>
      </c>
      <c r="F295" s="36"/>
      <c r="G295" s="36">
        <v>148416.67</v>
      </c>
      <c r="H295" s="36"/>
      <c r="I295" s="36">
        <v>96587.7</v>
      </c>
      <c r="J295" s="36"/>
      <c r="K295" s="36">
        <v>0</v>
      </c>
      <c r="L295" s="36"/>
      <c r="M295" s="36">
        <v>0</v>
      </c>
      <c r="N295" s="36"/>
      <c r="O295" s="36">
        <v>31051.76</v>
      </c>
      <c r="P295" s="36"/>
      <c r="Q295" s="36">
        <v>1246.15</v>
      </c>
      <c r="R295" s="36"/>
      <c r="S295" s="36">
        <v>0</v>
      </c>
      <c r="T295" s="36"/>
      <c r="U295" s="36">
        <v>0</v>
      </c>
      <c r="V295" s="36"/>
      <c r="W295" s="36">
        <v>0</v>
      </c>
      <c r="X295" s="36"/>
      <c r="Y295" s="36">
        <v>0</v>
      </c>
      <c r="Z295" s="36"/>
      <c r="AA295" s="36">
        <v>0</v>
      </c>
      <c r="AB295" s="36"/>
      <c r="AC295" s="36">
        <v>0</v>
      </c>
      <c r="AD295" s="36"/>
      <c r="AE295" s="36">
        <v>3350.54</v>
      </c>
      <c r="AF295" s="36"/>
      <c r="AG295" s="36">
        <v>0</v>
      </c>
      <c r="AH295" s="36"/>
      <c r="AI295" s="36">
        <f>SUM(E295:AG295)</f>
        <v>380116.71</v>
      </c>
      <c r="AJ295" s="10"/>
    </row>
    <row r="296" spans="1:39" s="21" customFormat="1" ht="12.75">
      <c r="A296" s="1" t="s">
        <v>694</v>
      </c>
      <c r="B296" s="1"/>
      <c r="C296" s="1" t="s">
        <v>674</v>
      </c>
      <c r="D296" s="1"/>
      <c r="E296" s="83">
        <v>697484</v>
      </c>
      <c r="F296" s="83"/>
      <c r="G296" s="83">
        <v>0</v>
      </c>
      <c r="H296" s="83"/>
      <c r="I296" s="83">
        <v>65090</v>
      </c>
      <c r="J296" s="83"/>
      <c r="K296" s="83">
        <v>0</v>
      </c>
      <c r="L296" s="83"/>
      <c r="M296" s="83">
        <v>73</v>
      </c>
      <c r="N296" s="83"/>
      <c r="O296" s="83">
        <v>38777</v>
      </c>
      <c r="P296" s="83"/>
      <c r="Q296" s="83">
        <v>1193</v>
      </c>
      <c r="R296" s="83"/>
      <c r="S296" s="83">
        <v>7871</v>
      </c>
      <c r="T296" s="83"/>
      <c r="U296" s="83">
        <v>0</v>
      </c>
      <c r="V296" s="83"/>
      <c r="W296" s="83">
        <v>0</v>
      </c>
      <c r="X296" s="83"/>
      <c r="Y296" s="83">
        <v>0</v>
      </c>
      <c r="Z296" s="83"/>
      <c r="AA296" s="83">
        <v>0</v>
      </c>
      <c r="AB296" s="83"/>
      <c r="AC296" s="83">
        <v>0</v>
      </c>
      <c r="AD296" s="83"/>
      <c r="AE296" s="83">
        <v>13000</v>
      </c>
      <c r="AF296" s="83"/>
      <c r="AG296" s="83">
        <v>0</v>
      </c>
      <c r="AH296" s="83"/>
      <c r="AI296" s="83">
        <f t="shared" si="14"/>
        <v>823488</v>
      </c>
      <c r="AJ296" s="10"/>
      <c r="AK296" s="22"/>
      <c r="AL296" s="22"/>
      <c r="AM296" s="22"/>
    </row>
    <row r="297" spans="1:39" ht="12.75">
      <c r="A297" s="1" t="s">
        <v>69</v>
      </c>
      <c r="C297" s="1" t="s">
        <v>767</v>
      </c>
      <c r="E297" s="83">
        <v>375342</v>
      </c>
      <c r="F297" s="83"/>
      <c r="G297" s="83">
        <v>0</v>
      </c>
      <c r="H297" s="83"/>
      <c r="I297" s="83">
        <v>55006</v>
      </c>
      <c r="J297" s="83"/>
      <c r="K297" s="83">
        <v>0</v>
      </c>
      <c r="L297" s="83"/>
      <c r="M297" s="83">
        <v>0</v>
      </c>
      <c r="N297" s="83"/>
      <c r="O297" s="83">
        <v>4313</v>
      </c>
      <c r="P297" s="83"/>
      <c r="Q297" s="83">
        <v>61</v>
      </c>
      <c r="R297" s="83"/>
      <c r="S297" s="83">
        <v>15541</v>
      </c>
      <c r="T297" s="83"/>
      <c r="U297" s="83">
        <v>0</v>
      </c>
      <c r="V297" s="85"/>
      <c r="W297" s="83">
        <v>0</v>
      </c>
      <c r="X297" s="83"/>
      <c r="Y297" s="83">
        <v>0</v>
      </c>
      <c r="Z297" s="83"/>
      <c r="AA297" s="83">
        <v>0</v>
      </c>
      <c r="AB297" s="83"/>
      <c r="AC297" s="83">
        <v>0</v>
      </c>
      <c r="AD297" s="83"/>
      <c r="AE297" s="83">
        <v>0</v>
      </c>
      <c r="AF297" s="83"/>
      <c r="AG297" s="83">
        <v>0</v>
      </c>
      <c r="AH297" s="83"/>
      <c r="AI297" s="83">
        <f t="shared" si="14"/>
        <v>450263</v>
      </c>
      <c r="AJ297" s="10"/>
      <c r="AK297" s="7"/>
      <c r="AL297" s="7"/>
      <c r="AM297" s="7"/>
    </row>
    <row r="298" spans="1:36" s="21" customFormat="1" ht="12.75">
      <c r="A298" s="38" t="s">
        <v>695</v>
      </c>
      <c r="B298" s="38"/>
      <c r="C298" s="38" t="s">
        <v>388</v>
      </c>
      <c r="D298" s="1"/>
      <c r="E298" s="83">
        <v>23359.76</v>
      </c>
      <c r="F298" s="83"/>
      <c r="G298" s="83">
        <v>0</v>
      </c>
      <c r="H298" s="83"/>
      <c r="I298" s="83">
        <v>47853.65</v>
      </c>
      <c r="J298" s="83"/>
      <c r="K298" s="83">
        <v>0</v>
      </c>
      <c r="L298" s="83"/>
      <c r="M298" s="83">
        <v>7825</v>
      </c>
      <c r="N298" s="83"/>
      <c r="O298" s="83">
        <v>0</v>
      </c>
      <c r="P298" s="83"/>
      <c r="Q298" s="83">
        <v>531.29</v>
      </c>
      <c r="R298" s="83"/>
      <c r="S298" s="83">
        <v>373527.03</v>
      </c>
      <c r="T298" s="83"/>
      <c r="U298" s="83">
        <v>0</v>
      </c>
      <c r="V298" s="83"/>
      <c r="W298" s="83">
        <v>0</v>
      </c>
      <c r="X298" s="83"/>
      <c r="Y298" s="83">
        <v>0</v>
      </c>
      <c r="Z298" s="83"/>
      <c r="AA298" s="83">
        <v>0</v>
      </c>
      <c r="AB298" s="83"/>
      <c r="AC298" s="83">
        <v>0</v>
      </c>
      <c r="AD298" s="83"/>
      <c r="AE298" s="83">
        <v>0</v>
      </c>
      <c r="AF298" s="87"/>
      <c r="AG298" s="83">
        <v>0</v>
      </c>
      <c r="AH298" s="87"/>
      <c r="AI298" s="83">
        <f t="shared" si="14"/>
        <v>453096.73000000004</v>
      </c>
      <c r="AJ298" s="38"/>
    </row>
    <row r="299" spans="1:36" s="21" customFormat="1" ht="12.75">
      <c r="A299" s="1" t="s">
        <v>696</v>
      </c>
      <c r="B299" s="1"/>
      <c r="C299" s="1" t="s">
        <v>669</v>
      </c>
      <c r="D299" s="1"/>
      <c r="E299" s="83">
        <v>29741.65</v>
      </c>
      <c r="F299" s="83"/>
      <c r="G299" s="83">
        <v>0</v>
      </c>
      <c r="H299" s="83"/>
      <c r="I299" s="83">
        <v>50463.96</v>
      </c>
      <c r="J299" s="83"/>
      <c r="K299" s="83">
        <v>0</v>
      </c>
      <c r="L299" s="83"/>
      <c r="M299" s="83">
        <v>1032.5</v>
      </c>
      <c r="N299" s="83"/>
      <c r="O299" s="83">
        <v>0</v>
      </c>
      <c r="P299" s="83"/>
      <c r="Q299" s="83">
        <v>585.72</v>
      </c>
      <c r="R299" s="83"/>
      <c r="S299" s="83">
        <v>0</v>
      </c>
      <c r="T299" s="83"/>
      <c r="U299" s="83">
        <v>0</v>
      </c>
      <c r="V299" s="83"/>
      <c r="W299" s="83">
        <v>0</v>
      </c>
      <c r="X299" s="83"/>
      <c r="Y299" s="83">
        <v>0</v>
      </c>
      <c r="Z299" s="83"/>
      <c r="AA299" s="83">
        <v>0</v>
      </c>
      <c r="AB299" s="83"/>
      <c r="AC299" s="83">
        <v>0</v>
      </c>
      <c r="AD299" s="83"/>
      <c r="AE299" s="83">
        <v>0</v>
      </c>
      <c r="AF299" s="87"/>
      <c r="AG299" s="83">
        <v>0</v>
      </c>
      <c r="AH299" s="87"/>
      <c r="AI299" s="83">
        <f t="shared" si="14"/>
        <v>81823.83</v>
      </c>
      <c r="AJ299" s="38"/>
    </row>
    <row r="300" spans="1:36" s="21" customFormat="1" ht="12.75">
      <c r="A300" s="1" t="s">
        <v>697</v>
      </c>
      <c r="B300" s="1"/>
      <c r="C300" s="1" t="s">
        <v>603</v>
      </c>
      <c r="D300" s="1"/>
      <c r="E300" s="36">
        <v>17512.08</v>
      </c>
      <c r="F300" s="36"/>
      <c r="G300" s="36">
        <v>0</v>
      </c>
      <c r="H300" s="36"/>
      <c r="I300" s="36">
        <v>8175.32</v>
      </c>
      <c r="J300" s="36"/>
      <c r="K300" s="36">
        <v>0</v>
      </c>
      <c r="L300" s="36"/>
      <c r="M300" s="36">
        <v>0</v>
      </c>
      <c r="N300" s="36"/>
      <c r="O300" s="36">
        <v>2939.65</v>
      </c>
      <c r="P300" s="36"/>
      <c r="Q300" s="36">
        <v>48.38</v>
      </c>
      <c r="R300" s="36"/>
      <c r="S300" s="36">
        <v>4557.5</v>
      </c>
      <c r="T300" s="36"/>
      <c r="U300" s="36">
        <v>0</v>
      </c>
      <c r="V300" s="36"/>
      <c r="W300" s="36">
        <v>0</v>
      </c>
      <c r="X300" s="36"/>
      <c r="Y300" s="36">
        <v>0</v>
      </c>
      <c r="Z300" s="36"/>
      <c r="AA300" s="36">
        <v>0</v>
      </c>
      <c r="AB300" s="36"/>
      <c r="AC300" s="36">
        <v>0</v>
      </c>
      <c r="AD300" s="36"/>
      <c r="AE300" s="36">
        <v>0</v>
      </c>
      <c r="AF300" s="36"/>
      <c r="AG300" s="36">
        <v>275.4</v>
      </c>
      <c r="AH300" s="36"/>
      <c r="AI300" s="36">
        <f>SUM(E300:AG300)</f>
        <v>33508.33000000001</v>
      </c>
      <c r="AJ300" s="38"/>
    </row>
    <row r="301" spans="1:36" s="31" customFormat="1" ht="12.75">
      <c r="A301" s="15" t="s">
        <v>102</v>
      </c>
      <c r="B301" s="15"/>
      <c r="C301" s="15" t="s">
        <v>403</v>
      </c>
      <c r="D301" s="15"/>
      <c r="E301" s="36">
        <v>27002</v>
      </c>
      <c r="F301" s="36"/>
      <c r="G301" s="36">
        <v>34071.56</v>
      </c>
      <c r="H301" s="36"/>
      <c r="I301" s="36">
        <v>26863.58</v>
      </c>
      <c r="J301" s="36"/>
      <c r="K301" s="36">
        <v>276.46</v>
      </c>
      <c r="L301" s="36"/>
      <c r="M301" s="36">
        <v>0</v>
      </c>
      <c r="N301" s="36"/>
      <c r="O301" s="36">
        <v>13079.4</v>
      </c>
      <c r="P301" s="36"/>
      <c r="Q301" s="36">
        <v>569.07</v>
      </c>
      <c r="R301" s="36"/>
      <c r="S301" s="36">
        <v>76415.1</v>
      </c>
      <c r="T301" s="36"/>
      <c r="U301" s="36">
        <v>0</v>
      </c>
      <c r="V301" s="36"/>
      <c r="W301" s="36">
        <v>5965</v>
      </c>
      <c r="X301" s="36"/>
      <c r="Y301" s="36">
        <v>8125</v>
      </c>
      <c r="Z301" s="36"/>
      <c r="AA301" s="36">
        <v>0</v>
      </c>
      <c r="AB301" s="36"/>
      <c r="AC301" s="36">
        <v>5000</v>
      </c>
      <c r="AD301" s="36"/>
      <c r="AE301" s="36">
        <v>1484.16</v>
      </c>
      <c r="AF301" s="36"/>
      <c r="AG301" s="36">
        <v>0</v>
      </c>
      <c r="AH301" s="36"/>
      <c r="AI301" s="36">
        <f>SUM(E301:AG301)</f>
        <v>198851.33000000002</v>
      </c>
      <c r="AJ301" s="39"/>
    </row>
    <row r="302" spans="1:36" s="21" customFormat="1" ht="12.75">
      <c r="A302" s="1" t="s">
        <v>131</v>
      </c>
      <c r="B302" s="1"/>
      <c r="C302" s="1" t="s">
        <v>785</v>
      </c>
      <c r="D302" s="1"/>
      <c r="E302" s="83">
        <v>217908</v>
      </c>
      <c r="F302" s="83"/>
      <c r="G302" s="83">
        <v>1529648</v>
      </c>
      <c r="H302" s="83"/>
      <c r="I302" s="83">
        <v>133491</v>
      </c>
      <c r="J302" s="83"/>
      <c r="K302" s="83">
        <v>0</v>
      </c>
      <c r="L302" s="83"/>
      <c r="M302" s="83">
        <v>8081</v>
      </c>
      <c r="N302" s="83"/>
      <c r="O302" s="83">
        <v>170492</v>
      </c>
      <c r="P302" s="83"/>
      <c r="Q302" s="83">
        <v>56397</v>
      </c>
      <c r="R302" s="83"/>
      <c r="S302" s="83">
        <v>5016</v>
      </c>
      <c r="T302" s="83"/>
      <c r="U302" s="83">
        <v>0</v>
      </c>
      <c r="V302" s="83"/>
      <c r="W302" s="83">
        <v>0</v>
      </c>
      <c r="X302" s="83"/>
      <c r="Y302" s="83">
        <v>0</v>
      </c>
      <c r="Z302" s="83"/>
      <c r="AA302" s="83">
        <v>0</v>
      </c>
      <c r="AB302" s="83"/>
      <c r="AC302" s="83">
        <v>0</v>
      </c>
      <c r="AD302" s="83"/>
      <c r="AE302" s="83">
        <v>0</v>
      </c>
      <c r="AF302" s="87"/>
      <c r="AG302" s="83">
        <v>0</v>
      </c>
      <c r="AH302" s="87"/>
      <c r="AI302" s="83">
        <f t="shared" si="14"/>
        <v>2121033</v>
      </c>
      <c r="AJ302" s="38"/>
    </row>
    <row r="303" spans="1:36" s="21" customFormat="1" ht="12.75">
      <c r="A303" s="1" t="s">
        <v>698</v>
      </c>
      <c r="B303" s="1"/>
      <c r="C303" s="1" t="s">
        <v>501</v>
      </c>
      <c r="D303" s="1"/>
      <c r="E303" s="83">
        <v>22286</v>
      </c>
      <c r="F303" s="83"/>
      <c r="G303" s="83">
        <v>0</v>
      </c>
      <c r="H303" s="83"/>
      <c r="I303" s="83">
        <v>21934</v>
      </c>
      <c r="J303" s="83"/>
      <c r="K303" s="83">
        <v>0</v>
      </c>
      <c r="L303" s="83"/>
      <c r="M303" s="83">
        <v>550</v>
      </c>
      <c r="N303" s="83"/>
      <c r="O303" s="83">
        <v>5332</v>
      </c>
      <c r="P303" s="83"/>
      <c r="Q303" s="83">
        <v>2537</v>
      </c>
      <c r="R303" s="83"/>
      <c r="S303" s="83">
        <v>20045</v>
      </c>
      <c r="T303" s="83"/>
      <c r="U303" s="83">
        <v>0</v>
      </c>
      <c r="V303" s="83"/>
      <c r="W303" s="83">
        <v>0</v>
      </c>
      <c r="X303" s="83"/>
      <c r="Y303" s="83">
        <v>0</v>
      </c>
      <c r="Z303" s="83"/>
      <c r="AA303" s="83">
        <v>0</v>
      </c>
      <c r="AB303" s="83"/>
      <c r="AC303" s="83">
        <v>0</v>
      </c>
      <c r="AD303" s="83"/>
      <c r="AE303" s="83">
        <v>0</v>
      </c>
      <c r="AF303" s="87"/>
      <c r="AG303" s="83">
        <v>0</v>
      </c>
      <c r="AH303" s="87"/>
      <c r="AI303" s="83">
        <f t="shared" si="14"/>
        <v>72684</v>
      </c>
      <c r="AJ303" s="38"/>
    </row>
    <row r="304" spans="1:36" s="21" customFormat="1" ht="12.75">
      <c r="A304" s="1" t="s">
        <v>842</v>
      </c>
      <c r="B304" s="1"/>
      <c r="C304" s="1" t="s">
        <v>514</v>
      </c>
      <c r="D304" s="1"/>
      <c r="E304" s="36">
        <v>91199.35</v>
      </c>
      <c r="F304" s="36"/>
      <c r="G304" s="36">
        <v>247559.48</v>
      </c>
      <c r="H304" s="36"/>
      <c r="I304" s="36">
        <v>450887.25</v>
      </c>
      <c r="J304" s="36"/>
      <c r="K304" s="36">
        <v>0</v>
      </c>
      <c r="L304" s="36"/>
      <c r="M304" s="36">
        <v>98229.45</v>
      </c>
      <c r="N304" s="36"/>
      <c r="O304" s="36">
        <v>4158</v>
      </c>
      <c r="P304" s="36"/>
      <c r="Q304" s="36">
        <v>1624.65</v>
      </c>
      <c r="R304" s="36"/>
      <c r="S304" s="36">
        <v>34684.29</v>
      </c>
      <c r="T304" s="36"/>
      <c r="U304" s="36">
        <v>0</v>
      </c>
      <c r="V304" s="36"/>
      <c r="W304" s="36">
        <v>0</v>
      </c>
      <c r="X304" s="36"/>
      <c r="Y304" s="36">
        <v>0</v>
      </c>
      <c r="Z304" s="36"/>
      <c r="AA304" s="36">
        <v>0</v>
      </c>
      <c r="AB304" s="36"/>
      <c r="AC304" s="36">
        <v>5000</v>
      </c>
      <c r="AD304" s="36"/>
      <c r="AE304" s="36">
        <v>0</v>
      </c>
      <c r="AF304" s="36"/>
      <c r="AG304" s="36">
        <v>0</v>
      </c>
      <c r="AH304" s="36"/>
      <c r="AI304" s="36">
        <f>SUM(E304:AG304)</f>
        <v>933342.4700000001</v>
      </c>
      <c r="AJ304" s="38"/>
    </row>
    <row r="305" spans="1:36" s="21" customFormat="1" ht="12.75">
      <c r="A305" s="1" t="s">
        <v>699</v>
      </c>
      <c r="B305" s="1"/>
      <c r="C305" s="1" t="s">
        <v>348</v>
      </c>
      <c r="D305" s="1"/>
      <c r="E305" s="83">
        <v>281306.33</v>
      </c>
      <c r="F305" s="83"/>
      <c r="G305" s="83">
        <v>0</v>
      </c>
      <c r="H305" s="83"/>
      <c r="I305" s="83">
        <v>97929.95</v>
      </c>
      <c r="J305" s="83"/>
      <c r="K305" s="83">
        <v>0</v>
      </c>
      <c r="L305" s="83"/>
      <c r="M305" s="83">
        <v>1250</v>
      </c>
      <c r="N305" s="83"/>
      <c r="O305" s="83">
        <v>48170.1</v>
      </c>
      <c r="P305" s="83"/>
      <c r="Q305" s="83">
        <v>693.61</v>
      </c>
      <c r="R305" s="83"/>
      <c r="S305" s="83">
        <v>4519.54</v>
      </c>
      <c r="T305" s="83"/>
      <c r="U305" s="83">
        <v>0</v>
      </c>
      <c r="V305" s="83"/>
      <c r="W305" s="83">
        <v>0</v>
      </c>
      <c r="X305" s="83"/>
      <c r="Y305" s="83">
        <v>0</v>
      </c>
      <c r="Z305" s="83"/>
      <c r="AA305" s="83">
        <v>0</v>
      </c>
      <c r="AB305" s="83"/>
      <c r="AC305" s="83">
        <v>42000</v>
      </c>
      <c r="AD305" s="83"/>
      <c r="AE305" s="83">
        <v>0</v>
      </c>
      <c r="AF305" s="87"/>
      <c r="AG305" s="83">
        <v>0</v>
      </c>
      <c r="AH305" s="87"/>
      <c r="AI305" s="83">
        <f t="shared" si="14"/>
        <v>475869.52999999997</v>
      </c>
      <c r="AJ305" s="38"/>
    </row>
    <row r="306" spans="1:36" s="31" customFormat="1" ht="12.75">
      <c r="A306" s="15" t="s">
        <v>700</v>
      </c>
      <c r="B306" s="15"/>
      <c r="C306" s="15" t="s">
        <v>538</v>
      </c>
      <c r="D306" s="15"/>
      <c r="E306" s="85">
        <v>6201</v>
      </c>
      <c r="F306" s="85"/>
      <c r="G306" s="85">
        <v>11902</v>
      </c>
      <c r="H306" s="85"/>
      <c r="I306" s="85">
        <v>15962</v>
      </c>
      <c r="J306" s="85"/>
      <c r="K306" s="85">
        <v>0</v>
      </c>
      <c r="L306" s="85"/>
      <c r="M306" s="85">
        <v>0</v>
      </c>
      <c r="N306" s="85"/>
      <c r="O306" s="85">
        <v>3042</v>
      </c>
      <c r="P306" s="85"/>
      <c r="Q306" s="85">
        <v>384</v>
      </c>
      <c r="R306" s="85"/>
      <c r="S306" s="85">
        <v>4156</v>
      </c>
      <c r="T306" s="85"/>
      <c r="U306" s="83">
        <v>0</v>
      </c>
      <c r="V306" s="85"/>
      <c r="W306" s="83">
        <v>0</v>
      </c>
      <c r="X306" s="85"/>
      <c r="Y306" s="83">
        <v>0</v>
      </c>
      <c r="Z306" s="85"/>
      <c r="AA306" s="83">
        <v>0</v>
      </c>
      <c r="AB306" s="85"/>
      <c r="AC306" s="85">
        <v>0</v>
      </c>
      <c r="AD306" s="85"/>
      <c r="AE306" s="83">
        <v>0</v>
      </c>
      <c r="AF306" s="86"/>
      <c r="AG306" s="83">
        <v>0</v>
      </c>
      <c r="AH306" s="86"/>
      <c r="AI306" s="83">
        <f t="shared" si="14"/>
        <v>41647</v>
      </c>
      <c r="AJ306" s="39"/>
    </row>
    <row r="307" spans="1:36" ht="12.75">
      <c r="A307" s="1" t="s">
        <v>904</v>
      </c>
      <c r="C307" s="1" t="s">
        <v>412</v>
      </c>
      <c r="E307" s="83">
        <v>47255</v>
      </c>
      <c r="F307" s="83"/>
      <c r="G307" s="83">
        <v>107315</v>
      </c>
      <c r="H307" s="83"/>
      <c r="I307" s="83">
        <v>15037</v>
      </c>
      <c r="J307" s="83"/>
      <c r="K307" s="83">
        <v>0</v>
      </c>
      <c r="L307" s="83"/>
      <c r="M307" s="83">
        <v>1998</v>
      </c>
      <c r="N307" s="83"/>
      <c r="O307" s="83">
        <v>0</v>
      </c>
      <c r="P307" s="83"/>
      <c r="Q307" s="83">
        <v>242</v>
      </c>
      <c r="R307" s="83"/>
      <c r="S307" s="83">
        <v>7696</v>
      </c>
      <c r="T307" s="83"/>
      <c r="U307" s="83">
        <v>0</v>
      </c>
      <c r="V307" s="85"/>
      <c r="W307" s="83">
        <v>0</v>
      </c>
      <c r="X307" s="85"/>
      <c r="Y307" s="83">
        <v>0</v>
      </c>
      <c r="Z307" s="83"/>
      <c r="AA307" s="83">
        <v>0</v>
      </c>
      <c r="AB307" s="83"/>
      <c r="AC307" s="83">
        <v>0</v>
      </c>
      <c r="AD307" s="83"/>
      <c r="AE307" s="83">
        <v>0</v>
      </c>
      <c r="AF307" s="83"/>
      <c r="AG307" s="83">
        <v>0</v>
      </c>
      <c r="AH307" s="83"/>
      <c r="AI307" s="83">
        <f t="shared" si="14"/>
        <v>179543</v>
      </c>
      <c r="AJ307" s="10"/>
    </row>
    <row r="308" spans="1:36" ht="12.75">
      <c r="A308" s="1" t="s">
        <v>213</v>
      </c>
      <c r="C308" s="1" t="s">
        <v>810</v>
      </c>
      <c r="E308" s="36">
        <v>18024.27</v>
      </c>
      <c r="F308" s="36"/>
      <c r="G308" s="36">
        <v>0</v>
      </c>
      <c r="H308" s="36"/>
      <c r="I308" s="36">
        <v>71252</v>
      </c>
      <c r="J308" s="36"/>
      <c r="K308" s="36">
        <v>0</v>
      </c>
      <c r="L308" s="36"/>
      <c r="M308" s="36">
        <v>0</v>
      </c>
      <c r="N308" s="36"/>
      <c r="O308" s="36">
        <v>350</v>
      </c>
      <c r="P308" s="36"/>
      <c r="Q308" s="36">
        <v>7650.76</v>
      </c>
      <c r="R308" s="36"/>
      <c r="S308" s="36">
        <v>8752.39</v>
      </c>
      <c r="T308" s="36"/>
      <c r="U308" s="36">
        <v>0</v>
      </c>
      <c r="V308" s="36"/>
      <c r="W308" s="36">
        <v>0</v>
      </c>
      <c r="X308" s="36"/>
      <c r="Y308" s="36">
        <v>0</v>
      </c>
      <c r="Z308" s="36"/>
      <c r="AA308" s="36">
        <v>0</v>
      </c>
      <c r="AB308" s="36"/>
      <c r="AC308" s="36">
        <v>0</v>
      </c>
      <c r="AD308" s="36"/>
      <c r="AE308" s="36">
        <v>0</v>
      </c>
      <c r="AF308" s="36"/>
      <c r="AG308" s="36">
        <v>0</v>
      </c>
      <c r="AH308" s="36"/>
      <c r="AI308" s="36">
        <f>SUM(E308:AG308)</f>
        <v>106029.42</v>
      </c>
      <c r="AJ308" s="10"/>
    </row>
    <row r="309" spans="1:36" s="21" customFormat="1" ht="12.75">
      <c r="A309" s="1" t="s">
        <v>136</v>
      </c>
      <c r="B309" s="1"/>
      <c r="C309" s="1" t="s">
        <v>787</v>
      </c>
      <c r="D309" s="1"/>
      <c r="E309" s="36">
        <v>320.51</v>
      </c>
      <c r="F309" s="36"/>
      <c r="G309" s="36">
        <v>0</v>
      </c>
      <c r="H309" s="36"/>
      <c r="I309" s="36">
        <v>41488.47</v>
      </c>
      <c r="J309" s="36"/>
      <c r="K309" s="36">
        <v>0</v>
      </c>
      <c r="L309" s="36"/>
      <c r="M309" s="36">
        <v>27.65</v>
      </c>
      <c r="N309" s="36"/>
      <c r="O309" s="36">
        <v>210.05</v>
      </c>
      <c r="P309" s="36"/>
      <c r="Q309" s="36">
        <v>0</v>
      </c>
      <c r="R309" s="36"/>
      <c r="S309" s="36">
        <v>7991.7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0</v>
      </c>
      <c r="AD309" s="36"/>
      <c r="AE309" s="36">
        <v>0</v>
      </c>
      <c r="AF309" s="36"/>
      <c r="AG309" s="36">
        <v>0</v>
      </c>
      <c r="AH309" s="36"/>
      <c r="AI309" s="36">
        <f>SUM(E309:AG309)</f>
        <v>50038.380000000005</v>
      </c>
      <c r="AJ309" s="10"/>
    </row>
    <row r="310" spans="1:36" ht="12.75">
      <c r="A310" s="1" t="s">
        <v>265</v>
      </c>
      <c r="C310" s="1" t="s">
        <v>826</v>
      </c>
      <c r="E310" s="36">
        <v>392.55</v>
      </c>
      <c r="F310" s="36"/>
      <c r="G310" s="36">
        <v>15685.09</v>
      </c>
      <c r="H310" s="36"/>
      <c r="I310" s="36">
        <v>3265.43</v>
      </c>
      <c r="J310" s="36"/>
      <c r="K310" s="36">
        <v>0</v>
      </c>
      <c r="L310" s="36"/>
      <c r="M310" s="36">
        <v>0</v>
      </c>
      <c r="N310" s="36"/>
      <c r="O310" s="36">
        <v>0</v>
      </c>
      <c r="P310" s="36"/>
      <c r="Q310" s="36">
        <v>82.98</v>
      </c>
      <c r="R310" s="36"/>
      <c r="S310" s="36">
        <v>1330</v>
      </c>
      <c r="T310" s="36"/>
      <c r="U310" s="36">
        <v>0</v>
      </c>
      <c r="V310" s="36"/>
      <c r="W310" s="36">
        <v>0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v>0</v>
      </c>
      <c r="AF310" s="36"/>
      <c r="AG310" s="36">
        <v>0</v>
      </c>
      <c r="AH310" s="36"/>
      <c r="AI310" s="36">
        <f>SUM(E310:AG310)</f>
        <v>20756.05</v>
      </c>
      <c r="AJ310" s="10"/>
    </row>
    <row r="311" spans="1:36" ht="12.75">
      <c r="A311" s="1" t="s">
        <v>701</v>
      </c>
      <c r="C311" s="1" t="s">
        <v>439</v>
      </c>
      <c r="E311" s="36">
        <v>19494.73</v>
      </c>
      <c r="F311" s="36"/>
      <c r="G311" s="36">
        <v>0</v>
      </c>
      <c r="H311" s="36"/>
      <c r="I311" s="36">
        <v>31798.08</v>
      </c>
      <c r="J311" s="36"/>
      <c r="K311" s="36">
        <v>0</v>
      </c>
      <c r="L311" s="36"/>
      <c r="M311" s="36">
        <v>0</v>
      </c>
      <c r="N311" s="36"/>
      <c r="O311" s="36">
        <v>36958.09</v>
      </c>
      <c r="P311" s="36"/>
      <c r="Q311" s="36">
        <v>111.2</v>
      </c>
      <c r="R311" s="36"/>
      <c r="S311" s="36">
        <v>28087.58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v>0</v>
      </c>
      <c r="AF311" s="36"/>
      <c r="AG311" s="36">
        <v>0</v>
      </c>
      <c r="AH311" s="36"/>
      <c r="AI311" s="36">
        <f>SUM(E311:AG311)</f>
        <v>116449.68</v>
      </c>
      <c r="AJ311" s="10"/>
    </row>
    <row r="312" spans="1:36" s="21" customFormat="1" ht="12.75">
      <c r="A312" s="1" t="s">
        <v>921</v>
      </c>
      <c r="B312" s="1"/>
      <c r="C312" s="1" t="s">
        <v>430</v>
      </c>
      <c r="D312" s="1"/>
      <c r="E312" s="83">
        <v>848361</v>
      </c>
      <c r="F312" s="83"/>
      <c r="G312" s="83">
        <v>0</v>
      </c>
      <c r="H312" s="83"/>
      <c r="I312" s="83">
        <v>321046</v>
      </c>
      <c r="J312" s="83"/>
      <c r="K312" s="83">
        <v>0</v>
      </c>
      <c r="L312" s="83"/>
      <c r="M312" s="83">
        <v>8691</v>
      </c>
      <c r="N312" s="83"/>
      <c r="O312" s="83">
        <v>84676</v>
      </c>
      <c r="P312" s="83"/>
      <c r="Q312" s="83">
        <v>735898</v>
      </c>
      <c r="R312" s="83"/>
      <c r="S312" s="83">
        <v>27570</v>
      </c>
      <c r="T312" s="83"/>
      <c r="U312" s="83">
        <v>0</v>
      </c>
      <c r="V312" s="83"/>
      <c r="W312" s="83">
        <v>0</v>
      </c>
      <c r="X312" s="83"/>
      <c r="Y312" s="83">
        <v>0</v>
      </c>
      <c r="Z312" s="83"/>
      <c r="AA312" s="83">
        <v>0</v>
      </c>
      <c r="AB312" s="83"/>
      <c r="AC312" s="83">
        <v>0</v>
      </c>
      <c r="AD312" s="83"/>
      <c r="AE312" s="83">
        <v>0</v>
      </c>
      <c r="AF312" s="83"/>
      <c r="AG312" s="83">
        <v>0</v>
      </c>
      <c r="AH312" s="83"/>
      <c r="AI312" s="83">
        <f t="shared" si="14"/>
        <v>2026242</v>
      </c>
      <c r="AJ312" s="10"/>
    </row>
    <row r="313" spans="1:36" s="21" customFormat="1" ht="12.75">
      <c r="A313" s="1" t="s">
        <v>5</v>
      </c>
      <c r="B313" s="1"/>
      <c r="C313" s="1" t="s">
        <v>746</v>
      </c>
      <c r="D313" s="1"/>
      <c r="E313" s="36">
        <v>36678.8</v>
      </c>
      <c r="F313" s="36"/>
      <c r="G313" s="36">
        <v>0</v>
      </c>
      <c r="H313" s="36"/>
      <c r="I313" s="36">
        <v>13143.16</v>
      </c>
      <c r="J313" s="36"/>
      <c r="K313" s="36">
        <v>0</v>
      </c>
      <c r="L313" s="36"/>
      <c r="M313" s="36">
        <v>0</v>
      </c>
      <c r="N313" s="36"/>
      <c r="O313" s="36">
        <v>0</v>
      </c>
      <c r="P313" s="36"/>
      <c r="Q313" s="36">
        <v>14.86</v>
      </c>
      <c r="R313" s="36"/>
      <c r="S313" s="36">
        <v>877.54</v>
      </c>
      <c r="T313" s="36"/>
      <c r="U313" s="36">
        <v>0</v>
      </c>
      <c r="V313" s="36"/>
      <c r="W313" s="36">
        <v>0</v>
      </c>
      <c r="X313" s="36"/>
      <c r="Y313" s="36">
        <v>0</v>
      </c>
      <c r="Z313" s="36"/>
      <c r="AA313" s="36">
        <v>0</v>
      </c>
      <c r="AB313" s="36"/>
      <c r="AC313" s="36">
        <v>0</v>
      </c>
      <c r="AD313" s="36"/>
      <c r="AE313" s="36">
        <v>0</v>
      </c>
      <c r="AF313" s="36"/>
      <c r="AG313" s="36">
        <v>0</v>
      </c>
      <c r="AH313" s="36"/>
      <c r="AI313" s="36">
        <f aca="true" t="shared" si="15" ref="AI313:AI323">SUM(E313:AG313)</f>
        <v>50714.36000000001</v>
      </c>
      <c r="AJ313" s="10"/>
    </row>
    <row r="314" spans="1:36" ht="12.75">
      <c r="A314" s="1" t="s">
        <v>137</v>
      </c>
      <c r="C314" s="1" t="s">
        <v>787</v>
      </c>
      <c r="E314" s="36">
        <v>258477.22</v>
      </c>
      <c r="F314" s="36"/>
      <c r="G314" s="36">
        <v>803663.77</v>
      </c>
      <c r="H314" s="36"/>
      <c r="I314" s="36">
        <v>95520.54</v>
      </c>
      <c r="J314" s="36"/>
      <c r="K314" s="36">
        <v>0</v>
      </c>
      <c r="L314" s="36"/>
      <c r="M314" s="36">
        <v>153964.68</v>
      </c>
      <c r="N314" s="36"/>
      <c r="O314" s="36">
        <v>65270.76</v>
      </c>
      <c r="P314" s="36"/>
      <c r="Q314" s="36">
        <v>3893.89</v>
      </c>
      <c r="R314" s="36"/>
      <c r="S314" s="36">
        <v>1093.01</v>
      </c>
      <c r="T314" s="36"/>
      <c r="U314" s="36">
        <v>0</v>
      </c>
      <c r="V314" s="36"/>
      <c r="W314" s="36">
        <v>0</v>
      </c>
      <c r="X314" s="36"/>
      <c r="Y314" s="36">
        <v>16500</v>
      </c>
      <c r="Z314" s="36"/>
      <c r="AA314" s="36">
        <v>0</v>
      </c>
      <c r="AB314" s="36"/>
      <c r="AC314" s="36">
        <v>0</v>
      </c>
      <c r="AD314" s="36"/>
      <c r="AE314" s="36">
        <v>0</v>
      </c>
      <c r="AF314" s="36"/>
      <c r="AG314" s="36">
        <v>0</v>
      </c>
      <c r="AH314" s="36"/>
      <c r="AI314" s="36">
        <f t="shared" si="15"/>
        <v>1398383.8699999999</v>
      </c>
      <c r="AJ314" s="10"/>
    </row>
    <row r="315" spans="1:36" s="21" customFormat="1" ht="12.75">
      <c r="A315" s="1" t="s">
        <v>703</v>
      </c>
      <c r="B315" s="1"/>
      <c r="C315" s="1" t="s">
        <v>430</v>
      </c>
      <c r="D315" s="1"/>
      <c r="E315" s="93">
        <v>26352.44</v>
      </c>
      <c r="F315" s="93"/>
      <c r="G315" s="93">
        <v>0</v>
      </c>
      <c r="H315" s="93"/>
      <c r="I315" s="93">
        <v>38432.02</v>
      </c>
      <c r="J315" s="93"/>
      <c r="K315" s="93">
        <v>0</v>
      </c>
      <c r="L315" s="93"/>
      <c r="M315" s="93">
        <v>0</v>
      </c>
      <c r="N315" s="93"/>
      <c r="O315" s="93">
        <v>2036.33</v>
      </c>
      <c r="P315" s="93"/>
      <c r="Q315" s="93">
        <v>42.45</v>
      </c>
      <c r="R315" s="93"/>
      <c r="S315" s="93">
        <v>0</v>
      </c>
      <c r="T315" s="93"/>
      <c r="U315" s="93">
        <v>0</v>
      </c>
      <c r="V315" s="93"/>
      <c r="W315" s="93">
        <v>0</v>
      </c>
      <c r="X315" s="93"/>
      <c r="Y315" s="93">
        <v>0</v>
      </c>
      <c r="Z315" s="93"/>
      <c r="AA315" s="93">
        <v>0</v>
      </c>
      <c r="AB315" s="93"/>
      <c r="AC315" s="93">
        <v>0</v>
      </c>
      <c r="AD315" s="93"/>
      <c r="AE315" s="93">
        <v>0</v>
      </c>
      <c r="AF315" s="93"/>
      <c r="AG315" s="93">
        <v>0</v>
      </c>
      <c r="AH315" s="93"/>
      <c r="AI315" s="93">
        <f t="shared" si="15"/>
        <v>66863.23999999999</v>
      </c>
      <c r="AJ315" s="10"/>
    </row>
    <row r="316" spans="1:35" s="10" customFormat="1" ht="12.75">
      <c r="A316" s="10" t="s">
        <v>830</v>
      </c>
      <c r="C316" s="10" t="s">
        <v>551</v>
      </c>
      <c r="E316" s="36">
        <v>124009.79</v>
      </c>
      <c r="F316" s="36"/>
      <c r="G316" s="36">
        <v>581212.48</v>
      </c>
      <c r="H316" s="36"/>
      <c r="I316" s="36">
        <v>224155.44</v>
      </c>
      <c r="J316" s="36"/>
      <c r="K316" s="36">
        <v>0</v>
      </c>
      <c r="L316" s="36"/>
      <c r="M316" s="36">
        <v>6136.96</v>
      </c>
      <c r="N316" s="36"/>
      <c r="O316" s="36">
        <v>109082.11</v>
      </c>
      <c r="P316" s="36"/>
      <c r="Q316" s="36">
        <v>0</v>
      </c>
      <c r="R316" s="36"/>
      <c r="S316" s="36">
        <v>48782.74</v>
      </c>
      <c r="T316" s="36"/>
      <c r="U316" s="36">
        <v>0</v>
      </c>
      <c r="V316" s="36"/>
      <c r="W316" s="36">
        <v>0</v>
      </c>
      <c r="X316" s="36"/>
      <c r="Y316" s="36">
        <v>6550</v>
      </c>
      <c r="Z316" s="36"/>
      <c r="AA316" s="36">
        <v>0</v>
      </c>
      <c r="AB316" s="36"/>
      <c r="AC316" s="36">
        <v>0</v>
      </c>
      <c r="AD316" s="36"/>
      <c r="AE316" s="36">
        <v>0</v>
      </c>
      <c r="AF316" s="36"/>
      <c r="AG316" s="36">
        <v>0</v>
      </c>
      <c r="AH316" s="36"/>
      <c r="AI316" s="36">
        <f t="shared" si="15"/>
        <v>1099929.52</v>
      </c>
    </row>
    <row r="317" spans="1:36" ht="12.75">
      <c r="A317" s="1" t="s">
        <v>702</v>
      </c>
      <c r="C317" s="1" t="s">
        <v>446</v>
      </c>
      <c r="E317" s="93">
        <v>31826.94</v>
      </c>
      <c r="F317" s="93"/>
      <c r="G317" s="93">
        <v>0</v>
      </c>
      <c r="H317" s="93"/>
      <c r="I317" s="93">
        <v>63682.88</v>
      </c>
      <c r="J317" s="93"/>
      <c r="K317" s="93">
        <v>0</v>
      </c>
      <c r="L317" s="93"/>
      <c r="M317" s="93">
        <v>164075.45</v>
      </c>
      <c r="N317" s="93"/>
      <c r="O317" s="93">
        <v>8976.58</v>
      </c>
      <c r="P317" s="93"/>
      <c r="Q317" s="93">
        <v>71549.66</v>
      </c>
      <c r="R317" s="93"/>
      <c r="S317" s="93">
        <v>2845.88</v>
      </c>
      <c r="T317" s="93"/>
      <c r="U317" s="93">
        <v>0</v>
      </c>
      <c r="V317" s="93"/>
      <c r="W317" s="93">
        <v>0</v>
      </c>
      <c r="X317" s="93"/>
      <c r="Y317" s="93">
        <v>0</v>
      </c>
      <c r="Z317" s="93"/>
      <c r="AA317" s="93">
        <v>0</v>
      </c>
      <c r="AB317" s="93"/>
      <c r="AC317" s="93">
        <v>0</v>
      </c>
      <c r="AD317" s="93"/>
      <c r="AE317" s="93">
        <v>0</v>
      </c>
      <c r="AF317" s="93"/>
      <c r="AG317" s="93">
        <v>0</v>
      </c>
      <c r="AH317" s="93"/>
      <c r="AI317" s="93">
        <f t="shared" si="15"/>
        <v>342957.39</v>
      </c>
      <c r="AJ317" s="10"/>
    </row>
    <row r="318" spans="1:36" ht="12.75">
      <c r="A318" s="1" t="s">
        <v>704</v>
      </c>
      <c r="C318" s="1" t="s">
        <v>463</v>
      </c>
      <c r="E318" s="93">
        <v>76868.84</v>
      </c>
      <c r="F318" s="93"/>
      <c r="G318" s="93">
        <v>0</v>
      </c>
      <c r="H318" s="93"/>
      <c r="I318" s="93">
        <v>27874.1</v>
      </c>
      <c r="J318" s="93"/>
      <c r="K318" s="93">
        <v>0</v>
      </c>
      <c r="L318" s="93"/>
      <c r="M318" s="93">
        <v>0</v>
      </c>
      <c r="N318" s="93"/>
      <c r="O318" s="93">
        <v>3965.32</v>
      </c>
      <c r="P318" s="93"/>
      <c r="Q318" s="93">
        <v>409.33</v>
      </c>
      <c r="R318" s="93"/>
      <c r="S318" s="93">
        <v>6483.23</v>
      </c>
      <c r="T318" s="93"/>
      <c r="U318" s="93">
        <v>0</v>
      </c>
      <c r="V318" s="93"/>
      <c r="W318" s="93">
        <v>0</v>
      </c>
      <c r="X318" s="93"/>
      <c r="Y318" s="93">
        <v>0</v>
      </c>
      <c r="Z318" s="93"/>
      <c r="AA318" s="93">
        <v>0</v>
      </c>
      <c r="AB318" s="93"/>
      <c r="AC318" s="93">
        <v>0</v>
      </c>
      <c r="AD318" s="93"/>
      <c r="AE318" s="93">
        <v>0</v>
      </c>
      <c r="AF318" s="93"/>
      <c r="AG318" s="93">
        <v>0</v>
      </c>
      <c r="AH318" s="93"/>
      <c r="AI318" s="93">
        <f t="shared" si="15"/>
        <v>115600.82</v>
      </c>
      <c r="AJ318" s="10"/>
    </row>
    <row r="319" spans="1:36" ht="12.75">
      <c r="A319" s="1" t="s">
        <v>184</v>
      </c>
      <c r="C319" s="1" t="s">
        <v>803</v>
      </c>
      <c r="E319" s="36">
        <v>6977.26</v>
      </c>
      <c r="F319" s="36"/>
      <c r="G319" s="36">
        <v>0</v>
      </c>
      <c r="H319" s="36"/>
      <c r="I319" s="36">
        <v>23571.34</v>
      </c>
      <c r="J319" s="36"/>
      <c r="K319" s="36">
        <v>0</v>
      </c>
      <c r="L319" s="36"/>
      <c r="M319" s="36">
        <v>0</v>
      </c>
      <c r="N319" s="36"/>
      <c r="O319" s="36">
        <v>0</v>
      </c>
      <c r="P319" s="36"/>
      <c r="Q319" s="36">
        <v>77</v>
      </c>
      <c r="R319" s="36"/>
      <c r="S319" s="36">
        <v>859.43</v>
      </c>
      <c r="T319" s="36"/>
      <c r="U319" s="36">
        <v>0</v>
      </c>
      <c r="V319" s="36"/>
      <c r="W319" s="36">
        <v>0</v>
      </c>
      <c r="X319" s="36"/>
      <c r="Y319" s="36">
        <v>0</v>
      </c>
      <c r="Z319" s="36"/>
      <c r="AA319" s="36">
        <v>0</v>
      </c>
      <c r="AB319" s="36"/>
      <c r="AC319" s="36">
        <v>0</v>
      </c>
      <c r="AD319" s="36"/>
      <c r="AE319" s="36">
        <v>0</v>
      </c>
      <c r="AF319" s="36"/>
      <c r="AG319" s="36">
        <v>0</v>
      </c>
      <c r="AH319" s="36"/>
      <c r="AI319" s="36">
        <f t="shared" si="15"/>
        <v>31485.03</v>
      </c>
      <c r="AJ319" s="10"/>
    </row>
    <row r="320" spans="1:36" ht="12.75">
      <c r="A320" s="1" t="s">
        <v>162</v>
      </c>
      <c r="C320" s="1" t="s">
        <v>795</v>
      </c>
      <c r="E320" s="36">
        <v>15848.1</v>
      </c>
      <c r="F320" s="36"/>
      <c r="G320" s="36">
        <v>0</v>
      </c>
      <c r="H320" s="36"/>
      <c r="I320" s="36">
        <v>28087.52</v>
      </c>
      <c r="J320" s="36"/>
      <c r="K320" s="36">
        <v>39.16</v>
      </c>
      <c r="L320" s="36"/>
      <c r="M320" s="36">
        <v>0</v>
      </c>
      <c r="N320" s="36"/>
      <c r="O320" s="36">
        <v>2160.98</v>
      </c>
      <c r="P320" s="36"/>
      <c r="Q320" s="36">
        <v>0</v>
      </c>
      <c r="R320" s="36"/>
      <c r="S320" s="36">
        <v>100</v>
      </c>
      <c r="T320" s="36"/>
      <c r="U320" s="36">
        <v>0</v>
      </c>
      <c r="V320" s="36"/>
      <c r="W320" s="36">
        <v>0</v>
      </c>
      <c r="X320" s="36"/>
      <c r="Y320" s="36">
        <v>0</v>
      </c>
      <c r="Z320" s="36"/>
      <c r="AA320" s="36">
        <v>0</v>
      </c>
      <c r="AB320" s="36"/>
      <c r="AC320" s="36">
        <v>2506.58</v>
      </c>
      <c r="AD320" s="36"/>
      <c r="AE320" s="36">
        <v>0</v>
      </c>
      <c r="AF320" s="36"/>
      <c r="AG320" s="36">
        <v>0</v>
      </c>
      <c r="AH320" s="36"/>
      <c r="AI320" s="36">
        <f t="shared" si="15"/>
        <v>48742.34000000001</v>
      </c>
      <c r="AJ320" s="10"/>
    </row>
    <row r="321" spans="1:36" ht="12.75">
      <c r="A321" s="1" t="s">
        <v>111</v>
      </c>
      <c r="C321" s="1" t="s">
        <v>779</v>
      </c>
      <c r="E321" s="36">
        <v>52251.01</v>
      </c>
      <c r="F321" s="36"/>
      <c r="G321" s="36">
        <v>0</v>
      </c>
      <c r="H321" s="36"/>
      <c r="I321" s="36">
        <v>24482.54</v>
      </c>
      <c r="J321" s="36"/>
      <c r="K321" s="36">
        <v>0</v>
      </c>
      <c r="L321" s="36"/>
      <c r="M321" s="36">
        <v>24081.82</v>
      </c>
      <c r="N321" s="36"/>
      <c r="O321" s="36">
        <v>1377.21</v>
      </c>
      <c r="P321" s="36"/>
      <c r="Q321" s="36">
        <v>1227.62</v>
      </c>
      <c r="R321" s="36"/>
      <c r="S321" s="36">
        <v>1386.45</v>
      </c>
      <c r="T321" s="36"/>
      <c r="U321" s="36">
        <v>0</v>
      </c>
      <c r="V321" s="36"/>
      <c r="W321" s="36">
        <v>0</v>
      </c>
      <c r="X321" s="36"/>
      <c r="Y321" s="36">
        <v>0</v>
      </c>
      <c r="Z321" s="36"/>
      <c r="AA321" s="36">
        <v>0</v>
      </c>
      <c r="AB321" s="36"/>
      <c r="AC321" s="36">
        <v>0</v>
      </c>
      <c r="AD321" s="36"/>
      <c r="AE321" s="36">
        <v>0</v>
      </c>
      <c r="AF321" s="36"/>
      <c r="AG321" s="36">
        <v>0</v>
      </c>
      <c r="AH321" s="36"/>
      <c r="AI321" s="36">
        <f t="shared" si="15"/>
        <v>104806.65</v>
      </c>
      <c r="AJ321" s="10"/>
    </row>
    <row r="322" spans="1:36" ht="12.75">
      <c r="A322" s="1" t="s">
        <v>946</v>
      </c>
      <c r="C322" s="1" t="s">
        <v>778</v>
      </c>
      <c r="E322" s="36">
        <v>40684.98</v>
      </c>
      <c r="F322" s="36"/>
      <c r="G322" s="36">
        <v>359258.03</v>
      </c>
      <c r="H322" s="36"/>
      <c r="I322" s="36">
        <v>46675.58</v>
      </c>
      <c r="J322" s="36"/>
      <c r="K322" s="36">
        <v>170.78</v>
      </c>
      <c r="L322" s="36"/>
      <c r="M322" s="36">
        <v>16</v>
      </c>
      <c r="N322" s="36"/>
      <c r="O322" s="36">
        <v>2270.6</v>
      </c>
      <c r="P322" s="36"/>
      <c r="Q322" s="36">
        <v>388.04</v>
      </c>
      <c r="R322" s="36"/>
      <c r="S322" s="36">
        <v>8686.49</v>
      </c>
      <c r="T322" s="36"/>
      <c r="U322" s="36">
        <v>0</v>
      </c>
      <c r="V322" s="36"/>
      <c r="W322" s="36">
        <v>0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v>0</v>
      </c>
      <c r="AF322" s="36"/>
      <c r="AG322" s="36">
        <v>0</v>
      </c>
      <c r="AH322" s="36"/>
      <c r="AI322" s="36">
        <f t="shared" si="15"/>
        <v>458150.5</v>
      </c>
      <c r="AJ322" s="10"/>
    </row>
    <row r="323" spans="1:39" ht="12.75">
      <c r="A323" s="1" t="s">
        <v>29</v>
      </c>
      <c r="C323" s="1" t="s">
        <v>753</v>
      </c>
      <c r="E323" s="36">
        <v>5899</v>
      </c>
      <c r="F323" s="36"/>
      <c r="G323" s="36">
        <v>0</v>
      </c>
      <c r="H323" s="36"/>
      <c r="I323" s="36">
        <v>18163.25</v>
      </c>
      <c r="J323" s="36"/>
      <c r="K323" s="36">
        <v>0</v>
      </c>
      <c r="L323" s="36"/>
      <c r="M323" s="36">
        <v>0</v>
      </c>
      <c r="N323" s="36"/>
      <c r="O323" s="36">
        <v>0</v>
      </c>
      <c r="P323" s="36"/>
      <c r="Q323" s="36">
        <v>25.5</v>
      </c>
      <c r="R323" s="36"/>
      <c r="S323" s="36">
        <v>0</v>
      </c>
      <c r="T323" s="36"/>
      <c r="U323" s="36">
        <v>0</v>
      </c>
      <c r="V323" s="36"/>
      <c r="W323" s="36">
        <v>0</v>
      </c>
      <c r="X323" s="36"/>
      <c r="Y323" s="36">
        <v>0</v>
      </c>
      <c r="Z323" s="36"/>
      <c r="AA323" s="36">
        <v>0</v>
      </c>
      <c r="AB323" s="36"/>
      <c r="AC323" s="36">
        <v>0</v>
      </c>
      <c r="AD323" s="36"/>
      <c r="AE323" s="36">
        <v>0</v>
      </c>
      <c r="AF323" s="36"/>
      <c r="AG323" s="36">
        <v>0</v>
      </c>
      <c r="AH323" s="36"/>
      <c r="AI323" s="36">
        <f t="shared" si="15"/>
        <v>24087.75</v>
      </c>
      <c r="AJ323" s="10"/>
      <c r="AK323" s="7"/>
      <c r="AL323" s="7"/>
      <c r="AM323" s="7"/>
    </row>
    <row r="324" spans="1:39" ht="12.75">
      <c r="A324" s="1" t="s">
        <v>43</v>
      </c>
      <c r="C324" s="1" t="s">
        <v>758</v>
      </c>
      <c r="E324" s="96">
        <v>47090.36</v>
      </c>
      <c r="F324" s="96"/>
      <c r="G324" s="96">
        <v>0</v>
      </c>
      <c r="H324" s="96"/>
      <c r="I324" s="96">
        <v>63677.15</v>
      </c>
      <c r="J324" s="96"/>
      <c r="K324" s="96">
        <v>0</v>
      </c>
      <c r="L324" s="96"/>
      <c r="M324" s="96">
        <v>63949.84</v>
      </c>
      <c r="N324" s="96"/>
      <c r="O324" s="96">
        <v>22242.35</v>
      </c>
      <c r="P324" s="96"/>
      <c r="Q324" s="96">
        <v>1496.19</v>
      </c>
      <c r="R324" s="96"/>
      <c r="S324" s="96">
        <f>5976.4+5850.25</f>
        <v>11826.65</v>
      </c>
      <c r="T324" s="96"/>
      <c r="U324" s="96">
        <v>0</v>
      </c>
      <c r="V324" s="96"/>
      <c r="W324" s="96">
        <v>0</v>
      </c>
      <c r="X324" s="96"/>
      <c r="Y324" s="96">
        <v>0</v>
      </c>
      <c r="Z324" s="96"/>
      <c r="AA324" s="96">
        <v>375000</v>
      </c>
      <c r="AB324" s="96"/>
      <c r="AC324" s="96">
        <v>38273.53</v>
      </c>
      <c r="AD324" s="96"/>
      <c r="AE324" s="96">
        <v>0</v>
      </c>
      <c r="AF324" s="96"/>
      <c r="AG324" s="96">
        <v>2903.2</v>
      </c>
      <c r="AH324" s="96"/>
      <c r="AI324" s="96">
        <f>SUM(E324:AG324)</f>
        <v>626459.27</v>
      </c>
      <c r="AJ324" s="10"/>
      <c r="AK324" s="7"/>
      <c r="AL324" s="7"/>
      <c r="AM324" s="7"/>
    </row>
    <row r="325" spans="1:36" ht="12.75">
      <c r="A325" s="1" t="s">
        <v>905</v>
      </c>
      <c r="C325" s="1" t="s">
        <v>514</v>
      </c>
      <c r="E325" s="83">
        <v>106025</v>
      </c>
      <c r="F325" s="83"/>
      <c r="G325" s="83">
        <v>2311140</v>
      </c>
      <c r="H325" s="83"/>
      <c r="I325" s="83">
        <v>133324</v>
      </c>
      <c r="J325" s="83"/>
      <c r="K325" s="83">
        <v>0</v>
      </c>
      <c r="L325" s="83"/>
      <c r="M325" s="83">
        <v>27975</v>
      </c>
      <c r="N325" s="83"/>
      <c r="O325" s="83">
        <v>10428</v>
      </c>
      <c r="P325" s="83"/>
      <c r="Q325" s="83">
        <v>0</v>
      </c>
      <c r="R325" s="83"/>
      <c r="S325" s="83">
        <v>29354</v>
      </c>
      <c r="T325" s="83"/>
      <c r="U325" s="83">
        <v>0</v>
      </c>
      <c r="V325" s="83"/>
      <c r="W325" s="83">
        <v>802500</v>
      </c>
      <c r="X325" s="83"/>
      <c r="Y325" s="83">
        <v>0</v>
      </c>
      <c r="Z325" s="83"/>
      <c r="AA325" s="83">
        <v>750809</v>
      </c>
      <c r="AB325" s="83"/>
      <c r="AC325" s="83">
        <v>0</v>
      </c>
      <c r="AD325" s="83"/>
      <c r="AE325" s="83">
        <v>0</v>
      </c>
      <c r="AF325" s="87"/>
      <c r="AG325" s="83">
        <v>0</v>
      </c>
      <c r="AH325" s="87"/>
      <c r="AI325" s="83">
        <f aca="true" t="shared" si="16" ref="AI325:AI326">SUM(E325:AG325)</f>
        <v>4171555</v>
      </c>
      <c r="AJ325" s="10"/>
    </row>
    <row r="326" spans="1:36" ht="12.75">
      <c r="A326" s="1" t="s">
        <v>509</v>
      </c>
      <c r="C326" s="1" t="s">
        <v>510</v>
      </c>
      <c r="E326" s="83">
        <v>129748.16</v>
      </c>
      <c r="F326" s="83"/>
      <c r="G326" s="83">
        <v>870904.32</v>
      </c>
      <c r="H326" s="83"/>
      <c r="I326" s="83">
        <v>95770.6</v>
      </c>
      <c r="J326" s="83"/>
      <c r="K326" s="83">
        <v>0</v>
      </c>
      <c r="L326" s="83"/>
      <c r="M326" s="83">
        <v>349942.84</v>
      </c>
      <c r="N326" s="83"/>
      <c r="O326" s="83">
        <v>1104.5</v>
      </c>
      <c r="P326" s="83"/>
      <c r="Q326" s="83">
        <v>5065.42</v>
      </c>
      <c r="R326" s="83"/>
      <c r="S326" s="83">
        <v>3575</v>
      </c>
      <c r="T326" s="83"/>
      <c r="U326" s="83">
        <v>0</v>
      </c>
      <c r="V326" s="83"/>
      <c r="W326" s="83">
        <v>0</v>
      </c>
      <c r="X326" s="83"/>
      <c r="Y326" s="83">
        <v>1875</v>
      </c>
      <c r="Z326" s="83"/>
      <c r="AA326" s="83">
        <v>230385.81</v>
      </c>
      <c r="AB326" s="83"/>
      <c r="AC326" s="83">
        <v>0</v>
      </c>
      <c r="AD326" s="83"/>
      <c r="AE326" s="83">
        <v>25774.76</v>
      </c>
      <c r="AF326" s="83"/>
      <c r="AG326" s="83">
        <v>0</v>
      </c>
      <c r="AH326" s="83"/>
      <c r="AI326" s="83">
        <f t="shared" si="16"/>
        <v>1714146.4100000001</v>
      </c>
      <c r="AJ326" s="10"/>
    </row>
    <row r="327" spans="1:36" ht="12.75">
      <c r="A327" s="1" t="s">
        <v>165</v>
      </c>
      <c r="C327" s="1" t="s">
        <v>796</v>
      </c>
      <c r="E327" s="93">
        <v>20615.62</v>
      </c>
      <c r="F327" s="93"/>
      <c r="G327" s="93">
        <v>0</v>
      </c>
      <c r="H327" s="93"/>
      <c r="I327" s="93">
        <v>5722.25</v>
      </c>
      <c r="J327" s="93"/>
      <c r="K327" s="93">
        <v>0</v>
      </c>
      <c r="L327" s="93"/>
      <c r="M327" s="93">
        <v>0</v>
      </c>
      <c r="N327" s="93"/>
      <c r="O327" s="93">
        <v>0</v>
      </c>
      <c r="P327" s="93"/>
      <c r="Q327" s="93">
        <v>0</v>
      </c>
      <c r="R327" s="93"/>
      <c r="S327" s="93">
        <v>0</v>
      </c>
      <c r="T327" s="93"/>
      <c r="U327" s="93">
        <v>0</v>
      </c>
      <c r="V327" s="93"/>
      <c r="W327" s="93">
        <v>0</v>
      </c>
      <c r="X327" s="93"/>
      <c r="Y327" s="93">
        <v>0</v>
      </c>
      <c r="Z327" s="93"/>
      <c r="AA327" s="93">
        <v>0</v>
      </c>
      <c r="AB327" s="93"/>
      <c r="AC327" s="93">
        <v>0</v>
      </c>
      <c r="AD327" s="93"/>
      <c r="AE327" s="93">
        <v>0</v>
      </c>
      <c r="AF327" s="93"/>
      <c r="AG327" s="93">
        <v>0</v>
      </c>
      <c r="AH327" s="93"/>
      <c r="AI327" s="93">
        <f>SUM(E327:AG327)</f>
        <v>26337.87</v>
      </c>
      <c r="AJ327" s="10"/>
    </row>
    <row r="328" spans="1:36" ht="12.75">
      <c r="A328" s="1" t="s">
        <v>521</v>
      </c>
      <c r="C328" s="1" t="s">
        <v>520</v>
      </c>
      <c r="E328" s="83">
        <v>1738227</v>
      </c>
      <c r="F328" s="83"/>
      <c r="G328" s="83">
        <v>0</v>
      </c>
      <c r="H328" s="83"/>
      <c r="I328" s="83">
        <v>0</v>
      </c>
      <c r="J328" s="83"/>
      <c r="K328" s="83">
        <v>0</v>
      </c>
      <c r="L328" s="83"/>
      <c r="M328" s="83">
        <v>95933</v>
      </c>
      <c r="N328" s="83"/>
      <c r="O328" s="83">
        <v>53748</v>
      </c>
      <c r="P328" s="83"/>
      <c r="Q328" s="83">
        <v>3946</v>
      </c>
      <c r="R328" s="83"/>
      <c r="S328" s="83">
        <v>23893</v>
      </c>
      <c r="T328" s="83"/>
      <c r="U328" s="83">
        <v>0</v>
      </c>
      <c r="V328" s="83"/>
      <c r="W328" s="83">
        <v>0</v>
      </c>
      <c r="X328" s="83"/>
      <c r="Y328" s="83">
        <v>0</v>
      </c>
      <c r="Z328" s="83"/>
      <c r="AA328" s="83">
        <v>0</v>
      </c>
      <c r="AB328" s="83"/>
      <c r="AC328" s="83">
        <v>0</v>
      </c>
      <c r="AD328" s="83"/>
      <c r="AE328" s="83">
        <v>47498</v>
      </c>
      <c r="AF328" s="83"/>
      <c r="AG328" s="83">
        <v>0</v>
      </c>
      <c r="AH328" s="83"/>
      <c r="AI328" s="83">
        <f aca="true" t="shared" si="17" ref="AI328">SUM(E328:AG328)</f>
        <v>1963245</v>
      </c>
      <c r="AJ328" s="10"/>
    </row>
    <row r="329" spans="5:39" ht="12.75"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5"/>
      <c r="W329" s="83"/>
      <c r="X329" s="85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 t="s">
        <v>864</v>
      </c>
      <c r="AJ329" s="10"/>
      <c r="AK329" s="7"/>
      <c r="AL329" s="7"/>
      <c r="AM329" s="7"/>
    </row>
    <row r="330" spans="1:36" s="21" customFormat="1" ht="12.75">
      <c r="A330" s="1" t="s">
        <v>106</v>
      </c>
      <c r="B330" s="1"/>
      <c r="C330" s="1" t="s">
        <v>777</v>
      </c>
      <c r="D330" s="1"/>
      <c r="E330" s="102">
        <v>34340.92</v>
      </c>
      <c r="F330" s="102"/>
      <c r="G330" s="102">
        <v>136888.66</v>
      </c>
      <c r="H330" s="102"/>
      <c r="I330" s="102">
        <v>61031.62</v>
      </c>
      <c r="J330" s="102"/>
      <c r="K330" s="102">
        <v>0</v>
      </c>
      <c r="L330" s="102"/>
      <c r="M330" s="102">
        <v>15981.25</v>
      </c>
      <c r="N330" s="102"/>
      <c r="O330" s="102">
        <v>9076.67</v>
      </c>
      <c r="P330" s="102"/>
      <c r="Q330" s="102">
        <v>7416.18</v>
      </c>
      <c r="R330" s="102"/>
      <c r="S330" s="102">
        <v>6575.75</v>
      </c>
      <c r="T330" s="102"/>
      <c r="U330" s="102">
        <v>0</v>
      </c>
      <c r="V330" s="102"/>
      <c r="W330" s="102">
        <v>0</v>
      </c>
      <c r="X330" s="102"/>
      <c r="Y330" s="102">
        <v>0</v>
      </c>
      <c r="Z330" s="102"/>
      <c r="AA330" s="102">
        <v>0</v>
      </c>
      <c r="AB330" s="102"/>
      <c r="AC330" s="102">
        <v>0</v>
      </c>
      <c r="AD330" s="102"/>
      <c r="AE330" s="102">
        <v>0</v>
      </c>
      <c r="AF330" s="102"/>
      <c r="AG330" s="102">
        <v>0</v>
      </c>
      <c r="AH330" s="102"/>
      <c r="AI330" s="102">
        <f>SUM(E330:AG330)</f>
        <v>271311.05000000005</v>
      </c>
      <c r="AJ330" s="10"/>
    </row>
    <row r="331" spans="1:36" ht="12.75">
      <c r="A331" s="1" t="s">
        <v>226</v>
      </c>
      <c r="C331" s="1" t="s">
        <v>815</v>
      </c>
      <c r="E331" s="36">
        <v>14161.13</v>
      </c>
      <c r="F331" s="36"/>
      <c r="G331" s="36">
        <v>0</v>
      </c>
      <c r="H331" s="36"/>
      <c r="I331" s="36">
        <v>0</v>
      </c>
      <c r="J331" s="36"/>
      <c r="K331" s="36">
        <v>0</v>
      </c>
      <c r="L331" s="36"/>
      <c r="M331" s="36">
        <v>842.76</v>
      </c>
      <c r="N331" s="36"/>
      <c r="O331" s="36">
        <v>2621.07</v>
      </c>
      <c r="P331" s="36"/>
      <c r="Q331" s="36">
        <v>1.48</v>
      </c>
      <c r="R331" s="36"/>
      <c r="S331" s="36">
        <v>1829.11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v>0</v>
      </c>
      <c r="AF331" s="36"/>
      <c r="AG331" s="36">
        <v>0</v>
      </c>
      <c r="AH331" s="36"/>
      <c r="AI331" s="36">
        <f>SUM(E331:AG331)</f>
        <v>19455.55</v>
      </c>
      <c r="AJ331" s="10"/>
    </row>
    <row r="332" spans="1:36" ht="12.75">
      <c r="A332" s="1" t="s">
        <v>383</v>
      </c>
      <c r="C332" s="1" t="s">
        <v>378</v>
      </c>
      <c r="E332" s="83">
        <v>471272</v>
      </c>
      <c r="F332" s="83"/>
      <c r="G332" s="83">
        <v>522760</v>
      </c>
      <c r="H332" s="83"/>
      <c r="I332" s="83">
        <v>191875</v>
      </c>
      <c r="J332" s="83"/>
      <c r="K332" s="83">
        <v>0</v>
      </c>
      <c r="L332" s="83"/>
      <c r="M332" s="83">
        <v>211081</v>
      </c>
      <c r="N332" s="83"/>
      <c r="O332" s="83">
        <v>216907</v>
      </c>
      <c r="P332" s="83"/>
      <c r="Q332" s="83">
        <v>49</v>
      </c>
      <c r="R332" s="83"/>
      <c r="S332" s="83">
        <v>42285</v>
      </c>
      <c r="T332" s="83"/>
      <c r="U332" s="83">
        <v>0</v>
      </c>
      <c r="V332" s="83"/>
      <c r="W332" s="83">
        <v>0</v>
      </c>
      <c r="X332" s="83"/>
      <c r="Y332" s="83">
        <v>0</v>
      </c>
      <c r="Z332" s="83"/>
      <c r="AA332" s="83">
        <v>0</v>
      </c>
      <c r="AB332" s="83"/>
      <c r="AC332" s="83">
        <v>0</v>
      </c>
      <c r="AD332" s="83"/>
      <c r="AE332" s="83">
        <v>0</v>
      </c>
      <c r="AF332" s="83"/>
      <c r="AG332" s="83">
        <v>0</v>
      </c>
      <c r="AH332" s="83"/>
      <c r="AI332" s="83">
        <f t="shared" si="14"/>
        <v>1656229</v>
      </c>
      <c r="AJ332" s="10"/>
    </row>
    <row r="333" spans="1:36" s="21" customFormat="1" ht="12.75">
      <c r="A333" s="1" t="s">
        <v>215</v>
      </c>
      <c r="B333" s="1"/>
      <c r="C333" s="1" t="s">
        <v>811</v>
      </c>
      <c r="D333" s="1"/>
      <c r="E333" s="93">
        <v>46999.55</v>
      </c>
      <c r="F333" s="93"/>
      <c r="G333" s="93">
        <v>0</v>
      </c>
      <c r="H333" s="93"/>
      <c r="I333" s="93">
        <v>46881.28</v>
      </c>
      <c r="J333" s="93"/>
      <c r="K333" s="93">
        <v>0</v>
      </c>
      <c r="L333" s="93"/>
      <c r="M333" s="93">
        <v>0</v>
      </c>
      <c r="N333" s="93"/>
      <c r="O333" s="93">
        <v>215</v>
      </c>
      <c r="P333" s="93"/>
      <c r="Q333" s="93">
        <v>146.18</v>
      </c>
      <c r="R333" s="93"/>
      <c r="S333" s="93">
        <v>636.33</v>
      </c>
      <c r="T333" s="93"/>
      <c r="U333" s="93">
        <v>0</v>
      </c>
      <c r="V333" s="93"/>
      <c r="W333" s="93">
        <v>0</v>
      </c>
      <c r="X333" s="93"/>
      <c r="Y333" s="93">
        <v>0</v>
      </c>
      <c r="Z333" s="93"/>
      <c r="AA333" s="93">
        <v>0</v>
      </c>
      <c r="AB333" s="93"/>
      <c r="AC333" s="93">
        <v>0</v>
      </c>
      <c r="AD333" s="93"/>
      <c r="AE333" s="93">
        <v>0</v>
      </c>
      <c r="AF333" s="93"/>
      <c r="AG333" s="93">
        <v>0</v>
      </c>
      <c r="AH333" s="93"/>
      <c r="AI333" s="93">
        <f>SUM(E333:AG333)</f>
        <v>94878.34</v>
      </c>
      <c r="AJ333" s="10"/>
    </row>
    <row r="334" spans="1:39" ht="12.75">
      <c r="A334" s="1" t="s">
        <v>846</v>
      </c>
      <c r="C334" s="1" t="s">
        <v>761</v>
      </c>
      <c r="E334" s="83">
        <v>86936</v>
      </c>
      <c r="F334" s="83"/>
      <c r="G334" s="83">
        <v>284</v>
      </c>
      <c r="H334" s="83"/>
      <c r="I334" s="83">
        <v>6595</v>
      </c>
      <c r="J334" s="83"/>
      <c r="K334" s="83">
        <v>0</v>
      </c>
      <c r="L334" s="83"/>
      <c r="M334" s="83">
        <v>197034</v>
      </c>
      <c r="N334" s="83"/>
      <c r="O334" s="83">
        <v>665414</v>
      </c>
      <c r="P334" s="83"/>
      <c r="Q334" s="83">
        <v>2</v>
      </c>
      <c r="R334" s="83"/>
      <c r="S334" s="83">
        <v>9673</v>
      </c>
      <c r="T334" s="83"/>
      <c r="U334" s="83">
        <v>0</v>
      </c>
      <c r="V334" s="85"/>
      <c r="W334" s="83">
        <v>0</v>
      </c>
      <c r="X334" s="85"/>
      <c r="Y334" s="83">
        <v>0</v>
      </c>
      <c r="Z334" s="83"/>
      <c r="AA334" s="83">
        <v>0</v>
      </c>
      <c r="AB334" s="83"/>
      <c r="AC334" s="83">
        <v>39524</v>
      </c>
      <c r="AD334" s="83"/>
      <c r="AE334" s="83">
        <v>0</v>
      </c>
      <c r="AF334" s="83"/>
      <c r="AG334" s="83">
        <v>0</v>
      </c>
      <c r="AH334" s="83"/>
      <c r="AI334" s="83">
        <f t="shared" si="14"/>
        <v>1005462</v>
      </c>
      <c r="AJ334" s="10"/>
      <c r="AK334" s="7"/>
      <c r="AL334" s="7"/>
      <c r="AM334" s="7"/>
    </row>
    <row r="335" spans="1:39" ht="12.75">
      <c r="A335" s="1" t="s">
        <v>44</v>
      </c>
      <c r="C335" s="1" t="s">
        <v>758</v>
      </c>
      <c r="E335" s="93">
        <v>119609</v>
      </c>
      <c r="F335" s="93"/>
      <c r="G335" s="93">
        <v>1094573.61</v>
      </c>
      <c r="H335" s="93"/>
      <c r="I335" s="93">
        <v>224503.47</v>
      </c>
      <c r="J335" s="93"/>
      <c r="K335" s="93">
        <v>0</v>
      </c>
      <c r="L335" s="93"/>
      <c r="M335" s="93">
        <v>27097.37</v>
      </c>
      <c r="N335" s="93"/>
      <c r="O335" s="93">
        <v>20768.31</v>
      </c>
      <c r="P335" s="93"/>
      <c r="Q335" s="93">
        <v>0</v>
      </c>
      <c r="R335" s="93"/>
      <c r="S335" s="93">
        <v>1641.5</v>
      </c>
      <c r="T335" s="93"/>
      <c r="U335" s="93">
        <v>0</v>
      </c>
      <c r="V335" s="93"/>
      <c r="W335" s="93">
        <v>0</v>
      </c>
      <c r="X335" s="93"/>
      <c r="Y335" s="93">
        <v>0</v>
      </c>
      <c r="Z335" s="93"/>
      <c r="AA335" s="93">
        <v>0</v>
      </c>
      <c r="AB335" s="93"/>
      <c r="AC335" s="93">
        <v>0</v>
      </c>
      <c r="AD335" s="93"/>
      <c r="AE335" s="93">
        <v>41435.2</v>
      </c>
      <c r="AF335" s="93"/>
      <c r="AG335" s="93">
        <v>0</v>
      </c>
      <c r="AH335" s="93"/>
      <c r="AI335" s="93">
        <f>SUM(E335:AG335)</f>
        <v>1529628.4600000002</v>
      </c>
      <c r="AJ335" s="10"/>
      <c r="AK335" s="7"/>
      <c r="AL335" s="7"/>
      <c r="AM335" s="7"/>
    </row>
    <row r="336" spans="1:39" ht="12.75">
      <c r="A336" s="1" t="s">
        <v>931</v>
      </c>
      <c r="C336" s="1" t="s">
        <v>350</v>
      </c>
      <c r="E336" s="93">
        <v>50481.38</v>
      </c>
      <c r="F336" s="93"/>
      <c r="G336" s="93">
        <v>297302.91</v>
      </c>
      <c r="H336" s="93"/>
      <c r="I336" s="93">
        <v>41430.22</v>
      </c>
      <c r="J336" s="93"/>
      <c r="K336" s="93">
        <v>0</v>
      </c>
      <c r="L336" s="93"/>
      <c r="M336" s="93">
        <v>4331.44</v>
      </c>
      <c r="N336" s="93"/>
      <c r="O336" s="93">
        <v>62664.22</v>
      </c>
      <c r="P336" s="93"/>
      <c r="Q336" s="93">
        <v>361.27</v>
      </c>
      <c r="R336" s="93"/>
      <c r="S336" s="93">
        <v>28623.3</v>
      </c>
      <c r="T336" s="93"/>
      <c r="U336" s="93">
        <v>0</v>
      </c>
      <c r="V336" s="93"/>
      <c r="W336" s="93">
        <v>0</v>
      </c>
      <c r="X336" s="93"/>
      <c r="Y336" s="93">
        <v>0</v>
      </c>
      <c r="Z336" s="93"/>
      <c r="AA336" s="93">
        <v>0</v>
      </c>
      <c r="AB336" s="93"/>
      <c r="AC336" s="93">
        <v>35000</v>
      </c>
      <c r="AD336" s="93"/>
      <c r="AE336" s="93">
        <v>4287.68</v>
      </c>
      <c r="AF336" s="93"/>
      <c r="AG336" s="93">
        <v>0</v>
      </c>
      <c r="AH336" s="93"/>
      <c r="AI336" s="93">
        <f>SUM(E336:AG336)</f>
        <v>524482.42</v>
      </c>
      <c r="AJ336" s="10"/>
      <c r="AK336" s="7"/>
      <c r="AL336" s="7"/>
      <c r="AM336" s="7"/>
    </row>
    <row r="337" spans="1:39" ht="12.75">
      <c r="A337" s="1" t="s">
        <v>947</v>
      </c>
      <c r="C337" s="1" t="s">
        <v>768</v>
      </c>
      <c r="E337" s="36">
        <v>7586.2</v>
      </c>
      <c r="F337" s="36"/>
      <c r="G337" s="36">
        <v>89371.53</v>
      </c>
      <c r="H337" s="36"/>
      <c r="I337" s="36">
        <v>42996.11</v>
      </c>
      <c r="J337" s="36"/>
      <c r="K337" s="36">
        <v>0</v>
      </c>
      <c r="L337" s="36"/>
      <c r="M337" s="36">
        <v>0</v>
      </c>
      <c r="N337" s="36"/>
      <c r="O337" s="36">
        <v>914.46</v>
      </c>
      <c r="P337" s="36"/>
      <c r="Q337" s="36">
        <v>164.07</v>
      </c>
      <c r="R337" s="36"/>
      <c r="S337" s="36">
        <v>19436.05</v>
      </c>
      <c r="T337" s="36"/>
      <c r="U337" s="36">
        <v>0</v>
      </c>
      <c r="V337" s="36"/>
      <c r="W337" s="36">
        <v>0</v>
      </c>
      <c r="X337" s="36"/>
      <c r="Y337" s="36">
        <v>0</v>
      </c>
      <c r="Z337" s="36"/>
      <c r="AA337" s="36">
        <v>0</v>
      </c>
      <c r="AB337" s="36"/>
      <c r="AC337" s="36">
        <v>0</v>
      </c>
      <c r="AD337" s="36"/>
      <c r="AE337" s="36">
        <v>0</v>
      </c>
      <c r="AF337" s="36"/>
      <c r="AG337" s="36">
        <v>0</v>
      </c>
      <c r="AH337" s="36"/>
      <c r="AI337" s="36">
        <f>SUM(E337:AG337)</f>
        <v>160468.41999999998</v>
      </c>
      <c r="AJ337" s="10"/>
      <c r="AK337" s="7"/>
      <c r="AL337" s="7"/>
      <c r="AM337" s="7"/>
    </row>
    <row r="338" spans="1:36" ht="12.75">
      <c r="A338" s="1" t="s">
        <v>539</v>
      </c>
      <c r="C338" s="1" t="s">
        <v>538</v>
      </c>
      <c r="E338" s="83">
        <v>19259.15</v>
      </c>
      <c r="F338" s="83"/>
      <c r="G338" s="83">
        <v>0</v>
      </c>
      <c r="H338" s="83"/>
      <c r="I338" s="83">
        <v>362.18</v>
      </c>
      <c r="J338" s="83"/>
      <c r="K338" s="83">
        <v>0</v>
      </c>
      <c r="L338" s="83"/>
      <c r="M338" s="83">
        <v>0</v>
      </c>
      <c r="N338" s="83"/>
      <c r="O338" s="83">
        <v>184</v>
      </c>
      <c r="P338" s="83"/>
      <c r="Q338" s="83">
        <v>324.07</v>
      </c>
      <c r="R338" s="83"/>
      <c r="S338" s="83">
        <v>55.6</v>
      </c>
      <c r="T338" s="83"/>
      <c r="U338" s="83">
        <v>0</v>
      </c>
      <c r="V338" s="83"/>
      <c r="W338" s="83">
        <v>0</v>
      </c>
      <c r="X338" s="83"/>
      <c r="Y338" s="83">
        <v>0</v>
      </c>
      <c r="Z338" s="83"/>
      <c r="AA338" s="83">
        <v>0</v>
      </c>
      <c r="AB338" s="83"/>
      <c r="AC338" s="83">
        <v>0</v>
      </c>
      <c r="AD338" s="83"/>
      <c r="AE338" s="83">
        <v>0</v>
      </c>
      <c r="AF338" s="83"/>
      <c r="AG338" s="83">
        <v>0</v>
      </c>
      <c r="AH338" s="83"/>
      <c r="AI338" s="83">
        <f aca="true" t="shared" si="18" ref="AI338:AI397">SUM(E338:AG338)</f>
        <v>20185</v>
      </c>
      <c r="AJ338" s="10"/>
    </row>
    <row r="339" spans="1:36" s="21" customFormat="1" ht="12.75">
      <c r="A339" s="1" t="s">
        <v>95</v>
      </c>
      <c r="B339" s="1"/>
      <c r="C339" s="1" t="s">
        <v>773</v>
      </c>
      <c r="D339" s="1"/>
      <c r="E339" s="93">
        <v>209840.72</v>
      </c>
      <c r="F339" s="93"/>
      <c r="G339" s="93">
        <v>2160172.23</v>
      </c>
      <c r="H339" s="93"/>
      <c r="I339" s="93">
        <v>110354.48</v>
      </c>
      <c r="J339" s="93"/>
      <c r="K339" s="93">
        <v>0</v>
      </c>
      <c r="L339" s="93"/>
      <c r="M339" s="93">
        <v>1168392.37</v>
      </c>
      <c r="N339" s="93"/>
      <c r="O339" s="93">
        <v>749653.71</v>
      </c>
      <c r="P339" s="93"/>
      <c r="Q339" s="93">
        <v>210.04</v>
      </c>
      <c r="R339" s="93"/>
      <c r="S339" s="93">
        <v>48593.68</v>
      </c>
      <c r="T339" s="93"/>
      <c r="U339" s="93">
        <v>0</v>
      </c>
      <c r="V339" s="93"/>
      <c r="W339" s="93">
        <v>0</v>
      </c>
      <c r="X339" s="93"/>
      <c r="Y339" s="93">
        <v>0</v>
      </c>
      <c r="Z339" s="93"/>
      <c r="AA339" s="93">
        <v>0</v>
      </c>
      <c r="AB339" s="93"/>
      <c r="AC339" s="93">
        <v>68868.21</v>
      </c>
      <c r="AD339" s="93"/>
      <c r="AE339" s="93">
        <v>0</v>
      </c>
      <c r="AF339" s="93"/>
      <c r="AG339" s="93">
        <v>11250</v>
      </c>
      <c r="AH339" s="93"/>
      <c r="AI339" s="93">
        <f>SUM(E339:AG339)</f>
        <v>4527335.4399999995</v>
      </c>
      <c r="AJ339" s="10"/>
    </row>
    <row r="340" spans="1:36" s="21" customFormat="1" ht="12.75">
      <c r="A340" s="1" t="s">
        <v>969</v>
      </c>
      <c r="B340" s="1"/>
      <c r="C340" s="1" t="s">
        <v>970</v>
      </c>
      <c r="D340" s="1"/>
      <c r="E340" s="83">
        <v>399875.61</v>
      </c>
      <c r="F340" s="83"/>
      <c r="G340" s="83">
        <v>0</v>
      </c>
      <c r="H340" s="83"/>
      <c r="I340" s="83">
        <v>220465.63</v>
      </c>
      <c r="J340" s="83"/>
      <c r="K340" s="83">
        <v>0</v>
      </c>
      <c r="L340" s="83"/>
      <c r="M340" s="83">
        <v>320888.44</v>
      </c>
      <c r="N340" s="83"/>
      <c r="O340" s="83">
        <v>5433.4</v>
      </c>
      <c r="P340" s="83"/>
      <c r="Q340" s="83">
        <v>8114.27</v>
      </c>
      <c r="R340" s="83"/>
      <c r="S340" s="83">
        <v>0</v>
      </c>
      <c r="T340" s="83"/>
      <c r="U340" s="83">
        <v>0</v>
      </c>
      <c r="V340" s="85"/>
      <c r="W340" s="83">
        <v>0</v>
      </c>
      <c r="X340" s="85"/>
      <c r="Y340" s="83">
        <v>0</v>
      </c>
      <c r="Z340" s="83"/>
      <c r="AA340" s="83">
        <v>0</v>
      </c>
      <c r="AB340" s="83"/>
      <c r="AC340" s="83">
        <v>0</v>
      </c>
      <c r="AD340" s="83"/>
      <c r="AE340" s="83">
        <v>999.08</v>
      </c>
      <c r="AF340" s="83"/>
      <c r="AG340" s="83">
        <v>0</v>
      </c>
      <c r="AH340" s="83"/>
      <c r="AI340" s="83">
        <f t="shared" si="18"/>
        <v>955776.4299999999</v>
      </c>
      <c r="AJ340" s="10"/>
    </row>
    <row r="341" spans="1:36" ht="12.75">
      <c r="A341" s="1" t="s">
        <v>557</v>
      </c>
      <c r="C341" s="1" t="s">
        <v>558</v>
      </c>
      <c r="E341" s="83">
        <v>136053.9</v>
      </c>
      <c r="F341" s="83"/>
      <c r="G341" s="83">
        <v>0</v>
      </c>
      <c r="H341" s="83"/>
      <c r="I341" s="83">
        <v>334221.89</v>
      </c>
      <c r="J341" s="83"/>
      <c r="K341" s="83">
        <v>0</v>
      </c>
      <c r="L341" s="83"/>
      <c r="M341" s="83">
        <v>131395.69</v>
      </c>
      <c r="N341" s="83"/>
      <c r="O341" s="83">
        <v>64770.21</v>
      </c>
      <c r="P341" s="83"/>
      <c r="Q341" s="83">
        <v>3841.83</v>
      </c>
      <c r="R341" s="83"/>
      <c r="S341" s="83">
        <v>148778.05</v>
      </c>
      <c r="T341" s="83"/>
      <c r="U341" s="83">
        <v>0</v>
      </c>
      <c r="V341" s="83"/>
      <c r="W341" s="83">
        <v>0</v>
      </c>
      <c r="X341" s="83"/>
      <c r="Y341" s="83">
        <v>0</v>
      </c>
      <c r="Z341" s="83"/>
      <c r="AA341" s="83">
        <v>2971999.11</v>
      </c>
      <c r="AB341" s="83"/>
      <c r="AC341" s="83">
        <v>0</v>
      </c>
      <c r="AD341" s="83"/>
      <c r="AE341" s="83">
        <v>0</v>
      </c>
      <c r="AF341" s="83"/>
      <c r="AG341" s="83">
        <v>0</v>
      </c>
      <c r="AH341" s="83"/>
      <c r="AI341" s="83">
        <f t="shared" si="18"/>
        <v>3791060.6799999997</v>
      </c>
      <c r="AJ341" s="10"/>
    </row>
    <row r="342" spans="1:36" s="21" customFormat="1" ht="12.75">
      <c r="A342" s="1" t="s">
        <v>88</v>
      </c>
      <c r="B342" s="1"/>
      <c r="C342" s="1" t="s">
        <v>772</v>
      </c>
      <c r="D342" s="1"/>
      <c r="E342" s="93">
        <v>22185.45</v>
      </c>
      <c r="F342" s="93"/>
      <c r="G342" s="93">
        <v>0</v>
      </c>
      <c r="H342" s="93"/>
      <c r="I342" s="93">
        <v>18641.94</v>
      </c>
      <c r="J342" s="93"/>
      <c r="K342" s="93">
        <v>0</v>
      </c>
      <c r="L342" s="93"/>
      <c r="M342" s="93">
        <v>0</v>
      </c>
      <c r="N342" s="93"/>
      <c r="O342" s="93">
        <v>0</v>
      </c>
      <c r="P342" s="93"/>
      <c r="Q342" s="93">
        <v>47.3</v>
      </c>
      <c r="R342" s="93"/>
      <c r="S342" s="93">
        <v>15612.9</v>
      </c>
      <c r="T342" s="93"/>
      <c r="U342" s="93">
        <v>0</v>
      </c>
      <c r="V342" s="93"/>
      <c r="W342" s="93">
        <v>0</v>
      </c>
      <c r="X342" s="93"/>
      <c r="Y342" s="93">
        <v>0</v>
      </c>
      <c r="Z342" s="93"/>
      <c r="AA342" s="93">
        <v>0</v>
      </c>
      <c r="AB342" s="93"/>
      <c r="AC342" s="93">
        <v>0</v>
      </c>
      <c r="AD342" s="93"/>
      <c r="AE342" s="93">
        <v>0</v>
      </c>
      <c r="AF342" s="93"/>
      <c r="AG342" s="93">
        <v>0</v>
      </c>
      <c r="AH342" s="93"/>
      <c r="AI342" s="93">
        <f>SUM(E342:AG342)</f>
        <v>56487.590000000004</v>
      </c>
      <c r="AJ342" s="10"/>
    </row>
    <row r="343" spans="1:36" s="21" customFormat="1" ht="12.75">
      <c r="A343" s="1" t="s">
        <v>924</v>
      </c>
      <c r="B343" s="1"/>
      <c r="C343" s="1" t="s">
        <v>669</v>
      </c>
      <c r="D343" s="1"/>
      <c r="E343" s="83">
        <v>166872</v>
      </c>
      <c r="F343" s="83"/>
      <c r="G343" s="83">
        <v>989059</v>
      </c>
      <c r="H343" s="83"/>
      <c r="I343" s="83">
        <v>142307</v>
      </c>
      <c r="J343" s="83"/>
      <c r="K343" s="83">
        <v>0</v>
      </c>
      <c r="L343" s="83"/>
      <c r="M343" s="83">
        <v>36112</v>
      </c>
      <c r="N343" s="83"/>
      <c r="O343" s="83">
        <v>33014</v>
      </c>
      <c r="P343" s="83"/>
      <c r="Q343" s="83">
        <v>1548</v>
      </c>
      <c r="R343" s="83"/>
      <c r="S343" s="83">
        <v>-1236</v>
      </c>
      <c r="T343" s="83"/>
      <c r="U343" s="83">
        <v>0</v>
      </c>
      <c r="V343" s="85"/>
      <c r="W343" s="83">
        <v>0</v>
      </c>
      <c r="X343" s="85"/>
      <c r="Y343" s="83">
        <v>0</v>
      </c>
      <c r="Z343" s="83"/>
      <c r="AA343" s="83">
        <v>448041</v>
      </c>
      <c r="AB343" s="83"/>
      <c r="AC343" s="83">
        <v>52421</v>
      </c>
      <c r="AD343" s="83"/>
      <c r="AE343" s="83">
        <v>0</v>
      </c>
      <c r="AF343" s="83"/>
      <c r="AG343" s="83">
        <v>0</v>
      </c>
      <c r="AH343" s="83"/>
      <c r="AI343" s="83">
        <f t="shared" si="18"/>
        <v>1868138</v>
      </c>
      <c r="AJ343" s="10"/>
    </row>
    <row r="344" spans="1:36" ht="12.75">
      <c r="A344" s="1" t="s">
        <v>245</v>
      </c>
      <c r="C344" s="1" t="s">
        <v>822</v>
      </c>
      <c r="E344" s="36">
        <v>10687.72</v>
      </c>
      <c r="F344" s="36"/>
      <c r="G344" s="36">
        <v>0</v>
      </c>
      <c r="H344" s="36"/>
      <c r="I344" s="36">
        <v>49037.28</v>
      </c>
      <c r="J344" s="36"/>
      <c r="K344" s="36">
        <v>0</v>
      </c>
      <c r="L344" s="36"/>
      <c r="M344" s="36">
        <v>0</v>
      </c>
      <c r="N344" s="36"/>
      <c r="O344" s="36">
        <v>1418.5</v>
      </c>
      <c r="P344" s="36"/>
      <c r="Q344" s="36">
        <v>620.59</v>
      </c>
      <c r="R344" s="36"/>
      <c r="S344" s="36">
        <v>5821.77</v>
      </c>
      <c r="T344" s="36"/>
      <c r="U344" s="36">
        <v>0</v>
      </c>
      <c r="V344" s="36"/>
      <c r="W344" s="36">
        <v>0</v>
      </c>
      <c r="X344" s="36"/>
      <c r="Y344" s="36">
        <v>0</v>
      </c>
      <c r="Z344" s="36"/>
      <c r="AA344" s="36">
        <v>0</v>
      </c>
      <c r="AB344" s="36"/>
      <c r="AC344" s="36">
        <v>0</v>
      </c>
      <c r="AD344" s="36"/>
      <c r="AE344" s="36">
        <v>81.85</v>
      </c>
      <c r="AF344" s="36"/>
      <c r="AG344" s="36">
        <v>0</v>
      </c>
      <c r="AH344" s="36"/>
      <c r="AI344" s="36">
        <f>SUM(E344:AG344)</f>
        <v>67667.71</v>
      </c>
      <c r="AJ344" s="10"/>
    </row>
    <row r="345" spans="1:36" ht="12.75">
      <c r="A345" s="1" t="s">
        <v>853</v>
      </c>
      <c r="C345" s="1" t="s">
        <v>790</v>
      </c>
      <c r="E345" s="36">
        <v>97800.43</v>
      </c>
      <c r="F345" s="36"/>
      <c r="G345" s="36">
        <v>386674.7</v>
      </c>
      <c r="H345" s="36"/>
      <c r="I345" s="36">
        <v>36001.4</v>
      </c>
      <c r="J345" s="36"/>
      <c r="K345" s="36">
        <v>0</v>
      </c>
      <c r="L345" s="36"/>
      <c r="M345" s="36">
        <v>160331.63</v>
      </c>
      <c r="N345" s="36"/>
      <c r="O345" s="36">
        <v>22893.15</v>
      </c>
      <c r="P345" s="36"/>
      <c r="Q345" s="36">
        <v>160.4</v>
      </c>
      <c r="R345" s="36"/>
      <c r="S345" s="36">
        <v>0</v>
      </c>
      <c r="T345" s="36"/>
      <c r="U345" s="36">
        <v>0</v>
      </c>
      <c r="V345" s="36"/>
      <c r="W345" s="36">
        <v>66253.75</v>
      </c>
      <c r="X345" s="36"/>
      <c r="Y345" s="36">
        <v>0</v>
      </c>
      <c r="Z345" s="36"/>
      <c r="AA345" s="36">
        <v>0</v>
      </c>
      <c r="AB345" s="36"/>
      <c r="AC345" s="36">
        <v>0</v>
      </c>
      <c r="AD345" s="36"/>
      <c r="AE345" s="36">
        <v>0</v>
      </c>
      <c r="AF345" s="36"/>
      <c r="AG345" s="36">
        <v>0</v>
      </c>
      <c r="AH345" s="36"/>
      <c r="AI345" s="36">
        <f>SUM(E345:AG345)</f>
        <v>770115.4600000001</v>
      </c>
      <c r="AJ345" s="10"/>
    </row>
    <row r="346" spans="1:36" ht="12.75">
      <c r="A346" s="1" t="s">
        <v>246</v>
      </c>
      <c r="C346" s="1" t="s">
        <v>822</v>
      </c>
      <c r="E346" s="36">
        <v>1648.74</v>
      </c>
      <c r="F346" s="36"/>
      <c r="G346" s="36">
        <v>0</v>
      </c>
      <c r="H346" s="36"/>
      <c r="I346" s="36">
        <v>30205.89</v>
      </c>
      <c r="J346" s="36"/>
      <c r="K346" s="36">
        <v>0</v>
      </c>
      <c r="L346" s="36"/>
      <c r="M346" s="36">
        <v>3715</v>
      </c>
      <c r="N346" s="36"/>
      <c r="O346" s="36">
        <v>0</v>
      </c>
      <c r="P346" s="36"/>
      <c r="Q346" s="36">
        <v>140.08</v>
      </c>
      <c r="R346" s="36"/>
      <c r="S346" s="36">
        <v>38</v>
      </c>
      <c r="T346" s="36"/>
      <c r="U346" s="36">
        <v>0</v>
      </c>
      <c r="V346" s="36"/>
      <c r="W346" s="36">
        <v>0</v>
      </c>
      <c r="X346" s="36"/>
      <c r="Y346" s="36">
        <v>0</v>
      </c>
      <c r="Z346" s="36"/>
      <c r="AA346" s="36">
        <v>0</v>
      </c>
      <c r="AB346" s="36"/>
      <c r="AC346" s="36">
        <v>0</v>
      </c>
      <c r="AD346" s="36"/>
      <c r="AE346" s="36">
        <v>0</v>
      </c>
      <c r="AF346" s="36"/>
      <c r="AG346" s="36">
        <v>0</v>
      </c>
      <c r="AH346" s="36"/>
      <c r="AI346" s="36">
        <f>SUM(E346:AG346)</f>
        <v>35747.71000000001</v>
      </c>
      <c r="AJ346" s="10"/>
    </row>
    <row r="347" spans="1:36" ht="12.75">
      <c r="A347" s="1" t="s">
        <v>455</v>
      </c>
      <c r="C347" s="1" t="s">
        <v>520</v>
      </c>
      <c r="E347" s="83">
        <v>29340</v>
      </c>
      <c r="F347" s="83"/>
      <c r="G347" s="83">
        <v>0</v>
      </c>
      <c r="H347" s="83"/>
      <c r="I347" s="83">
        <v>92666</v>
      </c>
      <c r="J347" s="83"/>
      <c r="K347" s="83">
        <v>0</v>
      </c>
      <c r="L347" s="83"/>
      <c r="M347" s="83">
        <v>1575</v>
      </c>
      <c r="N347" s="83"/>
      <c r="O347" s="83">
        <v>2095</v>
      </c>
      <c r="P347" s="83"/>
      <c r="Q347" s="83">
        <v>100</v>
      </c>
      <c r="R347" s="83"/>
      <c r="S347" s="83">
        <v>2017</v>
      </c>
      <c r="T347" s="83"/>
      <c r="U347" s="83">
        <v>0</v>
      </c>
      <c r="V347" s="83"/>
      <c r="W347" s="83">
        <v>0</v>
      </c>
      <c r="X347" s="83"/>
      <c r="Y347" s="83">
        <v>0</v>
      </c>
      <c r="Z347" s="83"/>
      <c r="AA347" s="83">
        <v>0</v>
      </c>
      <c r="AB347" s="83"/>
      <c r="AC347" s="83">
        <v>0</v>
      </c>
      <c r="AD347" s="83"/>
      <c r="AE347" s="83">
        <v>0</v>
      </c>
      <c r="AF347" s="83"/>
      <c r="AG347" s="83">
        <v>0</v>
      </c>
      <c r="AH347" s="83"/>
      <c r="AI347" s="83">
        <f t="shared" si="18"/>
        <v>127793</v>
      </c>
      <c r="AJ347" s="10"/>
    </row>
    <row r="348" spans="1:36" ht="12.75">
      <c r="A348" s="1" t="s">
        <v>606</v>
      </c>
      <c r="C348" s="1" t="s">
        <v>603</v>
      </c>
      <c r="E348" s="93">
        <v>55456.58</v>
      </c>
      <c r="F348" s="93"/>
      <c r="G348" s="93">
        <v>158168.9</v>
      </c>
      <c r="H348" s="93"/>
      <c r="I348" s="93">
        <v>13083.43</v>
      </c>
      <c r="J348" s="93"/>
      <c r="K348" s="93">
        <v>0</v>
      </c>
      <c r="L348" s="93"/>
      <c r="M348" s="93">
        <v>64977.85</v>
      </c>
      <c r="N348" s="93"/>
      <c r="O348" s="93">
        <v>7830.06</v>
      </c>
      <c r="P348" s="93"/>
      <c r="Q348" s="93">
        <v>1025.33</v>
      </c>
      <c r="R348" s="93"/>
      <c r="S348" s="93">
        <v>1806.05</v>
      </c>
      <c r="T348" s="93"/>
      <c r="U348" s="93">
        <v>0</v>
      </c>
      <c r="V348" s="93"/>
      <c r="W348" s="93">
        <v>0</v>
      </c>
      <c r="X348" s="93"/>
      <c r="Y348" s="93">
        <v>0</v>
      </c>
      <c r="Z348" s="93"/>
      <c r="AA348" s="93">
        <v>0</v>
      </c>
      <c r="AB348" s="93"/>
      <c r="AC348" s="93">
        <v>0</v>
      </c>
      <c r="AD348" s="93"/>
      <c r="AE348" s="93">
        <v>0</v>
      </c>
      <c r="AF348" s="93"/>
      <c r="AG348" s="93">
        <v>0</v>
      </c>
      <c r="AH348" s="93"/>
      <c r="AI348" s="93">
        <f>SUM(E348:AG348)</f>
        <v>302348.19999999995</v>
      </c>
      <c r="AJ348" s="10"/>
    </row>
    <row r="349" spans="1:36" s="21" customFormat="1" ht="12.75">
      <c r="A349" s="1" t="s">
        <v>110</v>
      </c>
      <c r="B349" s="1"/>
      <c r="C349" s="1" t="s">
        <v>778</v>
      </c>
      <c r="D349" s="1"/>
      <c r="E349" s="36">
        <v>53381.59</v>
      </c>
      <c r="F349" s="36"/>
      <c r="G349" s="36">
        <v>0</v>
      </c>
      <c r="H349" s="36"/>
      <c r="I349" s="36">
        <v>60156.34</v>
      </c>
      <c r="J349" s="36"/>
      <c r="K349" s="36">
        <v>0</v>
      </c>
      <c r="L349" s="36"/>
      <c r="M349" s="36">
        <v>20000</v>
      </c>
      <c r="N349" s="36"/>
      <c r="O349" s="36">
        <v>40203.6</v>
      </c>
      <c r="P349" s="36"/>
      <c r="Q349" s="36">
        <v>2715.29</v>
      </c>
      <c r="R349" s="36"/>
      <c r="S349" s="36">
        <v>38064.87</v>
      </c>
      <c r="T349" s="36"/>
      <c r="U349" s="36">
        <v>0</v>
      </c>
      <c r="V349" s="36"/>
      <c r="W349" s="36">
        <v>0</v>
      </c>
      <c r="X349" s="36"/>
      <c r="Y349" s="36">
        <v>0</v>
      </c>
      <c r="Z349" s="36"/>
      <c r="AA349" s="36">
        <v>0</v>
      </c>
      <c r="AB349" s="36"/>
      <c r="AC349" s="36">
        <v>10642</v>
      </c>
      <c r="AD349" s="36"/>
      <c r="AE349" s="36">
        <v>35000.02</v>
      </c>
      <c r="AF349" s="36"/>
      <c r="AG349" s="36">
        <v>0</v>
      </c>
      <c r="AH349" s="36"/>
      <c r="AI349" s="36">
        <f>SUM(E349:AG349)</f>
        <v>260163.71</v>
      </c>
      <c r="AJ349" s="10"/>
    </row>
    <row r="350" spans="1:36" s="21" customFormat="1" ht="12.75">
      <c r="A350" s="1" t="s">
        <v>78</v>
      </c>
      <c r="B350" s="1"/>
      <c r="C350" s="1" t="s">
        <v>769</v>
      </c>
      <c r="D350" s="1"/>
      <c r="E350" s="36">
        <v>71566.78</v>
      </c>
      <c r="F350" s="36"/>
      <c r="G350" s="36">
        <v>0</v>
      </c>
      <c r="H350" s="36"/>
      <c r="I350" s="36">
        <v>36212.08</v>
      </c>
      <c r="J350" s="36"/>
      <c r="K350" s="36">
        <v>0</v>
      </c>
      <c r="L350" s="36"/>
      <c r="M350" s="36">
        <v>0</v>
      </c>
      <c r="N350" s="36"/>
      <c r="O350" s="36">
        <v>1828.4</v>
      </c>
      <c r="P350" s="36"/>
      <c r="Q350" s="36">
        <v>647.27</v>
      </c>
      <c r="R350" s="36"/>
      <c r="S350" s="36">
        <v>6674.99</v>
      </c>
      <c r="T350" s="36"/>
      <c r="U350" s="36">
        <v>0</v>
      </c>
      <c r="V350" s="36"/>
      <c r="W350" s="36">
        <v>0</v>
      </c>
      <c r="X350" s="36"/>
      <c r="Y350" s="36">
        <v>0</v>
      </c>
      <c r="Z350" s="36"/>
      <c r="AA350" s="36">
        <v>0</v>
      </c>
      <c r="AB350" s="36"/>
      <c r="AC350" s="36">
        <v>0</v>
      </c>
      <c r="AD350" s="36"/>
      <c r="AE350" s="36">
        <v>0</v>
      </c>
      <c r="AF350" s="36"/>
      <c r="AG350" s="36">
        <v>0</v>
      </c>
      <c r="AH350" s="36"/>
      <c r="AI350" s="36">
        <f>SUM(E350:AG350)</f>
        <v>116929.52</v>
      </c>
      <c r="AJ350" s="10"/>
    </row>
    <row r="351" spans="1:36" s="21" customFormat="1" ht="12.75">
      <c r="A351" s="15" t="s">
        <v>432</v>
      </c>
      <c r="B351" s="15"/>
      <c r="C351" s="15" t="s">
        <v>430</v>
      </c>
      <c r="D351" s="15"/>
      <c r="E351" s="36">
        <v>102607.49</v>
      </c>
      <c r="F351" s="36"/>
      <c r="G351" s="36">
        <v>873622.73</v>
      </c>
      <c r="H351" s="36"/>
      <c r="I351" s="36">
        <v>180394.68</v>
      </c>
      <c r="J351" s="36"/>
      <c r="K351" s="36">
        <v>0</v>
      </c>
      <c r="L351" s="36"/>
      <c r="M351" s="36">
        <v>15360</v>
      </c>
      <c r="N351" s="36"/>
      <c r="O351" s="36">
        <v>100311.03</v>
      </c>
      <c r="P351" s="36"/>
      <c r="Q351" s="36">
        <v>1421.98</v>
      </c>
      <c r="R351" s="36"/>
      <c r="S351" s="36">
        <v>22608.24</v>
      </c>
      <c r="T351" s="36"/>
      <c r="U351" s="36">
        <v>0</v>
      </c>
      <c r="V351" s="36"/>
      <c r="W351" s="36">
        <v>0</v>
      </c>
      <c r="X351" s="36"/>
      <c r="Y351" s="36">
        <v>0</v>
      </c>
      <c r="Z351" s="36"/>
      <c r="AA351" s="36">
        <v>2591.17</v>
      </c>
      <c r="AB351" s="36"/>
      <c r="AC351" s="36">
        <v>110000</v>
      </c>
      <c r="AD351" s="36"/>
      <c r="AE351" s="36">
        <v>0</v>
      </c>
      <c r="AF351" s="36"/>
      <c r="AG351" s="36">
        <v>0</v>
      </c>
      <c r="AH351" s="36"/>
      <c r="AI351" s="36">
        <f>SUM(E351:AG351)</f>
        <v>1408917.3199999998</v>
      </c>
      <c r="AJ351" s="10"/>
    </row>
    <row r="352" spans="1:36" ht="12.75">
      <c r="A352" s="1" t="s">
        <v>236</v>
      </c>
      <c r="C352" s="1" t="s">
        <v>819</v>
      </c>
      <c r="E352" s="36">
        <v>25490.58</v>
      </c>
      <c r="F352" s="36"/>
      <c r="G352" s="36">
        <v>0</v>
      </c>
      <c r="H352" s="36"/>
      <c r="I352" s="36">
        <v>7021.17</v>
      </c>
      <c r="J352" s="36"/>
      <c r="K352" s="36">
        <v>0</v>
      </c>
      <c r="L352" s="36"/>
      <c r="M352" s="36">
        <v>1370.11</v>
      </c>
      <c r="N352" s="36"/>
      <c r="O352" s="36">
        <v>125</v>
      </c>
      <c r="P352" s="36"/>
      <c r="Q352" s="36">
        <v>36.5</v>
      </c>
      <c r="R352" s="36"/>
      <c r="S352" s="36">
        <v>387.52</v>
      </c>
      <c r="T352" s="36"/>
      <c r="U352" s="36">
        <v>0</v>
      </c>
      <c r="V352" s="36"/>
      <c r="W352" s="36">
        <v>0</v>
      </c>
      <c r="X352" s="36"/>
      <c r="Y352" s="36">
        <v>0</v>
      </c>
      <c r="Z352" s="36"/>
      <c r="AA352" s="36">
        <v>0</v>
      </c>
      <c r="AB352" s="36"/>
      <c r="AC352" s="36">
        <v>0</v>
      </c>
      <c r="AD352" s="36"/>
      <c r="AE352" s="36">
        <v>0</v>
      </c>
      <c r="AF352" s="36"/>
      <c r="AG352" s="36">
        <v>0</v>
      </c>
      <c r="AH352" s="36"/>
      <c r="AI352" s="36">
        <f>SUM(E352:AG352)</f>
        <v>34430.88</v>
      </c>
      <c r="AJ352" s="10"/>
    </row>
    <row r="353" spans="1:36" ht="12.75">
      <c r="A353" s="15" t="s">
        <v>546</v>
      </c>
      <c r="B353" s="15"/>
      <c r="C353" s="15" t="s">
        <v>542</v>
      </c>
      <c r="D353" s="15"/>
      <c r="E353" s="85">
        <f>119275.82+37.5</f>
        <v>119313.32</v>
      </c>
      <c r="F353" s="85"/>
      <c r="G353" s="85">
        <v>29759.96</v>
      </c>
      <c r="H353" s="85"/>
      <c r="I353" s="85">
        <v>23432.74</v>
      </c>
      <c r="J353" s="85"/>
      <c r="K353" s="85">
        <v>0</v>
      </c>
      <c r="L353" s="85"/>
      <c r="M353" s="85">
        <v>95782.27</v>
      </c>
      <c r="N353" s="85"/>
      <c r="O353" s="85">
        <v>5242.76</v>
      </c>
      <c r="P353" s="85"/>
      <c r="Q353" s="85">
        <v>6089.2</v>
      </c>
      <c r="R353" s="85"/>
      <c r="S353" s="85">
        <f>658+14318.02</f>
        <v>14976.02</v>
      </c>
      <c r="T353" s="85"/>
      <c r="U353" s="83">
        <v>0</v>
      </c>
      <c r="V353" s="85"/>
      <c r="W353" s="83">
        <v>0</v>
      </c>
      <c r="X353" s="85"/>
      <c r="Y353" s="83">
        <v>0</v>
      </c>
      <c r="Z353" s="85"/>
      <c r="AA353" s="83">
        <v>0</v>
      </c>
      <c r="AB353" s="85"/>
      <c r="AC353" s="83">
        <v>0</v>
      </c>
      <c r="AD353" s="85"/>
      <c r="AE353" s="85">
        <v>0</v>
      </c>
      <c r="AF353" s="85"/>
      <c r="AG353" s="83">
        <v>0</v>
      </c>
      <c r="AH353" s="85"/>
      <c r="AI353" s="83">
        <f t="shared" si="18"/>
        <v>294596.27</v>
      </c>
      <c r="AJ353" s="38"/>
    </row>
    <row r="354" spans="1:36" ht="12.75">
      <c r="A354" s="1" t="s">
        <v>242</v>
      </c>
      <c r="C354" s="1" t="s">
        <v>821</v>
      </c>
      <c r="E354" s="36">
        <v>32870.88</v>
      </c>
      <c r="F354" s="36"/>
      <c r="G354" s="36">
        <v>294304.49</v>
      </c>
      <c r="H354" s="36"/>
      <c r="I354" s="36">
        <v>8529.56</v>
      </c>
      <c r="J354" s="36"/>
      <c r="K354" s="36">
        <v>0</v>
      </c>
      <c r="L354" s="36"/>
      <c r="M354" s="36">
        <v>65022.43</v>
      </c>
      <c r="N354" s="36"/>
      <c r="O354" s="36">
        <v>22475.1</v>
      </c>
      <c r="P354" s="36"/>
      <c r="Q354" s="36">
        <v>3025.32</v>
      </c>
      <c r="R354" s="36"/>
      <c r="S354" s="36">
        <v>9994.51</v>
      </c>
      <c r="T354" s="36"/>
      <c r="U354" s="36">
        <v>0</v>
      </c>
      <c r="V354" s="36"/>
      <c r="W354" s="36">
        <v>0</v>
      </c>
      <c r="X354" s="36"/>
      <c r="Y354" s="36">
        <v>0</v>
      </c>
      <c r="Z354" s="36"/>
      <c r="AA354" s="36">
        <v>0</v>
      </c>
      <c r="AB354" s="36"/>
      <c r="AC354" s="36">
        <v>0</v>
      </c>
      <c r="AD354" s="36"/>
      <c r="AE354" s="36">
        <v>0</v>
      </c>
      <c r="AF354" s="36"/>
      <c r="AG354" s="36">
        <v>0</v>
      </c>
      <c r="AH354" s="36"/>
      <c r="AI354" s="36">
        <f aca="true" t="shared" si="19" ref="AI354:AI362">SUM(E354:AG354)</f>
        <v>436222.29</v>
      </c>
      <c r="AJ354" s="10"/>
    </row>
    <row r="355" spans="1:36" ht="12.75">
      <c r="A355" s="1" t="s">
        <v>107</v>
      </c>
      <c r="C355" s="1" t="s">
        <v>777</v>
      </c>
      <c r="E355" s="36">
        <v>6035.43</v>
      </c>
      <c r="F355" s="36"/>
      <c r="G355" s="36">
        <v>0</v>
      </c>
      <c r="H355" s="36"/>
      <c r="I355" s="36">
        <v>11863.99</v>
      </c>
      <c r="J355" s="36"/>
      <c r="K355" s="36">
        <v>0</v>
      </c>
      <c r="L355" s="36"/>
      <c r="M355" s="36">
        <v>0</v>
      </c>
      <c r="N355" s="36"/>
      <c r="O355" s="36">
        <v>538.94</v>
      </c>
      <c r="P355" s="36"/>
      <c r="Q355" s="36">
        <v>1697.76</v>
      </c>
      <c r="R355" s="36"/>
      <c r="S355" s="36">
        <v>104.54</v>
      </c>
      <c r="T355" s="36"/>
      <c r="U355" s="36">
        <v>0</v>
      </c>
      <c r="V355" s="36"/>
      <c r="W355" s="36">
        <v>0</v>
      </c>
      <c r="X355" s="36"/>
      <c r="Y355" s="36">
        <v>0</v>
      </c>
      <c r="Z355" s="36"/>
      <c r="AA355" s="36">
        <v>42000</v>
      </c>
      <c r="AB355" s="36"/>
      <c r="AC355" s="36">
        <v>0</v>
      </c>
      <c r="AD355" s="36"/>
      <c r="AE355" s="36">
        <v>2300.71</v>
      </c>
      <c r="AF355" s="36"/>
      <c r="AG355" s="36">
        <v>0</v>
      </c>
      <c r="AH355" s="36"/>
      <c r="AI355" s="36">
        <f t="shared" si="19"/>
        <v>64541.369999999995</v>
      </c>
      <c r="AJ355" s="10"/>
    </row>
    <row r="356" spans="1:36" ht="12.75">
      <c r="A356" s="1" t="s">
        <v>948</v>
      </c>
      <c r="C356" s="1" t="s">
        <v>897</v>
      </c>
      <c r="E356" s="36">
        <v>7773.36</v>
      </c>
      <c r="F356" s="36"/>
      <c r="G356" s="36">
        <v>81429.21</v>
      </c>
      <c r="H356" s="36"/>
      <c r="I356" s="36">
        <v>73820.7</v>
      </c>
      <c r="J356" s="36"/>
      <c r="K356" s="36">
        <v>0</v>
      </c>
      <c r="L356" s="36"/>
      <c r="M356" s="36">
        <v>0</v>
      </c>
      <c r="N356" s="36"/>
      <c r="O356" s="36">
        <v>8394.61</v>
      </c>
      <c r="P356" s="36"/>
      <c r="Q356" s="36">
        <v>423.48</v>
      </c>
      <c r="R356" s="36"/>
      <c r="S356" s="36">
        <v>1652.12</v>
      </c>
      <c r="T356" s="36"/>
      <c r="U356" s="36">
        <v>0</v>
      </c>
      <c r="V356" s="36"/>
      <c r="W356" s="36">
        <v>0</v>
      </c>
      <c r="X356" s="36"/>
      <c r="Y356" s="36">
        <v>0</v>
      </c>
      <c r="Z356" s="36"/>
      <c r="AA356" s="36">
        <v>0</v>
      </c>
      <c r="AB356" s="36"/>
      <c r="AC356" s="36">
        <v>0</v>
      </c>
      <c r="AD356" s="36"/>
      <c r="AE356" s="36">
        <v>1050</v>
      </c>
      <c r="AF356" s="36"/>
      <c r="AG356" s="36">
        <v>0</v>
      </c>
      <c r="AH356" s="36"/>
      <c r="AI356" s="36">
        <f t="shared" si="19"/>
        <v>174543.48</v>
      </c>
      <c r="AJ356" s="10"/>
    </row>
    <row r="357" spans="1:39" ht="12.75">
      <c r="A357" s="1" t="s">
        <v>30</v>
      </c>
      <c r="C357" s="1" t="s">
        <v>753</v>
      </c>
      <c r="E357" s="36">
        <v>28648.12</v>
      </c>
      <c r="F357" s="36"/>
      <c r="G357" s="36">
        <v>174778.57</v>
      </c>
      <c r="H357" s="36"/>
      <c r="I357" s="36">
        <v>71613.27</v>
      </c>
      <c r="J357" s="36"/>
      <c r="K357" s="36">
        <v>0</v>
      </c>
      <c r="L357" s="36"/>
      <c r="M357" s="36">
        <v>9337.94</v>
      </c>
      <c r="N357" s="36"/>
      <c r="O357" s="36">
        <v>9977.49</v>
      </c>
      <c r="P357" s="36"/>
      <c r="Q357" s="36">
        <v>40.16</v>
      </c>
      <c r="R357" s="36"/>
      <c r="S357" s="36">
        <v>15621.29</v>
      </c>
      <c r="T357" s="36"/>
      <c r="U357" s="36">
        <v>0</v>
      </c>
      <c r="V357" s="36"/>
      <c r="W357" s="36">
        <v>0</v>
      </c>
      <c r="X357" s="36"/>
      <c r="Y357" s="36">
        <v>0</v>
      </c>
      <c r="Z357" s="36"/>
      <c r="AA357" s="36">
        <v>0</v>
      </c>
      <c r="AB357" s="36"/>
      <c r="AC357" s="36">
        <v>0</v>
      </c>
      <c r="AD357" s="36"/>
      <c r="AE357" s="36">
        <v>0</v>
      </c>
      <c r="AF357" s="36"/>
      <c r="AG357" s="36">
        <v>0</v>
      </c>
      <c r="AH357" s="36"/>
      <c r="AI357" s="36">
        <f t="shared" si="19"/>
        <v>310016.83999999997</v>
      </c>
      <c r="AJ357" s="10"/>
      <c r="AK357" s="7"/>
      <c r="AL357" s="7"/>
      <c r="AM357" s="7"/>
    </row>
    <row r="358" spans="1:39" ht="12.75">
      <c r="A358" s="1" t="s">
        <v>932</v>
      </c>
      <c r="C358" s="1" t="s">
        <v>662</v>
      </c>
      <c r="E358" s="36">
        <v>35237.98</v>
      </c>
      <c r="F358" s="36"/>
      <c r="G358" s="36">
        <v>144422.98</v>
      </c>
      <c r="H358" s="36"/>
      <c r="I358" s="36">
        <v>65600.38</v>
      </c>
      <c r="J358" s="36"/>
      <c r="K358" s="36">
        <v>0</v>
      </c>
      <c r="L358" s="36"/>
      <c r="M358" s="36">
        <v>3045</v>
      </c>
      <c r="N358" s="36"/>
      <c r="O358" s="36">
        <v>28713.53</v>
      </c>
      <c r="P358" s="36"/>
      <c r="Q358" s="36">
        <v>328.72</v>
      </c>
      <c r="R358" s="36"/>
      <c r="S358" s="36">
        <v>1100</v>
      </c>
      <c r="T358" s="36"/>
      <c r="U358" s="36">
        <v>0</v>
      </c>
      <c r="V358" s="36"/>
      <c r="W358" s="36">
        <v>0</v>
      </c>
      <c r="X358" s="36"/>
      <c r="Y358" s="36">
        <v>0</v>
      </c>
      <c r="Z358" s="36"/>
      <c r="AA358" s="36">
        <v>0</v>
      </c>
      <c r="AB358" s="36"/>
      <c r="AC358" s="36">
        <v>0</v>
      </c>
      <c r="AD358" s="36"/>
      <c r="AE358" s="36">
        <v>0</v>
      </c>
      <c r="AF358" s="36"/>
      <c r="AG358" s="36">
        <v>0</v>
      </c>
      <c r="AH358" s="36"/>
      <c r="AI358" s="36">
        <f t="shared" si="19"/>
        <v>278448.58999999997</v>
      </c>
      <c r="AJ358" s="10"/>
      <c r="AK358" s="7"/>
      <c r="AL358" s="7"/>
      <c r="AM358" s="7"/>
    </row>
    <row r="359" spans="1:36" ht="12.75">
      <c r="A359" s="1" t="s">
        <v>195</v>
      </c>
      <c r="C359" s="1" t="s">
        <v>806</v>
      </c>
      <c r="E359" s="36">
        <v>12660.95</v>
      </c>
      <c r="F359" s="36"/>
      <c r="G359" s="36">
        <v>444600.86</v>
      </c>
      <c r="H359" s="36"/>
      <c r="I359" s="36">
        <v>112326.6</v>
      </c>
      <c r="J359" s="36"/>
      <c r="K359" s="36">
        <v>0</v>
      </c>
      <c r="L359" s="36"/>
      <c r="M359" s="36">
        <v>76568.98</v>
      </c>
      <c r="N359" s="36"/>
      <c r="O359" s="36">
        <v>30429.82</v>
      </c>
      <c r="P359" s="36"/>
      <c r="Q359" s="36">
        <v>2067.3</v>
      </c>
      <c r="R359" s="36"/>
      <c r="S359" s="36">
        <v>0</v>
      </c>
      <c r="T359" s="36"/>
      <c r="U359" s="36">
        <v>0</v>
      </c>
      <c r="V359" s="36"/>
      <c r="W359" s="36">
        <v>0</v>
      </c>
      <c r="X359" s="36"/>
      <c r="Y359" s="36">
        <v>0</v>
      </c>
      <c r="Z359" s="36"/>
      <c r="AA359" s="36">
        <v>0</v>
      </c>
      <c r="AB359" s="36"/>
      <c r="AC359" s="36">
        <v>23861.12</v>
      </c>
      <c r="AD359" s="36"/>
      <c r="AE359" s="36">
        <v>486.68</v>
      </c>
      <c r="AF359" s="36"/>
      <c r="AG359" s="36">
        <v>0</v>
      </c>
      <c r="AH359" s="36"/>
      <c r="AI359" s="36">
        <f t="shared" si="19"/>
        <v>703002.31</v>
      </c>
      <c r="AJ359" s="10"/>
    </row>
    <row r="360" spans="1:36" s="21" customFormat="1" ht="12.75">
      <c r="A360" s="1" t="s">
        <v>73</v>
      </c>
      <c r="B360" s="1"/>
      <c r="C360" s="1" t="s">
        <v>768</v>
      </c>
      <c r="D360" s="1"/>
      <c r="E360" s="93">
        <v>10274.1</v>
      </c>
      <c r="F360" s="93"/>
      <c r="G360" s="93">
        <v>817803.91</v>
      </c>
      <c r="H360" s="93"/>
      <c r="I360" s="93">
        <v>55000.55</v>
      </c>
      <c r="J360" s="93"/>
      <c r="K360" s="93">
        <v>0</v>
      </c>
      <c r="L360" s="93"/>
      <c r="M360" s="93">
        <v>0</v>
      </c>
      <c r="N360" s="93"/>
      <c r="O360" s="93">
        <v>52625</v>
      </c>
      <c r="P360" s="93"/>
      <c r="Q360" s="93">
        <v>4102.89</v>
      </c>
      <c r="R360" s="93"/>
      <c r="S360" s="93">
        <v>9799.13</v>
      </c>
      <c r="T360" s="93"/>
      <c r="U360" s="93">
        <v>0</v>
      </c>
      <c r="V360" s="93"/>
      <c r="W360" s="93">
        <v>0</v>
      </c>
      <c r="X360" s="93"/>
      <c r="Y360" s="93">
        <v>0</v>
      </c>
      <c r="Z360" s="93"/>
      <c r="AA360" s="93">
        <v>0</v>
      </c>
      <c r="AB360" s="93"/>
      <c r="AC360" s="93">
        <v>0</v>
      </c>
      <c r="AD360" s="93"/>
      <c r="AE360" s="93">
        <v>0</v>
      </c>
      <c r="AF360" s="93"/>
      <c r="AG360" s="93">
        <v>0</v>
      </c>
      <c r="AH360" s="93"/>
      <c r="AI360" s="93">
        <f t="shared" si="19"/>
        <v>949605.5800000001</v>
      </c>
      <c r="AJ360" s="10"/>
    </row>
    <row r="361" spans="1:36" ht="12.75">
      <c r="A361" s="1" t="s">
        <v>841</v>
      </c>
      <c r="C361" s="1" t="s">
        <v>802</v>
      </c>
      <c r="E361" s="36">
        <v>392783.03</v>
      </c>
      <c r="F361" s="36"/>
      <c r="G361" s="36">
        <v>0</v>
      </c>
      <c r="H361" s="36"/>
      <c r="I361" s="36">
        <v>231084.14</v>
      </c>
      <c r="J361" s="36"/>
      <c r="K361" s="36">
        <v>0</v>
      </c>
      <c r="L361" s="36"/>
      <c r="M361" s="36">
        <v>31525</v>
      </c>
      <c r="N361" s="36"/>
      <c r="O361" s="36">
        <v>13110.91</v>
      </c>
      <c r="P361" s="36"/>
      <c r="Q361" s="36">
        <v>2832.7</v>
      </c>
      <c r="R361" s="36"/>
      <c r="S361" s="36">
        <v>65395.29</v>
      </c>
      <c r="T361" s="36"/>
      <c r="U361" s="36">
        <v>0</v>
      </c>
      <c r="V361" s="36"/>
      <c r="W361" s="36">
        <v>0</v>
      </c>
      <c r="X361" s="36"/>
      <c r="Y361" s="36">
        <v>0</v>
      </c>
      <c r="Z361" s="36"/>
      <c r="AA361" s="36">
        <v>0</v>
      </c>
      <c r="AB361" s="36"/>
      <c r="AC361" s="36">
        <v>3000</v>
      </c>
      <c r="AD361" s="36"/>
      <c r="AE361" s="36">
        <v>2358.47</v>
      </c>
      <c r="AF361" s="36"/>
      <c r="AG361" s="36">
        <v>0</v>
      </c>
      <c r="AH361" s="36"/>
      <c r="AI361" s="36">
        <f t="shared" si="19"/>
        <v>742089.54</v>
      </c>
      <c r="AJ361" s="10"/>
    </row>
    <row r="362" spans="1:36" s="21" customFormat="1" ht="12.75">
      <c r="A362" s="1" t="s">
        <v>173</v>
      </c>
      <c r="B362" s="1"/>
      <c r="C362" s="1" t="s">
        <v>243</v>
      </c>
      <c r="D362" s="1"/>
      <c r="E362" s="36">
        <v>11899.32</v>
      </c>
      <c r="F362" s="36"/>
      <c r="G362" s="36">
        <v>0</v>
      </c>
      <c r="H362" s="36"/>
      <c r="I362" s="36">
        <v>12680.38</v>
      </c>
      <c r="J362" s="36"/>
      <c r="K362" s="36">
        <v>37</v>
      </c>
      <c r="L362" s="36"/>
      <c r="M362" s="36">
        <v>0</v>
      </c>
      <c r="N362" s="36"/>
      <c r="O362" s="36">
        <v>1313.33</v>
      </c>
      <c r="P362" s="36"/>
      <c r="Q362" s="36">
        <v>135.24</v>
      </c>
      <c r="R362" s="36"/>
      <c r="S362" s="36">
        <v>0</v>
      </c>
      <c r="T362" s="36"/>
      <c r="U362" s="36">
        <v>0</v>
      </c>
      <c r="V362" s="36"/>
      <c r="W362" s="36">
        <v>0</v>
      </c>
      <c r="X362" s="36"/>
      <c r="Y362" s="36">
        <v>0</v>
      </c>
      <c r="Z362" s="36"/>
      <c r="AA362" s="36">
        <v>0</v>
      </c>
      <c r="AB362" s="36"/>
      <c r="AC362" s="36">
        <v>0</v>
      </c>
      <c r="AD362" s="36"/>
      <c r="AE362" s="36">
        <v>1402.44</v>
      </c>
      <c r="AF362" s="36"/>
      <c r="AG362" s="36">
        <v>0</v>
      </c>
      <c r="AH362" s="36"/>
      <c r="AI362" s="36">
        <f t="shared" si="19"/>
        <v>27467.71</v>
      </c>
      <c r="AJ362" s="10"/>
    </row>
    <row r="363" spans="1:36" s="21" customFormat="1" ht="12.75">
      <c r="A363" s="1" t="s">
        <v>384</v>
      </c>
      <c r="B363" s="1"/>
      <c r="C363" s="1" t="s">
        <v>378</v>
      </c>
      <c r="D363" s="1"/>
      <c r="E363" s="83">
        <v>309782</v>
      </c>
      <c r="F363" s="83"/>
      <c r="G363" s="83">
        <v>1857121</v>
      </c>
      <c r="H363" s="83"/>
      <c r="I363" s="83">
        <v>325673</v>
      </c>
      <c r="J363" s="83"/>
      <c r="K363" s="83">
        <v>0</v>
      </c>
      <c r="L363" s="83"/>
      <c r="M363" s="83">
        <v>303505</v>
      </c>
      <c r="N363" s="83"/>
      <c r="O363" s="83">
        <v>115191</v>
      </c>
      <c r="P363" s="83"/>
      <c r="Q363" s="83">
        <v>3332</v>
      </c>
      <c r="R363" s="83"/>
      <c r="S363" s="83">
        <v>176757</v>
      </c>
      <c r="T363" s="83"/>
      <c r="U363" s="83">
        <v>0</v>
      </c>
      <c r="V363" s="83"/>
      <c r="W363" s="83">
        <v>0</v>
      </c>
      <c r="X363" s="83"/>
      <c r="Y363" s="83">
        <v>0</v>
      </c>
      <c r="Z363" s="83"/>
      <c r="AA363" s="83">
        <v>0</v>
      </c>
      <c r="AB363" s="83"/>
      <c r="AC363" s="83">
        <v>0</v>
      </c>
      <c r="AD363" s="83"/>
      <c r="AE363" s="83">
        <v>0</v>
      </c>
      <c r="AF363" s="83"/>
      <c r="AG363" s="83">
        <v>0</v>
      </c>
      <c r="AH363" s="83"/>
      <c r="AI363" s="83">
        <f t="shared" si="18"/>
        <v>3091361</v>
      </c>
      <c r="AJ363" s="10"/>
    </row>
    <row r="364" spans="1:35" s="10" customFormat="1" ht="12.75" hidden="1">
      <c r="A364" s="10" t="s">
        <v>588</v>
      </c>
      <c r="C364" s="10" t="s">
        <v>587</v>
      </c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7"/>
      <c r="AG364" s="83"/>
      <c r="AH364" s="87"/>
      <c r="AI364" s="83">
        <f t="shared" si="18"/>
        <v>0</v>
      </c>
    </row>
    <row r="365" spans="1:36" ht="12.75">
      <c r="A365" s="1" t="s">
        <v>683</v>
      </c>
      <c r="C365" s="1" t="s">
        <v>590</v>
      </c>
      <c r="E365" s="83">
        <v>21270.19</v>
      </c>
      <c r="F365" s="83"/>
      <c r="G365" s="83">
        <v>52838.1</v>
      </c>
      <c r="H365" s="83"/>
      <c r="I365" s="83">
        <v>35764.44</v>
      </c>
      <c r="J365" s="83"/>
      <c r="K365" s="83">
        <v>0</v>
      </c>
      <c r="L365" s="83"/>
      <c r="M365" s="83">
        <v>4130.25</v>
      </c>
      <c r="N365" s="83"/>
      <c r="O365" s="83">
        <v>18911.54</v>
      </c>
      <c r="P365" s="83"/>
      <c r="Q365" s="83">
        <v>1481.31</v>
      </c>
      <c r="R365" s="83"/>
      <c r="S365" s="83">
        <v>3205.08</v>
      </c>
      <c r="T365" s="83"/>
      <c r="U365" s="83">
        <v>0</v>
      </c>
      <c r="V365" s="83"/>
      <c r="W365" s="83">
        <v>0</v>
      </c>
      <c r="X365" s="83"/>
      <c r="Y365" s="83">
        <v>0</v>
      </c>
      <c r="Z365" s="83"/>
      <c r="AA365" s="83">
        <v>40500</v>
      </c>
      <c r="AB365" s="83"/>
      <c r="AC365" s="83">
        <v>0</v>
      </c>
      <c r="AD365" s="83"/>
      <c r="AE365" s="83">
        <v>0</v>
      </c>
      <c r="AF365" s="83"/>
      <c r="AG365" s="83">
        <v>0</v>
      </c>
      <c r="AH365" s="83"/>
      <c r="AI365" s="83">
        <f t="shared" si="18"/>
        <v>178100.90999999997</v>
      </c>
      <c r="AJ365" s="10"/>
    </row>
    <row r="366" spans="1:36" s="21" customFormat="1" ht="12.75">
      <c r="A366" s="1" t="s">
        <v>123</v>
      </c>
      <c r="B366" s="1"/>
      <c r="C366" s="1" t="s">
        <v>782</v>
      </c>
      <c r="D366" s="1"/>
      <c r="E366" s="36">
        <v>10389.52</v>
      </c>
      <c r="F366" s="36"/>
      <c r="G366" s="36">
        <v>0</v>
      </c>
      <c r="H366" s="36"/>
      <c r="I366" s="36">
        <v>14834.76</v>
      </c>
      <c r="J366" s="36"/>
      <c r="K366" s="36">
        <v>0</v>
      </c>
      <c r="L366" s="36"/>
      <c r="M366" s="36">
        <v>0</v>
      </c>
      <c r="N366" s="36"/>
      <c r="O366" s="36">
        <v>0</v>
      </c>
      <c r="P366" s="36"/>
      <c r="Q366" s="36">
        <v>4.63</v>
      </c>
      <c r="R366" s="36"/>
      <c r="S366" s="36">
        <v>0</v>
      </c>
      <c r="T366" s="36"/>
      <c r="U366" s="36">
        <v>0</v>
      </c>
      <c r="V366" s="36"/>
      <c r="W366" s="36">
        <v>0</v>
      </c>
      <c r="X366" s="36"/>
      <c r="Y366" s="36">
        <v>0</v>
      </c>
      <c r="Z366" s="36"/>
      <c r="AA366" s="36">
        <v>0</v>
      </c>
      <c r="AB366" s="36"/>
      <c r="AC366" s="36">
        <v>0</v>
      </c>
      <c r="AD366" s="36"/>
      <c r="AE366" s="36">
        <v>0</v>
      </c>
      <c r="AF366" s="36"/>
      <c r="AG366" s="36">
        <v>0</v>
      </c>
      <c r="AH366" s="36"/>
      <c r="AI366" s="36">
        <f>SUM(E366:AG366)</f>
        <v>25228.91</v>
      </c>
      <c r="AJ366" s="10"/>
    </row>
    <row r="367" spans="1:39" s="21" customFormat="1" ht="12.75">
      <c r="A367" s="1" t="s">
        <v>301</v>
      </c>
      <c r="B367" s="1"/>
      <c r="C367" s="1" t="s">
        <v>299</v>
      </c>
      <c r="D367" s="1"/>
      <c r="E367" s="36">
        <v>13184.53</v>
      </c>
      <c r="F367" s="36"/>
      <c r="G367" s="36">
        <v>0</v>
      </c>
      <c r="H367" s="36"/>
      <c r="I367" s="36">
        <v>14908.59</v>
      </c>
      <c r="J367" s="36"/>
      <c r="K367" s="36">
        <v>0</v>
      </c>
      <c r="L367" s="36"/>
      <c r="M367" s="36">
        <v>0</v>
      </c>
      <c r="N367" s="36"/>
      <c r="O367" s="36">
        <v>1843.66</v>
      </c>
      <c r="P367" s="36"/>
      <c r="Q367" s="36">
        <v>9.46</v>
      </c>
      <c r="R367" s="36"/>
      <c r="S367" s="36">
        <v>670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v>0</v>
      </c>
      <c r="AF367" s="36"/>
      <c r="AG367" s="36">
        <v>0</v>
      </c>
      <c r="AH367" s="36"/>
      <c r="AI367" s="36">
        <f>SUM(E367:AG367)</f>
        <v>30616.24</v>
      </c>
      <c r="AJ367" s="10"/>
      <c r="AK367" s="22"/>
      <c r="AL367" s="22"/>
      <c r="AM367" s="22"/>
    </row>
    <row r="368" spans="1:36" ht="12.75">
      <c r="A368" s="1" t="s">
        <v>247</v>
      </c>
      <c r="C368" s="1" t="s">
        <v>822</v>
      </c>
      <c r="E368" s="36">
        <v>27469.72</v>
      </c>
      <c r="F368" s="36"/>
      <c r="G368" s="36">
        <v>0</v>
      </c>
      <c r="H368" s="36"/>
      <c r="I368" s="36">
        <v>45295.12</v>
      </c>
      <c r="J368" s="36"/>
      <c r="K368" s="36">
        <v>0</v>
      </c>
      <c r="L368" s="36"/>
      <c r="M368" s="36">
        <v>0</v>
      </c>
      <c r="N368" s="36"/>
      <c r="O368" s="36">
        <v>5485.29</v>
      </c>
      <c r="P368" s="36"/>
      <c r="Q368" s="36">
        <v>1024.23</v>
      </c>
      <c r="R368" s="36"/>
      <c r="S368" s="36">
        <v>15264.8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v>0</v>
      </c>
      <c r="AF368" s="36"/>
      <c r="AG368" s="36">
        <v>0</v>
      </c>
      <c r="AH368" s="36"/>
      <c r="AI368" s="36">
        <f>SUM(E368:AG368)</f>
        <v>94539.15999999999</v>
      </c>
      <c r="AJ368" s="10"/>
    </row>
    <row r="369" spans="1:39" s="31" customFormat="1" ht="12.75">
      <c r="A369" s="15" t="s">
        <v>322</v>
      </c>
      <c r="B369" s="15"/>
      <c r="C369" s="15" t="s">
        <v>316</v>
      </c>
      <c r="D369" s="15"/>
      <c r="E369" s="85">
        <f>165190+38877</f>
        <v>204067</v>
      </c>
      <c r="F369" s="85"/>
      <c r="G369" s="85">
        <v>14758495</v>
      </c>
      <c r="H369" s="85"/>
      <c r="I369" s="85">
        <v>787714</v>
      </c>
      <c r="J369" s="85"/>
      <c r="K369" s="85">
        <v>0</v>
      </c>
      <c r="L369" s="85"/>
      <c r="M369" s="85">
        <v>833982</v>
      </c>
      <c r="N369" s="85"/>
      <c r="O369" s="85">
        <v>91288</v>
      </c>
      <c r="P369" s="85"/>
      <c r="Q369" s="85">
        <v>2768</v>
      </c>
      <c r="R369" s="85"/>
      <c r="S369" s="85">
        <f>136467+168437+364361</f>
        <v>669265</v>
      </c>
      <c r="T369" s="85"/>
      <c r="U369" s="83">
        <v>0</v>
      </c>
      <c r="V369" s="85"/>
      <c r="W369" s="83">
        <v>0</v>
      </c>
      <c r="X369" s="85"/>
      <c r="Y369" s="85">
        <v>8943</v>
      </c>
      <c r="Z369" s="85"/>
      <c r="AA369" s="85">
        <v>0</v>
      </c>
      <c r="AB369" s="85"/>
      <c r="AC369" s="83">
        <v>0</v>
      </c>
      <c r="AD369" s="85"/>
      <c r="AE369" s="83">
        <v>0</v>
      </c>
      <c r="AF369" s="85"/>
      <c r="AG369" s="83">
        <v>0</v>
      </c>
      <c r="AH369" s="85"/>
      <c r="AI369" s="83">
        <f t="shared" si="18"/>
        <v>17356522</v>
      </c>
      <c r="AJ369" s="24"/>
      <c r="AK369" s="32"/>
      <c r="AL369" s="32"/>
      <c r="AM369" s="32"/>
    </row>
    <row r="370" spans="1:36" ht="12.75">
      <c r="A370" s="15" t="s">
        <v>302</v>
      </c>
      <c r="B370" s="15"/>
      <c r="C370" s="1" t="s">
        <v>82</v>
      </c>
      <c r="E370" s="36">
        <v>74691.48</v>
      </c>
      <c r="F370" s="36"/>
      <c r="G370" s="36">
        <v>0</v>
      </c>
      <c r="H370" s="36"/>
      <c r="I370" s="36">
        <v>118286.13</v>
      </c>
      <c r="J370" s="36"/>
      <c r="K370" s="36">
        <v>0</v>
      </c>
      <c r="L370" s="36"/>
      <c r="M370" s="36">
        <v>0</v>
      </c>
      <c r="N370" s="36"/>
      <c r="O370" s="36">
        <v>22252.24</v>
      </c>
      <c r="P370" s="36"/>
      <c r="Q370" s="36">
        <v>696.01</v>
      </c>
      <c r="R370" s="36"/>
      <c r="S370" s="36">
        <v>4996.29</v>
      </c>
      <c r="T370" s="36"/>
      <c r="U370" s="36">
        <v>0</v>
      </c>
      <c r="V370" s="36"/>
      <c r="W370" s="36">
        <v>0</v>
      </c>
      <c r="X370" s="36"/>
      <c r="Y370" s="36">
        <v>13110.8</v>
      </c>
      <c r="Z370" s="36"/>
      <c r="AA370" s="36">
        <v>0</v>
      </c>
      <c r="AB370" s="36"/>
      <c r="AC370" s="36">
        <v>0</v>
      </c>
      <c r="AD370" s="36"/>
      <c r="AE370" s="36">
        <v>26032.11</v>
      </c>
      <c r="AF370" s="36"/>
      <c r="AG370" s="36">
        <v>0</v>
      </c>
      <c r="AH370" s="36"/>
      <c r="AI370" s="36">
        <f>SUM(E370:AG370)</f>
        <v>260065.06</v>
      </c>
      <c r="AJ370" s="10"/>
    </row>
    <row r="371" spans="1:36" ht="12.75">
      <c r="A371" s="1" t="s">
        <v>108</v>
      </c>
      <c r="C371" s="1" t="s">
        <v>777</v>
      </c>
      <c r="E371" s="36">
        <v>27411.65</v>
      </c>
      <c r="F371" s="36"/>
      <c r="G371" s="36">
        <v>96297.03</v>
      </c>
      <c r="H371" s="36"/>
      <c r="I371" s="36">
        <v>33893.77</v>
      </c>
      <c r="J371" s="36"/>
      <c r="K371" s="36">
        <v>0</v>
      </c>
      <c r="L371" s="36"/>
      <c r="M371" s="36">
        <v>0</v>
      </c>
      <c r="N371" s="36"/>
      <c r="O371" s="36">
        <v>3892.05</v>
      </c>
      <c r="P371" s="36"/>
      <c r="Q371" s="36">
        <v>0</v>
      </c>
      <c r="R371" s="36"/>
      <c r="S371" s="36">
        <v>25161.78</v>
      </c>
      <c r="T371" s="36"/>
      <c r="U371" s="36">
        <v>0</v>
      </c>
      <c r="V371" s="36"/>
      <c r="W371" s="36">
        <v>0</v>
      </c>
      <c r="X371" s="36"/>
      <c r="Y371" s="36">
        <v>0</v>
      </c>
      <c r="Z371" s="36"/>
      <c r="AA371" s="36">
        <v>8893.2</v>
      </c>
      <c r="AB371" s="36"/>
      <c r="AC371" s="36">
        <v>0</v>
      </c>
      <c r="AD371" s="36"/>
      <c r="AE371" s="36">
        <v>0</v>
      </c>
      <c r="AF371" s="36"/>
      <c r="AG371" s="36">
        <v>0</v>
      </c>
      <c r="AH371" s="36"/>
      <c r="AI371" s="36">
        <f>SUM(E371:AG371)</f>
        <v>195549.47999999998</v>
      </c>
      <c r="AJ371" s="10"/>
    </row>
    <row r="372" spans="1:36" s="21" customFormat="1" ht="12.75">
      <c r="A372" s="1" t="s">
        <v>389</v>
      </c>
      <c r="B372" s="1"/>
      <c r="C372" s="1" t="s">
        <v>388</v>
      </c>
      <c r="D372" s="1"/>
      <c r="E372" s="83">
        <v>68996</v>
      </c>
      <c r="F372" s="83"/>
      <c r="G372" s="83">
        <v>839777</v>
      </c>
      <c r="H372" s="83"/>
      <c r="I372" s="83">
        <v>56536</v>
      </c>
      <c r="J372" s="83"/>
      <c r="K372" s="83">
        <v>0</v>
      </c>
      <c r="L372" s="83"/>
      <c r="M372" s="83">
        <v>23271</v>
      </c>
      <c r="N372" s="83"/>
      <c r="O372" s="83">
        <v>8842</v>
      </c>
      <c r="P372" s="83"/>
      <c r="Q372" s="83">
        <v>11662</v>
      </c>
      <c r="R372" s="83"/>
      <c r="S372" s="83">
        <v>29955</v>
      </c>
      <c r="T372" s="83"/>
      <c r="U372" s="83">
        <v>0</v>
      </c>
      <c r="V372" s="83"/>
      <c r="W372" s="83">
        <v>0</v>
      </c>
      <c r="X372" s="83"/>
      <c r="Y372" s="83">
        <v>0</v>
      </c>
      <c r="Z372" s="83"/>
      <c r="AA372" s="83">
        <v>0</v>
      </c>
      <c r="AB372" s="83"/>
      <c r="AC372" s="83">
        <v>0</v>
      </c>
      <c r="AD372" s="83"/>
      <c r="AE372" s="83">
        <v>0</v>
      </c>
      <c r="AF372" s="83"/>
      <c r="AG372" s="83">
        <v>0</v>
      </c>
      <c r="AH372" s="83"/>
      <c r="AI372" s="83">
        <f t="shared" si="18"/>
        <v>1039039</v>
      </c>
      <c r="AJ372" s="10"/>
    </row>
    <row r="373" spans="1:36" ht="12.75">
      <c r="A373" s="1" t="s">
        <v>168</v>
      </c>
      <c r="C373" s="1" t="s">
        <v>798</v>
      </c>
      <c r="E373" s="36">
        <v>29273.01</v>
      </c>
      <c r="F373" s="36"/>
      <c r="G373" s="36">
        <v>377531.97</v>
      </c>
      <c r="H373" s="36"/>
      <c r="I373" s="36">
        <v>106117.77</v>
      </c>
      <c r="J373" s="36"/>
      <c r="K373" s="36">
        <v>0</v>
      </c>
      <c r="L373" s="36"/>
      <c r="M373" s="36">
        <v>50967.71</v>
      </c>
      <c r="N373" s="36"/>
      <c r="O373" s="36">
        <v>30278.5</v>
      </c>
      <c r="P373" s="36"/>
      <c r="Q373" s="36">
        <v>27256.11</v>
      </c>
      <c r="R373" s="36"/>
      <c r="S373" s="36">
        <v>35593.86</v>
      </c>
      <c r="T373" s="36"/>
      <c r="U373" s="36">
        <v>0</v>
      </c>
      <c r="V373" s="36"/>
      <c r="W373" s="36">
        <v>20000</v>
      </c>
      <c r="X373" s="36"/>
      <c r="Y373" s="36">
        <v>0</v>
      </c>
      <c r="Z373" s="36"/>
      <c r="AA373" s="36">
        <v>0</v>
      </c>
      <c r="AB373" s="36"/>
      <c r="AC373" s="36">
        <v>0</v>
      </c>
      <c r="AD373" s="36"/>
      <c r="AE373" s="36">
        <v>0</v>
      </c>
      <c r="AF373" s="36"/>
      <c r="AG373" s="36">
        <v>0</v>
      </c>
      <c r="AH373" s="36"/>
      <c r="AI373" s="36">
        <f>SUM(E373:AG373)</f>
        <v>677018.9299999999</v>
      </c>
      <c r="AJ373" s="10"/>
    </row>
    <row r="374" spans="1:36" ht="12.75">
      <c r="A374" s="1" t="s">
        <v>560</v>
      </c>
      <c r="C374" s="1" t="s">
        <v>559</v>
      </c>
      <c r="E374" s="83">
        <v>159468</v>
      </c>
      <c r="F374" s="83"/>
      <c r="G374" s="83">
        <v>0</v>
      </c>
      <c r="H374" s="83"/>
      <c r="I374" s="83">
        <v>121901</v>
      </c>
      <c r="J374" s="83"/>
      <c r="K374" s="83">
        <v>0</v>
      </c>
      <c r="L374" s="83"/>
      <c r="M374" s="83">
        <v>24416</v>
      </c>
      <c r="N374" s="83"/>
      <c r="O374" s="83">
        <v>28142</v>
      </c>
      <c r="P374" s="83"/>
      <c r="Q374" s="83">
        <v>8162</v>
      </c>
      <c r="R374" s="83"/>
      <c r="S374" s="83">
        <v>92392</v>
      </c>
      <c r="T374" s="83"/>
      <c r="U374" s="83">
        <v>0</v>
      </c>
      <c r="V374" s="83"/>
      <c r="W374" s="83">
        <v>0</v>
      </c>
      <c r="X374" s="83"/>
      <c r="Y374" s="83">
        <v>0</v>
      </c>
      <c r="Z374" s="83"/>
      <c r="AA374" s="83">
        <v>600000</v>
      </c>
      <c r="AB374" s="83"/>
      <c r="AC374" s="83">
        <v>0</v>
      </c>
      <c r="AD374" s="83"/>
      <c r="AE374" s="83">
        <v>0</v>
      </c>
      <c r="AF374" s="83"/>
      <c r="AG374" s="83">
        <v>0</v>
      </c>
      <c r="AH374" s="83"/>
      <c r="AI374" s="83">
        <f t="shared" si="18"/>
        <v>1034481</v>
      </c>
      <c r="AJ374" s="10"/>
    </row>
    <row r="375" spans="1:36" ht="12.75">
      <c r="A375" s="1" t="s">
        <v>399</v>
      </c>
      <c r="C375" s="1" t="s">
        <v>396</v>
      </c>
      <c r="E375" s="83">
        <v>6747.96</v>
      </c>
      <c r="F375" s="83"/>
      <c r="G375" s="83">
        <v>54500</v>
      </c>
      <c r="H375" s="83"/>
      <c r="I375" s="83">
        <v>14884.81</v>
      </c>
      <c r="J375" s="83"/>
      <c r="K375" s="83">
        <v>519.28</v>
      </c>
      <c r="L375" s="83"/>
      <c r="M375" s="83">
        <v>15600</v>
      </c>
      <c r="N375" s="83"/>
      <c r="O375" s="83">
        <v>2651.46</v>
      </c>
      <c r="P375" s="83"/>
      <c r="Q375" s="83">
        <v>800.34</v>
      </c>
      <c r="R375" s="83"/>
      <c r="S375" s="83">
        <v>2347.27</v>
      </c>
      <c r="T375" s="83"/>
      <c r="U375" s="83">
        <v>0</v>
      </c>
      <c r="V375" s="83"/>
      <c r="W375" s="83">
        <v>0</v>
      </c>
      <c r="X375" s="83"/>
      <c r="Y375" s="83">
        <v>0</v>
      </c>
      <c r="Z375" s="83"/>
      <c r="AA375" s="83">
        <v>0</v>
      </c>
      <c r="AB375" s="83"/>
      <c r="AC375" s="83">
        <v>0</v>
      </c>
      <c r="AD375" s="83"/>
      <c r="AE375" s="83">
        <v>0</v>
      </c>
      <c r="AF375" s="83"/>
      <c r="AG375" s="83">
        <v>0</v>
      </c>
      <c r="AH375" s="83"/>
      <c r="AI375" s="83">
        <f t="shared" si="18"/>
        <v>98051.12000000001</v>
      </c>
      <c r="AJ375" s="10"/>
    </row>
    <row r="376" spans="1:39" ht="12.75" hidden="1">
      <c r="A376" s="1" t="s">
        <v>286</v>
      </c>
      <c r="C376" s="1" t="s">
        <v>287</v>
      </c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>
        <f t="shared" si="18"/>
        <v>0</v>
      </c>
      <c r="AJ376" s="10"/>
      <c r="AK376" s="7"/>
      <c r="AL376" s="7"/>
      <c r="AM376" s="7"/>
    </row>
    <row r="377" spans="1:36" ht="12.75">
      <c r="A377" s="1" t="s">
        <v>185</v>
      </c>
      <c r="C377" s="1" t="s">
        <v>803</v>
      </c>
      <c r="E377" s="36">
        <v>5242.23</v>
      </c>
      <c r="F377" s="36"/>
      <c r="G377" s="36">
        <v>19637.51</v>
      </c>
      <c r="H377" s="36"/>
      <c r="I377" s="36">
        <v>13833.92</v>
      </c>
      <c r="J377" s="36"/>
      <c r="K377" s="36">
        <v>0</v>
      </c>
      <c r="L377" s="36"/>
      <c r="M377" s="36">
        <v>0</v>
      </c>
      <c r="N377" s="36"/>
      <c r="O377" s="36">
        <v>295</v>
      </c>
      <c r="P377" s="36"/>
      <c r="Q377" s="36">
        <v>0</v>
      </c>
      <c r="R377" s="36"/>
      <c r="S377" s="36">
        <v>600</v>
      </c>
      <c r="T377" s="36"/>
      <c r="U377" s="36">
        <v>0</v>
      </c>
      <c r="V377" s="36"/>
      <c r="W377" s="36">
        <v>0</v>
      </c>
      <c r="X377" s="36"/>
      <c r="Y377" s="36">
        <v>0</v>
      </c>
      <c r="Z377" s="36"/>
      <c r="AA377" s="36">
        <v>295</v>
      </c>
      <c r="AB377" s="36"/>
      <c r="AC377" s="36">
        <v>0</v>
      </c>
      <c r="AD377" s="36"/>
      <c r="AE377" s="36">
        <v>0</v>
      </c>
      <c r="AF377" s="36"/>
      <c r="AG377" s="36">
        <v>0</v>
      </c>
      <c r="AH377" s="36"/>
      <c r="AI377" s="36">
        <f>SUM(E377:AG377)</f>
        <v>39903.659999999996</v>
      </c>
      <c r="AJ377" s="10"/>
    </row>
    <row r="378" spans="1:36" ht="12.75">
      <c r="A378" s="1" t="s">
        <v>847</v>
      </c>
      <c r="C378" s="1" t="s">
        <v>794</v>
      </c>
      <c r="E378" s="93">
        <v>27656.27</v>
      </c>
      <c r="F378" s="93"/>
      <c r="G378" s="93">
        <v>0</v>
      </c>
      <c r="H378" s="93"/>
      <c r="I378" s="93">
        <v>15630.57</v>
      </c>
      <c r="J378" s="93"/>
      <c r="K378" s="93">
        <v>0</v>
      </c>
      <c r="L378" s="93"/>
      <c r="M378" s="93">
        <v>0</v>
      </c>
      <c r="N378" s="93"/>
      <c r="O378" s="93">
        <v>3948.6</v>
      </c>
      <c r="P378" s="93"/>
      <c r="Q378" s="93">
        <v>188.14</v>
      </c>
      <c r="R378" s="93"/>
      <c r="S378" s="93">
        <v>2156.68</v>
      </c>
      <c r="T378" s="93"/>
      <c r="U378" s="93">
        <v>0</v>
      </c>
      <c r="V378" s="93"/>
      <c r="W378" s="93">
        <v>0</v>
      </c>
      <c r="X378" s="93"/>
      <c r="Y378" s="93">
        <v>0</v>
      </c>
      <c r="Z378" s="93"/>
      <c r="AA378" s="93">
        <v>0</v>
      </c>
      <c r="AB378" s="93"/>
      <c r="AC378" s="93">
        <v>0</v>
      </c>
      <c r="AD378" s="93"/>
      <c r="AE378" s="93">
        <v>0</v>
      </c>
      <c r="AF378" s="93"/>
      <c r="AG378" s="93">
        <v>0</v>
      </c>
      <c r="AH378" s="93"/>
      <c r="AI378" s="93">
        <f>SUM(E378:AG378)</f>
        <v>49580.259999999995</v>
      </c>
      <c r="AJ378" s="10"/>
    </row>
    <row r="379" spans="1:36" s="21" customFormat="1" ht="12.75">
      <c r="A379" s="1" t="s">
        <v>361</v>
      </c>
      <c r="B379" s="1"/>
      <c r="C379" s="1" t="s">
        <v>358</v>
      </c>
      <c r="D379" s="1"/>
      <c r="E379" s="83">
        <v>33563</v>
      </c>
      <c r="F379" s="83"/>
      <c r="G379" s="83">
        <v>229624</v>
      </c>
      <c r="H379" s="83"/>
      <c r="I379" s="83">
        <v>46774</v>
      </c>
      <c r="J379" s="83"/>
      <c r="K379" s="83">
        <v>0</v>
      </c>
      <c r="L379" s="83"/>
      <c r="M379" s="83">
        <v>1610</v>
      </c>
      <c r="N379" s="83"/>
      <c r="O379" s="83">
        <v>675</v>
      </c>
      <c r="P379" s="83"/>
      <c r="Q379" s="83">
        <v>695</v>
      </c>
      <c r="R379" s="83"/>
      <c r="S379" s="83">
        <v>16836</v>
      </c>
      <c r="T379" s="83"/>
      <c r="U379" s="83">
        <v>0</v>
      </c>
      <c r="V379" s="83"/>
      <c r="W379" s="83">
        <v>0</v>
      </c>
      <c r="X379" s="83"/>
      <c r="Y379" s="83">
        <v>0</v>
      </c>
      <c r="Z379" s="83"/>
      <c r="AA379" s="83">
        <v>0</v>
      </c>
      <c r="AB379" s="83"/>
      <c r="AC379" s="83">
        <v>0</v>
      </c>
      <c r="AD379" s="83"/>
      <c r="AE379" s="83">
        <v>0</v>
      </c>
      <c r="AF379" s="83"/>
      <c r="AG379" s="83">
        <v>0</v>
      </c>
      <c r="AH379" s="83"/>
      <c r="AI379" s="83">
        <f t="shared" si="18"/>
        <v>329777</v>
      </c>
      <c r="AJ379" s="10"/>
    </row>
    <row r="380" spans="1:36" ht="12.75">
      <c r="A380" s="1" t="s">
        <v>227</v>
      </c>
      <c r="C380" s="1" t="s">
        <v>815</v>
      </c>
      <c r="E380" s="93">
        <v>54721.77</v>
      </c>
      <c r="F380" s="93"/>
      <c r="G380" s="93">
        <v>0</v>
      </c>
      <c r="H380" s="93"/>
      <c r="I380" s="93">
        <v>18173.64</v>
      </c>
      <c r="J380" s="93"/>
      <c r="K380" s="93">
        <v>0</v>
      </c>
      <c r="L380" s="93"/>
      <c r="M380" s="93">
        <v>19705</v>
      </c>
      <c r="N380" s="93"/>
      <c r="O380" s="93">
        <v>13898.06</v>
      </c>
      <c r="P380" s="93"/>
      <c r="Q380" s="93">
        <v>315.74</v>
      </c>
      <c r="R380" s="93"/>
      <c r="S380" s="93">
        <v>11594.1</v>
      </c>
      <c r="T380" s="93"/>
      <c r="U380" s="93">
        <v>0</v>
      </c>
      <c r="V380" s="93"/>
      <c r="W380" s="93">
        <v>0</v>
      </c>
      <c r="X380" s="93"/>
      <c r="Y380" s="93">
        <v>0</v>
      </c>
      <c r="Z380" s="93"/>
      <c r="AA380" s="93">
        <v>0</v>
      </c>
      <c r="AB380" s="93"/>
      <c r="AC380" s="93">
        <v>0</v>
      </c>
      <c r="AD380" s="93"/>
      <c r="AE380" s="93">
        <v>0</v>
      </c>
      <c r="AF380" s="93"/>
      <c r="AG380" s="93">
        <v>0</v>
      </c>
      <c r="AH380" s="93"/>
      <c r="AI380" s="93">
        <f>SUM(E380:AG380)</f>
        <v>118408.31000000001</v>
      </c>
      <c r="AJ380" s="10"/>
    </row>
    <row r="381" spans="1:36" ht="12.75">
      <c r="A381" s="1" t="s">
        <v>949</v>
      </c>
      <c r="C381" s="1" t="s">
        <v>574</v>
      </c>
      <c r="E381" s="36">
        <v>11998.38</v>
      </c>
      <c r="F381" s="36"/>
      <c r="G381" s="36">
        <v>58574.29</v>
      </c>
      <c r="H381" s="36"/>
      <c r="I381" s="36">
        <v>35959.03</v>
      </c>
      <c r="J381" s="36"/>
      <c r="K381" s="36">
        <v>0</v>
      </c>
      <c r="L381" s="36"/>
      <c r="M381" s="36">
        <v>5130</v>
      </c>
      <c r="N381" s="36"/>
      <c r="O381" s="36">
        <v>4977.99</v>
      </c>
      <c r="P381" s="36"/>
      <c r="Q381" s="36">
        <v>2.24</v>
      </c>
      <c r="R381" s="36"/>
      <c r="S381" s="36">
        <v>9035.58</v>
      </c>
      <c r="T381" s="36"/>
      <c r="U381" s="36">
        <v>0</v>
      </c>
      <c r="V381" s="36"/>
      <c r="W381" s="36">
        <v>0</v>
      </c>
      <c r="X381" s="36"/>
      <c r="Y381" s="36">
        <v>0</v>
      </c>
      <c r="Z381" s="36"/>
      <c r="AA381" s="36">
        <v>0</v>
      </c>
      <c r="AB381" s="36"/>
      <c r="AC381" s="36">
        <v>0</v>
      </c>
      <c r="AD381" s="36"/>
      <c r="AE381" s="36">
        <v>0</v>
      </c>
      <c r="AF381" s="36"/>
      <c r="AG381" s="36">
        <v>0</v>
      </c>
      <c r="AH381" s="36"/>
      <c r="AI381" s="36">
        <f>SUM(E381:AG381)</f>
        <v>125677.51000000001</v>
      </c>
      <c r="AJ381" s="10"/>
    </row>
    <row r="382" spans="1:36" s="21" customFormat="1" ht="12.75">
      <c r="A382" s="1" t="s">
        <v>367</v>
      </c>
      <c r="B382" s="1"/>
      <c r="C382" s="1" t="s">
        <v>368</v>
      </c>
      <c r="D382" s="1"/>
      <c r="E382" s="83">
        <v>352815</v>
      </c>
      <c r="F382" s="83"/>
      <c r="G382" s="83">
        <v>15585</v>
      </c>
      <c r="H382" s="83"/>
      <c r="I382" s="83">
        <v>128550</v>
      </c>
      <c r="J382" s="83"/>
      <c r="K382" s="83">
        <v>0</v>
      </c>
      <c r="L382" s="83"/>
      <c r="M382" s="83">
        <v>103339</v>
      </c>
      <c r="N382" s="83"/>
      <c r="O382" s="83">
        <v>58724</v>
      </c>
      <c r="P382" s="83"/>
      <c r="Q382" s="83">
        <v>7039</v>
      </c>
      <c r="R382" s="83"/>
      <c r="S382" s="83">
        <v>34461</v>
      </c>
      <c r="T382" s="83"/>
      <c r="U382" s="83">
        <v>0</v>
      </c>
      <c r="V382" s="83"/>
      <c r="W382" s="83">
        <v>0</v>
      </c>
      <c r="X382" s="83"/>
      <c r="Y382" s="83">
        <v>89888</v>
      </c>
      <c r="Z382" s="83"/>
      <c r="AA382" s="83">
        <v>1000000</v>
      </c>
      <c r="AB382" s="83"/>
      <c r="AC382" s="83">
        <v>0</v>
      </c>
      <c r="AD382" s="83"/>
      <c r="AE382" s="83">
        <v>0</v>
      </c>
      <c r="AF382" s="83"/>
      <c r="AG382" s="83">
        <v>0</v>
      </c>
      <c r="AH382" s="83"/>
      <c r="AI382" s="83">
        <f t="shared" si="18"/>
        <v>1790401</v>
      </c>
      <c r="AJ382" s="10"/>
    </row>
    <row r="383" spans="1:36" ht="12.75">
      <c r="A383" s="1" t="s">
        <v>156</v>
      </c>
      <c r="C383" s="1" t="s">
        <v>464</v>
      </c>
      <c r="E383" s="36">
        <v>97339.8</v>
      </c>
      <c r="F383" s="36"/>
      <c r="G383" s="36">
        <v>240097.78</v>
      </c>
      <c r="H383" s="36"/>
      <c r="I383" s="36">
        <v>112506.8</v>
      </c>
      <c r="J383" s="36"/>
      <c r="K383" s="36">
        <v>0</v>
      </c>
      <c r="L383" s="36"/>
      <c r="M383" s="36">
        <v>55325</v>
      </c>
      <c r="N383" s="36"/>
      <c r="O383" s="36">
        <v>91244.96</v>
      </c>
      <c r="P383" s="36"/>
      <c r="Q383" s="36">
        <v>1370.65</v>
      </c>
      <c r="R383" s="36"/>
      <c r="S383" s="36">
        <v>11078.63</v>
      </c>
      <c r="T383" s="36"/>
      <c r="U383" s="36">
        <v>0</v>
      </c>
      <c r="V383" s="36"/>
      <c r="W383" s="36">
        <v>0</v>
      </c>
      <c r="X383" s="36"/>
      <c r="Y383" s="36">
        <v>0</v>
      </c>
      <c r="Z383" s="36"/>
      <c r="AA383" s="36">
        <v>500</v>
      </c>
      <c r="AB383" s="36"/>
      <c r="AC383" s="36">
        <v>0</v>
      </c>
      <c r="AD383" s="36"/>
      <c r="AE383" s="36">
        <v>0</v>
      </c>
      <c r="AF383" s="36"/>
      <c r="AG383" s="36">
        <v>0</v>
      </c>
      <c r="AH383" s="36"/>
      <c r="AI383" s="36">
        <f>SUM(E383:AG383)</f>
        <v>609463.62</v>
      </c>
      <c r="AJ383" s="10"/>
    </row>
    <row r="384" spans="1:36" ht="12.75">
      <c r="A384" s="1" t="s">
        <v>906</v>
      </c>
      <c r="C384" s="1" t="s">
        <v>299</v>
      </c>
      <c r="E384" s="36">
        <v>15568.89</v>
      </c>
      <c r="F384" s="36"/>
      <c r="G384" s="36">
        <v>0</v>
      </c>
      <c r="H384" s="36"/>
      <c r="I384" s="36">
        <v>12911.36</v>
      </c>
      <c r="J384" s="36"/>
      <c r="K384" s="36">
        <v>0</v>
      </c>
      <c r="L384" s="36"/>
      <c r="M384" s="36">
        <v>0</v>
      </c>
      <c r="N384" s="36"/>
      <c r="O384" s="36">
        <v>2988.29</v>
      </c>
      <c r="P384" s="36"/>
      <c r="Q384" s="36">
        <v>0</v>
      </c>
      <c r="R384" s="36"/>
      <c r="S384" s="36">
        <v>0</v>
      </c>
      <c r="T384" s="36"/>
      <c r="U384" s="36">
        <v>0</v>
      </c>
      <c r="V384" s="36"/>
      <c r="W384" s="36">
        <v>0</v>
      </c>
      <c r="X384" s="36"/>
      <c r="Y384" s="36">
        <v>0</v>
      </c>
      <c r="Z384" s="36"/>
      <c r="AA384" s="36">
        <v>0</v>
      </c>
      <c r="AB384" s="36"/>
      <c r="AC384" s="36">
        <v>0</v>
      </c>
      <c r="AD384" s="36"/>
      <c r="AE384" s="36">
        <v>0</v>
      </c>
      <c r="AF384" s="36"/>
      <c r="AG384" s="36">
        <v>0</v>
      </c>
      <c r="AH384" s="36"/>
      <c r="AI384" s="36">
        <f>SUM(E384:AG384)</f>
        <v>31468.54</v>
      </c>
      <c r="AJ384" s="10"/>
    </row>
    <row r="385" spans="1:36" ht="12.75">
      <c r="A385" s="1" t="s">
        <v>233</v>
      </c>
      <c r="C385" s="1" t="s">
        <v>818</v>
      </c>
      <c r="E385" s="36">
        <v>11938.02</v>
      </c>
      <c r="F385" s="36"/>
      <c r="G385" s="36">
        <v>160903.47</v>
      </c>
      <c r="H385" s="36"/>
      <c r="I385" s="36">
        <v>30563.18</v>
      </c>
      <c r="J385" s="36"/>
      <c r="K385" s="36">
        <v>0</v>
      </c>
      <c r="L385" s="36"/>
      <c r="M385" s="36">
        <v>0</v>
      </c>
      <c r="N385" s="36"/>
      <c r="O385" s="36">
        <v>250</v>
      </c>
      <c r="P385" s="36"/>
      <c r="Q385" s="36">
        <v>24.42</v>
      </c>
      <c r="R385" s="36"/>
      <c r="S385" s="36">
        <v>7621.57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0</v>
      </c>
      <c r="AB385" s="36"/>
      <c r="AC385" s="36">
        <v>0</v>
      </c>
      <c r="AD385" s="36"/>
      <c r="AE385" s="36">
        <v>0</v>
      </c>
      <c r="AF385" s="36"/>
      <c r="AG385" s="36">
        <v>4403.27</v>
      </c>
      <c r="AH385" s="36"/>
      <c r="AI385" s="36">
        <f>SUM(E385:AG385)</f>
        <v>215703.93</v>
      </c>
      <c r="AJ385" s="10"/>
    </row>
    <row r="386" spans="1:36" ht="12.75">
      <c r="A386" s="1" t="s">
        <v>459</v>
      </c>
      <c r="C386" s="1" t="s">
        <v>432</v>
      </c>
      <c r="E386" s="83">
        <v>1784.31</v>
      </c>
      <c r="F386" s="83"/>
      <c r="G386" s="83">
        <v>0</v>
      </c>
      <c r="H386" s="83"/>
      <c r="I386" s="83">
        <v>41265.52</v>
      </c>
      <c r="J386" s="83"/>
      <c r="K386" s="83">
        <v>47.4</v>
      </c>
      <c r="L386" s="83"/>
      <c r="M386" s="83">
        <v>0</v>
      </c>
      <c r="N386" s="83"/>
      <c r="O386" s="83">
        <v>0</v>
      </c>
      <c r="P386" s="83"/>
      <c r="Q386" s="83">
        <v>0</v>
      </c>
      <c r="R386" s="83"/>
      <c r="S386" s="83">
        <v>0</v>
      </c>
      <c r="T386" s="83"/>
      <c r="U386" s="83">
        <v>0</v>
      </c>
      <c r="V386" s="83"/>
      <c r="W386" s="83">
        <v>0</v>
      </c>
      <c r="X386" s="83"/>
      <c r="Y386" s="83">
        <v>0</v>
      </c>
      <c r="Z386" s="83"/>
      <c r="AA386" s="83">
        <v>0</v>
      </c>
      <c r="AB386" s="83"/>
      <c r="AC386" s="83">
        <v>0</v>
      </c>
      <c r="AD386" s="83"/>
      <c r="AE386" s="83">
        <v>0</v>
      </c>
      <c r="AF386" s="83"/>
      <c r="AG386" s="83">
        <v>0</v>
      </c>
      <c r="AH386" s="83"/>
      <c r="AI386" s="83">
        <f t="shared" si="18"/>
        <v>43097.229999999996</v>
      </c>
      <c r="AJ386" s="10"/>
    </row>
    <row r="387" spans="1:39" ht="12.75">
      <c r="A387" s="1" t="s">
        <v>8</v>
      </c>
      <c r="C387" s="1" t="s">
        <v>669</v>
      </c>
      <c r="E387" s="36">
        <v>7388.06</v>
      </c>
      <c r="F387" s="36"/>
      <c r="G387" s="36">
        <v>0</v>
      </c>
      <c r="H387" s="36"/>
      <c r="I387" s="36">
        <v>36640.45</v>
      </c>
      <c r="J387" s="36"/>
      <c r="K387" s="36">
        <v>0</v>
      </c>
      <c r="L387" s="36"/>
      <c r="M387" s="36">
        <v>0</v>
      </c>
      <c r="N387" s="36"/>
      <c r="O387" s="36">
        <v>15036.6</v>
      </c>
      <c r="P387" s="36"/>
      <c r="Q387" s="36">
        <v>19.71</v>
      </c>
      <c r="R387" s="36"/>
      <c r="S387" s="36">
        <v>33.1</v>
      </c>
      <c r="T387" s="36"/>
      <c r="U387" s="36">
        <v>0</v>
      </c>
      <c r="V387" s="36"/>
      <c r="W387" s="36">
        <v>0</v>
      </c>
      <c r="X387" s="36"/>
      <c r="Y387" s="36">
        <v>0</v>
      </c>
      <c r="Z387" s="36"/>
      <c r="AA387" s="36">
        <v>0</v>
      </c>
      <c r="AB387" s="36"/>
      <c r="AC387" s="36">
        <v>0</v>
      </c>
      <c r="AD387" s="36"/>
      <c r="AE387" s="36">
        <v>0</v>
      </c>
      <c r="AF387" s="36"/>
      <c r="AG387" s="36">
        <v>0</v>
      </c>
      <c r="AH387" s="36"/>
      <c r="AI387" s="36">
        <f>SUM(E387:AG387)</f>
        <v>59117.91999999999</v>
      </c>
      <c r="AJ387" s="10"/>
      <c r="AK387" s="7"/>
      <c r="AL387" s="7"/>
      <c r="AM387" s="7"/>
    </row>
    <row r="388" spans="1:39" s="21" customFormat="1" ht="12.75">
      <c r="A388" s="1" t="s">
        <v>347</v>
      </c>
      <c r="B388" s="1"/>
      <c r="C388" s="1" t="s">
        <v>348</v>
      </c>
      <c r="D388" s="1"/>
      <c r="E388" s="83">
        <v>148355</v>
      </c>
      <c r="F388" s="83"/>
      <c r="G388" s="83">
        <v>325628</v>
      </c>
      <c r="H388" s="83"/>
      <c r="I388" s="83">
        <v>152920</v>
      </c>
      <c r="J388" s="83"/>
      <c r="K388" s="83">
        <v>0</v>
      </c>
      <c r="L388" s="83"/>
      <c r="M388" s="83">
        <v>0</v>
      </c>
      <c r="N388" s="83"/>
      <c r="O388" s="83">
        <v>60010</v>
      </c>
      <c r="P388" s="83"/>
      <c r="Q388" s="83">
        <v>2810</v>
      </c>
      <c r="R388" s="83"/>
      <c r="S388" s="83">
        <v>0</v>
      </c>
      <c r="T388" s="83"/>
      <c r="U388" s="83">
        <v>0</v>
      </c>
      <c r="V388" s="83"/>
      <c r="W388" s="83">
        <v>0</v>
      </c>
      <c r="X388" s="83"/>
      <c r="Y388" s="83">
        <v>0</v>
      </c>
      <c r="Z388" s="83"/>
      <c r="AA388" s="83">
        <v>0</v>
      </c>
      <c r="AB388" s="83"/>
      <c r="AC388" s="83">
        <v>0</v>
      </c>
      <c r="AD388" s="83"/>
      <c r="AE388" s="83">
        <v>0</v>
      </c>
      <c r="AF388" s="83"/>
      <c r="AG388" s="83">
        <v>0</v>
      </c>
      <c r="AH388" s="83"/>
      <c r="AI388" s="83">
        <f t="shared" si="18"/>
        <v>689723</v>
      </c>
      <c r="AJ388" s="10"/>
      <c r="AK388" s="22"/>
      <c r="AL388" s="22"/>
      <c r="AM388" s="22"/>
    </row>
    <row r="389" spans="1:36" ht="12.75">
      <c r="A389" s="1" t="s">
        <v>237</v>
      </c>
      <c r="C389" s="1" t="s">
        <v>819</v>
      </c>
      <c r="E389" s="36">
        <v>23895.57</v>
      </c>
      <c r="F389" s="36"/>
      <c r="G389" s="36">
        <v>78666.91</v>
      </c>
      <c r="H389" s="36"/>
      <c r="I389" s="36">
        <v>2028.23</v>
      </c>
      <c r="J389" s="36"/>
      <c r="K389" s="36">
        <v>0</v>
      </c>
      <c r="L389" s="36"/>
      <c r="M389" s="36">
        <v>0</v>
      </c>
      <c r="N389" s="36"/>
      <c r="O389" s="36">
        <v>3608</v>
      </c>
      <c r="P389" s="36"/>
      <c r="Q389" s="36">
        <v>225.61</v>
      </c>
      <c r="R389" s="36"/>
      <c r="S389" s="36">
        <v>1516.71</v>
      </c>
      <c r="T389" s="36"/>
      <c r="U389" s="36">
        <v>0</v>
      </c>
      <c r="V389" s="36"/>
      <c r="W389" s="36">
        <v>0</v>
      </c>
      <c r="X389" s="36"/>
      <c r="Y389" s="36">
        <v>0</v>
      </c>
      <c r="Z389" s="36"/>
      <c r="AA389" s="36">
        <v>0</v>
      </c>
      <c r="AB389" s="36"/>
      <c r="AC389" s="36">
        <v>0</v>
      </c>
      <c r="AD389" s="36"/>
      <c r="AE389" s="36">
        <v>0</v>
      </c>
      <c r="AF389" s="36"/>
      <c r="AG389" s="36">
        <v>0</v>
      </c>
      <c r="AH389" s="36"/>
      <c r="AI389" s="36">
        <f aca="true" t="shared" si="20" ref="AI389:AI394">SUM(E389:AG389)</f>
        <v>109941.03000000001</v>
      </c>
      <c r="AJ389" s="10"/>
    </row>
    <row r="390" spans="1:36" ht="12.75">
      <c r="A390" s="1" t="s">
        <v>258</v>
      </c>
      <c r="C390" s="1" t="s">
        <v>825</v>
      </c>
      <c r="E390" s="36">
        <v>23232</v>
      </c>
      <c r="F390" s="36"/>
      <c r="G390" s="36">
        <v>0</v>
      </c>
      <c r="H390" s="36"/>
      <c r="I390" s="36">
        <v>23397.13</v>
      </c>
      <c r="J390" s="36"/>
      <c r="K390" s="36">
        <v>0</v>
      </c>
      <c r="L390" s="36"/>
      <c r="M390" s="36">
        <v>3237</v>
      </c>
      <c r="N390" s="36"/>
      <c r="O390" s="36">
        <v>10312.61</v>
      </c>
      <c r="P390" s="36"/>
      <c r="Q390" s="36">
        <v>1569.64</v>
      </c>
      <c r="R390" s="36"/>
      <c r="S390" s="36">
        <v>7721.25</v>
      </c>
      <c r="T390" s="36"/>
      <c r="U390" s="36">
        <v>0</v>
      </c>
      <c r="V390" s="36"/>
      <c r="W390" s="36">
        <v>0</v>
      </c>
      <c r="X390" s="36"/>
      <c r="Y390" s="36">
        <v>0</v>
      </c>
      <c r="Z390" s="36"/>
      <c r="AA390" s="36">
        <v>126657.03</v>
      </c>
      <c r="AB390" s="36"/>
      <c r="AC390" s="36">
        <v>0</v>
      </c>
      <c r="AD390" s="36"/>
      <c r="AE390" s="36">
        <v>0</v>
      </c>
      <c r="AF390" s="36"/>
      <c r="AG390" s="36">
        <v>0</v>
      </c>
      <c r="AH390" s="36"/>
      <c r="AI390" s="36">
        <f t="shared" si="20"/>
        <v>196126.66</v>
      </c>
      <c r="AJ390" s="10"/>
    </row>
    <row r="391" spans="1:39" s="10" customFormat="1" ht="12.75">
      <c r="A391" s="10" t="s">
        <v>70</v>
      </c>
      <c r="C391" s="10" t="s">
        <v>767</v>
      </c>
      <c r="E391" s="93">
        <v>5587.11</v>
      </c>
      <c r="F391" s="93"/>
      <c r="G391" s="93">
        <v>0</v>
      </c>
      <c r="H391" s="93"/>
      <c r="I391" s="93">
        <v>8936.06</v>
      </c>
      <c r="J391" s="93"/>
      <c r="K391" s="93">
        <v>0</v>
      </c>
      <c r="L391" s="93"/>
      <c r="M391" s="93">
        <v>0</v>
      </c>
      <c r="N391" s="93"/>
      <c r="O391" s="93">
        <v>335</v>
      </c>
      <c r="P391" s="93"/>
      <c r="Q391" s="93">
        <v>0</v>
      </c>
      <c r="R391" s="93"/>
      <c r="S391" s="93">
        <v>42.22</v>
      </c>
      <c r="T391" s="93"/>
      <c r="U391" s="93">
        <v>0</v>
      </c>
      <c r="V391" s="93"/>
      <c r="W391" s="93">
        <v>0</v>
      </c>
      <c r="X391" s="93"/>
      <c r="Y391" s="93">
        <v>0</v>
      </c>
      <c r="Z391" s="93"/>
      <c r="AA391" s="93">
        <v>0</v>
      </c>
      <c r="AB391" s="93"/>
      <c r="AC391" s="93">
        <v>0</v>
      </c>
      <c r="AD391" s="93"/>
      <c r="AE391" s="93">
        <v>750</v>
      </c>
      <c r="AF391" s="93"/>
      <c r="AG391" s="93">
        <v>0</v>
      </c>
      <c r="AH391" s="93"/>
      <c r="AI391" s="93">
        <f t="shared" si="20"/>
        <v>15650.389999999998</v>
      </c>
      <c r="AK391" s="44"/>
      <c r="AL391" s="44"/>
      <c r="AM391" s="44"/>
    </row>
    <row r="392" spans="1:36" ht="12.75">
      <c r="A392" s="1" t="s">
        <v>206</v>
      </c>
      <c r="C392" s="1" t="s">
        <v>808</v>
      </c>
      <c r="E392" s="36">
        <v>5674.51</v>
      </c>
      <c r="F392" s="36"/>
      <c r="G392" s="36">
        <v>31719.99</v>
      </c>
      <c r="H392" s="36"/>
      <c r="I392" s="36">
        <v>40826.26</v>
      </c>
      <c r="J392" s="36"/>
      <c r="K392" s="36">
        <v>0</v>
      </c>
      <c r="L392" s="36"/>
      <c r="M392" s="36">
        <v>315.1</v>
      </c>
      <c r="N392" s="36"/>
      <c r="O392" s="36">
        <v>742.31</v>
      </c>
      <c r="P392" s="36"/>
      <c r="Q392" s="36">
        <v>539.85</v>
      </c>
      <c r="R392" s="36"/>
      <c r="S392" s="36">
        <v>344</v>
      </c>
      <c r="T392" s="36"/>
      <c r="U392" s="36">
        <v>0</v>
      </c>
      <c r="V392" s="36"/>
      <c r="W392" s="36">
        <v>0</v>
      </c>
      <c r="X392" s="36"/>
      <c r="Y392" s="36">
        <v>0</v>
      </c>
      <c r="Z392" s="36"/>
      <c r="AA392" s="36">
        <v>0</v>
      </c>
      <c r="AB392" s="36"/>
      <c r="AC392" s="36">
        <v>0</v>
      </c>
      <c r="AD392" s="36"/>
      <c r="AE392" s="36">
        <v>0</v>
      </c>
      <c r="AF392" s="36"/>
      <c r="AG392" s="36">
        <v>0</v>
      </c>
      <c r="AH392" s="36"/>
      <c r="AI392" s="36">
        <f t="shared" si="20"/>
        <v>80162.02000000002</v>
      </c>
      <c r="AJ392" s="10"/>
    </row>
    <row r="393" spans="1:36" s="21" customFormat="1" ht="12.75">
      <c r="A393" s="1" t="s">
        <v>414</v>
      </c>
      <c r="B393" s="1"/>
      <c r="C393" s="1" t="s">
        <v>412</v>
      </c>
      <c r="D393" s="1"/>
      <c r="E393" s="36">
        <v>161252.32</v>
      </c>
      <c r="F393" s="36"/>
      <c r="G393" s="36">
        <v>1043648.58</v>
      </c>
      <c r="H393" s="36"/>
      <c r="I393" s="36">
        <v>80535.16</v>
      </c>
      <c r="J393" s="36"/>
      <c r="K393" s="36">
        <v>0</v>
      </c>
      <c r="L393" s="36"/>
      <c r="M393" s="36">
        <v>0</v>
      </c>
      <c r="N393" s="36"/>
      <c r="O393" s="36">
        <v>60947.39</v>
      </c>
      <c r="P393" s="36"/>
      <c r="Q393" s="36">
        <v>7671.46</v>
      </c>
      <c r="R393" s="36"/>
      <c r="S393" s="36">
        <v>14851.57</v>
      </c>
      <c r="T393" s="36"/>
      <c r="U393" s="36">
        <v>0</v>
      </c>
      <c r="V393" s="36"/>
      <c r="W393" s="36">
        <v>0</v>
      </c>
      <c r="X393" s="36"/>
      <c r="Y393" s="36">
        <v>0</v>
      </c>
      <c r="Z393" s="36"/>
      <c r="AA393" s="36">
        <v>0</v>
      </c>
      <c r="AB393" s="36"/>
      <c r="AC393" s="36">
        <v>0</v>
      </c>
      <c r="AD393" s="36"/>
      <c r="AE393" s="36">
        <v>0</v>
      </c>
      <c r="AF393" s="36"/>
      <c r="AG393" s="36">
        <v>0</v>
      </c>
      <c r="AH393" s="36"/>
      <c r="AI393" s="36">
        <f t="shared" si="20"/>
        <v>1368906.4799999997</v>
      </c>
      <c r="AJ393" s="10"/>
    </row>
    <row r="394" spans="1:39" ht="12.75">
      <c r="A394" s="1" t="s">
        <v>63</v>
      </c>
      <c r="C394" s="1" t="s">
        <v>766</v>
      </c>
      <c r="E394" s="36">
        <v>89349.73</v>
      </c>
      <c r="F394" s="36"/>
      <c r="G394" s="36">
        <v>0</v>
      </c>
      <c r="H394" s="36"/>
      <c r="I394" s="36">
        <v>30895.62</v>
      </c>
      <c r="J394" s="36"/>
      <c r="K394" s="36">
        <v>0</v>
      </c>
      <c r="L394" s="36"/>
      <c r="M394" s="36">
        <v>38233.8</v>
      </c>
      <c r="N394" s="36"/>
      <c r="O394" s="36">
        <v>38352.99</v>
      </c>
      <c r="P394" s="36"/>
      <c r="Q394" s="36">
        <v>1665.29</v>
      </c>
      <c r="R394" s="36"/>
      <c r="S394" s="36">
        <v>26445.91</v>
      </c>
      <c r="T394" s="36"/>
      <c r="U394" s="36">
        <v>0</v>
      </c>
      <c r="V394" s="36"/>
      <c r="W394" s="36">
        <v>262500</v>
      </c>
      <c r="X394" s="36"/>
      <c r="Y394" s="36">
        <v>0</v>
      </c>
      <c r="Z394" s="36"/>
      <c r="AA394" s="36">
        <v>9152.26</v>
      </c>
      <c r="AB394" s="36"/>
      <c r="AC394" s="36">
        <v>0</v>
      </c>
      <c r="AD394" s="36"/>
      <c r="AE394" s="36">
        <v>272.84</v>
      </c>
      <c r="AF394" s="36"/>
      <c r="AG394" s="36">
        <v>0</v>
      </c>
      <c r="AH394" s="36"/>
      <c r="AI394" s="36">
        <f t="shared" si="20"/>
        <v>496868.44</v>
      </c>
      <c r="AJ394" s="10"/>
      <c r="AK394" s="7"/>
      <c r="AL394" s="7"/>
      <c r="AM394" s="7"/>
    </row>
    <row r="395" spans="1:39" s="21" customFormat="1" ht="12.75" hidden="1">
      <c r="A395" s="1" t="s">
        <v>26</v>
      </c>
      <c r="B395" s="1"/>
      <c r="C395" s="1" t="s">
        <v>752</v>
      </c>
      <c r="D395" s="1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5"/>
      <c r="W395" s="83"/>
      <c r="X395" s="85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>
        <f t="shared" si="18"/>
        <v>0</v>
      </c>
      <c r="AJ395" s="10"/>
      <c r="AK395" s="22"/>
      <c r="AL395" s="22"/>
      <c r="AM395" s="22"/>
    </row>
    <row r="396" spans="1:36" s="21" customFormat="1" ht="12.75" hidden="1">
      <c r="A396" s="1" t="s">
        <v>684</v>
      </c>
      <c r="B396" s="1"/>
      <c r="C396" s="1" t="s">
        <v>603</v>
      </c>
      <c r="D396" s="1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>
        <f t="shared" si="18"/>
        <v>0</v>
      </c>
      <c r="AJ396" s="10"/>
    </row>
    <row r="397" spans="1:36" ht="12.75">
      <c r="A397" s="1" t="s">
        <v>476</v>
      </c>
      <c r="C397" s="1" t="s">
        <v>474</v>
      </c>
      <c r="E397" s="83">
        <v>374</v>
      </c>
      <c r="F397" s="83"/>
      <c r="G397" s="83">
        <v>0</v>
      </c>
      <c r="H397" s="83"/>
      <c r="I397" s="83">
        <v>2820</v>
      </c>
      <c r="J397" s="83"/>
      <c r="K397" s="83">
        <v>0</v>
      </c>
      <c r="L397" s="83"/>
      <c r="M397" s="83">
        <v>0</v>
      </c>
      <c r="N397" s="83"/>
      <c r="O397" s="83">
        <v>0</v>
      </c>
      <c r="P397" s="83"/>
      <c r="Q397" s="83">
        <v>10</v>
      </c>
      <c r="R397" s="83"/>
      <c r="S397" s="83">
        <v>2</v>
      </c>
      <c r="T397" s="83"/>
      <c r="U397" s="83">
        <v>0</v>
      </c>
      <c r="V397" s="83"/>
      <c r="W397" s="83">
        <v>0</v>
      </c>
      <c r="X397" s="83"/>
      <c r="Y397" s="83">
        <v>0</v>
      </c>
      <c r="Z397" s="83"/>
      <c r="AA397" s="83">
        <v>0</v>
      </c>
      <c r="AB397" s="83"/>
      <c r="AC397" s="83">
        <v>0</v>
      </c>
      <c r="AD397" s="83"/>
      <c r="AE397" s="83">
        <v>0</v>
      </c>
      <c r="AF397" s="83"/>
      <c r="AG397" s="83">
        <v>0</v>
      </c>
      <c r="AH397" s="83"/>
      <c r="AI397" s="83">
        <f t="shared" si="18"/>
        <v>3206</v>
      </c>
      <c r="AJ397" s="10"/>
    </row>
    <row r="398" spans="1:36" ht="12.75">
      <c r="A398" s="1" t="s">
        <v>234</v>
      </c>
      <c r="C398" s="1" t="s">
        <v>818</v>
      </c>
      <c r="E398" s="36">
        <v>36990.4</v>
      </c>
      <c r="F398" s="36"/>
      <c r="G398" s="36">
        <v>59049.53</v>
      </c>
      <c r="H398" s="36"/>
      <c r="I398" s="36">
        <v>30269.51</v>
      </c>
      <c r="J398" s="36"/>
      <c r="K398" s="36">
        <v>0</v>
      </c>
      <c r="L398" s="36"/>
      <c r="M398" s="36">
        <v>0</v>
      </c>
      <c r="N398" s="36"/>
      <c r="O398" s="36">
        <v>7958.31</v>
      </c>
      <c r="P398" s="36"/>
      <c r="Q398" s="36">
        <v>135.68</v>
      </c>
      <c r="R398" s="36"/>
      <c r="S398" s="36">
        <v>521.08</v>
      </c>
      <c r="T398" s="36"/>
      <c r="U398" s="36">
        <v>0</v>
      </c>
      <c r="V398" s="36"/>
      <c r="W398" s="36">
        <v>0</v>
      </c>
      <c r="X398" s="36"/>
      <c r="Y398" s="36">
        <v>0</v>
      </c>
      <c r="Z398" s="36"/>
      <c r="AA398" s="36">
        <v>0</v>
      </c>
      <c r="AB398" s="36"/>
      <c r="AC398" s="36">
        <v>0</v>
      </c>
      <c r="AD398" s="36"/>
      <c r="AE398" s="36">
        <v>0</v>
      </c>
      <c r="AF398" s="36"/>
      <c r="AG398" s="36">
        <v>50</v>
      </c>
      <c r="AH398" s="36"/>
      <c r="AI398" s="36">
        <f>SUM(E398:AG398)</f>
        <v>134974.50999999998</v>
      </c>
      <c r="AJ398" s="10"/>
    </row>
    <row r="399" spans="1:36" s="21" customFormat="1" ht="12.75">
      <c r="A399" s="1" t="s">
        <v>547</v>
      </c>
      <c r="B399" s="1"/>
      <c r="C399" s="1" t="s">
        <v>542</v>
      </c>
      <c r="D399" s="1"/>
      <c r="E399" s="96">
        <v>142694</v>
      </c>
      <c r="F399" s="96"/>
      <c r="G399" s="96">
        <v>0</v>
      </c>
      <c r="H399" s="96"/>
      <c r="I399" s="96">
        <v>240539</v>
      </c>
      <c r="J399" s="96"/>
      <c r="K399" s="96">
        <v>0</v>
      </c>
      <c r="L399" s="96"/>
      <c r="M399" s="96">
        <v>53741</v>
      </c>
      <c r="N399" s="96"/>
      <c r="O399" s="96">
        <v>53556</v>
      </c>
      <c r="P399" s="96"/>
      <c r="Q399" s="96">
        <v>11614</v>
      </c>
      <c r="R399" s="96"/>
      <c r="S399" s="96">
        <v>53670</v>
      </c>
      <c r="T399" s="96"/>
      <c r="U399" s="96">
        <v>0</v>
      </c>
      <c r="V399" s="96"/>
      <c r="W399" s="96">
        <v>0</v>
      </c>
      <c r="X399" s="96"/>
      <c r="Y399" s="96">
        <v>0</v>
      </c>
      <c r="Z399" s="96"/>
      <c r="AA399" s="96">
        <v>0</v>
      </c>
      <c r="AB399" s="96"/>
      <c r="AC399" s="96">
        <v>0</v>
      </c>
      <c r="AD399" s="96"/>
      <c r="AE399" s="96">
        <v>1339000</v>
      </c>
      <c r="AF399" s="96"/>
      <c r="AG399" s="96">
        <v>0</v>
      </c>
      <c r="AH399" s="96"/>
      <c r="AI399" s="96">
        <f aca="true" t="shared" si="21" ref="AI399">SUM(E399:AG399)</f>
        <v>1894814</v>
      </c>
      <c r="AJ399" s="38"/>
    </row>
    <row r="400" spans="1:36" s="21" customFormat="1" ht="12.75">
      <c r="A400" s="1" t="s">
        <v>74</v>
      </c>
      <c r="B400" s="1"/>
      <c r="C400" s="1" t="s">
        <v>768</v>
      </c>
      <c r="D400" s="1"/>
      <c r="E400" s="36">
        <v>490173.88</v>
      </c>
      <c r="F400" s="36"/>
      <c r="G400" s="36">
        <v>275403.07</v>
      </c>
      <c r="H400" s="36"/>
      <c r="I400" s="36">
        <v>231118.49</v>
      </c>
      <c r="J400" s="36"/>
      <c r="K400" s="36">
        <v>0</v>
      </c>
      <c r="L400" s="36"/>
      <c r="M400" s="36">
        <v>91124.47</v>
      </c>
      <c r="N400" s="36"/>
      <c r="O400" s="36">
        <v>48153.65</v>
      </c>
      <c r="P400" s="36"/>
      <c r="Q400" s="36">
        <v>1102.69</v>
      </c>
      <c r="R400" s="36"/>
      <c r="S400" s="36">
        <v>1889.57</v>
      </c>
      <c r="T400" s="36"/>
      <c r="U400" s="36">
        <v>0</v>
      </c>
      <c r="V400" s="36"/>
      <c r="W400" s="36">
        <v>0</v>
      </c>
      <c r="X400" s="36"/>
      <c r="Y400" s="36">
        <v>0</v>
      </c>
      <c r="Z400" s="36"/>
      <c r="AA400" s="36">
        <v>0</v>
      </c>
      <c r="AB400" s="36"/>
      <c r="AC400" s="36">
        <v>0</v>
      </c>
      <c r="AD400" s="36"/>
      <c r="AE400" s="36">
        <v>0</v>
      </c>
      <c r="AF400" s="36"/>
      <c r="AG400" s="36">
        <v>0</v>
      </c>
      <c r="AH400" s="36"/>
      <c r="AI400" s="36">
        <f>SUM(E400:AG400)</f>
        <v>1138965.8199999998</v>
      </c>
      <c r="AJ400" s="10"/>
    </row>
    <row r="401" spans="1:36" s="21" customFormat="1" ht="12.75">
      <c r="A401" s="1" t="s">
        <v>423</v>
      </c>
      <c r="B401" s="1"/>
      <c r="C401" s="1" t="s">
        <v>420</v>
      </c>
      <c r="D401" s="1"/>
      <c r="E401" s="83">
        <v>128774.88</v>
      </c>
      <c r="F401" s="83"/>
      <c r="G401" s="83">
        <v>567994.32</v>
      </c>
      <c r="H401" s="83"/>
      <c r="I401" s="83">
        <v>275597.84</v>
      </c>
      <c r="J401" s="83"/>
      <c r="K401" s="83">
        <v>0</v>
      </c>
      <c r="L401" s="83"/>
      <c r="M401" s="83">
        <v>0</v>
      </c>
      <c r="N401" s="83"/>
      <c r="O401" s="83">
        <v>36366.71</v>
      </c>
      <c r="P401" s="83"/>
      <c r="Q401" s="83">
        <v>7296.19</v>
      </c>
      <c r="R401" s="83"/>
      <c r="S401" s="83">
        <v>1946.34</v>
      </c>
      <c r="T401" s="83"/>
      <c r="U401" s="83">
        <v>0</v>
      </c>
      <c r="V401" s="83"/>
      <c r="W401" s="83">
        <v>0</v>
      </c>
      <c r="X401" s="83"/>
      <c r="Y401" s="83">
        <v>920</v>
      </c>
      <c r="Z401" s="83"/>
      <c r="AA401" s="83">
        <v>0</v>
      </c>
      <c r="AB401" s="83"/>
      <c r="AC401" s="83">
        <v>0</v>
      </c>
      <c r="AD401" s="83"/>
      <c r="AE401" s="83">
        <v>95980.93</v>
      </c>
      <c r="AF401" s="83"/>
      <c r="AG401" s="83">
        <v>0</v>
      </c>
      <c r="AH401" s="83"/>
      <c r="AI401" s="83">
        <f aca="true" t="shared" si="22" ref="AI401:AI404">SUM(E401:AG401)</f>
        <v>1114877.21</v>
      </c>
      <c r="AJ401" s="10"/>
    </row>
    <row r="402" spans="1:39" s="21" customFormat="1" ht="12.75">
      <c r="A402" s="1" t="s">
        <v>276</v>
      </c>
      <c r="B402" s="1"/>
      <c r="C402" s="1" t="s">
        <v>275</v>
      </c>
      <c r="D402" s="1"/>
      <c r="E402" s="83">
        <v>190258</v>
      </c>
      <c r="F402" s="83"/>
      <c r="G402" s="83">
        <v>2891946</v>
      </c>
      <c r="H402" s="83"/>
      <c r="I402" s="83">
        <v>206411</v>
      </c>
      <c r="J402" s="83"/>
      <c r="K402" s="83">
        <v>0</v>
      </c>
      <c r="L402" s="83"/>
      <c r="M402" s="83">
        <v>603100</v>
      </c>
      <c r="N402" s="83"/>
      <c r="O402" s="83">
        <v>12851</v>
      </c>
      <c r="P402" s="83"/>
      <c r="Q402" s="83">
        <v>32453</v>
      </c>
      <c r="R402" s="83"/>
      <c r="S402" s="83">
        <v>19115</v>
      </c>
      <c r="T402" s="83"/>
      <c r="U402" s="83">
        <v>0</v>
      </c>
      <c r="V402" s="83"/>
      <c r="W402" s="83">
        <v>0</v>
      </c>
      <c r="X402" s="83"/>
      <c r="Y402" s="83">
        <v>0</v>
      </c>
      <c r="Z402" s="83"/>
      <c r="AA402" s="83">
        <v>0</v>
      </c>
      <c r="AB402" s="83"/>
      <c r="AC402" s="83">
        <v>0</v>
      </c>
      <c r="AD402" s="83"/>
      <c r="AE402" s="83">
        <v>0</v>
      </c>
      <c r="AF402" s="83"/>
      <c r="AG402" s="83">
        <v>0</v>
      </c>
      <c r="AH402" s="83"/>
      <c r="AI402" s="83">
        <f t="shared" si="22"/>
        <v>3956134</v>
      </c>
      <c r="AJ402" s="10"/>
      <c r="AK402" s="22"/>
      <c r="AL402" s="22"/>
      <c r="AM402" s="22"/>
    </row>
    <row r="403" spans="1:36" s="21" customFormat="1" ht="12.75">
      <c r="A403" s="1" t="s">
        <v>552</v>
      </c>
      <c r="B403" s="1"/>
      <c r="C403" s="1" t="s">
        <v>551</v>
      </c>
      <c r="D403" s="1"/>
      <c r="E403" s="83">
        <v>167529</v>
      </c>
      <c r="F403" s="83"/>
      <c r="G403" s="83">
        <v>0</v>
      </c>
      <c r="H403" s="83"/>
      <c r="I403" s="83">
        <v>179463</v>
      </c>
      <c r="J403" s="83"/>
      <c r="K403" s="83">
        <v>0</v>
      </c>
      <c r="L403" s="83"/>
      <c r="M403" s="83">
        <v>0</v>
      </c>
      <c r="N403" s="83"/>
      <c r="O403" s="83">
        <v>107944</v>
      </c>
      <c r="P403" s="83"/>
      <c r="Q403" s="83">
        <v>1557</v>
      </c>
      <c r="R403" s="83"/>
      <c r="S403" s="83">
        <v>80818</v>
      </c>
      <c r="T403" s="83"/>
      <c r="U403" s="83">
        <v>0</v>
      </c>
      <c r="V403" s="83"/>
      <c r="W403" s="83">
        <v>0</v>
      </c>
      <c r="X403" s="83"/>
      <c r="Y403" s="83">
        <v>0</v>
      </c>
      <c r="Z403" s="83"/>
      <c r="AA403" s="83">
        <v>1082366</v>
      </c>
      <c r="AB403" s="83"/>
      <c r="AC403" s="83">
        <v>0</v>
      </c>
      <c r="AD403" s="83"/>
      <c r="AE403" s="83">
        <v>0</v>
      </c>
      <c r="AF403" s="83"/>
      <c r="AG403" s="83">
        <v>0</v>
      </c>
      <c r="AH403" s="83"/>
      <c r="AI403" s="83">
        <f t="shared" si="22"/>
        <v>1619677</v>
      </c>
      <c r="AJ403" s="10"/>
    </row>
    <row r="404" spans="1:36" s="21" customFormat="1" ht="12.75">
      <c r="A404" s="1" t="s">
        <v>415</v>
      </c>
      <c r="B404" s="1"/>
      <c r="C404" s="1" t="s">
        <v>416</v>
      </c>
      <c r="D404" s="1"/>
      <c r="E404" s="83">
        <v>50376</v>
      </c>
      <c r="F404" s="83"/>
      <c r="G404" s="83">
        <v>427611</v>
      </c>
      <c r="H404" s="83"/>
      <c r="I404" s="83">
        <v>302854</v>
      </c>
      <c r="J404" s="83"/>
      <c r="K404" s="83">
        <v>261</v>
      </c>
      <c r="L404" s="83"/>
      <c r="M404" s="83">
        <v>9840</v>
      </c>
      <c r="N404" s="83"/>
      <c r="O404" s="83">
        <v>49675</v>
      </c>
      <c r="P404" s="83"/>
      <c r="Q404" s="83">
        <v>9229</v>
      </c>
      <c r="R404" s="83"/>
      <c r="S404" s="83">
        <v>32735</v>
      </c>
      <c r="T404" s="83"/>
      <c r="U404" s="83">
        <v>0</v>
      </c>
      <c r="V404" s="83"/>
      <c r="W404" s="83">
        <v>0</v>
      </c>
      <c r="X404" s="83"/>
      <c r="Y404" s="83">
        <v>0</v>
      </c>
      <c r="Z404" s="83"/>
      <c r="AA404" s="83">
        <v>0</v>
      </c>
      <c r="AB404" s="83"/>
      <c r="AC404" s="83">
        <v>255666</v>
      </c>
      <c r="AD404" s="83"/>
      <c r="AE404" s="83">
        <v>1132</v>
      </c>
      <c r="AF404" s="83"/>
      <c r="AG404" s="83">
        <v>0</v>
      </c>
      <c r="AH404" s="83"/>
      <c r="AI404" s="83">
        <f t="shared" si="22"/>
        <v>1139379</v>
      </c>
      <c r="AJ404" s="10"/>
    </row>
    <row r="405" spans="1:36" ht="12.75">
      <c r="A405" s="1" t="s">
        <v>160</v>
      </c>
      <c r="C405" s="1" t="s">
        <v>794</v>
      </c>
      <c r="E405" s="36">
        <v>4366.64</v>
      </c>
      <c r="F405" s="36"/>
      <c r="G405" s="36">
        <v>0</v>
      </c>
      <c r="H405" s="36"/>
      <c r="I405" s="36">
        <v>15090.66</v>
      </c>
      <c r="J405" s="36"/>
      <c r="K405" s="36">
        <v>0</v>
      </c>
      <c r="L405" s="36"/>
      <c r="M405" s="36">
        <v>0</v>
      </c>
      <c r="N405" s="36"/>
      <c r="O405" s="36">
        <v>1861.39</v>
      </c>
      <c r="P405" s="36"/>
      <c r="Q405" s="36">
        <v>25.82</v>
      </c>
      <c r="R405" s="36"/>
      <c r="S405" s="36">
        <v>503.39</v>
      </c>
      <c r="T405" s="36"/>
      <c r="U405" s="36">
        <v>0</v>
      </c>
      <c r="V405" s="36"/>
      <c r="W405" s="36">
        <v>0</v>
      </c>
      <c r="X405" s="36"/>
      <c r="Y405" s="36">
        <v>0</v>
      </c>
      <c r="Z405" s="36"/>
      <c r="AA405" s="36">
        <v>0</v>
      </c>
      <c r="AB405" s="36"/>
      <c r="AC405" s="36">
        <v>0</v>
      </c>
      <c r="AD405" s="36"/>
      <c r="AE405" s="36">
        <v>0</v>
      </c>
      <c r="AF405" s="36"/>
      <c r="AG405" s="36">
        <v>0</v>
      </c>
      <c r="AH405" s="36"/>
      <c r="AI405" s="36">
        <f>SUM(E405:AG405)</f>
        <v>21847.899999999998</v>
      </c>
      <c r="AJ405" s="10"/>
    </row>
    <row r="406" spans="1:36" ht="12.75">
      <c r="A406" s="1" t="s">
        <v>599</v>
      </c>
      <c r="C406" s="1" t="s">
        <v>598</v>
      </c>
      <c r="E406" s="83">
        <v>444535</v>
      </c>
      <c r="F406" s="83"/>
      <c r="G406" s="83">
        <v>402140</v>
      </c>
      <c r="H406" s="83"/>
      <c r="I406" s="83">
        <v>368615</v>
      </c>
      <c r="J406" s="83"/>
      <c r="K406" s="83">
        <v>0</v>
      </c>
      <c r="L406" s="83"/>
      <c r="M406" s="83">
        <v>404733</v>
      </c>
      <c r="N406" s="83"/>
      <c r="O406" s="83">
        <v>36834</v>
      </c>
      <c r="P406" s="83"/>
      <c r="Q406" s="83">
        <v>77845</v>
      </c>
      <c r="R406" s="83"/>
      <c r="S406" s="83">
        <v>29583</v>
      </c>
      <c r="T406" s="83"/>
      <c r="U406" s="83">
        <v>0</v>
      </c>
      <c r="V406" s="83"/>
      <c r="W406" s="83">
        <v>0</v>
      </c>
      <c r="X406" s="83"/>
      <c r="Y406" s="83">
        <v>0</v>
      </c>
      <c r="Z406" s="83"/>
      <c r="AA406" s="83">
        <v>0</v>
      </c>
      <c r="AB406" s="83"/>
      <c r="AC406" s="83">
        <v>0</v>
      </c>
      <c r="AD406" s="83"/>
      <c r="AE406" s="83">
        <v>0</v>
      </c>
      <c r="AF406" s="83"/>
      <c r="AG406" s="83">
        <v>0</v>
      </c>
      <c r="AH406" s="83"/>
      <c r="AI406" s="83">
        <f aca="true" t="shared" si="23" ref="AI406:AI408">SUM(E406:AG406)</f>
        <v>1764285</v>
      </c>
      <c r="AJ406" s="10"/>
    </row>
    <row r="407" spans="1:39" s="21" customFormat="1" ht="12.75">
      <c r="A407" s="1" t="s">
        <v>323</v>
      </c>
      <c r="B407" s="1"/>
      <c r="C407" s="1" t="s">
        <v>316</v>
      </c>
      <c r="D407" s="1"/>
      <c r="E407" s="83">
        <v>820241</v>
      </c>
      <c r="F407" s="83"/>
      <c r="G407" s="83">
        <v>3068697</v>
      </c>
      <c r="H407" s="83"/>
      <c r="I407" s="83">
        <v>904322</v>
      </c>
      <c r="J407" s="83"/>
      <c r="K407" s="83">
        <v>0</v>
      </c>
      <c r="L407" s="83"/>
      <c r="M407" s="83">
        <v>8165</v>
      </c>
      <c r="N407" s="83"/>
      <c r="O407" s="83">
        <v>153946</v>
      </c>
      <c r="P407" s="83"/>
      <c r="Q407" s="83">
        <v>23221</v>
      </c>
      <c r="R407" s="83"/>
      <c r="S407" s="83">
        <v>119704</v>
      </c>
      <c r="T407" s="83"/>
      <c r="U407" s="83">
        <v>0</v>
      </c>
      <c r="V407" s="83"/>
      <c r="W407" s="83">
        <v>0</v>
      </c>
      <c r="X407" s="83"/>
      <c r="Y407" s="83">
        <v>0</v>
      </c>
      <c r="Z407" s="83"/>
      <c r="AA407" s="83">
        <v>62301</v>
      </c>
      <c r="AB407" s="83"/>
      <c r="AC407" s="83">
        <v>0</v>
      </c>
      <c r="AD407" s="83"/>
      <c r="AE407" s="83">
        <v>0</v>
      </c>
      <c r="AF407" s="83"/>
      <c r="AG407" s="83">
        <v>0</v>
      </c>
      <c r="AH407" s="83"/>
      <c r="AI407" s="83">
        <f t="shared" si="23"/>
        <v>5160597</v>
      </c>
      <c r="AJ407" s="10"/>
      <c r="AK407" s="22"/>
      <c r="AL407" s="22"/>
      <c r="AM407" s="22"/>
    </row>
    <row r="408" spans="1:39" s="21" customFormat="1" ht="12.75">
      <c r="A408" s="1" t="s">
        <v>950</v>
      </c>
      <c r="B408" s="1"/>
      <c r="C408" s="1" t="s">
        <v>463</v>
      </c>
      <c r="D408" s="1"/>
      <c r="E408" s="36">
        <v>11157.32</v>
      </c>
      <c r="F408" s="36"/>
      <c r="G408" s="36">
        <v>0</v>
      </c>
      <c r="H408" s="36"/>
      <c r="I408" s="36">
        <v>15558.64</v>
      </c>
      <c r="J408" s="36"/>
      <c r="K408" s="36">
        <v>0</v>
      </c>
      <c r="L408" s="36"/>
      <c r="M408" s="36">
        <v>0</v>
      </c>
      <c r="N408" s="36"/>
      <c r="O408" s="36">
        <v>0</v>
      </c>
      <c r="P408" s="36"/>
      <c r="Q408" s="36">
        <v>2.07</v>
      </c>
      <c r="R408" s="36"/>
      <c r="S408" s="36">
        <v>284.47</v>
      </c>
      <c r="T408" s="36"/>
      <c r="U408" s="36">
        <v>0</v>
      </c>
      <c r="V408" s="36"/>
      <c r="W408" s="36">
        <v>0</v>
      </c>
      <c r="X408" s="36"/>
      <c r="Y408" s="36">
        <v>0</v>
      </c>
      <c r="Z408" s="36"/>
      <c r="AA408" s="36">
        <v>0</v>
      </c>
      <c r="AB408" s="36"/>
      <c r="AC408" s="36">
        <v>0</v>
      </c>
      <c r="AD408" s="36"/>
      <c r="AE408" s="36">
        <v>0</v>
      </c>
      <c r="AF408" s="36"/>
      <c r="AG408" s="36">
        <v>37</v>
      </c>
      <c r="AH408" s="36"/>
      <c r="AI408" s="36">
        <f t="shared" si="23"/>
        <v>27039.5</v>
      </c>
      <c r="AJ408" s="10"/>
      <c r="AK408" s="22"/>
      <c r="AL408" s="22"/>
      <c r="AM408" s="22"/>
    </row>
    <row r="409" spans="5:36" ht="12.75"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5"/>
      <c r="W409" s="83"/>
      <c r="X409" s="85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 t="s">
        <v>864</v>
      </c>
      <c r="AJ409" s="10"/>
    </row>
    <row r="410" spans="1:39" ht="12.75">
      <c r="A410" s="1" t="s">
        <v>18</v>
      </c>
      <c r="C410" s="1" t="s">
        <v>750</v>
      </c>
      <c r="E410" s="102">
        <v>5400.4</v>
      </c>
      <c r="F410" s="102"/>
      <c r="G410" s="102">
        <v>0</v>
      </c>
      <c r="H410" s="102"/>
      <c r="I410" s="102">
        <v>25401.93</v>
      </c>
      <c r="J410" s="102"/>
      <c r="K410" s="102">
        <v>0</v>
      </c>
      <c r="L410" s="102"/>
      <c r="M410" s="102">
        <v>0</v>
      </c>
      <c r="N410" s="102"/>
      <c r="O410" s="102">
        <v>0</v>
      </c>
      <c r="P410" s="102"/>
      <c r="Q410" s="102">
        <v>97.37</v>
      </c>
      <c r="R410" s="102"/>
      <c r="S410" s="102">
        <v>252</v>
      </c>
      <c r="T410" s="102"/>
      <c r="U410" s="102">
        <v>0</v>
      </c>
      <c r="V410" s="102"/>
      <c r="W410" s="102">
        <v>0</v>
      </c>
      <c r="X410" s="102"/>
      <c r="Y410" s="102">
        <v>0</v>
      </c>
      <c r="Z410" s="102"/>
      <c r="AA410" s="102">
        <v>0</v>
      </c>
      <c r="AB410" s="102"/>
      <c r="AC410" s="102">
        <v>0</v>
      </c>
      <c r="AD410" s="102"/>
      <c r="AE410" s="102">
        <v>0</v>
      </c>
      <c r="AF410" s="102"/>
      <c r="AG410" s="102">
        <v>0</v>
      </c>
      <c r="AH410" s="102"/>
      <c r="AI410" s="102">
        <f aca="true" t="shared" si="24" ref="AI410:AI414">SUM(E410:AG410)</f>
        <v>31151.7</v>
      </c>
      <c r="AJ410" s="10"/>
      <c r="AK410" s="7"/>
      <c r="AL410" s="7"/>
      <c r="AM410" s="7"/>
    </row>
    <row r="411" spans="1:36" ht="12.75">
      <c r="A411" s="1" t="s">
        <v>243</v>
      </c>
      <c r="C411" s="1" t="s">
        <v>821</v>
      </c>
      <c r="E411" s="36">
        <v>34171.65</v>
      </c>
      <c r="F411" s="36"/>
      <c r="G411" s="36">
        <v>247000.84</v>
      </c>
      <c r="H411" s="36"/>
      <c r="I411" s="36">
        <v>22679.9</v>
      </c>
      <c r="J411" s="36"/>
      <c r="K411" s="36">
        <v>0</v>
      </c>
      <c r="L411" s="36"/>
      <c r="M411" s="36">
        <v>138002.48</v>
      </c>
      <c r="N411" s="36"/>
      <c r="O411" s="36">
        <v>119326.33</v>
      </c>
      <c r="P411" s="36"/>
      <c r="Q411" s="36">
        <v>7478.75</v>
      </c>
      <c r="R411" s="36"/>
      <c r="S411" s="36">
        <f>8422.27+30000</f>
        <v>38422.270000000004</v>
      </c>
      <c r="T411" s="36"/>
      <c r="U411" s="36">
        <v>0</v>
      </c>
      <c r="V411" s="36"/>
      <c r="W411" s="36">
        <v>0</v>
      </c>
      <c r="X411" s="36"/>
      <c r="Y411" s="36">
        <v>0</v>
      </c>
      <c r="Z411" s="36"/>
      <c r="AA411" s="36">
        <v>0</v>
      </c>
      <c r="AB411" s="36"/>
      <c r="AC411" s="36">
        <v>0</v>
      </c>
      <c r="AD411" s="36"/>
      <c r="AE411" s="36">
        <v>0</v>
      </c>
      <c r="AF411" s="36"/>
      <c r="AG411" s="36">
        <v>0</v>
      </c>
      <c r="AH411" s="36"/>
      <c r="AI411" s="36">
        <f t="shared" si="24"/>
        <v>607082.22</v>
      </c>
      <c r="AJ411" s="10"/>
    </row>
    <row r="412" spans="1:36" s="21" customFormat="1" ht="12.75">
      <c r="A412" s="1" t="s">
        <v>298</v>
      </c>
      <c r="B412" s="1"/>
      <c r="C412" s="1" t="s">
        <v>295</v>
      </c>
      <c r="D412" s="1"/>
      <c r="E412" s="36">
        <v>164546.92</v>
      </c>
      <c r="F412" s="36"/>
      <c r="G412" s="36">
        <v>2311.12</v>
      </c>
      <c r="H412" s="36"/>
      <c r="I412" s="36">
        <v>246218.1</v>
      </c>
      <c r="J412" s="36"/>
      <c r="K412" s="36">
        <v>0</v>
      </c>
      <c r="L412" s="36"/>
      <c r="M412" s="36">
        <v>11323.5</v>
      </c>
      <c r="N412" s="36"/>
      <c r="O412" s="36">
        <v>3088.09</v>
      </c>
      <c r="P412" s="36"/>
      <c r="Q412" s="36">
        <v>5783.95</v>
      </c>
      <c r="R412" s="36"/>
      <c r="S412" s="36">
        <v>12755.4</v>
      </c>
      <c r="T412" s="36"/>
      <c r="U412" s="36">
        <v>0</v>
      </c>
      <c r="V412" s="36"/>
      <c r="W412" s="36">
        <v>0</v>
      </c>
      <c r="X412" s="36"/>
      <c r="Y412" s="36">
        <v>0</v>
      </c>
      <c r="Z412" s="36"/>
      <c r="AA412" s="36">
        <v>0</v>
      </c>
      <c r="AB412" s="36"/>
      <c r="AC412" s="36">
        <v>0</v>
      </c>
      <c r="AD412" s="36"/>
      <c r="AE412" s="36">
        <v>0</v>
      </c>
      <c r="AF412" s="36"/>
      <c r="AG412" s="36">
        <v>550000</v>
      </c>
      <c r="AH412" s="36"/>
      <c r="AI412" s="36">
        <f t="shared" si="24"/>
        <v>996027.0800000001</v>
      </c>
      <c r="AJ412" s="10"/>
    </row>
    <row r="413" spans="1:36" ht="12.75">
      <c r="A413" s="1" t="s">
        <v>249</v>
      </c>
      <c r="C413" s="1" t="s">
        <v>823</v>
      </c>
      <c r="E413" s="93">
        <v>17650.14</v>
      </c>
      <c r="F413" s="93"/>
      <c r="G413" s="93">
        <v>86346.78</v>
      </c>
      <c r="H413" s="93"/>
      <c r="I413" s="93">
        <v>13827.15</v>
      </c>
      <c r="J413" s="93"/>
      <c r="K413" s="93">
        <v>0</v>
      </c>
      <c r="L413" s="93"/>
      <c r="M413" s="93">
        <v>440</v>
      </c>
      <c r="N413" s="93"/>
      <c r="O413" s="93">
        <v>77075</v>
      </c>
      <c r="P413" s="93"/>
      <c r="Q413" s="93">
        <v>46.08</v>
      </c>
      <c r="R413" s="93"/>
      <c r="S413" s="93">
        <v>1506.32</v>
      </c>
      <c r="T413" s="93"/>
      <c r="U413" s="93">
        <v>0</v>
      </c>
      <c r="V413" s="93"/>
      <c r="W413" s="93">
        <v>0</v>
      </c>
      <c r="X413" s="93"/>
      <c r="Y413" s="93">
        <v>0</v>
      </c>
      <c r="Z413" s="93"/>
      <c r="AA413" s="93">
        <v>0</v>
      </c>
      <c r="AB413" s="93"/>
      <c r="AC413" s="93">
        <v>0</v>
      </c>
      <c r="AD413" s="93"/>
      <c r="AE413" s="93">
        <v>0</v>
      </c>
      <c r="AF413" s="93"/>
      <c r="AG413" s="93">
        <v>0</v>
      </c>
      <c r="AH413" s="93"/>
      <c r="AI413" s="93">
        <f t="shared" si="24"/>
        <v>196891.47</v>
      </c>
      <c r="AJ413" s="10"/>
    </row>
    <row r="414" spans="1:36" s="21" customFormat="1" ht="12.75">
      <c r="A414" s="1" t="s">
        <v>141</v>
      </c>
      <c r="B414" s="1"/>
      <c r="C414" s="1" t="s">
        <v>789</v>
      </c>
      <c r="D414" s="1"/>
      <c r="E414" s="93">
        <v>19563.85</v>
      </c>
      <c r="F414" s="93"/>
      <c r="G414" s="93">
        <v>467672.09</v>
      </c>
      <c r="H414" s="93"/>
      <c r="I414" s="93">
        <v>134719.44</v>
      </c>
      <c r="J414" s="93"/>
      <c r="K414" s="93">
        <v>1785.6</v>
      </c>
      <c r="L414" s="93"/>
      <c r="M414" s="93">
        <v>164</v>
      </c>
      <c r="N414" s="93"/>
      <c r="O414" s="93">
        <v>58737.47</v>
      </c>
      <c r="P414" s="93"/>
      <c r="Q414" s="93">
        <v>455.05</v>
      </c>
      <c r="R414" s="93"/>
      <c r="S414" s="93">
        <v>83596.18</v>
      </c>
      <c r="T414" s="93"/>
      <c r="U414" s="93">
        <v>0</v>
      </c>
      <c r="V414" s="93"/>
      <c r="W414" s="93">
        <v>0</v>
      </c>
      <c r="X414" s="93"/>
      <c r="Y414" s="93">
        <v>0</v>
      </c>
      <c r="Z414" s="93"/>
      <c r="AA414" s="93">
        <v>0</v>
      </c>
      <c r="AB414" s="93"/>
      <c r="AC414" s="93">
        <v>0</v>
      </c>
      <c r="AD414" s="93"/>
      <c r="AE414" s="93">
        <v>0</v>
      </c>
      <c r="AF414" s="93"/>
      <c r="AG414" s="93">
        <v>0</v>
      </c>
      <c r="AH414" s="93"/>
      <c r="AI414" s="93">
        <f t="shared" si="24"/>
        <v>766693.6799999999</v>
      </c>
      <c r="AJ414" s="10"/>
    </row>
    <row r="415" spans="1:36" s="21" customFormat="1" ht="12.75" hidden="1">
      <c r="A415" s="1" t="s">
        <v>99</v>
      </c>
      <c r="B415" s="1"/>
      <c r="C415" s="1" t="s">
        <v>775</v>
      </c>
      <c r="D415" s="1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5"/>
      <c r="W415" s="83"/>
      <c r="X415" s="85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>
        <f aca="true" t="shared" si="25" ref="AI415:AI466">SUM(E415:AG415)</f>
        <v>0</v>
      </c>
      <c r="AJ415" s="10"/>
    </row>
    <row r="416" spans="1:36" ht="12.75">
      <c r="A416" s="1" t="s">
        <v>410</v>
      </c>
      <c r="C416" s="1" t="s">
        <v>409</v>
      </c>
      <c r="E416" s="93">
        <v>13889.85</v>
      </c>
      <c r="F416" s="93"/>
      <c r="G416" s="93">
        <v>0</v>
      </c>
      <c r="H416" s="93"/>
      <c r="I416" s="93">
        <v>35562.47</v>
      </c>
      <c r="J416" s="93"/>
      <c r="K416" s="93">
        <v>0</v>
      </c>
      <c r="L416" s="93"/>
      <c r="M416" s="93">
        <v>0</v>
      </c>
      <c r="N416" s="93"/>
      <c r="O416" s="93">
        <v>5167.94</v>
      </c>
      <c r="P416" s="93"/>
      <c r="Q416" s="93">
        <v>13.33</v>
      </c>
      <c r="R416" s="93"/>
      <c r="S416" s="93">
        <v>7467.74</v>
      </c>
      <c r="T416" s="93"/>
      <c r="U416" s="93">
        <v>0</v>
      </c>
      <c r="V416" s="93"/>
      <c r="W416" s="93">
        <v>0</v>
      </c>
      <c r="X416" s="93"/>
      <c r="Y416" s="93">
        <v>0</v>
      </c>
      <c r="Z416" s="93"/>
      <c r="AA416" s="93">
        <v>0</v>
      </c>
      <c r="AB416" s="93"/>
      <c r="AC416" s="93">
        <v>0</v>
      </c>
      <c r="AD416" s="93"/>
      <c r="AE416" s="93">
        <v>0</v>
      </c>
      <c r="AF416" s="93"/>
      <c r="AG416" s="93">
        <v>0</v>
      </c>
      <c r="AH416" s="93"/>
      <c r="AI416" s="93">
        <f>SUM(E416:AG416)</f>
        <v>62101.33</v>
      </c>
      <c r="AJ416" s="10"/>
    </row>
    <row r="417" spans="1:36" s="21" customFormat="1" ht="12.75">
      <c r="A417" s="1" t="s">
        <v>390</v>
      </c>
      <c r="B417" s="1"/>
      <c r="C417" s="1" t="s">
        <v>388</v>
      </c>
      <c r="D417" s="1"/>
      <c r="E417" s="36">
        <v>38908.28</v>
      </c>
      <c r="F417" s="36"/>
      <c r="G417" s="36">
        <v>0</v>
      </c>
      <c r="H417" s="36"/>
      <c r="I417" s="36">
        <v>51333.24</v>
      </c>
      <c r="J417" s="36"/>
      <c r="K417" s="36">
        <v>0</v>
      </c>
      <c r="L417" s="36"/>
      <c r="M417" s="36">
        <v>0</v>
      </c>
      <c r="N417" s="36"/>
      <c r="O417" s="36">
        <v>0</v>
      </c>
      <c r="P417" s="36"/>
      <c r="Q417" s="36">
        <v>84.31</v>
      </c>
      <c r="R417" s="36"/>
      <c r="S417" s="36">
        <v>84.21</v>
      </c>
      <c r="T417" s="36"/>
      <c r="U417" s="36">
        <v>0</v>
      </c>
      <c r="V417" s="36"/>
      <c r="W417" s="36">
        <v>0</v>
      </c>
      <c r="X417" s="36"/>
      <c r="Y417" s="36">
        <v>0</v>
      </c>
      <c r="Z417" s="36"/>
      <c r="AA417" s="36">
        <v>0</v>
      </c>
      <c r="AB417" s="36"/>
      <c r="AC417" s="36">
        <v>0</v>
      </c>
      <c r="AD417" s="36"/>
      <c r="AE417" s="36">
        <v>0</v>
      </c>
      <c r="AF417" s="36"/>
      <c r="AG417" s="36">
        <v>0</v>
      </c>
      <c r="AH417" s="36"/>
      <c r="AI417" s="36">
        <f>SUM(E417:AG417)</f>
        <v>90410.04</v>
      </c>
      <c r="AJ417" s="10"/>
    </row>
    <row r="418" spans="1:36" ht="12.75">
      <c r="A418" s="1" t="s">
        <v>391</v>
      </c>
      <c r="C418" s="1" t="s">
        <v>388</v>
      </c>
      <c r="E418" s="83">
        <v>1969.39</v>
      </c>
      <c r="F418" s="83"/>
      <c r="G418" s="83">
        <v>0</v>
      </c>
      <c r="H418" s="83"/>
      <c r="I418" s="83">
        <v>40361.65</v>
      </c>
      <c r="J418" s="83"/>
      <c r="K418" s="83">
        <v>0</v>
      </c>
      <c r="L418" s="83"/>
      <c r="M418" s="83">
        <v>2180</v>
      </c>
      <c r="N418" s="83"/>
      <c r="O418" s="83">
        <v>0</v>
      </c>
      <c r="P418" s="83"/>
      <c r="Q418" s="83">
        <v>288.23</v>
      </c>
      <c r="R418" s="83"/>
      <c r="S418" s="83">
        <v>5846.67</v>
      </c>
      <c r="T418" s="83"/>
      <c r="U418" s="83">
        <v>0</v>
      </c>
      <c r="V418" s="83"/>
      <c r="W418" s="83">
        <v>0</v>
      </c>
      <c r="X418" s="83"/>
      <c r="Y418" s="83">
        <v>0</v>
      </c>
      <c r="Z418" s="83"/>
      <c r="AA418" s="83">
        <v>0</v>
      </c>
      <c r="AB418" s="83"/>
      <c r="AC418" s="83">
        <v>0</v>
      </c>
      <c r="AD418" s="83"/>
      <c r="AE418" s="83">
        <v>0</v>
      </c>
      <c r="AF418" s="83"/>
      <c r="AG418" s="83">
        <v>0</v>
      </c>
      <c r="AH418" s="83"/>
      <c r="AI418" s="83">
        <f t="shared" si="25"/>
        <v>50645.94</v>
      </c>
      <c r="AJ418" s="10"/>
    </row>
    <row r="419" spans="1:36" ht="12.75">
      <c r="A419" s="1" t="s">
        <v>483</v>
      </c>
      <c r="C419" s="1" t="s">
        <v>243</v>
      </c>
      <c r="E419" s="83">
        <v>102375</v>
      </c>
      <c r="F419" s="83"/>
      <c r="G419" s="83">
        <v>853345</v>
      </c>
      <c r="H419" s="83"/>
      <c r="I419" s="83">
        <v>50078</v>
      </c>
      <c r="J419" s="83"/>
      <c r="K419" s="83">
        <v>0</v>
      </c>
      <c r="L419" s="83"/>
      <c r="M419" s="83">
        <v>0</v>
      </c>
      <c r="N419" s="83"/>
      <c r="O419" s="83">
        <v>54447</v>
      </c>
      <c r="P419" s="83"/>
      <c r="Q419" s="83">
        <v>18824</v>
      </c>
      <c r="R419" s="83"/>
      <c r="S419" s="83">
        <v>115730</v>
      </c>
      <c r="T419" s="83"/>
      <c r="U419" s="83">
        <v>0</v>
      </c>
      <c r="V419" s="83"/>
      <c r="W419" s="83">
        <v>0</v>
      </c>
      <c r="X419" s="83"/>
      <c r="Y419" s="83">
        <v>0</v>
      </c>
      <c r="Z419" s="83"/>
      <c r="AA419" s="83">
        <v>0</v>
      </c>
      <c r="AB419" s="83"/>
      <c r="AC419" s="83">
        <v>0</v>
      </c>
      <c r="AD419" s="83"/>
      <c r="AE419" s="83">
        <v>0</v>
      </c>
      <c r="AF419" s="83"/>
      <c r="AG419" s="83">
        <v>0</v>
      </c>
      <c r="AH419" s="83"/>
      <c r="AI419" s="83">
        <f t="shared" si="25"/>
        <v>1194799</v>
      </c>
      <c r="AJ419" s="10"/>
    </row>
    <row r="420" spans="1:39" ht="12.75">
      <c r="A420" s="1" t="s">
        <v>24</v>
      </c>
      <c r="C420" s="1" t="s">
        <v>751</v>
      </c>
      <c r="E420" s="36">
        <v>56607.25</v>
      </c>
      <c r="F420" s="36"/>
      <c r="G420" s="36">
        <v>901417.48</v>
      </c>
      <c r="H420" s="36"/>
      <c r="I420" s="36">
        <v>59961.04</v>
      </c>
      <c r="J420" s="36"/>
      <c r="K420" s="36">
        <v>0</v>
      </c>
      <c r="L420" s="36"/>
      <c r="M420" s="36">
        <v>53.08</v>
      </c>
      <c r="N420" s="36"/>
      <c r="O420" s="36">
        <v>156530.68</v>
      </c>
      <c r="P420" s="36"/>
      <c r="Q420" s="36">
        <v>34380.47</v>
      </c>
      <c r="R420" s="36"/>
      <c r="S420" s="36">
        <v>5927.13</v>
      </c>
      <c r="T420" s="36"/>
      <c r="U420" s="36">
        <v>0</v>
      </c>
      <c r="V420" s="36"/>
      <c r="W420" s="36">
        <v>48400</v>
      </c>
      <c r="X420" s="36"/>
      <c r="Y420" s="36">
        <v>0</v>
      </c>
      <c r="Z420" s="36"/>
      <c r="AA420" s="36">
        <v>0</v>
      </c>
      <c r="AB420" s="36"/>
      <c r="AC420" s="36">
        <v>0</v>
      </c>
      <c r="AD420" s="36"/>
      <c r="AE420" s="36">
        <v>0</v>
      </c>
      <c r="AF420" s="36"/>
      <c r="AG420" s="36">
        <v>442</v>
      </c>
      <c r="AH420" s="36"/>
      <c r="AI420" s="36">
        <f>SUM(E420:AG420)</f>
        <v>1263719.13</v>
      </c>
      <c r="AJ420" s="10"/>
      <c r="AK420" s="7"/>
      <c r="AL420" s="7"/>
      <c r="AM420" s="7"/>
    </row>
    <row r="421" spans="1:36" s="21" customFormat="1" ht="12.75" hidden="1">
      <c r="A421" s="1" t="s">
        <v>112</v>
      </c>
      <c r="B421" s="1"/>
      <c r="C421" s="1" t="s">
        <v>779</v>
      </c>
      <c r="D421" s="1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5"/>
      <c r="W421" s="83"/>
      <c r="X421" s="85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>
        <f t="shared" si="25"/>
        <v>0</v>
      </c>
      <c r="AJ421" s="10"/>
    </row>
    <row r="422" spans="1:39" s="21" customFormat="1" ht="12.75">
      <c r="A422" s="1" t="s">
        <v>288</v>
      </c>
      <c r="B422" s="1"/>
      <c r="C422" s="1" t="s">
        <v>287</v>
      </c>
      <c r="D422" s="1"/>
      <c r="E422" s="36">
        <v>2307.69</v>
      </c>
      <c r="F422" s="36"/>
      <c r="G422" s="36">
        <v>0</v>
      </c>
      <c r="H422" s="36"/>
      <c r="I422" s="36">
        <v>5407.79</v>
      </c>
      <c r="J422" s="36"/>
      <c r="K422" s="36">
        <v>0</v>
      </c>
      <c r="L422" s="36"/>
      <c r="M422" s="36">
        <v>0</v>
      </c>
      <c r="N422" s="36"/>
      <c r="O422" s="36">
        <v>25</v>
      </c>
      <c r="P422" s="36"/>
      <c r="Q422" s="36">
        <v>25.44</v>
      </c>
      <c r="R422" s="36"/>
      <c r="S422" s="36">
        <v>0</v>
      </c>
      <c r="T422" s="36"/>
      <c r="U422" s="36">
        <v>0</v>
      </c>
      <c r="V422" s="36"/>
      <c r="W422" s="36">
        <v>0</v>
      </c>
      <c r="X422" s="36"/>
      <c r="Y422" s="36">
        <v>0</v>
      </c>
      <c r="Z422" s="36"/>
      <c r="AA422" s="36">
        <v>0</v>
      </c>
      <c r="AB422" s="36"/>
      <c r="AC422" s="36">
        <v>0</v>
      </c>
      <c r="AD422" s="36"/>
      <c r="AE422" s="36">
        <v>0</v>
      </c>
      <c r="AF422" s="36"/>
      <c r="AG422" s="36">
        <v>0</v>
      </c>
      <c r="AH422" s="36"/>
      <c r="AI422" s="36">
        <f>SUM(E422:AG422)</f>
        <v>7765.919999999999</v>
      </c>
      <c r="AJ422" s="10"/>
      <c r="AK422" s="22"/>
      <c r="AL422" s="22"/>
      <c r="AM422" s="22"/>
    </row>
    <row r="423" spans="1:39" s="21" customFormat="1" ht="12.75">
      <c r="A423" s="1" t="s">
        <v>951</v>
      </c>
      <c r="B423" s="1"/>
      <c r="C423" s="1" t="s">
        <v>412</v>
      </c>
      <c r="D423" s="1"/>
      <c r="E423" s="36">
        <v>2395.15</v>
      </c>
      <c r="F423" s="36"/>
      <c r="G423" s="36">
        <v>0</v>
      </c>
      <c r="H423" s="36"/>
      <c r="I423" s="36">
        <v>28276.79</v>
      </c>
      <c r="J423" s="36"/>
      <c r="K423" s="36">
        <v>0</v>
      </c>
      <c r="L423" s="36"/>
      <c r="M423" s="36">
        <v>0</v>
      </c>
      <c r="N423" s="36"/>
      <c r="O423" s="36">
        <v>11591.36</v>
      </c>
      <c r="P423" s="36"/>
      <c r="Q423" s="36">
        <v>0</v>
      </c>
      <c r="R423" s="36"/>
      <c r="S423" s="36">
        <v>21254.72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v>0</v>
      </c>
      <c r="AF423" s="36"/>
      <c r="AG423" s="36">
        <v>17224.57</v>
      </c>
      <c r="AH423" s="36"/>
      <c r="AI423" s="36">
        <f>SUM(E423:AG423)</f>
        <v>80742.59</v>
      </c>
      <c r="AJ423" s="10"/>
      <c r="AK423" s="22"/>
      <c r="AL423" s="22"/>
      <c r="AM423" s="22"/>
    </row>
    <row r="424" spans="1:36" ht="12.75">
      <c r="A424" s="1" t="s">
        <v>548</v>
      </c>
      <c r="C424" s="1" t="s">
        <v>542</v>
      </c>
      <c r="E424" s="83">
        <v>85482</v>
      </c>
      <c r="F424" s="83"/>
      <c r="G424" s="83">
        <v>0</v>
      </c>
      <c r="H424" s="83"/>
      <c r="I424" s="83">
        <v>111424</v>
      </c>
      <c r="J424" s="83"/>
      <c r="K424" s="83">
        <v>0</v>
      </c>
      <c r="L424" s="83"/>
      <c r="M424" s="83">
        <v>27427</v>
      </c>
      <c r="N424" s="83"/>
      <c r="O424" s="83">
        <v>4890</v>
      </c>
      <c r="P424" s="83"/>
      <c r="Q424" s="83">
        <v>18723</v>
      </c>
      <c r="R424" s="83"/>
      <c r="S424" s="83">
        <v>27924</v>
      </c>
      <c r="T424" s="83"/>
      <c r="U424" s="83">
        <v>0</v>
      </c>
      <c r="V424" s="83"/>
      <c r="W424" s="83">
        <v>0</v>
      </c>
      <c r="X424" s="83"/>
      <c r="Y424" s="83">
        <v>0</v>
      </c>
      <c r="Z424" s="83"/>
      <c r="AA424" s="83">
        <v>400000</v>
      </c>
      <c r="AB424" s="83"/>
      <c r="AC424" s="83">
        <v>0</v>
      </c>
      <c r="AD424" s="83"/>
      <c r="AE424" s="83">
        <v>0</v>
      </c>
      <c r="AF424" s="83"/>
      <c r="AG424" s="83">
        <v>0</v>
      </c>
      <c r="AH424" s="83"/>
      <c r="AI424" s="83">
        <f t="shared" si="25"/>
        <v>675870</v>
      </c>
      <c r="AJ424" s="10"/>
    </row>
    <row r="425" spans="1:39" s="21" customFormat="1" ht="12.75" customHeight="1">
      <c r="A425" s="1" t="s">
        <v>309</v>
      </c>
      <c r="B425" s="1"/>
      <c r="C425" s="1" t="s">
        <v>308</v>
      </c>
      <c r="D425" s="1"/>
      <c r="E425" s="83">
        <v>7600</v>
      </c>
      <c r="F425" s="83"/>
      <c r="G425" s="83">
        <v>0</v>
      </c>
      <c r="H425" s="83"/>
      <c r="I425" s="83">
        <v>7179</v>
      </c>
      <c r="J425" s="83"/>
      <c r="K425" s="83">
        <v>0</v>
      </c>
      <c r="L425" s="83"/>
      <c r="M425" s="83">
        <v>0</v>
      </c>
      <c r="N425" s="83"/>
      <c r="O425" s="83">
        <v>0</v>
      </c>
      <c r="P425" s="83"/>
      <c r="Q425" s="83">
        <v>0</v>
      </c>
      <c r="R425" s="83"/>
      <c r="S425" s="83">
        <v>1</v>
      </c>
      <c r="T425" s="83"/>
      <c r="U425" s="83">
        <v>0</v>
      </c>
      <c r="V425" s="83"/>
      <c r="W425" s="83">
        <v>0</v>
      </c>
      <c r="X425" s="83"/>
      <c r="Y425" s="83">
        <v>0</v>
      </c>
      <c r="Z425" s="83"/>
      <c r="AA425" s="83">
        <v>0</v>
      </c>
      <c r="AB425" s="83"/>
      <c r="AC425" s="83">
        <v>0</v>
      </c>
      <c r="AD425" s="83"/>
      <c r="AE425" s="83">
        <v>0</v>
      </c>
      <c r="AF425" s="83"/>
      <c r="AG425" s="83">
        <v>0</v>
      </c>
      <c r="AH425" s="83"/>
      <c r="AI425" s="83">
        <f t="shared" si="25"/>
        <v>14780</v>
      </c>
      <c r="AJ425" s="10"/>
      <c r="AK425" s="22"/>
      <c r="AL425" s="22"/>
      <c r="AM425" s="22"/>
    </row>
    <row r="426" spans="1:36" ht="12.75">
      <c r="A426" s="1" t="s">
        <v>612</v>
      </c>
      <c r="C426" s="1" t="s">
        <v>611</v>
      </c>
      <c r="E426" s="83">
        <v>18965.24</v>
      </c>
      <c r="F426" s="83"/>
      <c r="G426" s="83">
        <v>0</v>
      </c>
      <c r="H426" s="83"/>
      <c r="I426" s="83">
        <v>58858.27</v>
      </c>
      <c r="J426" s="83"/>
      <c r="K426" s="83">
        <v>0</v>
      </c>
      <c r="L426" s="83"/>
      <c r="M426" s="83">
        <v>0</v>
      </c>
      <c r="N426" s="83"/>
      <c r="O426" s="83">
        <v>544</v>
      </c>
      <c r="P426" s="83"/>
      <c r="Q426" s="83">
        <v>0</v>
      </c>
      <c r="R426" s="83"/>
      <c r="S426" s="83">
        <v>302.68</v>
      </c>
      <c r="T426" s="83"/>
      <c r="U426" s="83">
        <v>0</v>
      </c>
      <c r="V426" s="83"/>
      <c r="W426" s="83">
        <v>0</v>
      </c>
      <c r="X426" s="83"/>
      <c r="Y426" s="83">
        <v>0</v>
      </c>
      <c r="Z426" s="83"/>
      <c r="AA426" s="83">
        <v>85320</v>
      </c>
      <c r="AB426" s="83"/>
      <c r="AC426" s="83">
        <v>0</v>
      </c>
      <c r="AD426" s="83"/>
      <c r="AE426" s="83">
        <v>6317.41</v>
      </c>
      <c r="AF426" s="83"/>
      <c r="AG426" s="83">
        <v>0</v>
      </c>
      <c r="AH426" s="83"/>
      <c r="AI426" s="83">
        <f t="shared" si="25"/>
        <v>170307.6</v>
      </c>
      <c r="AJ426" s="10"/>
    </row>
    <row r="427" spans="1:36" s="21" customFormat="1" ht="12.75">
      <c r="A427" s="1" t="s">
        <v>37</v>
      </c>
      <c r="B427" s="1"/>
      <c r="C427" s="1" t="s">
        <v>756</v>
      </c>
      <c r="D427" s="1"/>
      <c r="E427" s="36">
        <v>1695.43</v>
      </c>
      <c r="F427" s="36"/>
      <c r="G427" s="36">
        <v>0</v>
      </c>
      <c r="H427" s="36"/>
      <c r="I427" s="36">
        <v>18842.31</v>
      </c>
      <c r="J427" s="36"/>
      <c r="K427" s="36">
        <v>0</v>
      </c>
      <c r="L427" s="36"/>
      <c r="M427" s="36">
        <v>5115</v>
      </c>
      <c r="N427" s="36"/>
      <c r="O427" s="36">
        <v>0</v>
      </c>
      <c r="P427" s="36"/>
      <c r="Q427" s="36">
        <v>471.86</v>
      </c>
      <c r="R427" s="36"/>
      <c r="S427" s="36">
        <v>3233.04</v>
      </c>
      <c r="T427" s="36"/>
      <c r="U427" s="36">
        <v>0</v>
      </c>
      <c r="V427" s="36"/>
      <c r="W427" s="36">
        <v>0</v>
      </c>
      <c r="X427" s="36"/>
      <c r="Y427" s="36">
        <v>0</v>
      </c>
      <c r="Z427" s="36"/>
      <c r="AA427" s="36">
        <v>0</v>
      </c>
      <c r="AB427" s="36"/>
      <c r="AC427" s="36">
        <v>0</v>
      </c>
      <c r="AD427" s="36"/>
      <c r="AE427" s="36">
        <v>0</v>
      </c>
      <c r="AF427" s="36"/>
      <c r="AG427" s="36">
        <v>0</v>
      </c>
      <c r="AH427" s="36"/>
      <c r="AI427" s="36">
        <f>SUM(E427:AG427)</f>
        <v>29357.640000000003</v>
      </c>
      <c r="AJ427" s="10"/>
    </row>
    <row r="428" spans="1:39" s="31" customFormat="1" ht="12.75" hidden="1">
      <c r="A428" s="15" t="s">
        <v>355</v>
      </c>
      <c r="B428" s="15"/>
      <c r="C428" s="15" t="s">
        <v>353</v>
      </c>
      <c r="D428" s="15"/>
      <c r="E428" s="83"/>
      <c r="F428" s="85"/>
      <c r="G428" s="83"/>
      <c r="H428" s="85"/>
      <c r="I428" s="83"/>
      <c r="J428" s="85"/>
      <c r="K428" s="83"/>
      <c r="L428" s="85"/>
      <c r="M428" s="83"/>
      <c r="N428" s="85"/>
      <c r="O428" s="83"/>
      <c r="P428" s="85"/>
      <c r="Q428" s="83"/>
      <c r="R428" s="85"/>
      <c r="S428" s="83"/>
      <c r="T428" s="83"/>
      <c r="U428" s="83"/>
      <c r="V428" s="85"/>
      <c r="W428" s="83"/>
      <c r="X428" s="85"/>
      <c r="Y428" s="83"/>
      <c r="Z428" s="88"/>
      <c r="AA428" s="83"/>
      <c r="AB428" s="85"/>
      <c r="AC428" s="83"/>
      <c r="AD428" s="85"/>
      <c r="AE428" s="83"/>
      <c r="AF428" s="85"/>
      <c r="AG428" s="83"/>
      <c r="AH428" s="85"/>
      <c r="AI428" s="83">
        <f t="shared" si="25"/>
        <v>0</v>
      </c>
      <c r="AJ428" s="24"/>
      <c r="AK428" s="32"/>
      <c r="AL428" s="32"/>
      <c r="AM428" s="32"/>
    </row>
    <row r="429" spans="1:36" ht="12.75">
      <c r="A429" s="1" t="s">
        <v>103</v>
      </c>
      <c r="C429" s="1" t="s">
        <v>776</v>
      </c>
      <c r="E429" s="36">
        <v>18324.47</v>
      </c>
      <c r="F429" s="36"/>
      <c r="G429" s="36">
        <v>0</v>
      </c>
      <c r="H429" s="36"/>
      <c r="I429" s="36">
        <v>24408.25</v>
      </c>
      <c r="J429" s="36"/>
      <c r="K429" s="36">
        <v>0</v>
      </c>
      <c r="L429" s="36"/>
      <c r="M429" s="36">
        <v>0</v>
      </c>
      <c r="N429" s="36"/>
      <c r="O429" s="36">
        <v>1348.6</v>
      </c>
      <c r="P429" s="36"/>
      <c r="Q429" s="36">
        <v>66.73</v>
      </c>
      <c r="R429" s="36"/>
      <c r="S429" s="36">
        <v>3784.15</v>
      </c>
      <c r="T429" s="36"/>
      <c r="U429" s="36">
        <v>0</v>
      </c>
      <c r="V429" s="36"/>
      <c r="W429" s="36">
        <v>0</v>
      </c>
      <c r="X429" s="36"/>
      <c r="Y429" s="36">
        <v>0</v>
      </c>
      <c r="Z429" s="36"/>
      <c r="AA429" s="36">
        <v>0</v>
      </c>
      <c r="AB429" s="36"/>
      <c r="AC429" s="36">
        <v>10000</v>
      </c>
      <c r="AD429" s="36"/>
      <c r="AE429" s="36">
        <v>0</v>
      </c>
      <c r="AF429" s="36"/>
      <c r="AG429" s="36">
        <v>0</v>
      </c>
      <c r="AH429" s="36"/>
      <c r="AI429" s="36">
        <f>SUM(E429:AG429)</f>
        <v>57932.200000000004</v>
      </c>
      <c r="AJ429" s="10"/>
    </row>
    <row r="430" spans="1:36" s="21" customFormat="1" ht="12.75">
      <c r="A430" s="1" t="s">
        <v>109</v>
      </c>
      <c r="B430" s="1"/>
      <c r="C430" s="1" t="s">
        <v>777</v>
      </c>
      <c r="D430" s="1"/>
      <c r="E430" s="93">
        <v>2315.88</v>
      </c>
      <c r="F430" s="93"/>
      <c r="G430" s="93">
        <v>2441.85</v>
      </c>
      <c r="H430" s="93"/>
      <c r="I430" s="93">
        <v>7625.82</v>
      </c>
      <c r="J430" s="93"/>
      <c r="K430" s="93">
        <v>0</v>
      </c>
      <c r="L430" s="93"/>
      <c r="M430" s="93">
        <v>1170</v>
      </c>
      <c r="N430" s="93"/>
      <c r="O430" s="93">
        <v>0</v>
      </c>
      <c r="P430" s="93"/>
      <c r="Q430" s="93">
        <v>4.02</v>
      </c>
      <c r="R430" s="93"/>
      <c r="S430" s="93">
        <v>1711.73</v>
      </c>
      <c r="T430" s="93"/>
      <c r="U430" s="93">
        <v>0</v>
      </c>
      <c r="V430" s="93"/>
      <c r="W430" s="93">
        <v>0</v>
      </c>
      <c r="X430" s="93"/>
      <c r="Y430" s="93">
        <v>0</v>
      </c>
      <c r="Z430" s="93"/>
      <c r="AA430" s="93">
        <v>0</v>
      </c>
      <c r="AB430" s="93"/>
      <c r="AC430" s="93">
        <v>0</v>
      </c>
      <c r="AD430" s="93"/>
      <c r="AE430" s="93">
        <v>0</v>
      </c>
      <c r="AF430" s="93"/>
      <c r="AG430" s="93">
        <v>0</v>
      </c>
      <c r="AH430" s="93"/>
      <c r="AI430" s="93">
        <f>SUM(E430:AG430)</f>
        <v>15269.3</v>
      </c>
      <c r="AJ430" s="10"/>
    </row>
    <row r="431" spans="1:36" ht="12.75">
      <c r="A431" s="1" t="s">
        <v>149</v>
      </c>
      <c r="C431" s="1" t="s">
        <v>463</v>
      </c>
      <c r="E431" s="36">
        <v>6622.8</v>
      </c>
      <c r="F431" s="36"/>
      <c r="G431" s="36">
        <v>28746.33</v>
      </c>
      <c r="H431" s="36"/>
      <c r="I431" s="36">
        <v>12356.01</v>
      </c>
      <c r="J431" s="36"/>
      <c r="K431" s="36">
        <v>0</v>
      </c>
      <c r="L431" s="36"/>
      <c r="M431" s="36">
        <v>0</v>
      </c>
      <c r="N431" s="36"/>
      <c r="O431" s="36">
        <v>2494.6</v>
      </c>
      <c r="P431" s="36"/>
      <c r="Q431" s="36">
        <v>216.02</v>
      </c>
      <c r="R431" s="36"/>
      <c r="S431" s="36">
        <v>244.1</v>
      </c>
      <c r="T431" s="36"/>
      <c r="U431" s="36">
        <v>0</v>
      </c>
      <c r="V431" s="36"/>
      <c r="W431" s="36">
        <v>0</v>
      </c>
      <c r="X431" s="36"/>
      <c r="Y431" s="36">
        <v>0</v>
      </c>
      <c r="Z431" s="36"/>
      <c r="AA431" s="36">
        <v>0</v>
      </c>
      <c r="AB431" s="36"/>
      <c r="AC431" s="36">
        <v>0</v>
      </c>
      <c r="AD431" s="36"/>
      <c r="AE431" s="36">
        <v>0</v>
      </c>
      <c r="AF431" s="36"/>
      <c r="AG431" s="36">
        <v>0</v>
      </c>
      <c r="AH431" s="36"/>
      <c r="AI431" s="36">
        <f>SUM(E431:AG431)</f>
        <v>50679.86</v>
      </c>
      <c r="AJ431" s="10"/>
    </row>
    <row r="432" spans="1:36" ht="12.75">
      <c r="A432" s="1" t="s">
        <v>530</v>
      </c>
      <c r="C432" s="1" t="s">
        <v>531</v>
      </c>
      <c r="E432" s="36">
        <v>234621.69</v>
      </c>
      <c r="F432" s="36"/>
      <c r="G432" s="36">
        <v>1085287.48</v>
      </c>
      <c r="H432" s="36"/>
      <c r="I432" s="36">
        <v>215025.8</v>
      </c>
      <c r="J432" s="36"/>
      <c r="K432" s="36">
        <v>0</v>
      </c>
      <c r="L432" s="36"/>
      <c r="M432" s="36">
        <v>28253.25</v>
      </c>
      <c r="N432" s="36"/>
      <c r="O432" s="36">
        <v>63818.16</v>
      </c>
      <c r="P432" s="36"/>
      <c r="Q432" s="36">
        <v>369.56</v>
      </c>
      <c r="R432" s="36"/>
      <c r="S432" s="36">
        <v>61212.85</v>
      </c>
      <c r="T432" s="36"/>
      <c r="U432" s="36">
        <v>0</v>
      </c>
      <c r="V432" s="36"/>
      <c r="W432" s="36">
        <v>0</v>
      </c>
      <c r="X432" s="36"/>
      <c r="Y432" s="36">
        <v>2940</v>
      </c>
      <c r="Z432" s="36"/>
      <c r="AA432" s="36">
        <v>0</v>
      </c>
      <c r="AB432" s="36"/>
      <c r="AC432" s="36">
        <v>0</v>
      </c>
      <c r="AD432" s="36"/>
      <c r="AE432" s="36">
        <v>0</v>
      </c>
      <c r="AF432" s="36"/>
      <c r="AG432" s="36">
        <v>0</v>
      </c>
      <c r="AH432" s="36"/>
      <c r="AI432" s="36">
        <f>SUM(E432:AG432)</f>
        <v>1691528.79</v>
      </c>
      <c r="AJ432" s="10"/>
    </row>
    <row r="433" spans="1:39" s="21" customFormat="1" ht="12.75">
      <c r="A433" s="1" t="s">
        <v>277</v>
      </c>
      <c r="B433" s="1"/>
      <c r="C433" s="1" t="s">
        <v>275</v>
      </c>
      <c r="D433" s="1"/>
      <c r="E433" s="83">
        <v>184956</v>
      </c>
      <c r="F433" s="83"/>
      <c r="G433" s="83">
        <v>2766399</v>
      </c>
      <c r="H433" s="83"/>
      <c r="I433" s="83">
        <v>203805</v>
      </c>
      <c r="J433" s="83"/>
      <c r="K433" s="83">
        <v>19723</v>
      </c>
      <c r="L433" s="83"/>
      <c r="M433" s="83">
        <v>44393</v>
      </c>
      <c r="N433" s="83"/>
      <c r="O433" s="83">
        <v>11471</v>
      </c>
      <c r="P433" s="83"/>
      <c r="Q433" s="83">
        <v>9243</v>
      </c>
      <c r="R433" s="83"/>
      <c r="S433" s="83">
        <v>19921</v>
      </c>
      <c r="T433" s="83"/>
      <c r="U433" s="83">
        <v>0</v>
      </c>
      <c r="V433" s="83"/>
      <c r="W433" s="83">
        <v>0</v>
      </c>
      <c r="X433" s="83"/>
      <c r="Y433" s="83">
        <v>2896</v>
      </c>
      <c r="Z433" s="83"/>
      <c r="AA433" s="83">
        <v>0</v>
      </c>
      <c r="AB433" s="83"/>
      <c r="AC433" s="83">
        <v>0</v>
      </c>
      <c r="AD433" s="83"/>
      <c r="AE433" s="83">
        <v>0</v>
      </c>
      <c r="AF433" s="83"/>
      <c r="AG433" s="83">
        <v>0</v>
      </c>
      <c r="AH433" s="83"/>
      <c r="AI433" s="83">
        <f t="shared" si="25"/>
        <v>3262807</v>
      </c>
      <c r="AJ433" s="10"/>
      <c r="AK433" s="22"/>
      <c r="AL433" s="22"/>
      <c r="AM433" s="22"/>
    </row>
    <row r="434" spans="1:35" s="38" customFormat="1" ht="12.75">
      <c r="A434" s="38" t="s">
        <v>487</v>
      </c>
      <c r="C434" s="38" t="s">
        <v>485</v>
      </c>
      <c r="E434" s="83">
        <v>751439.12</v>
      </c>
      <c r="F434" s="83"/>
      <c r="G434" s="83">
        <v>0</v>
      </c>
      <c r="H434" s="83"/>
      <c r="I434" s="83">
        <v>158523.63</v>
      </c>
      <c r="J434" s="83"/>
      <c r="K434" s="83">
        <v>17405.34</v>
      </c>
      <c r="L434" s="83"/>
      <c r="M434" s="83">
        <v>343352.67</v>
      </c>
      <c r="N434" s="83"/>
      <c r="O434" s="83">
        <v>48492.62</v>
      </c>
      <c r="P434" s="83"/>
      <c r="Q434" s="83">
        <v>0</v>
      </c>
      <c r="R434" s="83"/>
      <c r="S434" s="83">
        <v>85599.82</v>
      </c>
      <c r="T434" s="83"/>
      <c r="U434" s="83">
        <v>0</v>
      </c>
      <c r="V434" s="83"/>
      <c r="W434" s="83">
        <v>892175.3</v>
      </c>
      <c r="X434" s="83"/>
      <c r="Y434" s="83">
        <v>0</v>
      </c>
      <c r="Z434" s="83"/>
      <c r="AA434" s="83">
        <v>230280</v>
      </c>
      <c r="AB434" s="83"/>
      <c r="AC434" s="83">
        <v>0</v>
      </c>
      <c r="AD434" s="83"/>
      <c r="AE434" s="83">
        <v>0</v>
      </c>
      <c r="AF434" s="83"/>
      <c r="AG434" s="83">
        <v>0</v>
      </c>
      <c r="AH434" s="83"/>
      <c r="AI434" s="83">
        <f t="shared" si="25"/>
        <v>2527268.5</v>
      </c>
    </row>
    <row r="435" spans="1:36" ht="12.75">
      <c r="A435" s="1" t="s">
        <v>189</v>
      </c>
      <c r="C435" s="1" t="s">
        <v>804</v>
      </c>
      <c r="E435" s="36">
        <v>26404.54</v>
      </c>
      <c r="F435" s="36"/>
      <c r="G435" s="36">
        <v>0</v>
      </c>
      <c r="H435" s="36"/>
      <c r="I435" s="36">
        <v>32145.16</v>
      </c>
      <c r="J435" s="36"/>
      <c r="K435" s="36">
        <v>0</v>
      </c>
      <c r="L435" s="36"/>
      <c r="M435" s="36">
        <v>0</v>
      </c>
      <c r="N435" s="36"/>
      <c r="O435" s="36">
        <v>1183.74</v>
      </c>
      <c r="P435" s="36"/>
      <c r="Q435" s="36">
        <v>2261.93</v>
      </c>
      <c r="R435" s="36"/>
      <c r="S435" s="36">
        <v>435.32</v>
      </c>
      <c r="T435" s="36"/>
      <c r="U435" s="36">
        <v>0</v>
      </c>
      <c r="V435" s="36"/>
      <c r="W435" s="36">
        <v>0</v>
      </c>
      <c r="X435" s="36"/>
      <c r="Y435" s="36">
        <v>0</v>
      </c>
      <c r="Z435" s="36"/>
      <c r="AA435" s="36">
        <v>0</v>
      </c>
      <c r="AB435" s="36"/>
      <c r="AC435" s="36">
        <v>0</v>
      </c>
      <c r="AD435" s="36"/>
      <c r="AE435" s="36">
        <v>0</v>
      </c>
      <c r="AF435" s="36"/>
      <c r="AG435" s="36">
        <v>0</v>
      </c>
      <c r="AH435" s="36"/>
      <c r="AI435" s="36">
        <f>SUM(E435:AG435)</f>
        <v>62430.689999999995</v>
      </c>
      <c r="AJ435" s="10"/>
    </row>
    <row r="436" spans="1:39" ht="12.75">
      <c r="A436" s="1" t="s">
        <v>12</v>
      </c>
      <c r="C436" s="1" t="s">
        <v>749</v>
      </c>
      <c r="E436" s="36">
        <v>65984.83</v>
      </c>
      <c r="F436" s="36"/>
      <c r="G436" s="36">
        <v>286543.28</v>
      </c>
      <c r="H436" s="36"/>
      <c r="I436" s="36">
        <v>78312.33</v>
      </c>
      <c r="J436" s="36"/>
      <c r="K436" s="36">
        <v>0</v>
      </c>
      <c r="L436" s="36"/>
      <c r="M436" s="36">
        <v>83172.86</v>
      </c>
      <c r="N436" s="36"/>
      <c r="O436" s="36">
        <v>4083.07</v>
      </c>
      <c r="P436" s="36"/>
      <c r="Q436" s="36">
        <v>2736.88</v>
      </c>
      <c r="R436" s="36"/>
      <c r="S436" s="36">
        <f>8470.43+505.19</f>
        <v>8975.62</v>
      </c>
      <c r="T436" s="36"/>
      <c r="U436" s="36">
        <v>0</v>
      </c>
      <c r="V436" s="36"/>
      <c r="W436" s="36">
        <v>0</v>
      </c>
      <c r="X436" s="36"/>
      <c r="Y436" s="36">
        <v>477</v>
      </c>
      <c r="Z436" s="36"/>
      <c r="AA436" s="36">
        <v>0</v>
      </c>
      <c r="AB436" s="36"/>
      <c r="AC436" s="36">
        <v>3000</v>
      </c>
      <c r="AD436" s="36"/>
      <c r="AE436" s="36">
        <v>0</v>
      </c>
      <c r="AF436" s="36"/>
      <c r="AG436" s="36">
        <v>0</v>
      </c>
      <c r="AH436" s="36"/>
      <c r="AI436" s="36">
        <f>SUM(E436:AG436)</f>
        <v>533285.8700000001</v>
      </c>
      <c r="AJ436" s="10"/>
      <c r="AK436" s="7"/>
      <c r="AL436" s="7"/>
      <c r="AM436" s="7"/>
    </row>
    <row r="437" spans="1:36" s="15" customFormat="1" ht="12.75">
      <c r="A437" s="15" t="s">
        <v>481</v>
      </c>
      <c r="C437" s="15" t="s">
        <v>479</v>
      </c>
      <c r="E437" s="83">
        <v>70723</v>
      </c>
      <c r="F437" s="85"/>
      <c r="G437" s="83">
        <v>0</v>
      </c>
      <c r="H437" s="85"/>
      <c r="I437" s="83">
        <v>123082</v>
      </c>
      <c r="J437" s="85"/>
      <c r="K437" s="83">
        <v>134</v>
      </c>
      <c r="L437" s="85"/>
      <c r="M437" s="83">
        <v>7190</v>
      </c>
      <c r="N437" s="85"/>
      <c r="O437" s="83">
        <v>3110</v>
      </c>
      <c r="P437" s="85"/>
      <c r="Q437" s="83">
        <v>6211</v>
      </c>
      <c r="R437" s="85"/>
      <c r="S437" s="83">
        <v>53015</v>
      </c>
      <c r="T437" s="83"/>
      <c r="U437" s="83">
        <v>0</v>
      </c>
      <c r="V437" s="85"/>
      <c r="W437" s="83">
        <v>222500</v>
      </c>
      <c r="X437" s="85"/>
      <c r="Y437" s="83">
        <v>2060</v>
      </c>
      <c r="Z437" s="85"/>
      <c r="AA437" s="83">
        <v>430756</v>
      </c>
      <c r="AB437" s="85"/>
      <c r="AC437" s="83">
        <v>0</v>
      </c>
      <c r="AD437" s="85"/>
      <c r="AE437" s="83">
        <v>10675</v>
      </c>
      <c r="AF437" s="85"/>
      <c r="AG437" s="83">
        <v>0</v>
      </c>
      <c r="AH437" s="85"/>
      <c r="AI437" s="83">
        <f t="shared" si="25"/>
        <v>929456</v>
      </c>
      <c r="AJ437" s="24"/>
    </row>
    <row r="438" spans="1:36" s="21" customFormat="1" ht="12.75">
      <c r="A438" s="1" t="s">
        <v>417</v>
      </c>
      <c r="B438" s="1"/>
      <c r="C438" s="1" t="s">
        <v>416</v>
      </c>
      <c r="D438" s="1"/>
      <c r="E438" s="83">
        <v>68853</v>
      </c>
      <c r="F438" s="83"/>
      <c r="G438" s="83">
        <v>0</v>
      </c>
      <c r="H438" s="83"/>
      <c r="I438" s="83">
        <v>141348</v>
      </c>
      <c r="J438" s="83"/>
      <c r="K438" s="83">
        <v>0</v>
      </c>
      <c r="L438" s="83"/>
      <c r="M438" s="83">
        <v>18340</v>
      </c>
      <c r="N438" s="83"/>
      <c r="O438" s="83">
        <v>11961</v>
      </c>
      <c r="P438" s="83"/>
      <c r="Q438" s="83">
        <v>11691</v>
      </c>
      <c r="R438" s="83"/>
      <c r="S438" s="83">
        <v>36771</v>
      </c>
      <c r="T438" s="83"/>
      <c r="U438" s="83">
        <v>0</v>
      </c>
      <c r="V438" s="83"/>
      <c r="W438" s="83">
        <v>0</v>
      </c>
      <c r="X438" s="83"/>
      <c r="Y438" s="83">
        <v>0</v>
      </c>
      <c r="Z438" s="83"/>
      <c r="AA438" s="83">
        <v>361540</v>
      </c>
      <c r="AB438" s="83"/>
      <c r="AC438" s="83">
        <v>2500</v>
      </c>
      <c r="AD438" s="83"/>
      <c r="AE438" s="83">
        <v>0</v>
      </c>
      <c r="AF438" s="83"/>
      <c r="AG438" s="83">
        <v>0</v>
      </c>
      <c r="AH438" s="83"/>
      <c r="AI438" s="83">
        <f t="shared" si="25"/>
        <v>653004</v>
      </c>
      <c r="AJ438" s="10"/>
    </row>
    <row r="439" spans="1:39" ht="12.75">
      <c r="A439" s="1" t="s">
        <v>53</v>
      </c>
      <c r="C439" s="1" t="s">
        <v>762</v>
      </c>
      <c r="E439" s="36">
        <v>65369.19</v>
      </c>
      <c r="F439" s="36"/>
      <c r="G439" s="36">
        <v>115478.47</v>
      </c>
      <c r="H439" s="36"/>
      <c r="I439" s="36">
        <v>143856.8</v>
      </c>
      <c r="J439" s="36"/>
      <c r="K439" s="36">
        <v>0</v>
      </c>
      <c r="L439" s="36"/>
      <c r="M439" s="36">
        <v>65411.67</v>
      </c>
      <c r="N439" s="36"/>
      <c r="O439" s="36">
        <v>60</v>
      </c>
      <c r="P439" s="36"/>
      <c r="Q439" s="36">
        <v>2989.9</v>
      </c>
      <c r="R439" s="36"/>
      <c r="S439" s="36">
        <v>2000</v>
      </c>
      <c r="T439" s="36"/>
      <c r="U439" s="36">
        <v>0</v>
      </c>
      <c r="V439" s="36"/>
      <c r="W439" s="36">
        <v>0</v>
      </c>
      <c r="X439" s="36"/>
      <c r="Y439" s="36">
        <v>0</v>
      </c>
      <c r="Z439" s="36"/>
      <c r="AA439" s="36">
        <v>0</v>
      </c>
      <c r="AB439" s="36"/>
      <c r="AC439" s="36">
        <v>0</v>
      </c>
      <c r="AD439" s="36"/>
      <c r="AE439" s="36">
        <v>0</v>
      </c>
      <c r="AF439" s="36"/>
      <c r="AG439" s="36">
        <v>0</v>
      </c>
      <c r="AH439" s="36"/>
      <c r="AI439" s="36">
        <f aca="true" t="shared" si="26" ref="AI439:AI444">SUM(E439:AG439)</f>
        <v>395166.02999999997</v>
      </c>
      <c r="AJ439" s="10"/>
      <c r="AK439" s="7"/>
      <c r="AL439" s="7"/>
      <c r="AM439" s="7"/>
    </row>
    <row r="440" spans="1:39" ht="12.75">
      <c r="A440" s="1" t="s">
        <v>952</v>
      </c>
      <c r="C440" s="1" t="s">
        <v>519</v>
      </c>
      <c r="E440" s="36">
        <v>44036.33</v>
      </c>
      <c r="F440" s="36"/>
      <c r="G440" s="36">
        <v>112354.8</v>
      </c>
      <c r="H440" s="36"/>
      <c r="I440" s="36">
        <v>105163.31</v>
      </c>
      <c r="J440" s="36"/>
      <c r="K440" s="36">
        <v>0</v>
      </c>
      <c r="L440" s="36"/>
      <c r="M440" s="36">
        <v>10454.48</v>
      </c>
      <c r="N440" s="36"/>
      <c r="O440" s="36">
        <v>48632.88</v>
      </c>
      <c r="P440" s="36"/>
      <c r="Q440" s="36">
        <v>1442.89</v>
      </c>
      <c r="R440" s="36"/>
      <c r="S440" s="36">
        <v>1083.89</v>
      </c>
      <c r="T440" s="36"/>
      <c r="U440" s="36">
        <v>0</v>
      </c>
      <c r="V440" s="36"/>
      <c r="W440" s="36">
        <v>0</v>
      </c>
      <c r="X440" s="36"/>
      <c r="Y440" s="36">
        <v>79000</v>
      </c>
      <c r="Z440" s="36"/>
      <c r="AA440" s="36">
        <v>0</v>
      </c>
      <c r="AB440" s="36"/>
      <c r="AC440" s="36">
        <v>0</v>
      </c>
      <c r="AD440" s="36"/>
      <c r="AE440" s="36">
        <v>0</v>
      </c>
      <c r="AF440" s="36"/>
      <c r="AG440" s="36">
        <v>0</v>
      </c>
      <c r="AH440" s="36"/>
      <c r="AI440" s="36">
        <f t="shared" si="26"/>
        <v>402168.58</v>
      </c>
      <c r="AJ440" s="10"/>
      <c r="AK440" s="7"/>
      <c r="AL440" s="7"/>
      <c r="AM440" s="7"/>
    </row>
    <row r="441" spans="1:36" ht="12.75">
      <c r="A441" s="1" t="s">
        <v>145</v>
      </c>
      <c r="C441" s="1" t="s">
        <v>790</v>
      </c>
      <c r="E441" s="36">
        <v>70974.96</v>
      </c>
      <c r="F441" s="36"/>
      <c r="G441" s="36">
        <v>0</v>
      </c>
      <c r="H441" s="36"/>
      <c r="I441" s="36">
        <v>77924.55</v>
      </c>
      <c r="J441" s="36"/>
      <c r="K441" s="36">
        <v>0</v>
      </c>
      <c r="L441" s="36"/>
      <c r="M441" s="36">
        <v>0</v>
      </c>
      <c r="N441" s="36"/>
      <c r="O441" s="36">
        <v>41709.15</v>
      </c>
      <c r="P441" s="36"/>
      <c r="Q441" s="36">
        <v>48.39</v>
      </c>
      <c r="R441" s="36"/>
      <c r="S441" s="36">
        <v>67986.76</v>
      </c>
      <c r="T441" s="36"/>
      <c r="U441" s="36">
        <v>0</v>
      </c>
      <c r="V441" s="36"/>
      <c r="W441" s="36">
        <v>0</v>
      </c>
      <c r="X441" s="36"/>
      <c r="Y441" s="36">
        <v>0</v>
      </c>
      <c r="Z441" s="36"/>
      <c r="AA441" s="36">
        <v>0</v>
      </c>
      <c r="AB441" s="36"/>
      <c r="AC441" s="36">
        <v>47000</v>
      </c>
      <c r="AD441" s="36"/>
      <c r="AE441" s="36">
        <v>42000</v>
      </c>
      <c r="AF441" s="36"/>
      <c r="AG441" s="36">
        <v>0</v>
      </c>
      <c r="AH441" s="36"/>
      <c r="AI441" s="36">
        <f t="shared" si="26"/>
        <v>347643.81</v>
      </c>
      <c r="AJ441" s="10"/>
    </row>
    <row r="442" spans="1:36" ht="12.75">
      <c r="A442" s="1" t="s">
        <v>511</v>
      </c>
      <c r="C442" s="1" t="s">
        <v>510</v>
      </c>
      <c r="E442" s="36">
        <v>106396.28</v>
      </c>
      <c r="F442" s="36"/>
      <c r="G442" s="36">
        <v>0</v>
      </c>
      <c r="H442" s="36"/>
      <c r="I442" s="36">
        <v>106804.6</v>
      </c>
      <c r="J442" s="36"/>
      <c r="K442" s="36">
        <v>0</v>
      </c>
      <c r="L442" s="36"/>
      <c r="M442" s="36">
        <v>105.8</v>
      </c>
      <c r="N442" s="36"/>
      <c r="O442" s="36">
        <v>4982.25</v>
      </c>
      <c r="P442" s="36"/>
      <c r="Q442" s="36">
        <v>1326.83</v>
      </c>
      <c r="R442" s="36"/>
      <c r="S442" s="36">
        <v>468.18</v>
      </c>
      <c r="T442" s="36"/>
      <c r="U442" s="36">
        <v>0</v>
      </c>
      <c r="V442" s="36"/>
      <c r="W442" s="36">
        <v>0</v>
      </c>
      <c r="X442" s="36"/>
      <c r="Y442" s="36">
        <v>0</v>
      </c>
      <c r="Z442" s="36"/>
      <c r="AA442" s="36">
        <v>0</v>
      </c>
      <c r="AB442" s="36"/>
      <c r="AC442" s="36">
        <v>0</v>
      </c>
      <c r="AD442" s="36"/>
      <c r="AE442" s="36">
        <v>0</v>
      </c>
      <c r="AF442" s="36"/>
      <c r="AG442" s="36">
        <v>0</v>
      </c>
      <c r="AH442" s="36"/>
      <c r="AI442" s="36">
        <f t="shared" si="26"/>
        <v>220083.93999999997</v>
      </c>
      <c r="AJ442" s="10"/>
    </row>
    <row r="443" spans="1:39" s="38" customFormat="1" ht="12.75">
      <c r="A443" s="38" t="s">
        <v>38</v>
      </c>
      <c r="C443" s="38" t="s">
        <v>756</v>
      </c>
      <c r="E443" s="93">
        <v>263772.8</v>
      </c>
      <c r="F443" s="93"/>
      <c r="G443" s="93">
        <v>406457.34</v>
      </c>
      <c r="H443" s="93"/>
      <c r="I443" s="93">
        <v>246590.95</v>
      </c>
      <c r="J443" s="93"/>
      <c r="K443" s="93">
        <v>17251.06</v>
      </c>
      <c r="L443" s="93"/>
      <c r="M443" s="93">
        <v>0</v>
      </c>
      <c r="N443" s="93"/>
      <c r="O443" s="93">
        <v>56141.86</v>
      </c>
      <c r="P443" s="93"/>
      <c r="Q443" s="93">
        <v>5371.35</v>
      </c>
      <c r="R443" s="93"/>
      <c r="S443" s="93">
        <v>20216.41</v>
      </c>
      <c r="T443" s="93"/>
      <c r="U443" s="93">
        <v>0</v>
      </c>
      <c r="V443" s="93"/>
      <c r="W443" s="93">
        <v>54246.32</v>
      </c>
      <c r="X443" s="93"/>
      <c r="Y443" s="93">
        <v>0</v>
      </c>
      <c r="Z443" s="93"/>
      <c r="AA443" s="93">
        <v>0</v>
      </c>
      <c r="AB443" s="93"/>
      <c r="AC443" s="93">
        <v>130114.08</v>
      </c>
      <c r="AD443" s="93"/>
      <c r="AE443" s="93">
        <v>0</v>
      </c>
      <c r="AF443" s="93"/>
      <c r="AG443" s="93">
        <v>0</v>
      </c>
      <c r="AH443" s="93"/>
      <c r="AI443" s="93">
        <f t="shared" si="26"/>
        <v>1200162.1700000002</v>
      </c>
      <c r="AK443" s="42"/>
      <c r="AL443" s="42"/>
      <c r="AM443" s="42"/>
    </row>
    <row r="444" spans="1:36" s="21" customFormat="1" ht="12.75">
      <c r="A444" s="1" t="s">
        <v>220</v>
      </c>
      <c r="B444" s="1"/>
      <c r="C444" s="1" t="s">
        <v>813</v>
      </c>
      <c r="D444" s="1"/>
      <c r="E444" s="36">
        <v>168833.44</v>
      </c>
      <c r="F444" s="36"/>
      <c r="G444" s="36">
        <v>69164.29</v>
      </c>
      <c r="H444" s="36"/>
      <c r="I444" s="36">
        <v>51608.89</v>
      </c>
      <c r="J444" s="36"/>
      <c r="K444" s="36">
        <v>0</v>
      </c>
      <c r="L444" s="36"/>
      <c r="M444" s="36">
        <v>43</v>
      </c>
      <c r="N444" s="36"/>
      <c r="O444" s="36">
        <v>3252</v>
      </c>
      <c r="P444" s="36"/>
      <c r="Q444" s="36">
        <v>483.41</v>
      </c>
      <c r="R444" s="36"/>
      <c r="S444" s="36">
        <v>646.41</v>
      </c>
      <c r="T444" s="36"/>
      <c r="U444" s="36">
        <v>0</v>
      </c>
      <c r="V444" s="36"/>
      <c r="W444" s="36">
        <v>0</v>
      </c>
      <c r="X444" s="36"/>
      <c r="Y444" s="36">
        <v>0</v>
      </c>
      <c r="Z444" s="36"/>
      <c r="AA444" s="36">
        <v>0</v>
      </c>
      <c r="AB444" s="36"/>
      <c r="AC444" s="36">
        <v>0</v>
      </c>
      <c r="AD444" s="36"/>
      <c r="AE444" s="36">
        <v>0</v>
      </c>
      <c r="AF444" s="36"/>
      <c r="AG444" s="36">
        <v>0</v>
      </c>
      <c r="AH444" s="36"/>
      <c r="AI444" s="36">
        <f t="shared" si="26"/>
        <v>294031.43999999994</v>
      </c>
      <c r="AJ444" s="10"/>
    </row>
    <row r="445" spans="1:36" s="15" customFormat="1" ht="12.75">
      <c r="A445" s="15" t="s">
        <v>707</v>
      </c>
      <c r="C445" s="15" t="s">
        <v>501</v>
      </c>
      <c r="E445" s="85">
        <v>26735</v>
      </c>
      <c r="F445" s="85"/>
      <c r="G445" s="85">
        <v>0</v>
      </c>
      <c r="H445" s="85"/>
      <c r="I445" s="85">
        <v>20724</v>
      </c>
      <c r="J445" s="85"/>
      <c r="K445" s="85">
        <v>4221</v>
      </c>
      <c r="L445" s="85"/>
      <c r="M445" s="85">
        <v>0</v>
      </c>
      <c r="N445" s="85"/>
      <c r="O445" s="85">
        <v>0</v>
      </c>
      <c r="P445" s="85"/>
      <c r="Q445" s="85">
        <v>0</v>
      </c>
      <c r="R445" s="85"/>
      <c r="S445" s="85">
        <v>0</v>
      </c>
      <c r="T445" s="85"/>
      <c r="U445" s="83">
        <v>0</v>
      </c>
      <c r="V445" s="85"/>
      <c r="W445" s="83">
        <v>0</v>
      </c>
      <c r="X445" s="85"/>
      <c r="Y445" s="85">
        <v>0</v>
      </c>
      <c r="Z445" s="85"/>
      <c r="AA445" s="85">
        <v>0</v>
      </c>
      <c r="AB445" s="85"/>
      <c r="AC445" s="85">
        <v>0</v>
      </c>
      <c r="AD445" s="85"/>
      <c r="AE445" s="85">
        <v>0</v>
      </c>
      <c r="AF445" s="85"/>
      <c r="AG445" s="83">
        <v>0</v>
      </c>
      <c r="AH445" s="85"/>
      <c r="AI445" s="83">
        <f t="shared" si="25"/>
        <v>51680</v>
      </c>
      <c r="AJ445" s="39"/>
    </row>
    <row r="446" spans="1:39" ht="12.75">
      <c r="A446" s="1" t="s">
        <v>41</v>
      </c>
      <c r="C446" s="1" t="s">
        <v>757</v>
      </c>
      <c r="E446" s="36">
        <v>29168.29</v>
      </c>
      <c r="F446" s="36"/>
      <c r="G446" s="36">
        <v>0</v>
      </c>
      <c r="H446" s="36"/>
      <c r="I446" s="36">
        <v>32739.65</v>
      </c>
      <c r="J446" s="36"/>
      <c r="K446" s="36">
        <v>853.44</v>
      </c>
      <c r="L446" s="36"/>
      <c r="M446" s="36">
        <v>0</v>
      </c>
      <c r="N446" s="36"/>
      <c r="O446" s="36">
        <v>6189.51</v>
      </c>
      <c r="P446" s="36"/>
      <c r="Q446" s="36">
        <v>695.35</v>
      </c>
      <c r="R446" s="36"/>
      <c r="S446" s="36">
        <v>7088.52</v>
      </c>
      <c r="T446" s="36"/>
      <c r="U446" s="36">
        <v>0</v>
      </c>
      <c r="V446" s="36"/>
      <c r="W446" s="36">
        <v>0</v>
      </c>
      <c r="X446" s="36"/>
      <c r="Y446" s="36">
        <v>0</v>
      </c>
      <c r="Z446" s="36"/>
      <c r="AA446" s="36">
        <v>0</v>
      </c>
      <c r="AB446" s="36"/>
      <c r="AC446" s="36">
        <v>5337</v>
      </c>
      <c r="AD446" s="36"/>
      <c r="AE446" s="36">
        <v>0</v>
      </c>
      <c r="AF446" s="36"/>
      <c r="AG446" s="36">
        <v>0</v>
      </c>
      <c r="AH446" s="36"/>
      <c r="AI446" s="36">
        <f>SUM(E446:AG446)</f>
        <v>82071.76000000001</v>
      </c>
      <c r="AJ446" s="10"/>
      <c r="AK446" s="7"/>
      <c r="AL446" s="7"/>
      <c r="AM446" s="7"/>
    </row>
    <row r="447" spans="1:39" s="21" customFormat="1" ht="12.75">
      <c r="A447" s="1" t="s">
        <v>313</v>
      </c>
      <c r="B447" s="1"/>
      <c r="C447" s="1" t="s">
        <v>312</v>
      </c>
      <c r="D447" s="1"/>
      <c r="E447" s="36">
        <v>35844.64</v>
      </c>
      <c r="F447" s="36"/>
      <c r="G447" s="36">
        <v>309296.81</v>
      </c>
      <c r="H447" s="36"/>
      <c r="I447" s="36">
        <v>47535.26</v>
      </c>
      <c r="J447" s="36"/>
      <c r="K447" s="36">
        <v>0</v>
      </c>
      <c r="L447" s="36"/>
      <c r="M447" s="36">
        <v>0</v>
      </c>
      <c r="N447" s="36"/>
      <c r="O447" s="36">
        <v>8694.56</v>
      </c>
      <c r="P447" s="36"/>
      <c r="Q447" s="36">
        <v>656.82</v>
      </c>
      <c r="R447" s="36"/>
      <c r="S447" s="36">
        <v>3332.19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0</v>
      </c>
      <c r="AB447" s="36"/>
      <c r="AC447" s="36">
        <v>26384.8</v>
      </c>
      <c r="AD447" s="36"/>
      <c r="AE447" s="36">
        <v>0</v>
      </c>
      <c r="AF447" s="36"/>
      <c r="AG447" s="36">
        <v>0</v>
      </c>
      <c r="AH447" s="36"/>
      <c r="AI447" s="36">
        <f>SUM(E447:AG447)</f>
        <v>431745.08</v>
      </c>
      <c r="AJ447" s="10"/>
      <c r="AK447" s="22"/>
      <c r="AL447" s="22"/>
      <c r="AM447" s="22"/>
    </row>
    <row r="448" spans="1:39" s="21" customFormat="1" ht="12.75">
      <c r="A448" s="1" t="s">
        <v>854</v>
      </c>
      <c r="B448" s="1"/>
      <c r="C448" s="1" t="s">
        <v>758</v>
      </c>
      <c r="D448" s="1"/>
      <c r="E448" s="36">
        <v>46384.09</v>
      </c>
      <c r="F448" s="36"/>
      <c r="G448" s="36">
        <v>0</v>
      </c>
      <c r="H448" s="36"/>
      <c r="I448" s="36">
        <v>44606.89</v>
      </c>
      <c r="J448" s="36"/>
      <c r="K448" s="36">
        <v>0</v>
      </c>
      <c r="L448" s="36"/>
      <c r="M448" s="36">
        <v>0</v>
      </c>
      <c r="N448" s="36"/>
      <c r="O448" s="36">
        <v>39782.83</v>
      </c>
      <c r="P448" s="36"/>
      <c r="Q448" s="36">
        <v>435.67</v>
      </c>
      <c r="R448" s="36"/>
      <c r="S448" s="36">
        <v>1716.5</v>
      </c>
      <c r="T448" s="36"/>
      <c r="U448" s="36">
        <v>0</v>
      </c>
      <c r="V448" s="36"/>
      <c r="W448" s="36">
        <v>0</v>
      </c>
      <c r="X448" s="36"/>
      <c r="Y448" s="36">
        <v>0</v>
      </c>
      <c r="Z448" s="36"/>
      <c r="AA448" s="36">
        <v>102425</v>
      </c>
      <c r="AB448" s="36"/>
      <c r="AC448" s="36">
        <v>0</v>
      </c>
      <c r="AD448" s="36"/>
      <c r="AE448" s="36">
        <v>825.08</v>
      </c>
      <c r="AF448" s="36"/>
      <c r="AG448" s="36">
        <v>0</v>
      </c>
      <c r="AH448" s="36"/>
      <c r="AI448" s="36">
        <f>SUM(E448:AG448)</f>
        <v>236176.06</v>
      </c>
      <c r="AJ448" s="10"/>
      <c r="AK448" s="22"/>
      <c r="AL448" s="22"/>
      <c r="AM448" s="22"/>
    </row>
    <row r="449" spans="1:39" s="21" customFormat="1" ht="12.75">
      <c r="A449" s="1" t="s">
        <v>333</v>
      </c>
      <c r="B449" s="1"/>
      <c r="C449" s="1" t="s">
        <v>329</v>
      </c>
      <c r="D449" s="1"/>
      <c r="E449" s="83">
        <v>4932</v>
      </c>
      <c r="F449" s="83"/>
      <c r="G449" s="83">
        <v>0</v>
      </c>
      <c r="H449" s="83"/>
      <c r="I449" s="83">
        <v>25134</v>
      </c>
      <c r="J449" s="83"/>
      <c r="K449" s="83">
        <v>0</v>
      </c>
      <c r="L449" s="83"/>
      <c r="M449" s="83">
        <v>0</v>
      </c>
      <c r="N449" s="83"/>
      <c r="O449" s="83">
        <v>0</v>
      </c>
      <c r="P449" s="83"/>
      <c r="Q449" s="83">
        <v>0</v>
      </c>
      <c r="R449" s="83"/>
      <c r="S449" s="83">
        <v>195</v>
      </c>
      <c r="T449" s="83"/>
      <c r="U449" s="83">
        <v>0</v>
      </c>
      <c r="V449" s="83"/>
      <c r="W449" s="83">
        <v>0</v>
      </c>
      <c r="X449" s="83"/>
      <c r="Y449" s="83">
        <v>0</v>
      </c>
      <c r="Z449" s="83"/>
      <c r="AA449" s="83">
        <v>0</v>
      </c>
      <c r="AB449" s="83"/>
      <c r="AC449" s="83">
        <v>0</v>
      </c>
      <c r="AD449" s="83"/>
      <c r="AE449" s="83">
        <v>0</v>
      </c>
      <c r="AF449" s="83"/>
      <c r="AG449" s="83">
        <v>0</v>
      </c>
      <c r="AH449" s="83"/>
      <c r="AI449" s="83">
        <f t="shared" si="25"/>
        <v>30261</v>
      </c>
      <c r="AJ449" s="10"/>
      <c r="AK449" s="22"/>
      <c r="AL449" s="22"/>
      <c r="AM449" s="22"/>
    </row>
    <row r="450" spans="1:39" s="21" customFormat="1" ht="12.75">
      <c r="A450" s="1" t="s">
        <v>324</v>
      </c>
      <c r="B450" s="1"/>
      <c r="C450" s="1" t="s">
        <v>316</v>
      </c>
      <c r="D450" s="1"/>
      <c r="E450" s="83">
        <v>95010</v>
      </c>
      <c r="F450" s="83"/>
      <c r="G450" s="83">
        <v>652908</v>
      </c>
      <c r="H450" s="83"/>
      <c r="I450" s="83">
        <v>156811</v>
      </c>
      <c r="J450" s="83"/>
      <c r="K450" s="83">
        <v>0</v>
      </c>
      <c r="L450" s="83"/>
      <c r="M450" s="83">
        <v>43892</v>
      </c>
      <c r="N450" s="83"/>
      <c r="O450" s="83">
        <v>290084</v>
      </c>
      <c r="P450" s="83"/>
      <c r="Q450" s="83">
        <v>0</v>
      </c>
      <c r="R450" s="83"/>
      <c r="S450" s="83">
        <v>144249</v>
      </c>
      <c r="T450" s="83"/>
      <c r="U450" s="83">
        <v>0</v>
      </c>
      <c r="V450" s="83"/>
      <c r="W450" s="83">
        <v>0</v>
      </c>
      <c r="X450" s="83"/>
      <c r="Y450" s="83">
        <v>0</v>
      </c>
      <c r="Z450" s="83"/>
      <c r="AA450" s="83">
        <v>2500</v>
      </c>
      <c r="AB450" s="83"/>
      <c r="AC450" s="83">
        <v>0</v>
      </c>
      <c r="AD450" s="83"/>
      <c r="AE450" s="83">
        <v>0</v>
      </c>
      <c r="AF450" s="83"/>
      <c r="AG450" s="83">
        <v>0</v>
      </c>
      <c r="AH450" s="83"/>
      <c r="AI450" s="83">
        <f t="shared" si="25"/>
        <v>1385454</v>
      </c>
      <c r="AJ450" s="10"/>
      <c r="AK450" s="22"/>
      <c r="AL450" s="22"/>
      <c r="AM450" s="22"/>
    </row>
    <row r="451" spans="1:36" ht="12.75">
      <c r="A451" s="1" t="s">
        <v>566</v>
      </c>
      <c r="C451" s="1" t="s">
        <v>562</v>
      </c>
      <c r="E451" s="83">
        <v>111052</v>
      </c>
      <c r="F451" s="83"/>
      <c r="G451" s="83">
        <v>641508</v>
      </c>
      <c r="H451" s="83"/>
      <c r="I451" s="83">
        <v>266675</v>
      </c>
      <c r="J451" s="83"/>
      <c r="K451" s="83">
        <v>2775</v>
      </c>
      <c r="L451" s="83"/>
      <c r="M451" s="83">
        <v>24574</v>
      </c>
      <c r="N451" s="83"/>
      <c r="O451" s="83">
        <v>33689</v>
      </c>
      <c r="P451" s="83"/>
      <c r="Q451" s="83">
        <v>11542</v>
      </c>
      <c r="R451" s="83"/>
      <c r="S451" s="83">
        <v>32560</v>
      </c>
      <c r="T451" s="83"/>
      <c r="U451" s="83">
        <v>0</v>
      </c>
      <c r="V451" s="83"/>
      <c r="W451" s="83">
        <v>0</v>
      </c>
      <c r="X451" s="83"/>
      <c r="Y451" s="83">
        <v>0</v>
      </c>
      <c r="Z451" s="83"/>
      <c r="AA451" s="83">
        <v>0</v>
      </c>
      <c r="AB451" s="83"/>
      <c r="AC451" s="83">
        <v>0</v>
      </c>
      <c r="AD451" s="83"/>
      <c r="AE451" s="83">
        <v>0</v>
      </c>
      <c r="AF451" s="83"/>
      <c r="AG451" s="83">
        <v>0</v>
      </c>
      <c r="AH451" s="83"/>
      <c r="AI451" s="83">
        <f t="shared" si="25"/>
        <v>1124375</v>
      </c>
      <c r="AJ451" s="10"/>
    </row>
    <row r="452" spans="1:36" ht="12.75">
      <c r="A452" s="1" t="s">
        <v>964</v>
      </c>
      <c r="C452" s="1" t="s">
        <v>817</v>
      </c>
      <c r="E452" s="83">
        <v>117978</v>
      </c>
      <c r="F452" s="83"/>
      <c r="G452" s="83">
        <v>551783</v>
      </c>
      <c r="H452" s="83"/>
      <c r="I452" s="83">
        <v>228429</v>
      </c>
      <c r="J452" s="83"/>
      <c r="K452" s="83">
        <v>0</v>
      </c>
      <c r="L452" s="83"/>
      <c r="M452" s="83">
        <v>37979</v>
      </c>
      <c r="N452" s="83"/>
      <c r="O452" s="83">
        <v>835408</v>
      </c>
      <c r="P452" s="83"/>
      <c r="Q452" s="83">
        <v>111581</v>
      </c>
      <c r="R452" s="83"/>
      <c r="S452" s="83">
        <v>640178</v>
      </c>
      <c r="T452" s="83"/>
      <c r="U452" s="83">
        <v>0</v>
      </c>
      <c r="V452" s="83"/>
      <c r="W452" s="83">
        <v>0</v>
      </c>
      <c r="X452" s="83"/>
      <c r="Y452" s="83">
        <v>0</v>
      </c>
      <c r="Z452" s="83"/>
      <c r="AA452" s="83">
        <v>0</v>
      </c>
      <c r="AB452" s="83"/>
      <c r="AC452" s="83">
        <v>0</v>
      </c>
      <c r="AD452" s="83"/>
      <c r="AE452" s="83">
        <v>0</v>
      </c>
      <c r="AF452" s="83"/>
      <c r="AG452" s="83">
        <v>0</v>
      </c>
      <c r="AH452" s="83"/>
      <c r="AI452" s="83">
        <f t="shared" si="25"/>
        <v>2523336</v>
      </c>
      <c r="AJ452" s="10"/>
    </row>
    <row r="453" spans="1:39" s="21" customFormat="1" ht="12" customHeight="1">
      <c r="A453" s="1" t="s">
        <v>688</v>
      </c>
      <c r="B453" s="1"/>
      <c r="C453" s="1" t="s">
        <v>295</v>
      </c>
      <c r="D453" s="1"/>
      <c r="E453" s="93">
        <v>6871.22</v>
      </c>
      <c r="F453" s="93"/>
      <c r="G453" s="93">
        <v>0</v>
      </c>
      <c r="H453" s="93"/>
      <c r="I453" s="93">
        <v>37661.71</v>
      </c>
      <c r="J453" s="93"/>
      <c r="K453" s="93">
        <v>0</v>
      </c>
      <c r="L453" s="93"/>
      <c r="M453" s="93">
        <v>0</v>
      </c>
      <c r="N453" s="93"/>
      <c r="O453" s="93">
        <v>7083.59</v>
      </c>
      <c r="P453" s="93"/>
      <c r="Q453" s="93">
        <v>30.06</v>
      </c>
      <c r="R453" s="93"/>
      <c r="S453" s="93">
        <v>1307.27</v>
      </c>
      <c r="T453" s="93"/>
      <c r="U453" s="93">
        <v>0</v>
      </c>
      <c r="V453" s="93"/>
      <c r="W453" s="93">
        <v>0</v>
      </c>
      <c r="X453" s="93"/>
      <c r="Y453" s="93">
        <v>0</v>
      </c>
      <c r="Z453" s="93"/>
      <c r="AA453" s="93">
        <v>0</v>
      </c>
      <c r="AB453" s="93"/>
      <c r="AC453" s="93">
        <v>0</v>
      </c>
      <c r="AD453" s="93"/>
      <c r="AE453" s="93">
        <v>0</v>
      </c>
      <c r="AF453" s="93"/>
      <c r="AG453" s="93">
        <v>0</v>
      </c>
      <c r="AH453" s="93"/>
      <c r="AI453" s="93">
        <f>SUM(E453:AG453)</f>
        <v>52953.85</v>
      </c>
      <c r="AJ453" s="10"/>
      <c r="AK453" s="22"/>
      <c r="AL453" s="22"/>
      <c r="AM453" s="22"/>
    </row>
    <row r="454" spans="1:36" s="21" customFormat="1" ht="12.75">
      <c r="A454" s="1" t="s">
        <v>96</v>
      </c>
      <c r="B454" s="1"/>
      <c r="C454" s="1" t="s">
        <v>773</v>
      </c>
      <c r="D454" s="1"/>
      <c r="E454" s="36">
        <v>206379.04</v>
      </c>
      <c r="F454" s="36"/>
      <c r="G454" s="36">
        <v>1330002.27</v>
      </c>
      <c r="H454" s="36"/>
      <c r="I454" s="36">
        <v>103956.7</v>
      </c>
      <c r="J454" s="36"/>
      <c r="K454" s="36">
        <v>0</v>
      </c>
      <c r="L454" s="36"/>
      <c r="M454" s="36">
        <v>145</v>
      </c>
      <c r="N454" s="36"/>
      <c r="O454" s="36">
        <v>143974.3</v>
      </c>
      <c r="P454" s="36"/>
      <c r="Q454" s="36">
        <v>606.71</v>
      </c>
      <c r="R454" s="36"/>
      <c r="S454" s="36">
        <v>15686.84</v>
      </c>
      <c r="T454" s="36"/>
      <c r="U454" s="36">
        <v>0</v>
      </c>
      <c r="V454" s="36"/>
      <c r="W454" s="36">
        <v>0</v>
      </c>
      <c r="X454" s="36"/>
      <c r="Y454" s="36">
        <v>54000</v>
      </c>
      <c r="Z454" s="36"/>
      <c r="AA454" s="36">
        <v>0</v>
      </c>
      <c r="AB454" s="36"/>
      <c r="AC454" s="36">
        <v>5287.52</v>
      </c>
      <c r="AD454" s="36"/>
      <c r="AE454" s="36">
        <v>0</v>
      </c>
      <c r="AF454" s="36"/>
      <c r="AG454" s="36">
        <v>0</v>
      </c>
      <c r="AH454" s="36"/>
      <c r="AI454" s="36">
        <f>SUM(E454:AG454)</f>
        <v>1860038.3800000001</v>
      </c>
      <c r="AJ454" s="10"/>
    </row>
    <row r="455" spans="1:39" ht="12.75">
      <c r="A455" s="1" t="s">
        <v>55</v>
      </c>
      <c r="C455" s="1" t="s">
        <v>763</v>
      </c>
      <c r="E455" s="36">
        <v>6472.33</v>
      </c>
      <c r="F455" s="36"/>
      <c r="G455" s="36">
        <v>0</v>
      </c>
      <c r="H455" s="36"/>
      <c r="I455" s="36">
        <v>56397.23</v>
      </c>
      <c r="J455" s="36"/>
      <c r="K455" s="36">
        <v>0</v>
      </c>
      <c r="L455" s="36"/>
      <c r="M455" s="36">
        <v>0</v>
      </c>
      <c r="N455" s="36"/>
      <c r="O455" s="36">
        <v>0</v>
      </c>
      <c r="P455" s="36"/>
      <c r="Q455" s="36">
        <v>226.32</v>
      </c>
      <c r="R455" s="36"/>
      <c r="S455" s="36">
        <v>1725.77</v>
      </c>
      <c r="T455" s="36"/>
      <c r="U455" s="36">
        <v>0</v>
      </c>
      <c r="V455" s="36"/>
      <c r="W455" s="36">
        <v>0</v>
      </c>
      <c r="X455" s="36"/>
      <c r="Y455" s="36">
        <v>0</v>
      </c>
      <c r="Z455" s="36"/>
      <c r="AA455" s="36">
        <v>0</v>
      </c>
      <c r="AB455" s="36"/>
      <c r="AC455" s="36">
        <v>0</v>
      </c>
      <c r="AD455" s="36"/>
      <c r="AE455" s="36">
        <v>1079.24</v>
      </c>
      <c r="AF455" s="36"/>
      <c r="AG455" s="36">
        <v>0</v>
      </c>
      <c r="AH455" s="36"/>
      <c r="AI455" s="36">
        <f>SUM(E455:AG455)</f>
        <v>65900.89</v>
      </c>
      <c r="AJ455" s="10"/>
      <c r="AK455" s="7"/>
      <c r="AL455" s="7"/>
      <c r="AM455" s="7"/>
    </row>
    <row r="456" spans="1:36" ht="12.75">
      <c r="A456" s="1" t="s">
        <v>607</v>
      </c>
      <c r="C456" s="1" t="s">
        <v>603</v>
      </c>
      <c r="E456" s="83">
        <v>190860</v>
      </c>
      <c r="F456" s="83"/>
      <c r="G456" s="83">
        <v>611384</v>
      </c>
      <c r="H456" s="83"/>
      <c r="I456" s="83">
        <v>40972</v>
      </c>
      <c r="J456" s="83"/>
      <c r="K456" s="83">
        <v>0</v>
      </c>
      <c r="L456" s="83"/>
      <c r="M456" s="83">
        <v>54886</v>
      </c>
      <c r="N456" s="83"/>
      <c r="O456" s="83">
        <v>65642</v>
      </c>
      <c r="P456" s="83"/>
      <c r="Q456" s="83">
        <v>17760</v>
      </c>
      <c r="R456" s="83"/>
      <c r="S456" s="83">
        <v>3000</v>
      </c>
      <c r="T456" s="83"/>
      <c r="U456" s="83">
        <v>0</v>
      </c>
      <c r="V456" s="83"/>
      <c r="W456" s="83">
        <v>0</v>
      </c>
      <c r="X456" s="83"/>
      <c r="Y456" s="83">
        <v>0</v>
      </c>
      <c r="Z456" s="83"/>
      <c r="AA456" s="83">
        <v>0</v>
      </c>
      <c r="AB456" s="83"/>
      <c r="AC456" s="83">
        <v>0</v>
      </c>
      <c r="AD456" s="83"/>
      <c r="AE456" s="83">
        <v>0</v>
      </c>
      <c r="AF456" s="83"/>
      <c r="AG456" s="83">
        <v>0</v>
      </c>
      <c r="AH456" s="83"/>
      <c r="AI456" s="83">
        <f t="shared" si="25"/>
        <v>984504</v>
      </c>
      <c r="AJ456" s="10"/>
    </row>
    <row r="457" spans="1:36" ht="12.75">
      <c r="A457" s="1" t="s">
        <v>97</v>
      </c>
      <c r="C457" s="1" t="s">
        <v>773</v>
      </c>
      <c r="E457" s="36">
        <v>290244.57</v>
      </c>
      <c r="F457" s="36"/>
      <c r="G457" s="36">
        <v>0</v>
      </c>
      <c r="H457" s="36"/>
      <c r="I457" s="36">
        <v>73519.46</v>
      </c>
      <c r="J457" s="36"/>
      <c r="K457" s="36">
        <v>0</v>
      </c>
      <c r="L457" s="36"/>
      <c r="M457" s="36">
        <v>1722.5</v>
      </c>
      <c r="N457" s="36"/>
      <c r="O457" s="36">
        <v>18686</v>
      </c>
      <c r="P457" s="36"/>
      <c r="Q457" s="36">
        <v>1396.17</v>
      </c>
      <c r="R457" s="36"/>
      <c r="S457" s="36">
        <v>1044.44</v>
      </c>
      <c r="T457" s="36"/>
      <c r="U457" s="36">
        <v>0</v>
      </c>
      <c r="V457" s="36"/>
      <c r="W457" s="36">
        <v>0</v>
      </c>
      <c r="X457" s="36"/>
      <c r="Y457" s="36">
        <v>0</v>
      </c>
      <c r="Z457" s="36"/>
      <c r="AA457" s="36">
        <v>0</v>
      </c>
      <c r="AB457" s="36"/>
      <c r="AC457" s="36">
        <v>0</v>
      </c>
      <c r="AD457" s="36"/>
      <c r="AE457" s="36">
        <v>0</v>
      </c>
      <c r="AF457" s="36"/>
      <c r="AG457" s="36">
        <v>0</v>
      </c>
      <c r="AH457" s="36"/>
      <c r="AI457" s="36">
        <f aca="true" t="shared" si="27" ref="AI457:AI462">SUM(E457:AG457)</f>
        <v>386613.14</v>
      </c>
      <c r="AJ457" s="10"/>
    </row>
    <row r="458" spans="1:36" ht="12.75">
      <c r="A458" s="1" t="s">
        <v>418</v>
      </c>
      <c r="C458" s="1" t="s">
        <v>416</v>
      </c>
      <c r="E458" s="36">
        <v>18749.95</v>
      </c>
      <c r="F458" s="36"/>
      <c r="G458" s="36">
        <v>0</v>
      </c>
      <c r="H458" s="36"/>
      <c r="I458" s="36">
        <v>48380.29</v>
      </c>
      <c r="J458" s="36"/>
      <c r="K458" s="36">
        <v>0</v>
      </c>
      <c r="L458" s="36"/>
      <c r="M458" s="36">
        <v>26242.81</v>
      </c>
      <c r="N458" s="36"/>
      <c r="O458" s="36">
        <v>4772.5</v>
      </c>
      <c r="P458" s="36"/>
      <c r="Q458" s="36">
        <v>329.43</v>
      </c>
      <c r="R458" s="36"/>
      <c r="S458" s="36">
        <v>0</v>
      </c>
      <c r="T458" s="36"/>
      <c r="U458" s="36">
        <v>0</v>
      </c>
      <c r="V458" s="36"/>
      <c r="W458" s="36">
        <v>0</v>
      </c>
      <c r="X458" s="36"/>
      <c r="Y458" s="36">
        <v>0</v>
      </c>
      <c r="Z458" s="36"/>
      <c r="AA458" s="36">
        <v>0</v>
      </c>
      <c r="AB458" s="36"/>
      <c r="AC458" s="36">
        <v>0</v>
      </c>
      <c r="AD458" s="36"/>
      <c r="AE458" s="36">
        <v>129.07</v>
      </c>
      <c r="AF458" s="36"/>
      <c r="AG458" s="36">
        <v>0</v>
      </c>
      <c r="AH458" s="36"/>
      <c r="AI458" s="36">
        <f t="shared" si="27"/>
        <v>98604.05</v>
      </c>
      <c r="AJ458" s="10"/>
    </row>
    <row r="459" spans="1:39" ht="12.75">
      <c r="A459" s="1" t="s">
        <v>293</v>
      </c>
      <c r="C459" s="1" t="s">
        <v>292</v>
      </c>
      <c r="E459" s="36">
        <v>21292.7</v>
      </c>
      <c r="F459" s="36"/>
      <c r="G459" s="36">
        <v>0</v>
      </c>
      <c r="H459" s="36"/>
      <c r="I459" s="36">
        <v>10761.19</v>
      </c>
      <c r="J459" s="36"/>
      <c r="K459" s="36">
        <v>0</v>
      </c>
      <c r="L459" s="36"/>
      <c r="M459" s="36">
        <v>0</v>
      </c>
      <c r="N459" s="36"/>
      <c r="O459" s="36">
        <v>174066.5</v>
      </c>
      <c r="P459" s="36"/>
      <c r="Q459" s="36">
        <v>18.9</v>
      </c>
      <c r="R459" s="36"/>
      <c r="S459" s="36">
        <v>7475.74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v>0</v>
      </c>
      <c r="AF459" s="36"/>
      <c r="AG459" s="36">
        <v>250</v>
      </c>
      <c r="AH459" s="36"/>
      <c r="AI459" s="36">
        <f t="shared" si="27"/>
        <v>213865.03</v>
      </c>
      <c r="AJ459" s="10"/>
      <c r="AK459" s="7"/>
      <c r="AL459" s="7"/>
      <c r="AM459" s="7"/>
    </row>
    <row r="460" spans="1:39" s="21" customFormat="1" ht="12.75">
      <c r="A460" s="1" t="s">
        <v>689</v>
      </c>
      <c r="B460" s="1"/>
      <c r="C460" s="1" t="s">
        <v>674</v>
      </c>
      <c r="D460" s="1"/>
      <c r="E460" s="36">
        <v>179464.72</v>
      </c>
      <c r="F460" s="36"/>
      <c r="G460" s="36">
        <v>471195.95</v>
      </c>
      <c r="H460" s="36"/>
      <c r="I460" s="36">
        <v>80110.79</v>
      </c>
      <c r="J460" s="36"/>
      <c r="K460" s="36">
        <v>0</v>
      </c>
      <c r="L460" s="36"/>
      <c r="M460" s="36">
        <v>25256.07</v>
      </c>
      <c r="N460" s="36"/>
      <c r="O460" s="36">
        <v>187702.48</v>
      </c>
      <c r="P460" s="36"/>
      <c r="Q460" s="36">
        <v>163.26</v>
      </c>
      <c r="R460" s="36"/>
      <c r="S460" s="36">
        <v>39524.07</v>
      </c>
      <c r="T460" s="36"/>
      <c r="U460" s="36">
        <v>0</v>
      </c>
      <c r="V460" s="36"/>
      <c r="W460" s="36">
        <v>0</v>
      </c>
      <c r="X460" s="36"/>
      <c r="Y460" s="36">
        <v>3032</v>
      </c>
      <c r="Z460" s="36"/>
      <c r="AA460" s="36">
        <v>0</v>
      </c>
      <c r="AB460" s="36"/>
      <c r="AC460" s="36">
        <v>0</v>
      </c>
      <c r="AD460" s="36"/>
      <c r="AE460" s="36">
        <v>0</v>
      </c>
      <c r="AF460" s="36"/>
      <c r="AG460" s="36">
        <v>0</v>
      </c>
      <c r="AH460" s="36"/>
      <c r="AI460" s="36">
        <f t="shared" si="27"/>
        <v>986449.34</v>
      </c>
      <c r="AJ460" s="10"/>
      <c r="AK460" s="22"/>
      <c r="AL460" s="22"/>
      <c r="AM460" s="22"/>
    </row>
    <row r="461" spans="1:36" ht="12.75">
      <c r="A461" s="1" t="s">
        <v>289</v>
      </c>
      <c r="C461" s="1" t="s">
        <v>287</v>
      </c>
      <c r="E461" s="36">
        <v>27562.97</v>
      </c>
      <c r="F461" s="36"/>
      <c r="G461" s="36">
        <v>191022.54</v>
      </c>
      <c r="H461" s="36"/>
      <c r="I461" s="36">
        <v>27911.57</v>
      </c>
      <c r="J461" s="36"/>
      <c r="K461" s="36">
        <v>0</v>
      </c>
      <c r="L461" s="36"/>
      <c r="M461" s="36">
        <v>0</v>
      </c>
      <c r="N461" s="36"/>
      <c r="O461" s="36">
        <v>19338.01</v>
      </c>
      <c r="P461" s="36"/>
      <c r="Q461" s="36">
        <v>2511.28</v>
      </c>
      <c r="R461" s="36"/>
      <c r="S461" s="36">
        <v>0</v>
      </c>
      <c r="T461" s="36"/>
      <c r="U461" s="36">
        <v>0</v>
      </c>
      <c r="V461" s="36"/>
      <c r="W461" s="36">
        <v>0</v>
      </c>
      <c r="X461" s="36"/>
      <c r="Y461" s="36">
        <v>0</v>
      </c>
      <c r="Z461" s="36"/>
      <c r="AA461" s="36">
        <v>0</v>
      </c>
      <c r="AB461" s="36"/>
      <c r="AC461" s="36">
        <v>0</v>
      </c>
      <c r="AD461" s="36"/>
      <c r="AE461" s="36">
        <v>31632.78</v>
      </c>
      <c r="AF461" s="36"/>
      <c r="AG461" s="36">
        <v>0</v>
      </c>
      <c r="AH461" s="36"/>
      <c r="AI461" s="36">
        <f t="shared" si="27"/>
        <v>299979.15</v>
      </c>
      <c r="AJ461" s="10"/>
    </row>
    <row r="462" spans="1:36" s="19" customFormat="1" ht="12.75">
      <c r="A462" s="10" t="s">
        <v>124</v>
      </c>
      <c r="B462" s="10"/>
      <c r="C462" s="10" t="s">
        <v>783</v>
      </c>
      <c r="D462" s="10"/>
      <c r="E462" s="36">
        <v>547483.26</v>
      </c>
      <c r="F462" s="36"/>
      <c r="G462" s="36">
        <v>1349189.93</v>
      </c>
      <c r="H462" s="36"/>
      <c r="I462" s="36">
        <v>502514.68</v>
      </c>
      <c r="J462" s="36"/>
      <c r="K462" s="36">
        <v>97.85</v>
      </c>
      <c r="L462" s="36"/>
      <c r="M462" s="36">
        <v>2800</v>
      </c>
      <c r="N462" s="36"/>
      <c r="O462" s="36">
        <v>22341.59</v>
      </c>
      <c r="P462" s="36"/>
      <c r="Q462" s="36">
        <v>143955.15</v>
      </c>
      <c r="R462" s="36"/>
      <c r="S462" s="36">
        <v>1876.48</v>
      </c>
      <c r="T462" s="36"/>
      <c r="U462" s="36">
        <v>0</v>
      </c>
      <c r="V462" s="36"/>
      <c r="W462" s="36">
        <v>0</v>
      </c>
      <c r="X462" s="36"/>
      <c r="Y462" s="36">
        <v>0</v>
      </c>
      <c r="Z462" s="36"/>
      <c r="AA462" s="36">
        <v>0</v>
      </c>
      <c r="AB462" s="36"/>
      <c r="AC462" s="36">
        <v>0</v>
      </c>
      <c r="AD462" s="36"/>
      <c r="AE462" s="36">
        <v>0</v>
      </c>
      <c r="AF462" s="36"/>
      <c r="AG462" s="36">
        <v>0</v>
      </c>
      <c r="AH462" s="36"/>
      <c r="AI462" s="36">
        <f t="shared" si="27"/>
        <v>2570258.94</v>
      </c>
      <c r="AJ462" s="10"/>
    </row>
    <row r="463" spans="1:39" s="31" customFormat="1" ht="12.75">
      <c r="A463" s="15" t="s">
        <v>844</v>
      </c>
      <c r="B463" s="15"/>
      <c r="C463" s="15" t="s">
        <v>761</v>
      </c>
      <c r="D463" s="15"/>
      <c r="E463" s="83">
        <v>0</v>
      </c>
      <c r="F463" s="85"/>
      <c r="G463" s="83">
        <v>985596</v>
      </c>
      <c r="H463" s="85"/>
      <c r="I463" s="83">
        <v>91920</v>
      </c>
      <c r="J463" s="85"/>
      <c r="K463" s="83">
        <v>29183</v>
      </c>
      <c r="L463" s="85"/>
      <c r="M463" s="83">
        <v>29421</v>
      </c>
      <c r="N463" s="85"/>
      <c r="O463" s="83">
        <v>252281</v>
      </c>
      <c r="P463" s="85"/>
      <c r="Q463" s="83">
        <v>0</v>
      </c>
      <c r="R463" s="85"/>
      <c r="S463" s="83">
        <v>90193</v>
      </c>
      <c r="T463" s="83"/>
      <c r="U463" s="83">
        <v>0</v>
      </c>
      <c r="V463" s="85"/>
      <c r="W463" s="83">
        <v>0</v>
      </c>
      <c r="X463" s="85"/>
      <c r="Y463" s="83">
        <v>0</v>
      </c>
      <c r="Z463" s="85"/>
      <c r="AA463" s="83">
        <v>0</v>
      </c>
      <c r="AB463" s="85"/>
      <c r="AC463" s="83">
        <v>0</v>
      </c>
      <c r="AD463" s="85"/>
      <c r="AE463" s="83">
        <v>0</v>
      </c>
      <c r="AF463" s="85"/>
      <c r="AG463" s="83">
        <v>0</v>
      </c>
      <c r="AH463" s="85"/>
      <c r="AI463" s="83">
        <f t="shared" si="25"/>
        <v>1478594</v>
      </c>
      <c r="AJ463" s="24"/>
      <c r="AK463" s="32"/>
      <c r="AL463" s="32"/>
      <c r="AM463" s="32"/>
    </row>
    <row r="464" spans="1:39" s="21" customFormat="1" ht="12.75">
      <c r="A464" s="1" t="s">
        <v>314</v>
      </c>
      <c r="B464" s="1"/>
      <c r="C464" s="1" t="s">
        <v>312</v>
      </c>
      <c r="D464" s="1"/>
      <c r="E464" s="83">
        <v>8197.65</v>
      </c>
      <c r="F464" s="83"/>
      <c r="G464" s="83">
        <v>0</v>
      </c>
      <c r="H464" s="83"/>
      <c r="I464" s="83">
        <v>12244.07</v>
      </c>
      <c r="J464" s="83"/>
      <c r="K464" s="83">
        <v>0</v>
      </c>
      <c r="L464" s="83"/>
      <c r="M464" s="83">
        <v>0</v>
      </c>
      <c r="N464" s="83"/>
      <c r="O464" s="83">
        <v>20</v>
      </c>
      <c r="P464" s="83"/>
      <c r="Q464" s="83">
        <v>63.54</v>
      </c>
      <c r="R464" s="83"/>
      <c r="S464" s="83">
        <v>0</v>
      </c>
      <c r="T464" s="83"/>
      <c r="U464" s="83">
        <v>0</v>
      </c>
      <c r="V464" s="83"/>
      <c r="W464" s="83">
        <v>0</v>
      </c>
      <c r="X464" s="83"/>
      <c r="Y464" s="83">
        <v>0</v>
      </c>
      <c r="Z464" s="83"/>
      <c r="AA464" s="83">
        <v>0</v>
      </c>
      <c r="AB464" s="83"/>
      <c r="AC464" s="83">
        <v>0</v>
      </c>
      <c r="AD464" s="83"/>
      <c r="AE464" s="83">
        <v>0</v>
      </c>
      <c r="AF464" s="83"/>
      <c r="AG464" s="83">
        <v>0</v>
      </c>
      <c r="AH464" s="83"/>
      <c r="AI464" s="83">
        <f t="shared" si="25"/>
        <v>20525.260000000002</v>
      </c>
      <c r="AJ464" s="10"/>
      <c r="AK464" s="22"/>
      <c r="AL464" s="22"/>
      <c r="AM464" s="22"/>
    </row>
    <row r="465" spans="1:39" ht="12.75" hidden="1">
      <c r="A465" s="1" t="s">
        <v>334</v>
      </c>
      <c r="C465" s="1" t="s">
        <v>329</v>
      </c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>
        <f t="shared" si="25"/>
        <v>0</v>
      </c>
      <c r="AJ465" s="10"/>
      <c r="AK465" s="7"/>
      <c r="AL465" s="7"/>
      <c r="AM465" s="7"/>
    </row>
    <row r="466" spans="1:36" ht="12.75">
      <c r="A466" s="1" t="s">
        <v>553</v>
      </c>
      <c r="C466" s="1" t="s">
        <v>551</v>
      </c>
      <c r="E466" s="83">
        <v>469317.45</v>
      </c>
      <c r="F466" s="83"/>
      <c r="G466" s="83">
        <v>1015748.51</v>
      </c>
      <c r="H466" s="83"/>
      <c r="I466" s="83">
        <v>226040.59</v>
      </c>
      <c r="J466" s="83"/>
      <c r="K466" s="83">
        <v>0</v>
      </c>
      <c r="L466" s="83"/>
      <c r="M466" s="83">
        <v>0</v>
      </c>
      <c r="N466" s="83"/>
      <c r="O466" s="83">
        <v>222002.06</v>
      </c>
      <c r="P466" s="83"/>
      <c r="Q466" s="83">
        <v>63.01</v>
      </c>
      <c r="R466" s="83"/>
      <c r="S466" s="83">
        <v>102497.9</v>
      </c>
      <c r="T466" s="83"/>
      <c r="U466" s="83">
        <v>0</v>
      </c>
      <c r="V466" s="83"/>
      <c r="W466" s="83">
        <v>0</v>
      </c>
      <c r="X466" s="83"/>
      <c r="Y466" s="83">
        <v>0</v>
      </c>
      <c r="Z466" s="83"/>
      <c r="AA466" s="83">
        <v>13948</v>
      </c>
      <c r="AB466" s="83"/>
      <c r="AC466" s="83">
        <v>0</v>
      </c>
      <c r="AD466" s="83"/>
      <c r="AE466" s="83">
        <v>0</v>
      </c>
      <c r="AF466" s="83"/>
      <c r="AG466" s="83">
        <v>0</v>
      </c>
      <c r="AH466" s="83"/>
      <c r="AI466" s="83">
        <f t="shared" si="25"/>
        <v>2049617.52</v>
      </c>
      <c r="AJ466" s="10"/>
    </row>
    <row r="467" spans="1:36" ht="12.75">
      <c r="A467" s="1" t="s">
        <v>176</v>
      </c>
      <c r="C467" s="1" t="s">
        <v>800</v>
      </c>
      <c r="E467" s="36">
        <v>11751.95</v>
      </c>
      <c r="F467" s="36"/>
      <c r="G467" s="36">
        <v>0</v>
      </c>
      <c r="H467" s="36"/>
      <c r="I467" s="36">
        <v>10406.79</v>
      </c>
      <c r="J467" s="36"/>
      <c r="K467" s="36">
        <v>0</v>
      </c>
      <c r="L467" s="36"/>
      <c r="M467" s="36">
        <v>0</v>
      </c>
      <c r="N467" s="36"/>
      <c r="O467" s="36">
        <v>0</v>
      </c>
      <c r="P467" s="36"/>
      <c r="Q467" s="36">
        <v>42.53</v>
      </c>
      <c r="R467" s="36"/>
      <c r="S467" s="36">
        <v>11959.43</v>
      </c>
      <c r="T467" s="36"/>
      <c r="U467" s="36">
        <v>0</v>
      </c>
      <c r="V467" s="36"/>
      <c r="W467" s="36">
        <v>0</v>
      </c>
      <c r="X467" s="36"/>
      <c r="Y467" s="36">
        <v>380</v>
      </c>
      <c r="Z467" s="36"/>
      <c r="AA467" s="36">
        <v>0</v>
      </c>
      <c r="AB467" s="36"/>
      <c r="AC467" s="36">
        <v>0</v>
      </c>
      <c r="AD467" s="36"/>
      <c r="AE467" s="36">
        <v>0</v>
      </c>
      <c r="AF467" s="36"/>
      <c r="AG467" s="36">
        <v>0</v>
      </c>
      <c r="AH467" s="36"/>
      <c r="AI467" s="36">
        <f>SUM(E467:AG467)</f>
        <v>34540.7</v>
      </c>
      <c r="AJ467" s="10"/>
    </row>
    <row r="468" spans="1:36" s="15" customFormat="1" ht="12.75">
      <c r="A468" s="15" t="s">
        <v>495</v>
      </c>
      <c r="C468" s="15" t="s">
        <v>207</v>
      </c>
      <c r="E468" s="85">
        <v>149110</v>
      </c>
      <c r="F468" s="85"/>
      <c r="G468" s="85">
        <v>612724</v>
      </c>
      <c r="H468" s="85"/>
      <c r="I468" s="85">
        <v>156902</v>
      </c>
      <c r="J468" s="85"/>
      <c r="K468" s="85">
        <v>41</v>
      </c>
      <c r="L468" s="85"/>
      <c r="M468" s="85">
        <v>100450</v>
      </c>
      <c r="N468" s="85"/>
      <c r="O468" s="85">
        <v>4485</v>
      </c>
      <c r="P468" s="85"/>
      <c r="Q468" s="85">
        <v>87219</v>
      </c>
      <c r="R468" s="85"/>
      <c r="S468" s="85">
        <v>109960</v>
      </c>
      <c r="T468" s="85"/>
      <c r="U468" s="83">
        <v>0</v>
      </c>
      <c r="V468" s="85"/>
      <c r="W468" s="83">
        <v>0</v>
      </c>
      <c r="X468" s="85"/>
      <c r="Y468" s="85">
        <v>0</v>
      </c>
      <c r="Z468" s="85"/>
      <c r="AA468" s="85">
        <v>266</v>
      </c>
      <c r="AB468" s="85"/>
      <c r="AC468" s="85">
        <v>0</v>
      </c>
      <c r="AD468" s="85"/>
      <c r="AE468" s="83">
        <v>0</v>
      </c>
      <c r="AF468" s="85"/>
      <c r="AG468" s="83">
        <v>0</v>
      </c>
      <c r="AH468" s="85"/>
      <c r="AI468" s="83">
        <f aca="true" t="shared" si="28" ref="AI468:AI531">SUM(E468:AG468)</f>
        <v>1221157</v>
      </c>
      <c r="AJ468" s="24"/>
    </row>
    <row r="469" spans="1:36" ht="12.75">
      <c r="A469" s="1" t="s">
        <v>114</v>
      </c>
      <c r="C469" s="1" t="s">
        <v>666</v>
      </c>
      <c r="E469" s="36">
        <v>131978.56</v>
      </c>
      <c r="F469" s="36"/>
      <c r="G469" s="36">
        <v>0</v>
      </c>
      <c r="H469" s="36"/>
      <c r="I469" s="36">
        <v>65084.63</v>
      </c>
      <c r="J469" s="36"/>
      <c r="K469" s="36">
        <v>0</v>
      </c>
      <c r="L469" s="36"/>
      <c r="M469" s="36">
        <v>278.75</v>
      </c>
      <c r="N469" s="36"/>
      <c r="O469" s="36">
        <v>9874.3</v>
      </c>
      <c r="P469" s="36"/>
      <c r="Q469" s="36">
        <v>23258.29</v>
      </c>
      <c r="R469" s="36"/>
      <c r="S469" s="36">
        <v>488.3</v>
      </c>
      <c r="T469" s="36"/>
      <c r="U469" s="36">
        <v>0</v>
      </c>
      <c r="V469" s="36"/>
      <c r="W469" s="36">
        <v>0</v>
      </c>
      <c r="X469" s="36"/>
      <c r="Y469" s="36">
        <v>0</v>
      </c>
      <c r="Z469" s="36"/>
      <c r="AA469" s="36">
        <v>0</v>
      </c>
      <c r="AB469" s="36"/>
      <c r="AC469" s="36">
        <v>111356.39</v>
      </c>
      <c r="AD469" s="36"/>
      <c r="AE469" s="36">
        <v>1169.16</v>
      </c>
      <c r="AF469" s="36"/>
      <c r="AG469" s="36">
        <v>3</v>
      </c>
      <c r="AH469" s="36"/>
      <c r="AI469" s="36">
        <f>SUM(E469:AG469)</f>
        <v>343491.37999999995</v>
      </c>
      <c r="AJ469" s="10"/>
    </row>
    <row r="470" spans="1:39" s="21" customFormat="1" ht="12.75">
      <c r="A470" s="1" t="s">
        <v>325</v>
      </c>
      <c r="B470" s="1"/>
      <c r="C470" s="1" t="s">
        <v>316</v>
      </c>
      <c r="D470" s="1"/>
      <c r="E470" s="83">
        <v>307879</v>
      </c>
      <c r="F470" s="83"/>
      <c r="G470" s="83">
        <v>4558681</v>
      </c>
      <c r="H470" s="83"/>
      <c r="I470" s="83">
        <v>490972</v>
      </c>
      <c r="J470" s="83"/>
      <c r="K470" s="83">
        <v>0</v>
      </c>
      <c r="L470" s="83"/>
      <c r="M470" s="83">
        <v>19325</v>
      </c>
      <c r="N470" s="83"/>
      <c r="O470" s="83">
        <v>382790</v>
      </c>
      <c r="P470" s="83"/>
      <c r="Q470" s="83">
        <v>0</v>
      </c>
      <c r="R470" s="83"/>
      <c r="S470" s="83">
        <v>502979</v>
      </c>
      <c r="T470" s="83"/>
      <c r="U470" s="83">
        <v>0</v>
      </c>
      <c r="V470" s="83"/>
      <c r="W470" s="83">
        <v>0</v>
      </c>
      <c r="X470" s="83"/>
      <c r="Y470" s="83">
        <v>0</v>
      </c>
      <c r="Z470" s="83"/>
      <c r="AA470" s="83">
        <v>0</v>
      </c>
      <c r="AB470" s="83"/>
      <c r="AC470" s="83">
        <v>0</v>
      </c>
      <c r="AD470" s="83"/>
      <c r="AE470" s="83">
        <v>0</v>
      </c>
      <c r="AF470" s="83"/>
      <c r="AG470" s="83">
        <v>0</v>
      </c>
      <c r="AH470" s="83"/>
      <c r="AI470" s="83">
        <f t="shared" si="28"/>
        <v>6262626</v>
      </c>
      <c r="AJ470" s="10"/>
      <c r="AK470" s="22"/>
      <c r="AL470" s="22"/>
      <c r="AM470" s="22"/>
    </row>
    <row r="471" spans="1:36" ht="12.75">
      <c r="A471" s="1" t="s">
        <v>325</v>
      </c>
      <c r="C471" s="1" t="s">
        <v>497</v>
      </c>
      <c r="E471" s="83">
        <v>7462.88</v>
      </c>
      <c r="F471" s="83"/>
      <c r="G471" s="83">
        <v>57079.14</v>
      </c>
      <c r="H471" s="83"/>
      <c r="I471" s="83">
        <v>40351.71</v>
      </c>
      <c r="J471" s="83"/>
      <c r="K471" s="83">
        <v>0</v>
      </c>
      <c r="L471" s="83"/>
      <c r="M471" s="83">
        <v>0</v>
      </c>
      <c r="N471" s="83"/>
      <c r="O471" s="83">
        <v>1767</v>
      </c>
      <c r="P471" s="83"/>
      <c r="Q471" s="83">
        <v>301.47</v>
      </c>
      <c r="R471" s="83"/>
      <c r="S471" s="83">
        <v>10542.21</v>
      </c>
      <c r="T471" s="83"/>
      <c r="U471" s="83">
        <v>0</v>
      </c>
      <c r="V471" s="85"/>
      <c r="W471" s="83">
        <v>0</v>
      </c>
      <c r="X471" s="83"/>
      <c r="Y471" s="83">
        <v>0</v>
      </c>
      <c r="Z471" s="83"/>
      <c r="AA471" s="83">
        <v>0</v>
      </c>
      <c r="AB471" s="83"/>
      <c r="AC471" s="83">
        <v>0</v>
      </c>
      <c r="AD471" s="83"/>
      <c r="AE471" s="83">
        <v>5615.78</v>
      </c>
      <c r="AF471" s="83"/>
      <c r="AG471" s="83">
        <v>0</v>
      </c>
      <c r="AH471" s="83"/>
      <c r="AI471" s="83">
        <f t="shared" si="28"/>
        <v>123120.19</v>
      </c>
      <c r="AJ471" s="10"/>
    </row>
    <row r="472" spans="1:36" ht="12.75">
      <c r="A472" s="1" t="s">
        <v>75</v>
      </c>
      <c r="C472" s="1" t="s">
        <v>768</v>
      </c>
      <c r="E472" s="10">
        <v>220447</v>
      </c>
      <c r="F472" s="83"/>
      <c r="G472" s="83">
        <v>3790438</v>
      </c>
      <c r="H472" s="83"/>
      <c r="I472" s="83">
        <v>246348</v>
      </c>
      <c r="J472" s="83"/>
      <c r="K472" s="83">
        <v>40494</v>
      </c>
      <c r="L472" s="83"/>
      <c r="M472" s="83">
        <v>192079</v>
      </c>
      <c r="N472" s="83"/>
      <c r="O472" s="83">
        <v>154248</v>
      </c>
      <c r="P472" s="83"/>
      <c r="Q472" s="83">
        <v>18987</v>
      </c>
      <c r="R472" s="83"/>
      <c r="S472" s="83">
        <v>201812</v>
      </c>
      <c r="T472" s="83"/>
      <c r="U472" s="83">
        <v>0</v>
      </c>
      <c r="V472" s="85"/>
      <c r="W472" s="83">
        <v>0</v>
      </c>
      <c r="X472" s="83"/>
      <c r="Y472" s="83">
        <v>0</v>
      </c>
      <c r="Z472" s="83"/>
      <c r="AA472" s="83">
        <v>25110</v>
      </c>
      <c r="AB472" s="83"/>
      <c r="AC472" s="83">
        <v>10000</v>
      </c>
      <c r="AD472" s="83"/>
      <c r="AE472" s="83">
        <v>0</v>
      </c>
      <c r="AF472" s="83"/>
      <c r="AG472" s="83">
        <v>0</v>
      </c>
      <c r="AH472" s="83"/>
      <c r="AI472" s="83">
        <f t="shared" si="28"/>
        <v>4899963</v>
      </c>
      <c r="AJ472" s="10"/>
    </row>
    <row r="473" spans="1:39" ht="12.75">
      <c r="A473" s="1" t="s">
        <v>71</v>
      </c>
      <c r="C473" s="1" t="s">
        <v>767</v>
      </c>
      <c r="E473" s="36">
        <v>32828.07</v>
      </c>
      <c r="F473" s="36"/>
      <c r="G473" s="36">
        <v>33849.13</v>
      </c>
      <c r="H473" s="36"/>
      <c r="I473" s="36">
        <v>2809.61</v>
      </c>
      <c r="J473" s="36"/>
      <c r="K473" s="36">
        <v>0</v>
      </c>
      <c r="L473" s="36"/>
      <c r="M473" s="36">
        <v>0</v>
      </c>
      <c r="N473" s="36"/>
      <c r="O473" s="36">
        <v>1080.5</v>
      </c>
      <c r="P473" s="36"/>
      <c r="Q473" s="36">
        <v>108.88</v>
      </c>
      <c r="R473" s="36"/>
      <c r="S473" s="36">
        <v>2537.6</v>
      </c>
      <c r="T473" s="36"/>
      <c r="U473" s="36">
        <v>0</v>
      </c>
      <c r="V473" s="36"/>
      <c r="W473" s="36">
        <v>0</v>
      </c>
      <c r="X473" s="36"/>
      <c r="Y473" s="36">
        <v>0</v>
      </c>
      <c r="Z473" s="36"/>
      <c r="AA473" s="36">
        <v>0</v>
      </c>
      <c r="AB473" s="36"/>
      <c r="AC473" s="36">
        <v>0</v>
      </c>
      <c r="AD473" s="36"/>
      <c r="AE473" s="36">
        <v>0</v>
      </c>
      <c r="AF473" s="36"/>
      <c r="AG473" s="36">
        <v>0</v>
      </c>
      <c r="AH473" s="36"/>
      <c r="AI473" s="36">
        <f>SUM(E473:AG473)</f>
        <v>73213.79000000001</v>
      </c>
      <c r="AJ473" s="10"/>
      <c r="AK473" s="7"/>
      <c r="AL473" s="7"/>
      <c r="AM473" s="7"/>
    </row>
    <row r="474" spans="1:36" ht="12.75">
      <c r="A474" s="1" t="s">
        <v>575</v>
      </c>
      <c r="C474" s="1" t="s">
        <v>574</v>
      </c>
      <c r="E474" s="83">
        <v>56929</v>
      </c>
      <c r="F474" s="83"/>
      <c r="G474" s="83">
        <v>57154</v>
      </c>
      <c r="H474" s="83"/>
      <c r="I474" s="83">
        <v>43097</v>
      </c>
      <c r="J474" s="83"/>
      <c r="K474" s="83">
        <v>0</v>
      </c>
      <c r="L474" s="83"/>
      <c r="M474" s="83">
        <v>0</v>
      </c>
      <c r="N474" s="83"/>
      <c r="O474" s="83">
        <v>528</v>
      </c>
      <c r="P474" s="83"/>
      <c r="Q474" s="83">
        <v>1211</v>
      </c>
      <c r="R474" s="83"/>
      <c r="S474" s="83">
        <v>13810</v>
      </c>
      <c r="T474" s="83"/>
      <c r="U474" s="83">
        <v>0</v>
      </c>
      <c r="V474" s="83"/>
      <c r="W474" s="83">
        <v>0</v>
      </c>
      <c r="X474" s="83"/>
      <c r="Y474" s="83">
        <v>0</v>
      </c>
      <c r="Z474" s="83"/>
      <c r="AA474" s="83">
        <v>13463</v>
      </c>
      <c r="AB474" s="83"/>
      <c r="AC474" s="83">
        <v>0</v>
      </c>
      <c r="AD474" s="83"/>
      <c r="AE474" s="83">
        <v>0</v>
      </c>
      <c r="AF474" s="83"/>
      <c r="AG474" s="83">
        <v>0</v>
      </c>
      <c r="AH474" s="83"/>
      <c r="AI474" s="83">
        <f t="shared" si="28"/>
        <v>186192</v>
      </c>
      <c r="AJ474" s="10"/>
    </row>
    <row r="475" spans="1:36" ht="12.75">
      <c r="A475" s="1" t="s">
        <v>972</v>
      </c>
      <c r="C475" s="1" t="s">
        <v>375</v>
      </c>
      <c r="E475" s="93">
        <v>17211.19</v>
      </c>
      <c r="F475" s="93"/>
      <c r="G475" s="93">
        <v>0</v>
      </c>
      <c r="H475" s="93"/>
      <c r="I475" s="93">
        <v>11412.24</v>
      </c>
      <c r="J475" s="93"/>
      <c r="K475" s="93">
        <v>0</v>
      </c>
      <c r="L475" s="93"/>
      <c r="M475" s="93">
        <v>0</v>
      </c>
      <c r="N475" s="93"/>
      <c r="O475" s="93">
        <v>0</v>
      </c>
      <c r="P475" s="93"/>
      <c r="Q475" s="93">
        <v>564.09</v>
      </c>
      <c r="R475" s="93"/>
      <c r="S475" s="93">
        <v>15067</v>
      </c>
      <c r="T475" s="93"/>
      <c r="U475" s="93">
        <v>0</v>
      </c>
      <c r="V475" s="93"/>
      <c r="W475" s="93">
        <v>0</v>
      </c>
      <c r="X475" s="93"/>
      <c r="Y475" s="93">
        <v>0</v>
      </c>
      <c r="Z475" s="93"/>
      <c r="AA475" s="93">
        <v>0</v>
      </c>
      <c r="AB475" s="93"/>
      <c r="AC475" s="93">
        <v>0</v>
      </c>
      <c r="AD475" s="93"/>
      <c r="AE475" s="93">
        <v>2373</v>
      </c>
      <c r="AF475" s="93"/>
      <c r="AG475" s="93">
        <v>0</v>
      </c>
      <c r="AH475" s="93"/>
      <c r="AI475" s="93">
        <f>SUM(E475:AG475)</f>
        <v>46627.520000000004</v>
      </c>
      <c r="AJ475" s="10"/>
    </row>
    <row r="476" spans="1:36" ht="12.75">
      <c r="A476" s="1" t="s">
        <v>922</v>
      </c>
      <c r="C476" s="1" t="s">
        <v>316</v>
      </c>
      <c r="E476" s="83">
        <v>870913</v>
      </c>
      <c r="F476" s="83"/>
      <c r="G476" s="83">
        <v>3136356</v>
      </c>
      <c r="H476" s="83"/>
      <c r="I476" s="83">
        <v>522827</v>
      </c>
      <c r="J476" s="83"/>
      <c r="K476" s="83">
        <v>0</v>
      </c>
      <c r="L476" s="83"/>
      <c r="M476" s="83">
        <v>211602</v>
      </c>
      <c r="N476" s="83"/>
      <c r="O476" s="83">
        <v>120149</v>
      </c>
      <c r="P476" s="83"/>
      <c r="Q476" s="83">
        <v>43790</v>
      </c>
      <c r="R476" s="83"/>
      <c r="S476" s="83">
        <v>307912</v>
      </c>
      <c r="T476" s="83"/>
      <c r="U476" s="83">
        <v>0</v>
      </c>
      <c r="V476" s="83"/>
      <c r="W476" s="83">
        <v>0</v>
      </c>
      <c r="X476" s="83"/>
      <c r="Y476" s="83">
        <v>0</v>
      </c>
      <c r="Z476" s="83"/>
      <c r="AA476" s="83">
        <v>0</v>
      </c>
      <c r="AB476" s="83"/>
      <c r="AC476" s="83">
        <v>0</v>
      </c>
      <c r="AD476" s="83"/>
      <c r="AE476" s="83">
        <v>0</v>
      </c>
      <c r="AF476" s="83"/>
      <c r="AG476" s="83">
        <v>0</v>
      </c>
      <c r="AH476" s="83"/>
      <c r="AI476" s="83">
        <f t="shared" si="28"/>
        <v>5213549</v>
      </c>
      <c r="AJ476" s="10"/>
    </row>
    <row r="477" spans="1:36" ht="12.75">
      <c r="A477" s="1" t="s">
        <v>229</v>
      </c>
      <c r="C477" s="1" t="s">
        <v>817</v>
      </c>
      <c r="E477" s="93">
        <v>10601.18</v>
      </c>
      <c r="F477" s="93"/>
      <c r="G477" s="93">
        <v>0</v>
      </c>
      <c r="H477" s="93"/>
      <c r="I477" s="93">
        <v>7408.68</v>
      </c>
      <c r="J477" s="93"/>
      <c r="K477" s="93">
        <v>0</v>
      </c>
      <c r="L477" s="93"/>
      <c r="M477" s="93">
        <v>0</v>
      </c>
      <c r="N477" s="93"/>
      <c r="O477" s="93">
        <v>368</v>
      </c>
      <c r="P477" s="93"/>
      <c r="Q477" s="93">
        <v>67.24</v>
      </c>
      <c r="R477" s="93"/>
      <c r="S477" s="93">
        <v>2828.89</v>
      </c>
      <c r="T477" s="93"/>
      <c r="U477" s="93">
        <v>0</v>
      </c>
      <c r="V477" s="93"/>
      <c r="W477" s="93">
        <v>0</v>
      </c>
      <c r="X477" s="93"/>
      <c r="Y477" s="93">
        <v>0</v>
      </c>
      <c r="Z477" s="93"/>
      <c r="AA477" s="93">
        <v>0</v>
      </c>
      <c r="AB477" s="93"/>
      <c r="AC477" s="93">
        <v>0</v>
      </c>
      <c r="AD477" s="93"/>
      <c r="AE477" s="93">
        <v>0</v>
      </c>
      <c r="AF477" s="93"/>
      <c r="AG477" s="93">
        <v>0</v>
      </c>
      <c r="AH477" s="93"/>
      <c r="AI477" s="93">
        <f>SUM(E477:AG477)</f>
        <v>21273.99</v>
      </c>
      <c r="AJ477" s="10"/>
    </row>
    <row r="478" spans="1:36" ht="12.75">
      <c r="A478" s="1" t="s">
        <v>190</v>
      </c>
      <c r="C478" s="1" t="s">
        <v>804</v>
      </c>
      <c r="E478" s="36">
        <v>4299.82</v>
      </c>
      <c r="F478" s="36"/>
      <c r="G478" s="36">
        <v>0</v>
      </c>
      <c r="H478" s="36"/>
      <c r="I478" s="36">
        <v>27294.04</v>
      </c>
      <c r="J478" s="36"/>
      <c r="K478" s="36">
        <v>0</v>
      </c>
      <c r="L478" s="36"/>
      <c r="M478" s="36">
        <v>0</v>
      </c>
      <c r="N478" s="36"/>
      <c r="O478" s="36">
        <v>2545.38</v>
      </c>
      <c r="P478" s="36"/>
      <c r="Q478" s="36">
        <v>21.05</v>
      </c>
      <c r="R478" s="36"/>
      <c r="S478" s="36">
        <v>10.25</v>
      </c>
      <c r="T478" s="36"/>
      <c r="U478" s="36">
        <v>0</v>
      </c>
      <c r="V478" s="36"/>
      <c r="W478" s="36">
        <v>0</v>
      </c>
      <c r="X478" s="36"/>
      <c r="Y478" s="36">
        <v>0</v>
      </c>
      <c r="Z478" s="36"/>
      <c r="AA478" s="36">
        <v>0</v>
      </c>
      <c r="AB478" s="36"/>
      <c r="AC478" s="36">
        <v>0</v>
      </c>
      <c r="AD478" s="36"/>
      <c r="AE478" s="36">
        <v>0</v>
      </c>
      <c r="AF478" s="36"/>
      <c r="AG478" s="36">
        <v>0</v>
      </c>
      <c r="AH478" s="36"/>
      <c r="AI478" s="36">
        <f>SUM(E478:AG478)</f>
        <v>34170.54</v>
      </c>
      <c r="AJ478" s="10"/>
    </row>
    <row r="479" spans="1:39" s="21" customFormat="1" ht="12.75">
      <c r="A479" s="1" t="s">
        <v>678</v>
      </c>
      <c r="B479" s="1"/>
      <c r="C479" s="1" t="s">
        <v>674</v>
      </c>
      <c r="D479" s="1"/>
      <c r="E479" s="96">
        <v>1491240</v>
      </c>
      <c r="F479" s="96"/>
      <c r="G479" s="96">
        <v>0</v>
      </c>
      <c r="H479" s="96"/>
      <c r="I479" s="96">
        <v>73953</v>
      </c>
      <c r="J479" s="96"/>
      <c r="K479" s="96">
        <v>0</v>
      </c>
      <c r="L479" s="96"/>
      <c r="M479" s="96">
        <v>0</v>
      </c>
      <c r="N479" s="96"/>
      <c r="O479" s="96">
        <v>4340</v>
      </c>
      <c r="P479" s="96"/>
      <c r="Q479" s="96">
        <v>2</v>
      </c>
      <c r="R479" s="96"/>
      <c r="S479" s="96">
        <v>795</v>
      </c>
      <c r="T479" s="96"/>
      <c r="U479" s="96">
        <v>0</v>
      </c>
      <c r="V479" s="96"/>
      <c r="W479" s="96">
        <v>0</v>
      </c>
      <c r="X479" s="96"/>
      <c r="Y479" s="96">
        <v>0</v>
      </c>
      <c r="Z479" s="96"/>
      <c r="AA479" s="96">
        <v>22970</v>
      </c>
      <c r="AB479" s="96"/>
      <c r="AC479" s="96">
        <v>0</v>
      </c>
      <c r="AD479" s="96"/>
      <c r="AE479" s="96">
        <v>0</v>
      </c>
      <c r="AF479" s="96"/>
      <c r="AG479" s="96">
        <v>0</v>
      </c>
      <c r="AH479" s="96"/>
      <c r="AI479" s="96">
        <f aca="true" t="shared" si="29" ref="AI479:AI481">SUM(E479:AG479)</f>
        <v>1593300</v>
      </c>
      <c r="AJ479" s="10"/>
      <c r="AK479" s="22"/>
      <c r="AL479" s="22"/>
      <c r="AM479" s="22"/>
    </row>
    <row r="480" spans="1:39" ht="12.75">
      <c r="A480" s="1" t="s">
        <v>335</v>
      </c>
      <c r="C480" s="1" t="s">
        <v>329</v>
      </c>
      <c r="E480" s="83">
        <v>8338</v>
      </c>
      <c r="F480" s="83"/>
      <c r="G480" s="83">
        <v>56101</v>
      </c>
      <c r="H480" s="83"/>
      <c r="I480" s="83">
        <v>30434</v>
      </c>
      <c r="J480" s="83"/>
      <c r="K480" s="83">
        <v>2773</v>
      </c>
      <c r="L480" s="83"/>
      <c r="M480" s="83">
        <v>0</v>
      </c>
      <c r="N480" s="83"/>
      <c r="O480" s="83">
        <v>0</v>
      </c>
      <c r="P480" s="83"/>
      <c r="Q480" s="83">
        <v>634</v>
      </c>
      <c r="R480" s="83"/>
      <c r="S480" s="83">
        <v>3417</v>
      </c>
      <c r="T480" s="83"/>
      <c r="U480" s="83">
        <v>0</v>
      </c>
      <c r="V480" s="83"/>
      <c r="W480" s="83">
        <v>0</v>
      </c>
      <c r="X480" s="83"/>
      <c r="Y480" s="83">
        <v>0</v>
      </c>
      <c r="Z480" s="83"/>
      <c r="AA480" s="83">
        <v>0</v>
      </c>
      <c r="AB480" s="83"/>
      <c r="AC480" s="83">
        <v>0</v>
      </c>
      <c r="AD480" s="83"/>
      <c r="AE480" s="83">
        <v>0</v>
      </c>
      <c r="AF480" s="83"/>
      <c r="AG480" s="83">
        <v>0</v>
      </c>
      <c r="AH480" s="83"/>
      <c r="AI480" s="83">
        <f t="shared" si="29"/>
        <v>101697</v>
      </c>
      <c r="AJ480" s="10"/>
      <c r="AK480" s="7"/>
      <c r="AL480" s="7"/>
      <c r="AM480" s="7"/>
    </row>
    <row r="481" spans="1:39" s="21" customFormat="1" ht="12.75">
      <c r="A481" s="1" t="s">
        <v>344</v>
      </c>
      <c r="B481" s="1"/>
      <c r="C481" s="1" t="s">
        <v>343</v>
      </c>
      <c r="D481" s="1"/>
      <c r="E481" s="83">
        <v>20090</v>
      </c>
      <c r="F481" s="83"/>
      <c r="G481" s="83">
        <v>0</v>
      </c>
      <c r="H481" s="83"/>
      <c r="I481" s="83">
        <v>16341</v>
      </c>
      <c r="J481" s="83"/>
      <c r="K481" s="83">
        <v>306</v>
      </c>
      <c r="L481" s="83"/>
      <c r="M481" s="83">
        <v>37</v>
      </c>
      <c r="N481" s="83"/>
      <c r="O481" s="83">
        <v>4390</v>
      </c>
      <c r="P481" s="83"/>
      <c r="Q481" s="83">
        <v>1091</v>
      </c>
      <c r="R481" s="83"/>
      <c r="S481" s="83">
        <v>29478</v>
      </c>
      <c r="T481" s="83"/>
      <c r="U481" s="83">
        <v>0</v>
      </c>
      <c r="V481" s="83"/>
      <c r="W481" s="83">
        <v>0</v>
      </c>
      <c r="X481" s="83"/>
      <c r="Y481" s="83">
        <v>0</v>
      </c>
      <c r="Z481" s="83"/>
      <c r="AA481" s="83">
        <v>0</v>
      </c>
      <c r="AB481" s="83"/>
      <c r="AC481" s="83">
        <v>0</v>
      </c>
      <c r="AD481" s="83"/>
      <c r="AE481" s="83">
        <v>0</v>
      </c>
      <c r="AF481" s="83"/>
      <c r="AG481" s="83">
        <v>0</v>
      </c>
      <c r="AH481" s="83"/>
      <c r="AI481" s="83">
        <f t="shared" si="29"/>
        <v>71733</v>
      </c>
      <c r="AJ481" s="10"/>
      <c r="AK481" s="22"/>
      <c r="AL481" s="22"/>
      <c r="AM481" s="22"/>
    </row>
    <row r="482" spans="1:36" ht="12.75">
      <c r="A482" s="1" t="s">
        <v>207</v>
      </c>
      <c r="C482" s="1" t="s">
        <v>808</v>
      </c>
      <c r="E482" s="36">
        <v>242765.28</v>
      </c>
      <c r="F482" s="36"/>
      <c r="G482" s="36">
        <v>0</v>
      </c>
      <c r="H482" s="36"/>
      <c r="I482" s="36">
        <v>264430.43</v>
      </c>
      <c r="J482" s="36"/>
      <c r="K482" s="36">
        <v>0</v>
      </c>
      <c r="L482" s="36"/>
      <c r="M482" s="36">
        <v>58153.45</v>
      </c>
      <c r="N482" s="36"/>
      <c r="O482" s="36">
        <v>49839.18</v>
      </c>
      <c r="P482" s="36"/>
      <c r="Q482" s="36">
        <v>47796.98</v>
      </c>
      <c r="R482" s="36"/>
      <c r="S482" s="36">
        <v>16192.28</v>
      </c>
      <c r="T482" s="36"/>
      <c r="U482" s="36">
        <v>0</v>
      </c>
      <c r="V482" s="36"/>
      <c r="W482" s="36">
        <v>0</v>
      </c>
      <c r="X482" s="36"/>
      <c r="Y482" s="36">
        <v>0</v>
      </c>
      <c r="Z482" s="36"/>
      <c r="AA482" s="36">
        <v>0</v>
      </c>
      <c r="AB482" s="36"/>
      <c r="AC482" s="36">
        <v>0</v>
      </c>
      <c r="AD482" s="36"/>
      <c r="AE482" s="36">
        <v>0</v>
      </c>
      <c r="AF482" s="36"/>
      <c r="AG482" s="36">
        <v>0</v>
      </c>
      <c r="AH482" s="36"/>
      <c r="AI482" s="36">
        <f>SUM(E482:AG482)</f>
        <v>679177.6</v>
      </c>
      <c r="AJ482" s="10"/>
    </row>
    <row r="483" spans="1:36" ht="12.75">
      <c r="A483" s="1" t="s">
        <v>456</v>
      </c>
      <c r="C483" s="1" t="s">
        <v>455</v>
      </c>
      <c r="E483" s="83">
        <v>490361</v>
      </c>
      <c r="F483" s="83"/>
      <c r="G483" s="83">
        <v>3537917</v>
      </c>
      <c r="H483" s="83"/>
      <c r="I483" s="83">
        <v>498584</v>
      </c>
      <c r="J483" s="83"/>
      <c r="K483" s="83">
        <v>0</v>
      </c>
      <c r="L483" s="83"/>
      <c r="M483" s="83">
        <v>150116</v>
      </c>
      <c r="N483" s="83"/>
      <c r="O483" s="83">
        <v>63452</v>
      </c>
      <c r="P483" s="83"/>
      <c r="Q483" s="83">
        <v>170624</v>
      </c>
      <c r="R483" s="83"/>
      <c r="S483" s="83">
        <v>132584</v>
      </c>
      <c r="T483" s="83"/>
      <c r="U483" s="83">
        <v>0</v>
      </c>
      <c r="V483" s="83"/>
      <c r="W483" s="83">
        <v>0</v>
      </c>
      <c r="X483" s="83"/>
      <c r="Y483" s="83">
        <v>0</v>
      </c>
      <c r="Z483" s="83"/>
      <c r="AA483" s="83">
        <v>0</v>
      </c>
      <c r="AB483" s="83"/>
      <c r="AC483" s="83">
        <v>0</v>
      </c>
      <c r="AD483" s="83"/>
      <c r="AE483" s="83">
        <v>0</v>
      </c>
      <c r="AF483" s="83"/>
      <c r="AG483" s="83">
        <v>0</v>
      </c>
      <c r="AH483" s="83"/>
      <c r="AI483" s="83">
        <f aca="true" t="shared" si="30" ref="AI483">SUM(E483:AG483)</f>
        <v>5043638</v>
      </c>
      <c r="AJ483" s="10"/>
    </row>
    <row r="484" spans="1:36" ht="12.75">
      <c r="A484" s="1" t="s">
        <v>517</v>
      </c>
      <c r="C484" s="1" t="s">
        <v>514</v>
      </c>
      <c r="E484" s="36">
        <v>62412.52</v>
      </c>
      <c r="F484" s="36"/>
      <c r="G484" s="36">
        <v>414159.48</v>
      </c>
      <c r="H484" s="36"/>
      <c r="I484" s="36">
        <v>52795.61</v>
      </c>
      <c r="J484" s="36"/>
      <c r="K484" s="36">
        <v>1197.34</v>
      </c>
      <c r="L484" s="36"/>
      <c r="M484" s="36">
        <v>52273.91</v>
      </c>
      <c r="N484" s="36"/>
      <c r="O484" s="36">
        <v>127</v>
      </c>
      <c r="P484" s="36"/>
      <c r="Q484" s="36">
        <v>3062.9</v>
      </c>
      <c r="R484" s="36"/>
      <c r="S484" s="36">
        <v>5762.01</v>
      </c>
      <c r="T484" s="36"/>
      <c r="U484" s="36">
        <v>0</v>
      </c>
      <c r="V484" s="36"/>
      <c r="W484" s="36">
        <v>0</v>
      </c>
      <c r="X484" s="36"/>
      <c r="Y484" s="36">
        <v>0</v>
      </c>
      <c r="Z484" s="36"/>
      <c r="AA484" s="36">
        <v>0</v>
      </c>
      <c r="AB484" s="36"/>
      <c r="AC484" s="36">
        <v>0</v>
      </c>
      <c r="AD484" s="36"/>
      <c r="AE484" s="36">
        <v>0</v>
      </c>
      <c r="AF484" s="36"/>
      <c r="AG484" s="36">
        <v>0</v>
      </c>
      <c r="AH484" s="36"/>
      <c r="AI484" s="36">
        <f>SUM(E484:AG484)</f>
        <v>591790.77</v>
      </c>
      <c r="AJ484" s="10"/>
    </row>
    <row r="485" spans="1:36" ht="12.75">
      <c r="A485" s="1" t="s">
        <v>216</v>
      </c>
      <c r="C485" s="1" t="s">
        <v>812</v>
      </c>
      <c r="E485" s="83">
        <f>3575.85+138.21</f>
        <v>3714.06</v>
      </c>
      <c r="F485" s="83"/>
      <c r="G485" s="83">
        <v>0</v>
      </c>
      <c r="H485" s="83"/>
      <c r="I485" s="83">
        <v>1042.63</v>
      </c>
      <c r="J485" s="83"/>
      <c r="K485" s="83">
        <v>0</v>
      </c>
      <c r="L485" s="83"/>
      <c r="M485" s="83">
        <v>0</v>
      </c>
      <c r="N485" s="83"/>
      <c r="O485" s="83">
        <v>0</v>
      </c>
      <c r="P485" s="83"/>
      <c r="Q485" s="83">
        <v>115.83</v>
      </c>
      <c r="R485" s="83"/>
      <c r="S485" s="83">
        <v>0</v>
      </c>
      <c r="T485" s="83"/>
      <c r="U485" s="83">
        <v>0</v>
      </c>
      <c r="V485" s="85"/>
      <c r="W485" s="83">
        <v>0</v>
      </c>
      <c r="X485" s="85"/>
      <c r="Y485" s="83">
        <v>0</v>
      </c>
      <c r="Z485" s="83"/>
      <c r="AA485" s="83">
        <v>0</v>
      </c>
      <c r="AB485" s="83"/>
      <c r="AC485" s="83">
        <v>0</v>
      </c>
      <c r="AD485" s="83"/>
      <c r="AE485" s="83">
        <v>0</v>
      </c>
      <c r="AF485" s="83"/>
      <c r="AG485" s="83">
        <v>0</v>
      </c>
      <c r="AH485" s="83"/>
      <c r="AI485" s="83">
        <f aca="true" t="shared" si="31" ref="AI485">SUM(E485:AG485)</f>
        <v>4872.52</v>
      </c>
      <c r="AJ485" s="10"/>
    </row>
    <row r="486" spans="1:39" s="21" customFormat="1" ht="12.75">
      <c r="A486" s="1" t="s">
        <v>39</v>
      </c>
      <c r="B486" s="1"/>
      <c r="C486" s="1" t="s">
        <v>756</v>
      </c>
      <c r="D486" s="1"/>
      <c r="E486" s="36">
        <v>24805.31</v>
      </c>
      <c r="F486" s="36"/>
      <c r="G486" s="36">
        <v>116865.16</v>
      </c>
      <c r="H486" s="36"/>
      <c r="I486" s="36">
        <v>121194.48</v>
      </c>
      <c r="J486" s="36"/>
      <c r="K486" s="36">
        <v>0</v>
      </c>
      <c r="L486" s="36"/>
      <c r="M486" s="36">
        <v>873.91</v>
      </c>
      <c r="N486" s="36"/>
      <c r="O486" s="36">
        <v>99364.91</v>
      </c>
      <c r="P486" s="36"/>
      <c r="Q486" s="36">
        <v>594.26</v>
      </c>
      <c r="R486" s="36"/>
      <c r="S486" s="36">
        <v>10787.7</v>
      </c>
      <c r="T486" s="36"/>
      <c r="U486" s="36">
        <v>0</v>
      </c>
      <c r="V486" s="36"/>
      <c r="W486" s="36">
        <v>0</v>
      </c>
      <c r="X486" s="36"/>
      <c r="Y486" s="36">
        <v>0</v>
      </c>
      <c r="Z486" s="36"/>
      <c r="AA486" s="36">
        <v>0</v>
      </c>
      <c r="AB486" s="36"/>
      <c r="AC486" s="36">
        <v>0</v>
      </c>
      <c r="AD486" s="36"/>
      <c r="AE486" s="36">
        <v>20101.91</v>
      </c>
      <c r="AF486" s="36"/>
      <c r="AG486" s="36">
        <v>0</v>
      </c>
      <c r="AH486" s="36"/>
      <c r="AI486" s="36">
        <f>SUM(E486:AG486)</f>
        <v>394587.64</v>
      </c>
      <c r="AJ486" s="10"/>
      <c r="AK486" s="22"/>
      <c r="AL486" s="22"/>
      <c r="AM486" s="22"/>
    </row>
    <row r="487" spans="1:36" ht="12.75" hidden="1">
      <c r="A487" s="1" t="s">
        <v>907</v>
      </c>
      <c r="C487" s="1" t="s">
        <v>329</v>
      </c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>
        <f aca="true" t="shared" si="32" ref="AI487:AI489">SUM(E487:AG487)</f>
        <v>0</v>
      </c>
      <c r="AJ487" s="10"/>
    </row>
    <row r="488" spans="1:36" ht="12.75">
      <c r="A488" s="1" t="s">
        <v>518</v>
      </c>
      <c r="C488" s="1" t="s">
        <v>514</v>
      </c>
      <c r="E488" s="83">
        <v>42788</v>
      </c>
      <c r="F488" s="83"/>
      <c r="G488" s="83">
        <v>166460</v>
      </c>
      <c r="H488" s="83"/>
      <c r="I488" s="83">
        <v>71167</v>
      </c>
      <c r="J488" s="83"/>
      <c r="K488" s="83">
        <v>0</v>
      </c>
      <c r="L488" s="83"/>
      <c r="M488" s="83">
        <v>10509</v>
      </c>
      <c r="N488" s="83"/>
      <c r="O488" s="83">
        <v>2871</v>
      </c>
      <c r="P488" s="83"/>
      <c r="Q488" s="83">
        <v>4552</v>
      </c>
      <c r="R488" s="83"/>
      <c r="S488" s="83">
        <f>12676+5130</f>
        <v>17806</v>
      </c>
      <c r="T488" s="83"/>
      <c r="U488" s="83">
        <v>0</v>
      </c>
      <c r="V488" s="83"/>
      <c r="W488" s="83">
        <v>0</v>
      </c>
      <c r="X488" s="83"/>
      <c r="Y488" s="83">
        <v>0</v>
      </c>
      <c r="Z488" s="83"/>
      <c r="AA488" s="83">
        <v>0</v>
      </c>
      <c r="AB488" s="83"/>
      <c r="AC488" s="83">
        <v>0</v>
      </c>
      <c r="AD488" s="83"/>
      <c r="AE488" s="83">
        <v>0</v>
      </c>
      <c r="AF488" s="83"/>
      <c r="AG488" s="83">
        <v>0</v>
      </c>
      <c r="AH488" s="83"/>
      <c r="AI488" s="83">
        <f t="shared" si="32"/>
        <v>316153</v>
      </c>
      <c r="AJ488" s="10"/>
    </row>
    <row r="489" spans="1:36" ht="12.75">
      <c r="A489" s="1" t="s">
        <v>567</v>
      </c>
      <c r="C489" s="1" t="s">
        <v>562</v>
      </c>
      <c r="E489" s="83">
        <v>12005</v>
      </c>
      <c r="F489" s="83"/>
      <c r="G489" s="83">
        <v>0</v>
      </c>
      <c r="H489" s="83"/>
      <c r="I489" s="83">
        <v>7458</v>
      </c>
      <c r="J489" s="83"/>
      <c r="K489" s="83">
        <v>0</v>
      </c>
      <c r="L489" s="83"/>
      <c r="M489" s="83">
        <v>0</v>
      </c>
      <c r="N489" s="83"/>
      <c r="O489" s="83">
        <v>20</v>
      </c>
      <c r="P489" s="83"/>
      <c r="Q489" s="83">
        <v>413</v>
      </c>
      <c r="R489" s="83"/>
      <c r="S489" s="83">
        <v>38</v>
      </c>
      <c r="T489" s="83"/>
      <c r="U489" s="83">
        <v>0</v>
      </c>
      <c r="V489" s="83"/>
      <c r="W489" s="83">
        <v>0</v>
      </c>
      <c r="X489" s="83"/>
      <c r="Y489" s="83">
        <v>0</v>
      </c>
      <c r="Z489" s="83"/>
      <c r="AA489" s="83">
        <v>0</v>
      </c>
      <c r="AB489" s="83"/>
      <c r="AC489" s="83">
        <v>0</v>
      </c>
      <c r="AD489" s="83"/>
      <c r="AE489" s="83">
        <v>0</v>
      </c>
      <c r="AF489" s="83"/>
      <c r="AG489" s="83">
        <v>0</v>
      </c>
      <c r="AH489" s="83"/>
      <c r="AI489" s="83">
        <f t="shared" si="32"/>
        <v>19934</v>
      </c>
      <c r="AJ489" s="10"/>
    </row>
    <row r="490" spans="5:36" ht="12.75"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5"/>
      <c r="W490" s="83"/>
      <c r="X490" s="85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 t="s">
        <v>864</v>
      </c>
      <c r="AJ490" s="10"/>
    </row>
    <row r="491" spans="1:36" s="21" customFormat="1" ht="12.75">
      <c r="A491" s="1" t="s">
        <v>400</v>
      </c>
      <c r="B491" s="1"/>
      <c r="C491" s="1" t="s">
        <v>396</v>
      </c>
      <c r="D491" s="1"/>
      <c r="E491" s="102">
        <v>1362</v>
      </c>
      <c r="F491" s="102"/>
      <c r="G491" s="102">
        <v>0</v>
      </c>
      <c r="H491" s="102"/>
      <c r="I491" s="102">
        <v>3055</v>
      </c>
      <c r="J491" s="102"/>
      <c r="K491" s="102">
        <v>0</v>
      </c>
      <c r="L491" s="102"/>
      <c r="M491" s="102">
        <v>0</v>
      </c>
      <c r="N491" s="102"/>
      <c r="O491" s="102">
        <v>0</v>
      </c>
      <c r="P491" s="102"/>
      <c r="Q491" s="102">
        <v>4</v>
      </c>
      <c r="R491" s="102"/>
      <c r="S491" s="102">
        <v>1081</v>
      </c>
      <c r="T491" s="102"/>
      <c r="U491" s="102">
        <v>0</v>
      </c>
      <c r="V491" s="102"/>
      <c r="W491" s="102">
        <v>0</v>
      </c>
      <c r="X491" s="102"/>
      <c r="Y491" s="102">
        <v>0</v>
      </c>
      <c r="Z491" s="102"/>
      <c r="AA491" s="102">
        <v>0</v>
      </c>
      <c r="AB491" s="102"/>
      <c r="AC491" s="102">
        <v>0</v>
      </c>
      <c r="AD491" s="102"/>
      <c r="AE491" s="102">
        <v>0</v>
      </c>
      <c r="AF491" s="102"/>
      <c r="AG491" s="102">
        <v>0</v>
      </c>
      <c r="AH491" s="102"/>
      <c r="AI491" s="102">
        <f t="shared" si="28"/>
        <v>5502</v>
      </c>
      <c r="AJ491" s="10"/>
    </row>
    <row r="492" spans="1:36" ht="12.75">
      <c r="A492" s="1" t="s">
        <v>497</v>
      </c>
      <c r="C492" s="1" t="s">
        <v>497</v>
      </c>
      <c r="E492" s="83">
        <v>160501</v>
      </c>
      <c r="F492" s="83"/>
      <c r="G492" s="83">
        <v>405499</v>
      </c>
      <c r="H492" s="83"/>
      <c r="I492" s="83">
        <v>111967</v>
      </c>
      <c r="J492" s="83"/>
      <c r="K492" s="83">
        <v>0</v>
      </c>
      <c r="L492" s="83"/>
      <c r="M492" s="83">
        <v>26320</v>
      </c>
      <c r="N492" s="83"/>
      <c r="O492" s="83">
        <v>24996</v>
      </c>
      <c r="P492" s="83"/>
      <c r="Q492" s="83">
        <v>4865</v>
      </c>
      <c r="R492" s="83"/>
      <c r="S492" s="83">
        <v>31145</v>
      </c>
      <c r="T492" s="83"/>
      <c r="U492" s="83">
        <v>0</v>
      </c>
      <c r="V492" s="83"/>
      <c r="W492" s="83">
        <v>0</v>
      </c>
      <c r="X492" s="83"/>
      <c r="Y492" s="83">
        <v>0</v>
      </c>
      <c r="Z492" s="83"/>
      <c r="AA492" s="83">
        <v>0</v>
      </c>
      <c r="AB492" s="83"/>
      <c r="AC492" s="83">
        <v>0</v>
      </c>
      <c r="AD492" s="83"/>
      <c r="AE492" s="83">
        <v>0</v>
      </c>
      <c r="AF492" s="83"/>
      <c r="AG492" s="83">
        <v>0</v>
      </c>
      <c r="AH492" s="83"/>
      <c r="AI492" s="83">
        <f t="shared" si="28"/>
        <v>765293</v>
      </c>
      <c r="AJ492" s="10"/>
    </row>
    <row r="493" spans="1:36" ht="12.75">
      <c r="A493" s="1" t="s">
        <v>499</v>
      </c>
      <c r="C493" s="1" t="s">
        <v>497</v>
      </c>
      <c r="E493" s="36">
        <v>55110.23</v>
      </c>
      <c r="F493" s="36"/>
      <c r="G493" s="36">
        <v>0</v>
      </c>
      <c r="H493" s="36"/>
      <c r="I493" s="36">
        <v>81826.78</v>
      </c>
      <c r="J493" s="36"/>
      <c r="K493" s="36">
        <v>0</v>
      </c>
      <c r="L493" s="36"/>
      <c r="M493" s="36">
        <v>675.65</v>
      </c>
      <c r="N493" s="36"/>
      <c r="O493" s="36">
        <v>12344.67</v>
      </c>
      <c r="P493" s="36"/>
      <c r="Q493" s="36">
        <v>814.87</v>
      </c>
      <c r="R493" s="36"/>
      <c r="S493" s="36">
        <v>3250.35</v>
      </c>
      <c r="T493" s="36"/>
      <c r="U493" s="36">
        <v>0</v>
      </c>
      <c r="V493" s="36"/>
      <c r="W493" s="36">
        <v>0</v>
      </c>
      <c r="X493" s="36"/>
      <c r="Y493" s="36">
        <v>0</v>
      </c>
      <c r="Z493" s="36"/>
      <c r="AA493" s="36">
        <v>20000</v>
      </c>
      <c r="AB493" s="36"/>
      <c r="AC493" s="36">
        <v>0</v>
      </c>
      <c r="AD493" s="36"/>
      <c r="AE493" s="36">
        <v>0</v>
      </c>
      <c r="AF493" s="36"/>
      <c r="AG493" s="36">
        <v>0</v>
      </c>
      <c r="AH493" s="36"/>
      <c r="AI493" s="36">
        <f>SUM(E493:AG493)</f>
        <v>174022.55000000002</v>
      </c>
      <c r="AJ493" s="38"/>
    </row>
    <row r="494" spans="1:36" ht="12.75">
      <c r="A494" s="1" t="s">
        <v>679</v>
      </c>
      <c r="C494" s="1" t="s">
        <v>662</v>
      </c>
      <c r="E494" s="93">
        <v>165231.31</v>
      </c>
      <c r="F494" s="93"/>
      <c r="G494" s="93">
        <v>0</v>
      </c>
      <c r="H494" s="93"/>
      <c r="I494" s="93">
        <v>24467.27</v>
      </c>
      <c r="J494" s="93"/>
      <c r="K494" s="93">
        <v>0</v>
      </c>
      <c r="L494" s="93"/>
      <c r="M494" s="93">
        <v>0</v>
      </c>
      <c r="N494" s="93"/>
      <c r="O494" s="93">
        <v>48089</v>
      </c>
      <c r="P494" s="93"/>
      <c r="Q494" s="93">
        <v>428.57</v>
      </c>
      <c r="R494" s="93"/>
      <c r="S494" s="93">
        <v>0</v>
      </c>
      <c r="T494" s="93"/>
      <c r="U494" s="93">
        <v>0</v>
      </c>
      <c r="V494" s="93"/>
      <c r="W494" s="93">
        <v>0</v>
      </c>
      <c r="X494" s="93"/>
      <c r="Y494" s="93">
        <v>0</v>
      </c>
      <c r="Z494" s="93"/>
      <c r="AA494" s="93">
        <v>0</v>
      </c>
      <c r="AB494" s="93"/>
      <c r="AC494" s="93">
        <v>0</v>
      </c>
      <c r="AD494" s="93"/>
      <c r="AE494" s="93">
        <v>36987</v>
      </c>
      <c r="AF494" s="93"/>
      <c r="AG494" s="93">
        <v>0</v>
      </c>
      <c r="AH494" s="93"/>
      <c r="AI494" s="93">
        <f>SUM(E494:AG494)</f>
        <v>275203.15</v>
      </c>
      <c r="AJ494" s="10"/>
    </row>
    <row r="495" spans="1:36" ht="12.75">
      <c r="A495" s="1" t="s">
        <v>608</v>
      </c>
      <c r="C495" s="1" t="s">
        <v>603</v>
      </c>
      <c r="E495" s="36">
        <v>90761.33</v>
      </c>
      <c r="F495" s="36"/>
      <c r="G495" s="36">
        <v>0</v>
      </c>
      <c r="H495" s="36"/>
      <c r="I495" s="36">
        <v>53137.15</v>
      </c>
      <c r="J495" s="36"/>
      <c r="K495" s="36">
        <v>0</v>
      </c>
      <c r="L495" s="36"/>
      <c r="M495" s="36">
        <v>285</v>
      </c>
      <c r="N495" s="36"/>
      <c r="O495" s="36">
        <v>23289.43</v>
      </c>
      <c r="P495" s="36"/>
      <c r="Q495" s="36">
        <v>19053.86</v>
      </c>
      <c r="R495" s="36"/>
      <c r="S495" s="36">
        <v>5494.76</v>
      </c>
      <c r="T495" s="36"/>
      <c r="U495" s="36">
        <v>0</v>
      </c>
      <c r="V495" s="36"/>
      <c r="W495" s="36">
        <v>0</v>
      </c>
      <c r="X495" s="36"/>
      <c r="Y495" s="36">
        <v>0</v>
      </c>
      <c r="Z495" s="36"/>
      <c r="AA495" s="36">
        <v>180000</v>
      </c>
      <c r="AB495" s="36"/>
      <c r="AC495" s="36">
        <v>15000</v>
      </c>
      <c r="AD495" s="36"/>
      <c r="AE495" s="36">
        <v>1668.6</v>
      </c>
      <c r="AF495" s="36"/>
      <c r="AG495" s="36">
        <v>0</v>
      </c>
      <c r="AH495" s="36"/>
      <c r="AI495" s="36">
        <f>SUM(E495:AG495)</f>
        <v>388690.13</v>
      </c>
      <c r="AJ495" s="10"/>
    </row>
    <row r="496" spans="1:36" ht="12.75">
      <c r="A496" s="1" t="s">
        <v>554</v>
      </c>
      <c r="C496" s="1" t="s">
        <v>551</v>
      </c>
      <c r="E496" s="36">
        <v>10871.22</v>
      </c>
      <c r="F496" s="36"/>
      <c r="G496" s="36">
        <v>294181.68</v>
      </c>
      <c r="H496" s="36"/>
      <c r="I496" s="36">
        <v>133652.66</v>
      </c>
      <c r="J496" s="36"/>
      <c r="K496" s="36">
        <v>0</v>
      </c>
      <c r="L496" s="36"/>
      <c r="M496" s="36">
        <v>206788</v>
      </c>
      <c r="N496" s="36"/>
      <c r="O496" s="36">
        <v>61568.29</v>
      </c>
      <c r="P496" s="36"/>
      <c r="Q496" s="36">
        <v>181.32</v>
      </c>
      <c r="R496" s="36"/>
      <c r="S496" s="36">
        <v>12608.71</v>
      </c>
      <c r="T496" s="36"/>
      <c r="U496" s="36">
        <v>0</v>
      </c>
      <c r="V496" s="36"/>
      <c r="W496" s="36">
        <v>0</v>
      </c>
      <c r="X496" s="36"/>
      <c r="Y496" s="36">
        <v>0</v>
      </c>
      <c r="Z496" s="36"/>
      <c r="AA496" s="36">
        <v>0</v>
      </c>
      <c r="AB496" s="36"/>
      <c r="AC496" s="36">
        <v>0</v>
      </c>
      <c r="AD496" s="36"/>
      <c r="AE496" s="36">
        <v>0</v>
      </c>
      <c r="AF496" s="36"/>
      <c r="AG496" s="36">
        <v>0</v>
      </c>
      <c r="AH496" s="36"/>
      <c r="AI496" s="36">
        <f>SUM(E496:AG496)</f>
        <v>719851.8799999999</v>
      </c>
      <c r="AJ496" s="10"/>
    </row>
    <row r="497" spans="1:36" s="21" customFormat="1" ht="12.75">
      <c r="A497" s="1" t="s">
        <v>433</v>
      </c>
      <c r="B497" s="1"/>
      <c r="C497" s="1" t="s">
        <v>430</v>
      </c>
      <c r="D497" s="1"/>
      <c r="E497" s="83">
        <v>71466</v>
      </c>
      <c r="F497" s="83"/>
      <c r="G497" s="83">
        <v>588088</v>
      </c>
      <c r="H497" s="83"/>
      <c r="I497" s="83">
        <v>271796</v>
      </c>
      <c r="J497" s="83"/>
      <c r="K497" s="83">
        <v>0</v>
      </c>
      <c r="L497" s="83"/>
      <c r="M497" s="83">
        <v>0</v>
      </c>
      <c r="N497" s="83"/>
      <c r="O497" s="83">
        <v>20180</v>
      </c>
      <c r="P497" s="83"/>
      <c r="Q497" s="83">
        <v>1915</v>
      </c>
      <c r="R497" s="83"/>
      <c r="S497" s="83">
        <v>18668</v>
      </c>
      <c r="T497" s="83"/>
      <c r="U497" s="83">
        <v>0</v>
      </c>
      <c r="V497" s="83"/>
      <c r="W497" s="83">
        <v>0</v>
      </c>
      <c r="X497" s="83"/>
      <c r="Y497" s="83">
        <v>0</v>
      </c>
      <c r="Z497" s="83"/>
      <c r="AA497" s="83">
        <v>0</v>
      </c>
      <c r="AB497" s="83"/>
      <c r="AC497" s="83">
        <v>0</v>
      </c>
      <c r="AD497" s="83"/>
      <c r="AE497" s="83">
        <v>0</v>
      </c>
      <c r="AF497" s="83"/>
      <c r="AG497" s="83">
        <v>0</v>
      </c>
      <c r="AH497" s="83"/>
      <c r="AI497" s="83">
        <f t="shared" si="28"/>
        <v>972113</v>
      </c>
      <c r="AJ497" s="10"/>
    </row>
    <row r="498" spans="1:39" ht="12.75">
      <c r="A498" s="1" t="s">
        <v>680</v>
      </c>
      <c r="C498" s="1" t="s">
        <v>669</v>
      </c>
      <c r="E498" s="36">
        <v>27817.27</v>
      </c>
      <c r="F498" s="36"/>
      <c r="G498" s="36">
        <v>170242.94</v>
      </c>
      <c r="H498" s="36"/>
      <c r="I498" s="36">
        <v>40503.03</v>
      </c>
      <c r="J498" s="36"/>
      <c r="K498" s="36">
        <v>0</v>
      </c>
      <c r="L498" s="36"/>
      <c r="M498" s="36">
        <v>0</v>
      </c>
      <c r="N498" s="36"/>
      <c r="O498" s="36">
        <v>3393</v>
      </c>
      <c r="P498" s="36"/>
      <c r="Q498" s="36">
        <v>68.59</v>
      </c>
      <c r="R498" s="36"/>
      <c r="S498" s="36">
        <v>4843.33</v>
      </c>
      <c r="T498" s="36"/>
      <c r="U498" s="36">
        <v>0</v>
      </c>
      <c r="V498" s="36"/>
      <c r="W498" s="36">
        <v>0</v>
      </c>
      <c r="X498" s="36"/>
      <c r="Y498" s="36">
        <v>0</v>
      </c>
      <c r="Z498" s="36"/>
      <c r="AA498" s="36">
        <v>0</v>
      </c>
      <c r="AB498" s="36"/>
      <c r="AC498" s="36">
        <v>0</v>
      </c>
      <c r="AD498" s="36"/>
      <c r="AE498" s="36">
        <v>0</v>
      </c>
      <c r="AF498" s="36"/>
      <c r="AG498" s="36">
        <v>0</v>
      </c>
      <c r="AH498" s="36"/>
      <c r="AI498" s="36">
        <f>SUM(E498:AG498)</f>
        <v>246868.15999999997</v>
      </c>
      <c r="AJ498" s="10"/>
      <c r="AK498" s="7"/>
      <c r="AL498" s="7"/>
      <c r="AM498" s="7"/>
    </row>
    <row r="499" spans="1:36" ht="12.75">
      <c r="A499" s="1" t="s">
        <v>482</v>
      </c>
      <c r="C499" s="1" t="s">
        <v>479</v>
      </c>
      <c r="E499" s="83">
        <v>15970</v>
      </c>
      <c r="F499" s="83"/>
      <c r="G499" s="83">
        <v>71260</v>
      </c>
      <c r="H499" s="83"/>
      <c r="I499" s="83">
        <v>15620</v>
      </c>
      <c r="J499" s="83"/>
      <c r="K499" s="83">
        <v>287</v>
      </c>
      <c r="L499" s="83"/>
      <c r="M499" s="83">
        <v>30</v>
      </c>
      <c r="N499" s="83"/>
      <c r="O499" s="83">
        <v>5917</v>
      </c>
      <c r="P499" s="83"/>
      <c r="Q499" s="83">
        <v>333</v>
      </c>
      <c r="R499" s="83"/>
      <c r="S499" s="83">
        <v>3978</v>
      </c>
      <c r="T499" s="83"/>
      <c r="U499" s="83">
        <v>0</v>
      </c>
      <c r="V499" s="83"/>
      <c r="W499" s="83">
        <v>0</v>
      </c>
      <c r="X499" s="83"/>
      <c r="Y499" s="83">
        <v>0</v>
      </c>
      <c r="Z499" s="83"/>
      <c r="AA499" s="83">
        <v>0</v>
      </c>
      <c r="AB499" s="83"/>
      <c r="AC499" s="83">
        <v>0</v>
      </c>
      <c r="AD499" s="83"/>
      <c r="AE499" s="83">
        <v>0</v>
      </c>
      <c r="AF499" s="83"/>
      <c r="AG499" s="83">
        <v>32766</v>
      </c>
      <c r="AH499" s="83"/>
      <c r="AI499" s="83">
        <f t="shared" si="28"/>
        <v>146161</v>
      </c>
      <c r="AJ499" s="10"/>
    </row>
    <row r="500" spans="1:36" ht="12.75">
      <c r="A500" s="1" t="s">
        <v>488</v>
      </c>
      <c r="C500" s="1" t="s">
        <v>485</v>
      </c>
      <c r="E500" s="83">
        <v>45875</v>
      </c>
      <c r="F500" s="83"/>
      <c r="G500" s="83">
        <v>0</v>
      </c>
      <c r="H500" s="83"/>
      <c r="I500" s="83">
        <v>48429</v>
      </c>
      <c r="J500" s="83"/>
      <c r="K500" s="83">
        <v>0</v>
      </c>
      <c r="L500" s="83"/>
      <c r="M500" s="83">
        <v>0</v>
      </c>
      <c r="N500" s="83"/>
      <c r="O500" s="83">
        <v>8530</v>
      </c>
      <c r="P500" s="83"/>
      <c r="Q500" s="83">
        <v>0</v>
      </c>
      <c r="R500" s="83"/>
      <c r="S500" s="83">
        <v>4609</v>
      </c>
      <c r="T500" s="83"/>
      <c r="U500" s="83">
        <v>0</v>
      </c>
      <c r="V500" s="83"/>
      <c r="W500" s="83">
        <v>0</v>
      </c>
      <c r="X500" s="83"/>
      <c r="Y500" s="83">
        <v>0</v>
      </c>
      <c r="Z500" s="83"/>
      <c r="AA500" s="83">
        <v>0</v>
      </c>
      <c r="AB500" s="83"/>
      <c r="AC500" s="83">
        <v>0</v>
      </c>
      <c r="AD500" s="83"/>
      <c r="AE500" s="83">
        <v>0</v>
      </c>
      <c r="AF500" s="83"/>
      <c r="AG500" s="83">
        <v>0</v>
      </c>
      <c r="AH500" s="83"/>
      <c r="AI500" s="83">
        <f t="shared" si="28"/>
        <v>107443</v>
      </c>
      <c r="AJ500" s="10"/>
    </row>
    <row r="501" spans="1:36" ht="12.75">
      <c r="A501" s="1" t="s">
        <v>506</v>
      </c>
      <c r="C501" s="1" t="s">
        <v>507</v>
      </c>
      <c r="E501" s="36">
        <v>65797.09</v>
      </c>
      <c r="F501" s="36"/>
      <c r="G501" s="36">
        <v>129955.35</v>
      </c>
      <c r="H501" s="36"/>
      <c r="I501" s="36">
        <v>128717.98</v>
      </c>
      <c r="J501" s="36"/>
      <c r="K501" s="36">
        <v>0</v>
      </c>
      <c r="L501" s="36"/>
      <c r="M501" s="36">
        <v>0</v>
      </c>
      <c r="N501" s="36"/>
      <c r="O501" s="36">
        <v>17155.8</v>
      </c>
      <c r="P501" s="36"/>
      <c r="Q501" s="36">
        <v>1649.12</v>
      </c>
      <c r="R501" s="36"/>
      <c r="S501" s="36">
        <v>14809.04</v>
      </c>
      <c r="T501" s="36"/>
      <c r="U501" s="36">
        <v>0</v>
      </c>
      <c r="V501" s="36"/>
      <c r="W501" s="36">
        <v>0</v>
      </c>
      <c r="X501" s="36"/>
      <c r="Y501" s="36">
        <v>0</v>
      </c>
      <c r="Z501" s="36"/>
      <c r="AA501" s="36">
        <v>0</v>
      </c>
      <c r="AB501" s="36"/>
      <c r="AC501" s="36">
        <v>0</v>
      </c>
      <c r="AD501" s="36"/>
      <c r="AE501" s="36">
        <v>0</v>
      </c>
      <c r="AF501" s="36"/>
      <c r="AG501" s="36">
        <v>0</v>
      </c>
      <c r="AH501" s="36"/>
      <c r="AI501" s="36">
        <f>SUM(E501:AG501)</f>
        <v>358084.37999999995</v>
      </c>
      <c r="AJ501" s="10"/>
    </row>
    <row r="502" spans="1:39" s="21" customFormat="1" ht="12.75">
      <c r="A502" s="1" t="s">
        <v>908</v>
      </c>
      <c r="B502" s="1"/>
      <c r="C502" s="1" t="s">
        <v>598</v>
      </c>
      <c r="D502" s="1"/>
      <c r="E502" s="83">
        <v>227868.73</v>
      </c>
      <c r="F502" s="83"/>
      <c r="G502" s="83">
        <v>372968.81</v>
      </c>
      <c r="H502" s="83"/>
      <c r="I502" s="83">
        <v>83138.62</v>
      </c>
      <c r="J502" s="83"/>
      <c r="K502" s="83">
        <v>0</v>
      </c>
      <c r="L502" s="83"/>
      <c r="M502" s="83">
        <v>46995.48</v>
      </c>
      <c r="N502" s="83"/>
      <c r="O502" s="83">
        <v>6126</v>
      </c>
      <c r="P502" s="83"/>
      <c r="Q502" s="83">
        <v>14042.07</v>
      </c>
      <c r="R502" s="83"/>
      <c r="S502" s="83">
        <v>49171.44</v>
      </c>
      <c r="T502" s="83"/>
      <c r="U502" s="83">
        <v>0</v>
      </c>
      <c r="V502" s="85"/>
      <c r="W502" s="83">
        <v>0</v>
      </c>
      <c r="X502" s="85"/>
      <c r="Y502" s="83">
        <v>0</v>
      </c>
      <c r="Z502" s="83"/>
      <c r="AA502" s="83">
        <v>0</v>
      </c>
      <c r="AB502" s="83"/>
      <c r="AC502" s="83">
        <v>0</v>
      </c>
      <c r="AD502" s="83"/>
      <c r="AE502" s="83">
        <v>0</v>
      </c>
      <c r="AF502" s="83"/>
      <c r="AG502" s="83">
        <v>0</v>
      </c>
      <c r="AH502" s="83"/>
      <c r="AI502" s="83">
        <f t="shared" si="28"/>
        <v>800311.1499999999</v>
      </c>
      <c r="AJ502" s="10"/>
      <c r="AK502" s="22"/>
      <c r="AL502" s="22"/>
      <c r="AM502" s="22"/>
    </row>
    <row r="503" spans="1:39" s="21" customFormat="1" ht="12.75">
      <c r="A503" s="1" t="s">
        <v>54</v>
      </c>
      <c r="B503" s="1"/>
      <c r="C503" s="1" t="s">
        <v>762</v>
      </c>
      <c r="D503" s="1"/>
      <c r="E503" s="36">
        <v>21273.51</v>
      </c>
      <c r="F503" s="36"/>
      <c r="G503" s="36">
        <v>0</v>
      </c>
      <c r="H503" s="36"/>
      <c r="I503" s="36">
        <v>42563.73</v>
      </c>
      <c r="J503" s="36"/>
      <c r="K503" s="36">
        <v>0</v>
      </c>
      <c r="L503" s="36"/>
      <c r="M503" s="36">
        <v>830</v>
      </c>
      <c r="N503" s="36"/>
      <c r="O503" s="36">
        <v>0</v>
      </c>
      <c r="P503" s="36"/>
      <c r="Q503" s="36">
        <v>290.18</v>
      </c>
      <c r="R503" s="36"/>
      <c r="S503" s="36">
        <v>5514.04</v>
      </c>
      <c r="T503" s="36"/>
      <c r="U503" s="36">
        <v>0</v>
      </c>
      <c r="V503" s="36"/>
      <c r="W503" s="36">
        <v>0</v>
      </c>
      <c r="X503" s="36"/>
      <c r="Y503" s="36">
        <v>0</v>
      </c>
      <c r="Z503" s="36"/>
      <c r="AA503" s="36">
        <v>1000</v>
      </c>
      <c r="AB503" s="36"/>
      <c r="AC503" s="36">
        <v>580.94</v>
      </c>
      <c r="AD503" s="36"/>
      <c r="AE503" s="36">
        <v>0</v>
      </c>
      <c r="AF503" s="36"/>
      <c r="AG503" s="36">
        <v>0</v>
      </c>
      <c r="AH503" s="36"/>
      <c r="AI503" s="36">
        <f>SUM(E503:AG503)</f>
        <v>72052.40000000001</v>
      </c>
      <c r="AJ503" s="10"/>
      <c r="AK503" s="22"/>
      <c r="AL503" s="22"/>
      <c r="AM503" s="22"/>
    </row>
    <row r="504" spans="1:36" ht="12.75">
      <c r="A504" s="1" t="s">
        <v>460</v>
      </c>
      <c r="C504" s="1" t="s">
        <v>432</v>
      </c>
      <c r="E504" s="93">
        <v>70671.01</v>
      </c>
      <c r="F504" s="93"/>
      <c r="G504" s="93">
        <v>1000558.37</v>
      </c>
      <c r="H504" s="93"/>
      <c r="I504" s="93">
        <v>162913.87</v>
      </c>
      <c r="J504" s="93"/>
      <c r="K504" s="93">
        <v>0</v>
      </c>
      <c r="L504" s="93"/>
      <c r="M504" s="93">
        <v>233199.58</v>
      </c>
      <c r="N504" s="93"/>
      <c r="O504" s="93">
        <v>47161.97</v>
      </c>
      <c r="P504" s="93"/>
      <c r="Q504" s="93">
        <v>3920.28</v>
      </c>
      <c r="R504" s="93"/>
      <c r="S504" s="93">
        <v>26842.53</v>
      </c>
      <c r="T504" s="93"/>
      <c r="U504" s="93">
        <v>0</v>
      </c>
      <c r="V504" s="93"/>
      <c r="W504" s="93">
        <v>0</v>
      </c>
      <c r="X504" s="93"/>
      <c r="Y504" s="93">
        <v>0</v>
      </c>
      <c r="Z504" s="93"/>
      <c r="AA504" s="93">
        <v>0</v>
      </c>
      <c r="AB504" s="93"/>
      <c r="AC504" s="93">
        <v>0</v>
      </c>
      <c r="AD504" s="93"/>
      <c r="AE504" s="93">
        <v>0</v>
      </c>
      <c r="AF504" s="93"/>
      <c r="AG504" s="93">
        <v>0</v>
      </c>
      <c r="AH504" s="93"/>
      <c r="AI504" s="93">
        <f>SUM(E504:AG504)</f>
        <v>1545267.61</v>
      </c>
      <c r="AJ504" s="10"/>
    </row>
    <row r="505" spans="1:36" ht="12.75">
      <c r="A505" s="1" t="s">
        <v>909</v>
      </c>
      <c r="C505" s="1" t="s">
        <v>910</v>
      </c>
      <c r="E505" s="83">
        <v>6047.76</v>
      </c>
      <c r="F505" s="83"/>
      <c r="G505" s="83">
        <v>0</v>
      </c>
      <c r="H505" s="83"/>
      <c r="I505" s="83">
        <v>0</v>
      </c>
      <c r="J505" s="83"/>
      <c r="K505" s="83">
        <v>0</v>
      </c>
      <c r="L505" s="83"/>
      <c r="M505" s="83">
        <v>0</v>
      </c>
      <c r="N505" s="83"/>
      <c r="O505" s="83">
        <v>0</v>
      </c>
      <c r="P505" s="83"/>
      <c r="Q505" s="83">
        <v>791.13</v>
      </c>
      <c r="R505" s="83"/>
      <c r="S505" s="83">
        <v>0</v>
      </c>
      <c r="T505" s="83"/>
      <c r="U505" s="83">
        <v>0</v>
      </c>
      <c r="V505" s="85"/>
      <c r="W505" s="83">
        <v>0</v>
      </c>
      <c r="X505" s="85"/>
      <c r="Y505" s="83">
        <v>0</v>
      </c>
      <c r="Z505" s="83"/>
      <c r="AA505" s="83">
        <v>0</v>
      </c>
      <c r="AB505" s="83"/>
      <c r="AC505" s="83">
        <v>0</v>
      </c>
      <c r="AD505" s="83"/>
      <c r="AE505" s="83">
        <v>0</v>
      </c>
      <c r="AF505" s="83"/>
      <c r="AG505" s="83">
        <v>0</v>
      </c>
      <c r="AH505" s="83"/>
      <c r="AI505" s="83">
        <f t="shared" si="28"/>
        <v>6838.89</v>
      </c>
      <c r="AJ505" s="10"/>
    </row>
    <row r="506" spans="1:36" ht="12.75">
      <c r="A506" s="1" t="s">
        <v>376</v>
      </c>
      <c r="C506" s="1" t="s">
        <v>375</v>
      </c>
      <c r="E506" s="36">
        <v>14205.77</v>
      </c>
      <c r="F506" s="36"/>
      <c r="G506" s="36">
        <v>0</v>
      </c>
      <c r="H506" s="36"/>
      <c r="I506" s="36">
        <v>19885.38</v>
      </c>
      <c r="J506" s="36"/>
      <c r="K506" s="36">
        <v>0</v>
      </c>
      <c r="L506" s="36"/>
      <c r="M506" s="36">
        <v>65.91</v>
      </c>
      <c r="N506" s="36"/>
      <c r="O506" s="36">
        <v>7104.7</v>
      </c>
      <c r="P506" s="36"/>
      <c r="Q506" s="36">
        <v>4384.79</v>
      </c>
      <c r="R506" s="36"/>
      <c r="S506" s="36">
        <v>0</v>
      </c>
      <c r="T506" s="36"/>
      <c r="U506" s="36">
        <v>0</v>
      </c>
      <c r="V506" s="36"/>
      <c r="W506" s="36">
        <v>0</v>
      </c>
      <c r="X506" s="36"/>
      <c r="Y506" s="36">
        <v>0</v>
      </c>
      <c r="Z506" s="36"/>
      <c r="AA506" s="36">
        <v>0</v>
      </c>
      <c r="AB506" s="36"/>
      <c r="AC506" s="36">
        <v>0</v>
      </c>
      <c r="AD506" s="36"/>
      <c r="AE506" s="36">
        <v>0</v>
      </c>
      <c r="AF506" s="36"/>
      <c r="AG506" s="36">
        <v>0</v>
      </c>
      <c r="AH506" s="36"/>
      <c r="AI506" s="36">
        <f aca="true" t="shared" si="33" ref="AI506:AI513">SUM(E506:AG506)</f>
        <v>45646.55</v>
      </c>
      <c r="AJ506" s="10"/>
    </row>
    <row r="507" spans="1:36" ht="12.75">
      <c r="A507" s="1" t="s">
        <v>163</v>
      </c>
      <c r="C507" s="1" t="s">
        <v>795</v>
      </c>
      <c r="E507" s="36">
        <v>21595.28</v>
      </c>
      <c r="F507" s="36"/>
      <c r="G507" s="36">
        <v>155535.97</v>
      </c>
      <c r="H507" s="36"/>
      <c r="I507" s="36">
        <v>59205.72</v>
      </c>
      <c r="J507" s="36"/>
      <c r="K507" s="36">
        <v>25794.42</v>
      </c>
      <c r="L507" s="36"/>
      <c r="M507" s="36">
        <v>2356.74</v>
      </c>
      <c r="N507" s="36"/>
      <c r="O507" s="36">
        <v>11254.13</v>
      </c>
      <c r="P507" s="36"/>
      <c r="Q507" s="36">
        <v>2017.52</v>
      </c>
      <c r="R507" s="36"/>
      <c r="S507" s="36">
        <v>32378.62</v>
      </c>
      <c r="T507" s="36"/>
      <c r="U507" s="36">
        <v>0</v>
      </c>
      <c r="V507" s="36"/>
      <c r="W507" s="36">
        <v>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v>0</v>
      </c>
      <c r="AF507" s="36"/>
      <c r="AG507" s="36">
        <v>0</v>
      </c>
      <c r="AH507" s="36"/>
      <c r="AI507" s="36">
        <f t="shared" si="33"/>
        <v>310138.4</v>
      </c>
      <c r="AJ507" s="10"/>
    </row>
    <row r="508" spans="1:36" ht="12.75">
      <c r="A508" s="1" t="s">
        <v>244</v>
      </c>
      <c r="C508" s="1" t="s">
        <v>821</v>
      </c>
      <c r="E508" s="36">
        <v>2498.73</v>
      </c>
      <c r="F508" s="36"/>
      <c r="G508" s="36">
        <v>0</v>
      </c>
      <c r="H508" s="36"/>
      <c r="I508" s="36">
        <v>5323.51</v>
      </c>
      <c r="J508" s="36"/>
      <c r="K508" s="36">
        <v>0</v>
      </c>
      <c r="L508" s="36"/>
      <c r="M508" s="36">
        <v>0</v>
      </c>
      <c r="N508" s="36"/>
      <c r="O508" s="36">
        <v>0</v>
      </c>
      <c r="P508" s="36"/>
      <c r="Q508" s="36">
        <v>68.9</v>
      </c>
      <c r="R508" s="36"/>
      <c r="S508" s="36">
        <v>5278.62</v>
      </c>
      <c r="T508" s="36"/>
      <c r="U508" s="36">
        <v>0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v>0</v>
      </c>
      <c r="AF508" s="36"/>
      <c r="AG508" s="36">
        <v>0</v>
      </c>
      <c r="AH508" s="36"/>
      <c r="AI508" s="36">
        <f t="shared" si="33"/>
        <v>13169.759999999998</v>
      </c>
      <c r="AJ508" s="10"/>
    </row>
    <row r="509" spans="1:39" s="21" customFormat="1" ht="12.75">
      <c r="A509" s="1" t="s">
        <v>64</v>
      </c>
      <c r="B509" s="1"/>
      <c r="C509" s="1" t="s">
        <v>766</v>
      </c>
      <c r="D509" s="1"/>
      <c r="E509" s="36">
        <v>39994.62</v>
      </c>
      <c r="F509" s="36"/>
      <c r="G509" s="36">
        <v>0</v>
      </c>
      <c r="H509" s="36"/>
      <c r="I509" s="36">
        <v>20883.08</v>
      </c>
      <c r="J509" s="36"/>
      <c r="K509" s="36">
        <v>1679.57</v>
      </c>
      <c r="L509" s="36"/>
      <c r="M509" s="36">
        <v>16398.75</v>
      </c>
      <c r="N509" s="36"/>
      <c r="O509" s="36">
        <v>7007.49</v>
      </c>
      <c r="P509" s="36"/>
      <c r="Q509" s="36">
        <v>0</v>
      </c>
      <c r="R509" s="36"/>
      <c r="S509" s="36">
        <v>32.5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0</v>
      </c>
      <c r="AB509" s="36"/>
      <c r="AC509" s="36">
        <v>0</v>
      </c>
      <c r="AD509" s="36"/>
      <c r="AE509" s="36">
        <v>0</v>
      </c>
      <c r="AF509" s="36"/>
      <c r="AG509" s="36">
        <v>0</v>
      </c>
      <c r="AH509" s="36"/>
      <c r="AI509" s="36">
        <f t="shared" si="33"/>
        <v>85996.01000000001</v>
      </c>
      <c r="AJ509" s="10"/>
      <c r="AK509" s="22"/>
      <c r="AL509" s="22"/>
      <c r="AM509" s="22"/>
    </row>
    <row r="510" spans="1:36" ht="12.75">
      <c r="A510" s="1" t="s">
        <v>209</v>
      </c>
      <c r="C510" s="1" t="s">
        <v>809</v>
      </c>
      <c r="E510" s="36">
        <v>150654.61</v>
      </c>
      <c r="F510" s="36"/>
      <c r="G510" s="36">
        <v>0</v>
      </c>
      <c r="H510" s="36"/>
      <c r="I510" s="36">
        <v>103815.87</v>
      </c>
      <c r="J510" s="36"/>
      <c r="K510" s="36">
        <v>0</v>
      </c>
      <c r="L510" s="36"/>
      <c r="M510" s="36">
        <v>0</v>
      </c>
      <c r="N510" s="36"/>
      <c r="O510" s="36">
        <v>28914.76</v>
      </c>
      <c r="P510" s="36"/>
      <c r="Q510" s="36">
        <v>2429.41</v>
      </c>
      <c r="R510" s="36"/>
      <c r="S510" s="36">
        <v>62719.05</v>
      </c>
      <c r="T510" s="36"/>
      <c r="U510" s="36">
        <v>0</v>
      </c>
      <c r="V510" s="36"/>
      <c r="W510" s="36">
        <v>0</v>
      </c>
      <c r="X510" s="36"/>
      <c r="Y510" s="36">
        <v>4327</v>
      </c>
      <c r="Z510" s="36"/>
      <c r="AA510" s="36">
        <v>174845.7</v>
      </c>
      <c r="AB510" s="36"/>
      <c r="AC510" s="36">
        <v>0</v>
      </c>
      <c r="AD510" s="36"/>
      <c r="AE510" s="36">
        <v>0</v>
      </c>
      <c r="AF510" s="36"/>
      <c r="AG510" s="36">
        <v>0</v>
      </c>
      <c r="AH510" s="36"/>
      <c r="AI510" s="36">
        <f t="shared" si="33"/>
        <v>527706.3999999999</v>
      </c>
      <c r="AJ510" s="10"/>
    </row>
    <row r="511" spans="1:36" ht="12.75">
      <c r="A511" s="1" t="s">
        <v>146</v>
      </c>
      <c r="C511" s="1" t="s">
        <v>790</v>
      </c>
      <c r="E511" s="36">
        <v>364084.79</v>
      </c>
      <c r="F511" s="36"/>
      <c r="G511" s="36">
        <v>0</v>
      </c>
      <c r="H511" s="36"/>
      <c r="I511" s="36">
        <v>126166.81</v>
      </c>
      <c r="J511" s="36"/>
      <c r="K511" s="36">
        <v>0</v>
      </c>
      <c r="L511" s="36"/>
      <c r="M511" s="36">
        <v>0</v>
      </c>
      <c r="N511" s="36"/>
      <c r="O511" s="36">
        <v>162343.71</v>
      </c>
      <c r="P511" s="36"/>
      <c r="Q511" s="36">
        <v>564.73</v>
      </c>
      <c r="R511" s="36"/>
      <c r="S511" s="36">
        <v>19337.88</v>
      </c>
      <c r="T511" s="36"/>
      <c r="U511" s="36">
        <v>0</v>
      </c>
      <c r="V511" s="36"/>
      <c r="W511" s="36">
        <v>0</v>
      </c>
      <c r="X511" s="36"/>
      <c r="Y511" s="36">
        <v>0</v>
      </c>
      <c r="Z511" s="36"/>
      <c r="AA511" s="36">
        <v>0</v>
      </c>
      <c r="AB511" s="36"/>
      <c r="AC511" s="36">
        <v>0</v>
      </c>
      <c r="AD511" s="36"/>
      <c r="AE511" s="36">
        <v>0</v>
      </c>
      <c r="AF511" s="36"/>
      <c r="AG511" s="36">
        <v>0</v>
      </c>
      <c r="AH511" s="36"/>
      <c r="AI511" s="36">
        <f t="shared" si="33"/>
        <v>672497.9199999999</v>
      </c>
      <c r="AJ511" s="10"/>
    </row>
    <row r="512" spans="1:39" ht="12.75">
      <c r="A512" s="1" t="s">
        <v>681</v>
      </c>
      <c r="C512" s="1" t="s">
        <v>669</v>
      </c>
      <c r="E512" s="36">
        <v>9143.45</v>
      </c>
      <c r="F512" s="36"/>
      <c r="G512" s="36">
        <v>0</v>
      </c>
      <c r="H512" s="36"/>
      <c r="I512" s="36">
        <v>30646.02</v>
      </c>
      <c r="J512" s="36"/>
      <c r="K512" s="36">
        <v>0</v>
      </c>
      <c r="L512" s="36"/>
      <c r="M512" s="36">
        <v>2985</v>
      </c>
      <c r="N512" s="36"/>
      <c r="O512" s="36">
        <v>40</v>
      </c>
      <c r="P512" s="36"/>
      <c r="Q512" s="36">
        <v>70.9</v>
      </c>
      <c r="R512" s="36"/>
      <c r="S512" s="36">
        <v>300</v>
      </c>
      <c r="T512" s="36"/>
      <c r="U512" s="36">
        <v>0</v>
      </c>
      <c r="V512" s="36"/>
      <c r="W512" s="36">
        <v>0</v>
      </c>
      <c r="X512" s="36"/>
      <c r="Y512" s="36">
        <v>0</v>
      </c>
      <c r="Z512" s="36"/>
      <c r="AA512" s="36">
        <v>0</v>
      </c>
      <c r="AB512" s="36"/>
      <c r="AC512" s="36">
        <v>0</v>
      </c>
      <c r="AD512" s="36"/>
      <c r="AE512" s="36">
        <v>0</v>
      </c>
      <c r="AF512" s="36"/>
      <c r="AG512" s="36">
        <v>0</v>
      </c>
      <c r="AH512" s="36"/>
      <c r="AI512" s="36">
        <f t="shared" si="33"/>
        <v>43185.37</v>
      </c>
      <c r="AJ512" s="10"/>
      <c r="AK512" s="7"/>
      <c r="AL512" s="7"/>
      <c r="AM512" s="7"/>
    </row>
    <row r="513" spans="1:36" ht="12.75">
      <c r="A513" s="1" t="s">
        <v>157</v>
      </c>
      <c r="C513" s="1" t="s">
        <v>793</v>
      </c>
      <c r="E513" s="36">
        <v>53307.95</v>
      </c>
      <c r="F513" s="36"/>
      <c r="G513" s="36">
        <v>323506.91</v>
      </c>
      <c r="H513" s="36"/>
      <c r="I513" s="36">
        <v>87242</v>
      </c>
      <c r="J513" s="36"/>
      <c r="K513" s="36">
        <v>0</v>
      </c>
      <c r="L513" s="36"/>
      <c r="M513" s="36">
        <v>62850.8</v>
      </c>
      <c r="N513" s="36"/>
      <c r="O513" s="36">
        <v>155171.91</v>
      </c>
      <c r="P513" s="36"/>
      <c r="Q513" s="36">
        <v>833.98</v>
      </c>
      <c r="R513" s="36"/>
      <c r="S513" s="36">
        <v>3789.51</v>
      </c>
      <c r="T513" s="36"/>
      <c r="U513" s="36">
        <v>0</v>
      </c>
      <c r="V513" s="36"/>
      <c r="W513" s="36">
        <v>0</v>
      </c>
      <c r="X513" s="36"/>
      <c r="Y513" s="36">
        <v>275</v>
      </c>
      <c r="Z513" s="36"/>
      <c r="AA513" s="36">
        <v>0</v>
      </c>
      <c r="AB513" s="36"/>
      <c r="AC513" s="36">
        <v>0</v>
      </c>
      <c r="AD513" s="36"/>
      <c r="AE513" s="36">
        <v>0</v>
      </c>
      <c r="AF513" s="36"/>
      <c r="AG513" s="36">
        <v>0</v>
      </c>
      <c r="AH513" s="36"/>
      <c r="AI513" s="36">
        <f t="shared" si="33"/>
        <v>686978.06</v>
      </c>
      <c r="AJ513" s="10"/>
    </row>
    <row r="514" spans="1:36" ht="12.75">
      <c r="A514" s="1" t="s">
        <v>911</v>
      </c>
      <c r="C514" s="1" t="s">
        <v>538</v>
      </c>
      <c r="E514" s="83">
        <v>7446</v>
      </c>
      <c r="F514" s="83"/>
      <c r="G514" s="83">
        <v>0</v>
      </c>
      <c r="H514" s="83"/>
      <c r="I514" s="83">
        <v>24387</v>
      </c>
      <c r="J514" s="83"/>
      <c r="K514" s="83">
        <v>0</v>
      </c>
      <c r="L514" s="83"/>
      <c r="M514" s="83">
        <v>6626</v>
      </c>
      <c r="N514" s="83"/>
      <c r="O514" s="83">
        <v>12928</v>
      </c>
      <c r="P514" s="83"/>
      <c r="Q514" s="83">
        <v>394</v>
      </c>
      <c r="R514" s="83"/>
      <c r="S514" s="83">
        <v>7859</v>
      </c>
      <c r="T514" s="83"/>
      <c r="U514" s="83">
        <v>0</v>
      </c>
      <c r="V514" s="83"/>
      <c r="W514" s="83">
        <v>0</v>
      </c>
      <c r="X514" s="83"/>
      <c r="Y514" s="83">
        <v>0</v>
      </c>
      <c r="Z514" s="83"/>
      <c r="AA514" s="83">
        <v>0</v>
      </c>
      <c r="AB514" s="83"/>
      <c r="AC514" s="83">
        <v>0</v>
      </c>
      <c r="AD514" s="83"/>
      <c r="AE514" s="83">
        <v>0</v>
      </c>
      <c r="AF514" s="83"/>
      <c r="AG514" s="83">
        <v>0</v>
      </c>
      <c r="AH514" s="83"/>
      <c r="AI514" s="83">
        <f t="shared" si="28"/>
        <v>59640</v>
      </c>
      <c r="AJ514" s="10"/>
    </row>
    <row r="515" spans="1:36" ht="12.75">
      <c r="A515" s="1" t="s">
        <v>682</v>
      </c>
      <c r="C515" s="1" t="s">
        <v>562</v>
      </c>
      <c r="E515" s="36">
        <v>18087.34</v>
      </c>
      <c r="F515" s="36"/>
      <c r="G515" s="36">
        <v>62336.6</v>
      </c>
      <c r="H515" s="36"/>
      <c r="I515" s="36">
        <v>20581.23</v>
      </c>
      <c r="J515" s="36"/>
      <c r="K515" s="36">
        <v>30</v>
      </c>
      <c r="L515" s="36"/>
      <c r="M515" s="36">
        <v>250</v>
      </c>
      <c r="N515" s="36"/>
      <c r="O515" s="36">
        <v>9443.21</v>
      </c>
      <c r="P515" s="36"/>
      <c r="Q515" s="36">
        <v>49.38</v>
      </c>
      <c r="R515" s="36"/>
      <c r="S515" s="36">
        <v>17.81</v>
      </c>
      <c r="T515" s="36"/>
      <c r="U515" s="36">
        <v>0</v>
      </c>
      <c r="V515" s="36"/>
      <c r="W515" s="36">
        <v>0</v>
      </c>
      <c r="X515" s="36"/>
      <c r="Y515" s="36">
        <v>0</v>
      </c>
      <c r="Z515" s="36"/>
      <c r="AA515" s="36">
        <v>0</v>
      </c>
      <c r="AB515" s="36"/>
      <c r="AC515" s="36">
        <v>0</v>
      </c>
      <c r="AD515" s="36"/>
      <c r="AE515" s="36">
        <v>0</v>
      </c>
      <c r="AF515" s="36"/>
      <c r="AG515" s="36">
        <v>0</v>
      </c>
      <c r="AH515" s="36"/>
      <c r="AI515" s="36">
        <f aca="true" t="shared" si="34" ref="AI515:AI525">SUM(E515:AG515)</f>
        <v>110795.57</v>
      </c>
      <c r="AJ515" s="10"/>
    </row>
    <row r="516" spans="1:39" s="21" customFormat="1" ht="12.75">
      <c r="A516" s="1" t="s">
        <v>303</v>
      </c>
      <c r="B516" s="1"/>
      <c r="C516" s="1" t="s">
        <v>299</v>
      </c>
      <c r="D516" s="1"/>
      <c r="E516" s="36">
        <v>13015.73</v>
      </c>
      <c r="F516" s="36"/>
      <c r="G516" s="36">
        <v>0</v>
      </c>
      <c r="H516" s="36"/>
      <c r="I516" s="36">
        <v>8913.18</v>
      </c>
      <c r="J516" s="36"/>
      <c r="K516" s="36">
        <v>0</v>
      </c>
      <c r="L516" s="36"/>
      <c r="M516" s="36">
        <v>15884.94</v>
      </c>
      <c r="N516" s="36"/>
      <c r="O516" s="36">
        <v>0</v>
      </c>
      <c r="P516" s="36"/>
      <c r="Q516" s="36">
        <v>52.67</v>
      </c>
      <c r="R516" s="36"/>
      <c r="S516" s="36">
        <v>6000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0</v>
      </c>
      <c r="AB516" s="36"/>
      <c r="AC516" s="36">
        <v>0</v>
      </c>
      <c r="AD516" s="36"/>
      <c r="AE516" s="36">
        <v>0</v>
      </c>
      <c r="AF516" s="36"/>
      <c r="AG516" s="36">
        <v>0</v>
      </c>
      <c r="AH516" s="36"/>
      <c r="AI516" s="36">
        <f t="shared" si="34"/>
        <v>43866.52</v>
      </c>
      <c r="AJ516" s="10"/>
      <c r="AK516" s="22"/>
      <c r="AL516" s="22"/>
      <c r="AM516" s="22"/>
    </row>
    <row r="517" spans="1:36" ht="12.75">
      <c r="A517" s="1" t="s">
        <v>259</v>
      </c>
      <c r="C517" s="1" t="s">
        <v>825</v>
      </c>
      <c r="E517" s="36">
        <v>12221.65</v>
      </c>
      <c r="F517" s="36"/>
      <c r="G517" s="36">
        <v>83773.84</v>
      </c>
      <c r="H517" s="36"/>
      <c r="I517" s="36">
        <v>8019.04</v>
      </c>
      <c r="J517" s="36"/>
      <c r="K517" s="36">
        <v>0</v>
      </c>
      <c r="L517" s="36"/>
      <c r="M517" s="36">
        <v>0</v>
      </c>
      <c r="N517" s="36"/>
      <c r="O517" s="36">
        <v>4139.84</v>
      </c>
      <c r="P517" s="36"/>
      <c r="Q517" s="36">
        <v>145.3</v>
      </c>
      <c r="R517" s="36"/>
      <c r="S517" s="36">
        <v>1814.56</v>
      </c>
      <c r="T517" s="36"/>
      <c r="U517" s="36">
        <v>0</v>
      </c>
      <c r="V517" s="36"/>
      <c r="W517" s="36">
        <v>0</v>
      </c>
      <c r="X517" s="36"/>
      <c r="Y517" s="36">
        <v>0</v>
      </c>
      <c r="Z517" s="36"/>
      <c r="AA517" s="36">
        <v>0</v>
      </c>
      <c r="AB517" s="36"/>
      <c r="AC517" s="36">
        <v>0</v>
      </c>
      <c r="AD517" s="36"/>
      <c r="AE517" s="36">
        <v>0</v>
      </c>
      <c r="AF517" s="36"/>
      <c r="AG517" s="36">
        <v>0</v>
      </c>
      <c r="AH517" s="36"/>
      <c r="AI517" s="36">
        <f t="shared" si="34"/>
        <v>110114.22999999998</v>
      </c>
      <c r="AJ517" s="10"/>
    </row>
    <row r="518" spans="1:36" ht="12.75">
      <c r="A518" s="1" t="s">
        <v>471</v>
      </c>
      <c r="C518" s="1" t="s">
        <v>470</v>
      </c>
      <c r="E518" s="36">
        <v>9125.29</v>
      </c>
      <c r="F518" s="36"/>
      <c r="G518" s="36">
        <v>0</v>
      </c>
      <c r="H518" s="36"/>
      <c r="I518" s="36">
        <v>18455.26</v>
      </c>
      <c r="J518" s="36"/>
      <c r="K518" s="36">
        <v>0</v>
      </c>
      <c r="L518" s="36"/>
      <c r="M518" s="36">
        <v>0</v>
      </c>
      <c r="N518" s="36"/>
      <c r="O518" s="36">
        <v>1232.49</v>
      </c>
      <c r="P518" s="36"/>
      <c r="Q518" s="36">
        <v>20.49</v>
      </c>
      <c r="R518" s="36"/>
      <c r="S518" s="36">
        <v>0</v>
      </c>
      <c r="T518" s="36"/>
      <c r="U518" s="36">
        <v>0</v>
      </c>
      <c r="V518" s="36"/>
      <c r="W518" s="36">
        <v>0</v>
      </c>
      <c r="X518" s="36"/>
      <c r="Y518" s="36">
        <v>0</v>
      </c>
      <c r="Z518" s="36"/>
      <c r="AA518" s="36">
        <v>0</v>
      </c>
      <c r="AB518" s="36"/>
      <c r="AC518" s="36">
        <v>0</v>
      </c>
      <c r="AD518" s="36"/>
      <c r="AE518" s="36">
        <v>0</v>
      </c>
      <c r="AF518" s="36"/>
      <c r="AG518" s="36">
        <v>0</v>
      </c>
      <c r="AH518" s="36"/>
      <c r="AI518" s="36">
        <f t="shared" si="34"/>
        <v>28833.530000000002</v>
      </c>
      <c r="AJ518" s="10"/>
    </row>
    <row r="519" spans="1:39" s="21" customFormat="1" ht="12.75">
      <c r="A519" s="1" t="s">
        <v>19</v>
      </c>
      <c r="B519" s="1"/>
      <c r="C519" s="1" t="s">
        <v>750</v>
      </c>
      <c r="D519" s="1"/>
      <c r="E519" s="36">
        <v>38889.5</v>
      </c>
      <c r="F519" s="36"/>
      <c r="G519" s="36">
        <v>139856.2</v>
      </c>
      <c r="H519" s="36"/>
      <c r="I519" s="36">
        <v>179612.77</v>
      </c>
      <c r="J519" s="36"/>
      <c r="K519" s="36">
        <v>0</v>
      </c>
      <c r="L519" s="36"/>
      <c r="M519" s="36">
        <v>0</v>
      </c>
      <c r="N519" s="36"/>
      <c r="O519" s="36">
        <v>17562.25</v>
      </c>
      <c r="P519" s="36"/>
      <c r="Q519" s="36">
        <v>1966.09</v>
      </c>
      <c r="R519" s="36"/>
      <c r="S519" s="36">
        <v>6999.86</v>
      </c>
      <c r="T519" s="36"/>
      <c r="U519" s="36">
        <v>0</v>
      </c>
      <c r="V519" s="36"/>
      <c r="W519" s="36">
        <v>0</v>
      </c>
      <c r="X519" s="36"/>
      <c r="Y519" s="36">
        <v>0</v>
      </c>
      <c r="Z519" s="36"/>
      <c r="AA519" s="36">
        <v>0</v>
      </c>
      <c r="AB519" s="36"/>
      <c r="AC519" s="36">
        <v>0</v>
      </c>
      <c r="AD519" s="36"/>
      <c r="AE519" s="36">
        <v>0</v>
      </c>
      <c r="AF519" s="36"/>
      <c r="AG519" s="36">
        <v>0</v>
      </c>
      <c r="AH519" s="36"/>
      <c r="AI519" s="36">
        <f t="shared" si="34"/>
        <v>384886.67</v>
      </c>
      <c r="AJ519" s="10"/>
      <c r="AK519" s="22"/>
      <c r="AL519" s="22"/>
      <c r="AM519" s="22"/>
    </row>
    <row r="520" spans="1:36" ht="12.75">
      <c r="A520" s="1" t="s">
        <v>127</v>
      </c>
      <c r="C520" s="1" t="s">
        <v>437</v>
      </c>
      <c r="E520" s="36">
        <v>27732.32</v>
      </c>
      <c r="F520" s="36"/>
      <c r="G520" s="36">
        <v>0</v>
      </c>
      <c r="H520" s="36"/>
      <c r="I520" s="36">
        <v>26565.35</v>
      </c>
      <c r="J520" s="36"/>
      <c r="K520" s="36">
        <v>0</v>
      </c>
      <c r="L520" s="36"/>
      <c r="M520" s="36">
        <v>0</v>
      </c>
      <c r="N520" s="36"/>
      <c r="O520" s="36">
        <v>92878.66</v>
      </c>
      <c r="P520" s="36"/>
      <c r="Q520" s="36">
        <v>0</v>
      </c>
      <c r="R520" s="36"/>
      <c r="S520" s="36">
        <v>15965.85</v>
      </c>
      <c r="T520" s="36"/>
      <c r="U520" s="36">
        <v>45000</v>
      </c>
      <c r="V520" s="36"/>
      <c r="W520" s="36">
        <v>0</v>
      </c>
      <c r="X520" s="36"/>
      <c r="Y520" s="36">
        <v>0</v>
      </c>
      <c r="Z520" s="36"/>
      <c r="AA520" s="36">
        <v>0</v>
      </c>
      <c r="AB520" s="36"/>
      <c r="AC520" s="36">
        <v>0</v>
      </c>
      <c r="AD520" s="36"/>
      <c r="AE520" s="36">
        <v>0</v>
      </c>
      <c r="AF520" s="36"/>
      <c r="AG520" s="36">
        <v>0</v>
      </c>
      <c r="AH520" s="36"/>
      <c r="AI520" s="36">
        <f t="shared" si="34"/>
        <v>208142.18000000002</v>
      </c>
      <c r="AJ520" s="10"/>
    </row>
    <row r="521" spans="1:36" ht="12.75">
      <c r="A521" s="1" t="s">
        <v>150</v>
      </c>
      <c r="C521" s="1" t="s">
        <v>791</v>
      </c>
      <c r="E521" s="36">
        <v>59908.69</v>
      </c>
      <c r="F521" s="36"/>
      <c r="G521" s="36">
        <v>0</v>
      </c>
      <c r="H521" s="36"/>
      <c r="I521" s="36">
        <v>49088.34</v>
      </c>
      <c r="J521" s="36"/>
      <c r="K521" s="36">
        <v>0</v>
      </c>
      <c r="L521" s="36"/>
      <c r="M521" s="36">
        <v>0</v>
      </c>
      <c r="N521" s="36"/>
      <c r="O521" s="36">
        <v>3054.5</v>
      </c>
      <c r="P521" s="36"/>
      <c r="Q521" s="36">
        <v>774.34</v>
      </c>
      <c r="R521" s="36"/>
      <c r="S521" s="36">
        <v>4529.47</v>
      </c>
      <c r="T521" s="36"/>
      <c r="U521" s="36">
        <v>0</v>
      </c>
      <c r="V521" s="36"/>
      <c r="W521" s="36">
        <v>0</v>
      </c>
      <c r="X521" s="36"/>
      <c r="Y521" s="36">
        <v>0</v>
      </c>
      <c r="Z521" s="36"/>
      <c r="AA521" s="36">
        <v>0</v>
      </c>
      <c r="AB521" s="36"/>
      <c r="AC521" s="36">
        <v>0</v>
      </c>
      <c r="AD521" s="36"/>
      <c r="AE521" s="36">
        <v>16518.71</v>
      </c>
      <c r="AF521" s="36"/>
      <c r="AG521" s="36">
        <v>0</v>
      </c>
      <c r="AH521" s="36"/>
      <c r="AI521" s="36">
        <f t="shared" si="34"/>
        <v>133874.05</v>
      </c>
      <c r="AJ521" s="10"/>
    </row>
    <row r="522" spans="1:36" ht="12.75">
      <c r="A522" s="1" t="s">
        <v>181</v>
      </c>
      <c r="C522" s="1" t="s">
        <v>802</v>
      </c>
      <c r="E522" s="36">
        <v>715082.18</v>
      </c>
      <c r="F522" s="36"/>
      <c r="G522" s="36">
        <v>0</v>
      </c>
      <c r="H522" s="36"/>
      <c r="I522" s="36">
        <v>497699.93</v>
      </c>
      <c r="J522" s="36"/>
      <c r="K522" s="36">
        <v>0</v>
      </c>
      <c r="L522" s="36"/>
      <c r="M522" s="36">
        <v>553860.31</v>
      </c>
      <c r="N522" s="36"/>
      <c r="O522" s="36">
        <v>68425.3</v>
      </c>
      <c r="P522" s="36"/>
      <c r="Q522" s="36">
        <v>10817.45</v>
      </c>
      <c r="R522" s="36"/>
      <c r="S522" s="36">
        <v>112090.86</v>
      </c>
      <c r="T522" s="36"/>
      <c r="U522" s="36">
        <v>0</v>
      </c>
      <c r="V522" s="36"/>
      <c r="W522" s="36">
        <v>0</v>
      </c>
      <c r="X522" s="36"/>
      <c r="Y522" s="36">
        <v>0</v>
      </c>
      <c r="Z522" s="36"/>
      <c r="AA522" s="36">
        <v>0</v>
      </c>
      <c r="AB522" s="36"/>
      <c r="AC522" s="36">
        <v>0</v>
      </c>
      <c r="AD522" s="36"/>
      <c r="AE522" s="36">
        <v>0</v>
      </c>
      <c r="AF522" s="36"/>
      <c r="AG522" s="36">
        <v>2000</v>
      </c>
      <c r="AH522" s="36"/>
      <c r="AI522" s="36">
        <f t="shared" si="34"/>
        <v>1959976.0300000003</v>
      </c>
      <c r="AJ522" s="10"/>
    </row>
    <row r="523" spans="1:36" ht="12.75">
      <c r="A523" s="1" t="s">
        <v>89</v>
      </c>
      <c r="C523" s="1" t="s">
        <v>772</v>
      </c>
      <c r="E523" s="36">
        <v>22120.28</v>
      </c>
      <c r="F523" s="36"/>
      <c r="G523" s="36">
        <v>0</v>
      </c>
      <c r="H523" s="36"/>
      <c r="I523" s="36">
        <v>22899.11</v>
      </c>
      <c r="J523" s="36"/>
      <c r="K523" s="36">
        <v>0</v>
      </c>
      <c r="L523" s="36"/>
      <c r="M523" s="36">
        <v>1700</v>
      </c>
      <c r="N523" s="36"/>
      <c r="O523" s="36">
        <v>0</v>
      </c>
      <c r="P523" s="36"/>
      <c r="Q523" s="36">
        <v>174.7</v>
      </c>
      <c r="R523" s="36"/>
      <c r="S523" s="36">
        <v>523.75</v>
      </c>
      <c r="T523" s="36"/>
      <c r="U523" s="36">
        <v>0</v>
      </c>
      <c r="V523" s="36"/>
      <c r="W523" s="36">
        <v>0</v>
      </c>
      <c r="X523" s="36"/>
      <c r="Y523" s="36">
        <v>0</v>
      </c>
      <c r="Z523" s="36"/>
      <c r="AA523" s="36">
        <v>0</v>
      </c>
      <c r="AB523" s="36"/>
      <c r="AC523" s="36">
        <v>0</v>
      </c>
      <c r="AD523" s="36"/>
      <c r="AE523" s="36">
        <v>0</v>
      </c>
      <c r="AF523" s="36"/>
      <c r="AG523" s="36">
        <v>0</v>
      </c>
      <c r="AH523" s="36"/>
      <c r="AI523" s="36">
        <f t="shared" si="34"/>
        <v>47417.84</v>
      </c>
      <c r="AJ523" s="10"/>
    </row>
    <row r="524" spans="1:36" s="21" customFormat="1" ht="12.75">
      <c r="A524" s="1" t="s">
        <v>134</v>
      </c>
      <c r="B524" s="1"/>
      <c r="C524" s="1" t="s">
        <v>786</v>
      </c>
      <c r="D524" s="1"/>
      <c r="E524" s="93">
        <v>41767.46</v>
      </c>
      <c r="F524" s="93"/>
      <c r="G524" s="93">
        <v>40299.5</v>
      </c>
      <c r="H524" s="93"/>
      <c r="I524" s="93">
        <v>36230.02</v>
      </c>
      <c r="J524" s="93"/>
      <c r="K524" s="93">
        <v>0</v>
      </c>
      <c r="L524" s="93"/>
      <c r="M524" s="93">
        <v>4410</v>
      </c>
      <c r="N524" s="93"/>
      <c r="O524" s="93">
        <v>3184.62</v>
      </c>
      <c r="P524" s="93"/>
      <c r="Q524" s="93">
        <v>564.39</v>
      </c>
      <c r="R524" s="93"/>
      <c r="S524" s="93">
        <v>605.4</v>
      </c>
      <c r="T524" s="93"/>
      <c r="U524" s="93">
        <v>0</v>
      </c>
      <c r="V524" s="93"/>
      <c r="W524" s="93">
        <v>0</v>
      </c>
      <c r="X524" s="93"/>
      <c r="Y524" s="93">
        <v>0</v>
      </c>
      <c r="Z524" s="93"/>
      <c r="AA524" s="93">
        <v>0</v>
      </c>
      <c r="AB524" s="93"/>
      <c r="AC524" s="93">
        <v>0</v>
      </c>
      <c r="AD524" s="93"/>
      <c r="AE524" s="93">
        <v>0</v>
      </c>
      <c r="AF524" s="93"/>
      <c r="AG524" s="93">
        <v>503.3</v>
      </c>
      <c r="AH524" s="93"/>
      <c r="AI524" s="93">
        <f t="shared" si="34"/>
        <v>127564.68999999997</v>
      </c>
      <c r="AJ524" s="10"/>
    </row>
    <row r="525" spans="1:36" ht="12.75">
      <c r="A525" s="1" t="s">
        <v>158</v>
      </c>
      <c r="C525" s="1" t="s">
        <v>793</v>
      </c>
      <c r="E525" s="93">
        <v>55631.05</v>
      </c>
      <c r="F525" s="93"/>
      <c r="G525" s="93">
        <v>0</v>
      </c>
      <c r="H525" s="93"/>
      <c r="I525" s="93">
        <v>24730.34</v>
      </c>
      <c r="J525" s="93"/>
      <c r="K525" s="93">
        <v>0</v>
      </c>
      <c r="L525" s="93"/>
      <c r="M525" s="93">
        <v>0</v>
      </c>
      <c r="N525" s="93"/>
      <c r="O525" s="93">
        <v>4426</v>
      </c>
      <c r="P525" s="93"/>
      <c r="Q525" s="93">
        <v>223.06</v>
      </c>
      <c r="R525" s="93"/>
      <c r="S525" s="93">
        <v>35846.84</v>
      </c>
      <c r="T525" s="93"/>
      <c r="U525" s="93">
        <v>0</v>
      </c>
      <c r="V525" s="93"/>
      <c r="W525" s="93">
        <v>0</v>
      </c>
      <c r="X525" s="93"/>
      <c r="Y525" s="93">
        <v>0</v>
      </c>
      <c r="Z525" s="93"/>
      <c r="AA525" s="93">
        <v>0</v>
      </c>
      <c r="AB525" s="93"/>
      <c r="AC525" s="93">
        <v>0</v>
      </c>
      <c r="AD525" s="93"/>
      <c r="AE525" s="93">
        <v>8810</v>
      </c>
      <c r="AF525" s="93"/>
      <c r="AG525" s="93">
        <v>0</v>
      </c>
      <c r="AH525" s="93"/>
      <c r="AI525" s="93">
        <f t="shared" si="34"/>
        <v>129667.29</v>
      </c>
      <c r="AJ525" s="10"/>
    </row>
    <row r="526" spans="1:36" ht="12.75" hidden="1">
      <c r="A526" s="1" t="s">
        <v>532</v>
      </c>
      <c r="C526" s="1" t="s">
        <v>531</v>
      </c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>
        <f t="shared" si="28"/>
        <v>0</v>
      </c>
      <c r="AJ526" s="10"/>
    </row>
    <row r="527" spans="1:36" s="21" customFormat="1" ht="12.75">
      <c r="A527" s="1" t="s">
        <v>392</v>
      </c>
      <c r="B527" s="1"/>
      <c r="C527" s="1" t="s">
        <v>388</v>
      </c>
      <c r="D527" s="1"/>
      <c r="E527" s="36">
        <v>8520.88</v>
      </c>
      <c r="F527" s="36"/>
      <c r="G527" s="36">
        <v>0</v>
      </c>
      <c r="H527" s="36"/>
      <c r="I527" s="36">
        <v>44622.67</v>
      </c>
      <c r="J527" s="36"/>
      <c r="K527" s="36">
        <v>0</v>
      </c>
      <c r="L527" s="36"/>
      <c r="M527" s="36">
        <v>260</v>
      </c>
      <c r="N527" s="36"/>
      <c r="O527" s="36">
        <v>0</v>
      </c>
      <c r="P527" s="36"/>
      <c r="Q527" s="36">
        <v>118.56</v>
      </c>
      <c r="R527" s="36"/>
      <c r="S527" s="36">
        <v>617.6</v>
      </c>
      <c r="T527" s="36"/>
      <c r="U527" s="36">
        <v>0</v>
      </c>
      <c r="V527" s="36"/>
      <c r="W527" s="36">
        <v>0</v>
      </c>
      <c r="X527" s="36"/>
      <c r="Y527" s="36">
        <v>0</v>
      </c>
      <c r="Z527" s="36"/>
      <c r="AA527" s="36">
        <v>0</v>
      </c>
      <c r="AB527" s="36"/>
      <c r="AC527" s="36">
        <v>0</v>
      </c>
      <c r="AD527" s="36"/>
      <c r="AE527" s="36">
        <v>0</v>
      </c>
      <c r="AF527" s="36"/>
      <c r="AG527" s="36">
        <v>0</v>
      </c>
      <c r="AH527" s="36"/>
      <c r="AI527" s="36">
        <f>SUM(E527:AG527)</f>
        <v>54139.70999999999</v>
      </c>
      <c r="AJ527" s="10"/>
    </row>
    <row r="528" spans="1:36" s="21" customFormat="1" ht="12.75">
      <c r="A528" s="1" t="s">
        <v>966</v>
      </c>
      <c r="B528" s="1"/>
      <c r="C528" s="1" t="s">
        <v>781</v>
      </c>
      <c r="D528" s="1"/>
      <c r="E528" s="83">
        <v>19139</v>
      </c>
      <c r="F528" s="83"/>
      <c r="G528" s="83">
        <v>0</v>
      </c>
      <c r="H528" s="83"/>
      <c r="I528" s="83">
        <v>19178</v>
      </c>
      <c r="J528" s="83"/>
      <c r="K528" s="83">
        <v>0</v>
      </c>
      <c r="L528" s="83"/>
      <c r="M528" s="83">
        <v>1767</v>
      </c>
      <c r="N528" s="83"/>
      <c r="O528" s="83">
        <v>8690</v>
      </c>
      <c r="P528" s="83"/>
      <c r="Q528" s="83">
        <v>70</v>
      </c>
      <c r="R528" s="83"/>
      <c r="S528" s="83">
        <v>12951</v>
      </c>
      <c r="T528" s="83"/>
      <c r="U528" s="83">
        <v>0</v>
      </c>
      <c r="V528" s="85"/>
      <c r="W528" s="83">
        <v>0</v>
      </c>
      <c r="X528" s="85"/>
      <c r="Y528" s="83">
        <v>0</v>
      </c>
      <c r="Z528" s="83"/>
      <c r="AA528" s="83">
        <v>0</v>
      </c>
      <c r="AB528" s="83"/>
      <c r="AC528" s="83">
        <v>0</v>
      </c>
      <c r="AD528" s="83"/>
      <c r="AE528" s="83">
        <v>0</v>
      </c>
      <c r="AF528" s="83"/>
      <c r="AG528" s="83">
        <v>0</v>
      </c>
      <c r="AH528" s="83"/>
      <c r="AI528" s="83">
        <f t="shared" si="28"/>
        <v>61795</v>
      </c>
      <c r="AJ528" s="10"/>
    </row>
    <row r="529" spans="1:36" ht="12.75">
      <c r="A529" s="1" t="s">
        <v>228</v>
      </c>
      <c r="C529" s="1" t="s">
        <v>551</v>
      </c>
      <c r="E529" s="36">
        <v>261552.93</v>
      </c>
      <c r="F529" s="36"/>
      <c r="G529" s="36">
        <v>1692433.71</v>
      </c>
      <c r="H529" s="36"/>
      <c r="I529" s="36">
        <v>166395.13</v>
      </c>
      <c r="J529" s="36"/>
      <c r="K529" s="36">
        <v>0</v>
      </c>
      <c r="L529" s="36"/>
      <c r="M529" s="36">
        <v>3184</v>
      </c>
      <c r="N529" s="36"/>
      <c r="O529" s="36">
        <v>167374.47</v>
      </c>
      <c r="P529" s="36"/>
      <c r="Q529" s="36">
        <v>1292.14</v>
      </c>
      <c r="R529" s="36"/>
      <c r="S529" s="36">
        <f>75983.07+1567.99</f>
        <v>77551.06000000001</v>
      </c>
      <c r="T529" s="36"/>
      <c r="U529" s="36">
        <v>0</v>
      </c>
      <c r="V529" s="36"/>
      <c r="W529" s="36">
        <v>0</v>
      </c>
      <c r="X529" s="36"/>
      <c r="Y529" s="36">
        <v>0</v>
      </c>
      <c r="Z529" s="36"/>
      <c r="AA529" s="36">
        <v>0</v>
      </c>
      <c r="AB529" s="36"/>
      <c r="AC529" s="36">
        <v>0</v>
      </c>
      <c r="AD529" s="36"/>
      <c r="AE529" s="36">
        <v>234.84</v>
      </c>
      <c r="AF529" s="36"/>
      <c r="AG529" s="36">
        <v>36690.81</v>
      </c>
      <c r="AH529" s="36"/>
      <c r="AI529" s="36">
        <f>SUM(E529:AG529)</f>
        <v>2406709.0900000003</v>
      </c>
      <c r="AJ529" s="10"/>
    </row>
    <row r="530" spans="1:36" ht="12.75">
      <c r="A530" s="1" t="s">
        <v>536</v>
      </c>
      <c r="C530" s="1" t="s">
        <v>534</v>
      </c>
      <c r="E530" s="36">
        <v>18053.62</v>
      </c>
      <c r="F530" s="36"/>
      <c r="G530" s="36">
        <v>0</v>
      </c>
      <c r="H530" s="36"/>
      <c r="I530" s="36">
        <v>65693.34</v>
      </c>
      <c r="J530" s="36"/>
      <c r="K530" s="36">
        <v>0</v>
      </c>
      <c r="L530" s="36"/>
      <c r="M530" s="36">
        <v>7606.85</v>
      </c>
      <c r="N530" s="36"/>
      <c r="O530" s="36">
        <v>53678</v>
      </c>
      <c r="P530" s="36"/>
      <c r="Q530" s="36">
        <v>4471.77</v>
      </c>
      <c r="R530" s="36"/>
      <c r="S530" s="36">
        <v>18896.64</v>
      </c>
      <c r="T530" s="36"/>
      <c r="U530" s="36">
        <v>0</v>
      </c>
      <c r="V530" s="36"/>
      <c r="W530" s="36">
        <v>0</v>
      </c>
      <c r="X530" s="36"/>
      <c r="Y530" s="36">
        <v>0</v>
      </c>
      <c r="Z530" s="36"/>
      <c r="AA530" s="36">
        <v>0</v>
      </c>
      <c r="AB530" s="36"/>
      <c r="AC530" s="36">
        <v>0</v>
      </c>
      <c r="AD530" s="36"/>
      <c r="AE530" s="36">
        <v>0</v>
      </c>
      <c r="AF530" s="36"/>
      <c r="AG530" s="36">
        <v>240</v>
      </c>
      <c r="AH530" s="36"/>
      <c r="AI530" s="36">
        <f>SUM(E530:AG530)</f>
        <v>168640.21999999997</v>
      </c>
      <c r="AJ530" s="10"/>
    </row>
    <row r="531" spans="1:36" ht="12.75">
      <c r="A531" s="1" t="s">
        <v>555</v>
      </c>
      <c r="C531" s="1" t="s">
        <v>551</v>
      </c>
      <c r="E531" s="83">
        <v>414220</v>
      </c>
      <c r="F531" s="83"/>
      <c r="G531" s="83">
        <v>0</v>
      </c>
      <c r="H531" s="83"/>
      <c r="I531" s="83">
        <v>418415</v>
      </c>
      <c r="J531" s="83"/>
      <c r="K531" s="83">
        <v>0</v>
      </c>
      <c r="L531" s="83"/>
      <c r="M531" s="83">
        <v>999990</v>
      </c>
      <c r="N531" s="83"/>
      <c r="O531" s="83">
        <v>70353</v>
      </c>
      <c r="P531" s="83"/>
      <c r="Q531" s="83">
        <v>10163</v>
      </c>
      <c r="R531" s="83"/>
      <c r="S531" s="83">
        <v>163892</v>
      </c>
      <c r="T531" s="83"/>
      <c r="U531" s="83">
        <v>0</v>
      </c>
      <c r="V531" s="83"/>
      <c r="W531" s="83">
        <v>0</v>
      </c>
      <c r="X531" s="83"/>
      <c r="Y531" s="83">
        <v>0</v>
      </c>
      <c r="Z531" s="83"/>
      <c r="AA531" s="83">
        <v>3604112</v>
      </c>
      <c r="AB531" s="83"/>
      <c r="AC531" s="83">
        <v>0</v>
      </c>
      <c r="AD531" s="83"/>
      <c r="AE531" s="83">
        <v>0</v>
      </c>
      <c r="AF531" s="83"/>
      <c r="AG531" s="83">
        <v>0</v>
      </c>
      <c r="AH531" s="83"/>
      <c r="AI531" s="83">
        <f t="shared" si="28"/>
        <v>5681145</v>
      </c>
      <c r="AJ531" s="10"/>
    </row>
    <row r="532" spans="1:36" s="21" customFormat="1" ht="12.75">
      <c r="A532" s="1" t="s">
        <v>119</v>
      </c>
      <c r="B532" s="1"/>
      <c r="C532" s="1" t="s">
        <v>781</v>
      </c>
      <c r="D532" s="1"/>
      <c r="E532" s="93">
        <v>28052.55</v>
      </c>
      <c r="F532" s="93"/>
      <c r="G532" s="93">
        <v>0</v>
      </c>
      <c r="H532" s="93"/>
      <c r="I532" s="93">
        <v>24216.16</v>
      </c>
      <c r="J532" s="93"/>
      <c r="K532" s="93">
        <v>0</v>
      </c>
      <c r="L532" s="93"/>
      <c r="M532" s="93">
        <v>7200</v>
      </c>
      <c r="N532" s="93"/>
      <c r="O532" s="93">
        <v>0</v>
      </c>
      <c r="P532" s="93"/>
      <c r="Q532" s="93">
        <v>28.79</v>
      </c>
      <c r="R532" s="93"/>
      <c r="S532" s="93">
        <v>843.5</v>
      </c>
      <c r="T532" s="93"/>
      <c r="U532" s="93">
        <v>0</v>
      </c>
      <c r="V532" s="93"/>
      <c r="W532" s="93">
        <v>0</v>
      </c>
      <c r="X532" s="93"/>
      <c r="Y532" s="93">
        <v>0</v>
      </c>
      <c r="Z532" s="93"/>
      <c r="AA532" s="93">
        <v>0</v>
      </c>
      <c r="AB532" s="93"/>
      <c r="AC532" s="93">
        <v>0</v>
      </c>
      <c r="AD532" s="93"/>
      <c r="AE532" s="93">
        <v>11.85</v>
      </c>
      <c r="AF532" s="93"/>
      <c r="AG532" s="93">
        <v>2000</v>
      </c>
      <c r="AH532" s="93"/>
      <c r="AI532" s="93">
        <f aca="true" t="shared" si="35" ref="AI532:AI537">SUM(E532:AG532)</f>
        <v>62352.85</v>
      </c>
      <c r="AJ532" s="10"/>
    </row>
    <row r="533" spans="1:35" s="10" customFormat="1" ht="12.75">
      <c r="A533" s="10" t="s">
        <v>238</v>
      </c>
      <c r="C533" s="10" t="s">
        <v>819</v>
      </c>
      <c r="E533" s="36">
        <v>216671.68</v>
      </c>
      <c r="F533" s="36"/>
      <c r="G533" s="36">
        <v>427799.43</v>
      </c>
      <c r="H533" s="36"/>
      <c r="I533" s="36">
        <v>5636.28</v>
      </c>
      <c r="J533" s="36"/>
      <c r="K533" s="36">
        <v>0</v>
      </c>
      <c r="L533" s="36"/>
      <c r="M533" s="36">
        <v>2390</v>
      </c>
      <c r="N533" s="36"/>
      <c r="O533" s="36">
        <v>9340.14</v>
      </c>
      <c r="P533" s="36"/>
      <c r="Q533" s="36">
        <v>4691.35</v>
      </c>
      <c r="R533" s="36"/>
      <c r="S533" s="36">
        <v>2943.43</v>
      </c>
      <c r="T533" s="36"/>
      <c r="U533" s="36">
        <v>0</v>
      </c>
      <c r="V533" s="36"/>
      <c r="W533" s="36">
        <v>0</v>
      </c>
      <c r="X533" s="36"/>
      <c r="Y533" s="36">
        <v>0</v>
      </c>
      <c r="Z533" s="36"/>
      <c r="AA533" s="36">
        <v>0</v>
      </c>
      <c r="AB533" s="36"/>
      <c r="AC533" s="36">
        <v>0</v>
      </c>
      <c r="AD533" s="36"/>
      <c r="AE533" s="36">
        <v>0</v>
      </c>
      <c r="AF533" s="36"/>
      <c r="AG533" s="36">
        <v>0</v>
      </c>
      <c r="AH533" s="36"/>
      <c r="AI533" s="36">
        <f t="shared" si="35"/>
        <v>669472.31</v>
      </c>
    </row>
    <row r="534" spans="1:36" s="19" customFormat="1" ht="12.75">
      <c r="A534" s="10" t="s">
        <v>401</v>
      </c>
      <c r="B534" s="10"/>
      <c r="C534" s="10" t="s">
        <v>396</v>
      </c>
      <c r="D534" s="10"/>
      <c r="E534" s="36">
        <v>5556.27</v>
      </c>
      <c r="F534" s="36"/>
      <c r="G534" s="36">
        <v>30202.07</v>
      </c>
      <c r="H534" s="36"/>
      <c r="I534" s="36">
        <v>7944.01</v>
      </c>
      <c r="J534" s="36"/>
      <c r="K534" s="36">
        <v>0</v>
      </c>
      <c r="L534" s="36"/>
      <c r="M534" s="36">
        <v>162.5</v>
      </c>
      <c r="N534" s="36"/>
      <c r="O534" s="36">
        <v>1608.54</v>
      </c>
      <c r="P534" s="36"/>
      <c r="Q534" s="36">
        <v>405.88</v>
      </c>
      <c r="R534" s="36"/>
      <c r="S534" s="36">
        <v>0</v>
      </c>
      <c r="T534" s="36"/>
      <c r="U534" s="36">
        <v>0</v>
      </c>
      <c r="V534" s="36"/>
      <c r="W534" s="36">
        <v>0</v>
      </c>
      <c r="X534" s="36"/>
      <c r="Y534" s="36">
        <v>0</v>
      </c>
      <c r="Z534" s="36"/>
      <c r="AA534" s="36">
        <v>0</v>
      </c>
      <c r="AB534" s="36"/>
      <c r="AC534" s="36">
        <v>0</v>
      </c>
      <c r="AD534" s="36"/>
      <c r="AE534" s="36">
        <v>639.24</v>
      </c>
      <c r="AF534" s="36"/>
      <c r="AG534" s="36">
        <v>0</v>
      </c>
      <c r="AH534" s="36"/>
      <c r="AI534" s="36">
        <f t="shared" si="35"/>
        <v>46518.509999999995</v>
      </c>
      <c r="AJ534" s="10"/>
    </row>
    <row r="535" spans="1:36" ht="12.75">
      <c r="A535" s="1" t="s">
        <v>81</v>
      </c>
      <c r="C535" s="1" t="s">
        <v>770</v>
      </c>
      <c r="E535" s="36">
        <v>2999.58</v>
      </c>
      <c r="F535" s="36"/>
      <c r="G535" s="36">
        <v>155968.12</v>
      </c>
      <c r="H535" s="36"/>
      <c r="I535" s="36">
        <v>61002.64</v>
      </c>
      <c r="J535" s="36"/>
      <c r="K535" s="36">
        <v>0</v>
      </c>
      <c r="L535" s="36"/>
      <c r="M535" s="36">
        <v>33352.93</v>
      </c>
      <c r="N535" s="36"/>
      <c r="O535" s="36">
        <v>9509.63</v>
      </c>
      <c r="P535" s="36"/>
      <c r="Q535" s="36">
        <v>75.82</v>
      </c>
      <c r="R535" s="36"/>
      <c r="S535" s="36">
        <v>2018.41</v>
      </c>
      <c r="T535" s="36"/>
      <c r="U535" s="36">
        <v>0</v>
      </c>
      <c r="V535" s="36"/>
      <c r="W535" s="36">
        <v>0</v>
      </c>
      <c r="X535" s="36"/>
      <c r="Y535" s="36">
        <v>0</v>
      </c>
      <c r="Z535" s="36"/>
      <c r="AA535" s="36">
        <v>0</v>
      </c>
      <c r="AB535" s="36"/>
      <c r="AC535" s="36">
        <v>0</v>
      </c>
      <c r="AD535" s="36"/>
      <c r="AE535" s="36">
        <v>0</v>
      </c>
      <c r="AF535" s="36"/>
      <c r="AG535" s="36">
        <v>0</v>
      </c>
      <c r="AH535" s="36"/>
      <c r="AI535" s="36">
        <f t="shared" si="35"/>
        <v>264927.12999999995</v>
      </c>
      <c r="AJ535" s="10"/>
    </row>
    <row r="536" spans="1:39" s="21" customFormat="1" ht="12.75">
      <c r="A536" s="1" t="s">
        <v>284</v>
      </c>
      <c r="B536" s="1"/>
      <c r="C536" s="1" t="s">
        <v>283</v>
      </c>
      <c r="D536" s="1"/>
      <c r="E536" s="36">
        <v>25572.29</v>
      </c>
      <c r="F536" s="36"/>
      <c r="G536" s="36">
        <v>217486.6</v>
      </c>
      <c r="H536" s="36"/>
      <c r="I536" s="36">
        <v>136848.5</v>
      </c>
      <c r="J536" s="36"/>
      <c r="K536" s="36">
        <v>9874.97</v>
      </c>
      <c r="L536" s="36"/>
      <c r="M536" s="36">
        <v>10475.22</v>
      </c>
      <c r="N536" s="36"/>
      <c r="O536" s="36">
        <v>78254.03</v>
      </c>
      <c r="P536" s="36"/>
      <c r="Q536" s="36">
        <v>20306.68</v>
      </c>
      <c r="R536" s="36"/>
      <c r="S536" s="36">
        <v>18308.26</v>
      </c>
      <c r="T536" s="36"/>
      <c r="U536" s="36">
        <v>0</v>
      </c>
      <c r="V536" s="36"/>
      <c r="W536" s="36">
        <v>0</v>
      </c>
      <c r="X536" s="36"/>
      <c r="Y536" s="36">
        <v>0</v>
      </c>
      <c r="Z536" s="36"/>
      <c r="AA536" s="36">
        <v>0</v>
      </c>
      <c r="AB536" s="36"/>
      <c r="AC536" s="36">
        <v>0</v>
      </c>
      <c r="AD536" s="36"/>
      <c r="AE536" s="36">
        <v>78.75</v>
      </c>
      <c r="AF536" s="36"/>
      <c r="AG536" s="36">
        <v>0</v>
      </c>
      <c r="AH536" s="36"/>
      <c r="AI536" s="36">
        <f t="shared" si="35"/>
        <v>517205.3</v>
      </c>
      <c r="AJ536" s="10"/>
      <c r="AK536" s="22"/>
      <c r="AL536" s="22"/>
      <c r="AM536" s="22"/>
    </row>
    <row r="537" spans="1:36" ht="14.25" customHeight="1">
      <c r="A537" s="1" t="s">
        <v>260</v>
      </c>
      <c r="C537" s="1" t="s">
        <v>825</v>
      </c>
      <c r="E537" s="36">
        <v>54755.59</v>
      </c>
      <c r="F537" s="36"/>
      <c r="G537" s="36">
        <v>0</v>
      </c>
      <c r="H537" s="36"/>
      <c r="I537" s="36">
        <v>21412.16</v>
      </c>
      <c r="J537" s="36"/>
      <c r="K537" s="36">
        <v>0</v>
      </c>
      <c r="L537" s="36"/>
      <c r="M537" s="36">
        <v>0</v>
      </c>
      <c r="N537" s="36"/>
      <c r="O537" s="36">
        <v>17906.79</v>
      </c>
      <c r="P537" s="36"/>
      <c r="Q537" s="36">
        <v>569.75</v>
      </c>
      <c r="R537" s="36"/>
      <c r="S537" s="36">
        <v>365</v>
      </c>
      <c r="T537" s="36"/>
      <c r="U537" s="36">
        <v>0</v>
      </c>
      <c r="V537" s="36"/>
      <c r="W537" s="36">
        <v>0</v>
      </c>
      <c r="X537" s="36"/>
      <c r="Y537" s="36">
        <v>1200</v>
      </c>
      <c r="Z537" s="36"/>
      <c r="AA537" s="36">
        <v>0</v>
      </c>
      <c r="AB537" s="36"/>
      <c r="AC537" s="36">
        <v>0</v>
      </c>
      <c r="AD537" s="36"/>
      <c r="AE537" s="36">
        <v>0</v>
      </c>
      <c r="AF537" s="36"/>
      <c r="AG537" s="36">
        <v>0</v>
      </c>
      <c r="AH537" s="36"/>
      <c r="AI537" s="36">
        <f t="shared" si="35"/>
        <v>96209.29000000001</v>
      </c>
      <c r="AJ537" s="38"/>
    </row>
    <row r="538" spans="1:39" s="21" customFormat="1" ht="14.25" customHeight="1">
      <c r="A538" s="1" t="s">
        <v>356</v>
      </c>
      <c r="B538" s="1"/>
      <c r="C538" s="1" t="s">
        <v>353</v>
      </c>
      <c r="D538" s="1"/>
      <c r="E538" s="83">
        <v>139858</v>
      </c>
      <c r="F538" s="83"/>
      <c r="G538" s="83">
        <v>0</v>
      </c>
      <c r="H538" s="83"/>
      <c r="I538" s="83">
        <v>46940</v>
      </c>
      <c r="J538" s="83"/>
      <c r="K538" s="83">
        <v>0</v>
      </c>
      <c r="L538" s="83"/>
      <c r="M538" s="83">
        <v>0</v>
      </c>
      <c r="N538" s="83"/>
      <c r="O538" s="83">
        <v>9533</v>
      </c>
      <c r="P538" s="83"/>
      <c r="Q538" s="83">
        <v>3102</v>
      </c>
      <c r="R538" s="83"/>
      <c r="S538" s="83">
        <v>0</v>
      </c>
      <c r="T538" s="83"/>
      <c r="U538" s="83">
        <v>0</v>
      </c>
      <c r="V538" s="83"/>
      <c r="W538" s="83">
        <v>0</v>
      </c>
      <c r="X538" s="83"/>
      <c r="Y538" s="83">
        <v>0</v>
      </c>
      <c r="Z538" s="83"/>
      <c r="AA538" s="83">
        <v>0</v>
      </c>
      <c r="AB538" s="83"/>
      <c r="AC538" s="83">
        <v>0</v>
      </c>
      <c r="AD538" s="83"/>
      <c r="AE538" s="83">
        <v>0</v>
      </c>
      <c r="AF538" s="83"/>
      <c r="AG538" s="83">
        <v>0</v>
      </c>
      <c r="AH538" s="83"/>
      <c r="AI538" s="83">
        <f aca="true" t="shared" si="36" ref="AI538:AI609">SUM(E538:AG538)</f>
        <v>199433</v>
      </c>
      <c r="AJ538" s="10"/>
      <c r="AK538" s="22"/>
      <c r="AL538" s="22"/>
      <c r="AM538" s="22"/>
    </row>
    <row r="539" spans="1:39" s="21" customFormat="1" ht="14.25" customHeight="1">
      <c r="A539" s="1" t="s">
        <v>673</v>
      </c>
      <c r="B539" s="1"/>
      <c r="C539" s="1" t="s">
        <v>674</v>
      </c>
      <c r="D539" s="1"/>
      <c r="E539" s="83">
        <v>125889.04</v>
      </c>
      <c r="F539" s="83"/>
      <c r="G539" s="83">
        <v>0</v>
      </c>
      <c r="H539" s="83"/>
      <c r="I539" s="83">
        <v>28517.68</v>
      </c>
      <c r="J539" s="83"/>
      <c r="K539" s="83">
        <v>0</v>
      </c>
      <c r="L539" s="83"/>
      <c r="M539" s="83">
        <v>0</v>
      </c>
      <c r="N539" s="83"/>
      <c r="O539" s="83">
        <v>5977.6</v>
      </c>
      <c r="P539" s="83"/>
      <c r="Q539" s="83">
        <v>1383.64</v>
      </c>
      <c r="R539" s="83"/>
      <c r="S539" s="83">
        <v>11428.32</v>
      </c>
      <c r="T539" s="83"/>
      <c r="U539" s="83">
        <v>0</v>
      </c>
      <c r="V539" s="83"/>
      <c r="W539" s="83">
        <v>46049</v>
      </c>
      <c r="X539" s="83"/>
      <c r="Y539" s="83">
        <v>0</v>
      </c>
      <c r="Z539" s="83"/>
      <c r="AA539" s="83">
        <v>0</v>
      </c>
      <c r="AB539" s="83"/>
      <c r="AC539" s="83">
        <v>0</v>
      </c>
      <c r="AD539" s="83"/>
      <c r="AE539" s="83">
        <v>0</v>
      </c>
      <c r="AF539" s="83"/>
      <c r="AG539" s="83">
        <v>0</v>
      </c>
      <c r="AH539" s="83"/>
      <c r="AI539" s="83">
        <f t="shared" si="36"/>
        <v>219245.28000000003</v>
      </c>
      <c r="AJ539" s="10"/>
      <c r="AK539" s="22"/>
      <c r="AL539" s="22"/>
      <c r="AM539" s="22"/>
    </row>
    <row r="540" spans="1:36" s="21" customFormat="1" ht="14.25" customHeight="1">
      <c r="A540" s="1" t="s">
        <v>138</v>
      </c>
      <c r="B540" s="1"/>
      <c r="C540" s="1" t="s">
        <v>787</v>
      </c>
      <c r="D540" s="1"/>
      <c r="E540" s="93">
        <v>12390.13</v>
      </c>
      <c r="F540" s="93"/>
      <c r="G540" s="93">
        <v>0</v>
      </c>
      <c r="H540" s="93"/>
      <c r="I540" s="93">
        <v>21660.01</v>
      </c>
      <c r="J540" s="93"/>
      <c r="K540" s="93">
        <v>0</v>
      </c>
      <c r="L540" s="93"/>
      <c r="M540" s="93">
        <v>0</v>
      </c>
      <c r="N540" s="93"/>
      <c r="O540" s="93">
        <v>0</v>
      </c>
      <c r="P540" s="93"/>
      <c r="Q540" s="93">
        <v>870.07</v>
      </c>
      <c r="R540" s="93"/>
      <c r="S540" s="93">
        <v>0</v>
      </c>
      <c r="T540" s="93"/>
      <c r="U540" s="93">
        <v>0</v>
      </c>
      <c r="V540" s="93"/>
      <c r="W540" s="93">
        <v>0</v>
      </c>
      <c r="X540" s="93"/>
      <c r="Y540" s="93">
        <v>0</v>
      </c>
      <c r="Z540" s="93"/>
      <c r="AA540" s="93">
        <v>2749.86</v>
      </c>
      <c r="AB540" s="93"/>
      <c r="AC540" s="93">
        <v>0</v>
      </c>
      <c r="AD540" s="93"/>
      <c r="AE540" s="93">
        <v>0</v>
      </c>
      <c r="AF540" s="93"/>
      <c r="AG540" s="93">
        <v>0</v>
      </c>
      <c r="AH540" s="93"/>
      <c r="AI540" s="93">
        <f>SUM(E540:AG540)</f>
        <v>37670.07</v>
      </c>
      <c r="AJ540" s="10"/>
    </row>
    <row r="541" spans="1:39" s="21" customFormat="1" ht="14.25" customHeight="1">
      <c r="A541" s="1" t="s">
        <v>675</v>
      </c>
      <c r="B541" s="1"/>
      <c r="C541" s="1" t="s">
        <v>674</v>
      </c>
      <c r="D541" s="1"/>
      <c r="E541" s="36">
        <v>27269.92</v>
      </c>
      <c r="F541" s="36"/>
      <c r="G541" s="36">
        <v>74591.44</v>
      </c>
      <c r="H541" s="36"/>
      <c r="I541" s="36">
        <v>23570.88</v>
      </c>
      <c r="J541" s="36"/>
      <c r="K541" s="36">
        <v>0</v>
      </c>
      <c r="L541" s="36"/>
      <c r="M541" s="36">
        <v>0</v>
      </c>
      <c r="N541" s="36"/>
      <c r="O541" s="36">
        <v>245.32</v>
      </c>
      <c r="P541" s="36"/>
      <c r="Q541" s="36">
        <v>551.95</v>
      </c>
      <c r="R541" s="36"/>
      <c r="S541" s="36">
        <v>27027.61</v>
      </c>
      <c r="T541" s="36"/>
      <c r="U541" s="36">
        <v>0</v>
      </c>
      <c r="V541" s="36"/>
      <c r="W541" s="36">
        <v>0</v>
      </c>
      <c r="X541" s="36"/>
      <c r="Y541" s="36">
        <v>0</v>
      </c>
      <c r="Z541" s="36"/>
      <c r="AA541" s="36">
        <v>0</v>
      </c>
      <c r="AB541" s="36"/>
      <c r="AC541" s="36">
        <v>0</v>
      </c>
      <c r="AD541" s="36"/>
      <c r="AE541" s="36">
        <v>0</v>
      </c>
      <c r="AF541" s="36"/>
      <c r="AG541" s="36">
        <v>0</v>
      </c>
      <c r="AH541" s="36"/>
      <c r="AI541" s="36">
        <f>SUM(E541:AG541)</f>
        <v>153257.12</v>
      </c>
      <c r="AJ541" s="10"/>
      <c r="AK541" s="22"/>
      <c r="AL541" s="22"/>
      <c r="AM541" s="22"/>
    </row>
    <row r="542" spans="1:36" ht="14.25" customHeight="1">
      <c r="A542" s="1" t="s">
        <v>468</v>
      </c>
      <c r="C542" s="1" t="s">
        <v>466</v>
      </c>
      <c r="E542" s="36">
        <v>54804.8</v>
      </c>
      <c r="F542" s="36"/>
      <c r="G542" s="36">
        <v>258353.15</v>
      </c>
      <c r="H542" s="36"/>
      <c r="I542" s="36">
        <v>53932.73</v>
      </c>
      <c r="J542" s="36"/>
      <c r="K542" s="36">
        <v>0</v>
      </c>
      <c r="L542" s="36"/>
      <c r="M542" s="36">
        <v>204</v>
      </c>
      <c r="N542" s="36"/>
      <c r="O542" s="36">
        <v>18906.1</v>
      </c>
      <c r="P542" s="36"/>
      <c r="Q542" s="36">
        <v>1797.12</v>
      </c>
      <c r="R542" s="36"/>
      <c r="S542" s="36">
        <v>16371.75</v>
      </c>
      <c r="T542" s="36"/>
      <c r="U542" s="36">
        <v>0</v>
      </c>
      <c r="V542" s="36"/>
      <c r="W542" s="36">
        <v>0</v>
      </c>
      <c r="X542" s="36"/>
      <c r="Y542" s="36">
        <v>0</v>
      </c>
      <c r="Z542" s="36"/>
      <c r="AA542" s="36">
        <v>0</v>
      </c>
      <c r="AB542" s="36"/>
      <c r="AC542" s="36">
        <v>0</v>
      </c>
      <c r="AD542" s="36"/>
      <c r="AE542" s="36">
        <v>0</v>
      </c>
      <c r="AF542" s="36"/>
      <c r="AG542" s="36">
        <v>0</v>
      </c>
      <c r="AH542" s="36"/>
      <c r="AI542" s="36">
        <f>SUM(E542:AG542)</f>
        <v>404369.64999999997</v>
      </c>
      <c r="AJ542" s="10"/>
    </row>
    <row r="543" spans="1:36" ht="14.25" customHeight="1">
      <c r="A543" s="1" t="s">
        <v>831</v>
      </c>
      <c r="C543" s="1" t="s">
        <v>802</v>
      </c>
      <c r="E543" s="36">
        <v>8725.34</v>
      </c>
      <c r="F543" s="36"/>
      <c r="G543" s="36">
        <v>0</v>
      </c>
      <c r="H543" s="36"/>
      <c r="I543" s="36">
        <v>21491.88</v>
      </c>
      <c r="J543" s="36"/>
      <c r="K543" s="36">
        <v>0</v>
      </c>
      <c r="L543" s="36"/>
      <c r="M543" s="36">
        <v>1000</v>
      </c>
      <c r="N543" s="36"/>
      <c r="O543" s="36">
        <v>1129.37</v>
      </c>
      <c r="P543" s="36"/>
      <c r="Q543" s="36">
        <v>5.22</v>
      </c>
      <c r="R543" s="36"/>
      <c r="S543" s="36">
        <v>0</v>
      </c>
      <c r="T543" s="36"/>
      <c r="U543" s="36">
        <v>0</v>
      </c>
      <c r="V543" s="36"/>
      <c r="W543" s="36">
        <v>0</v>
      </c>
      <c r="X543" s="36"/>
      <c r="Y543" s="36">
        <v>0</v>
      </c>
      <c r="Z543" s="36"/>
      <c r="AA543" s="36">
        <v>0</v>
      </c>
      <c r="AB543" s="36"/>
      <c r="AC543" s="36">
        <v>0</v>
      </c>
      <c r="AD543" s="36"/>
      <c r="AE543" s="36">
        <v>0</v>
      </c>
      <c r="AF543" s="36"/>
      <c r="AG543" s="36">
        <v>0</v>
      </c>
      <c r="AH543" s="36"/>
      <c r="AI543" s="36">
        <f>SUM(E543:AG543)</f>
        <v>32351.81</v>
      </c>
      <c r="AJ543" s="10"/>
    </row>
    <row r="544" spans="1:39" s="21" customFormat="1" ht="14.25" customHeight="1">
      <c r="A544" s="1" t="s">
        <v>45</v>
      </c>
      <c r="B544" s="1"/>
      <c r="C544" s="1" t="s">
        <v>758</v>
      </c>
      <c r="D544" s="1"/>
      <c r="E544" s="36">
        <v>8487.83</v>
      </c>
      <c r="F544" s="36"/>
      <c r="G544" s="36">
        <v>0</v>
      </c>
      <c r="H544" s="36"/>
      <c r="I544" s="36">
        <v>18802.41</v>
      </c>
      <c r="J544" s="36"/>
      <c r="K544" s="36">
        <v>0</v>
      </c>
      <c r="L544" s="36"/>
      <c r="M544" s="36">
        <v>0</v>
      </c>
      <c r="N544" s="36"/>
      <c r="O544" s="36">
        <v>5096</v>
      </c>
      <c r="P544" s="36"/>
      <c r="Q544" s="36">
        <v>0</v>
      </c>
      <c r="R544" s="36"/>
      <c r="S544" s="36">
        <v>11376.3</v>
      </c>
      <c r="T544" s="36"/>
      <c r="U544" s="36">
        <v>0</v>
      </c>
      <c r="V544" s="36"/>
      <c r="W544" s="36">
        <v>0</v>
      </c>
      <c r="X544" s="36"/>
      <c r="Y544" s="36">
        <v>0</v>
      </c>
      <c r="Z544" s="36"/>
      <c r="AA544" s="36">
        <v>0</v>
      </c>
      <c r="AB544" s="36"/>
      <c r="AC544" s="36">
        <v>0</v>
      </c>
      <c r="AD544" s="36"/>
      <c r="AE544" s="36">
        <v>40.5</v>
      </c>
      <c r="AF544" s="36"/>
      <c r="AG544" s="36">
        <v>0</v>
      </c>
      <c r="AH544" s="36"/>
      <c r="AI544" s="36">
        <f>SUM(E544:AG544)</f>
        <v>43803.03999999999</v>
      </c>
      <c r="AJ544" s="10"/>
      <c r="AK544" s="22"/>
      <c r="AL544" s="22"/>
      <c r="AM544" s="22"/>
    </row>
    <row r="545" spans="1:36" ht="12.75">
      <c r="A545" s="1" t="s">
        <v>832</v>
      </c>
      <c r="C545" s="1" t="s">
        <v>662</v>
      </c>
      <c r="E545" s="83">
        <v>2519</v>
      </c>
      <c r="F545" s="83"/>
      <c r="G545" s="83">
        <v>0</v>
      </c>
      <c r="H545" s="83"/>
      <c r="I545" s="83">
        <v>0</v>
      </c>
      <c r="J545" s="83"/>
      <c r="K545" s="83">
        <v>0</v>
      </c>
      <c r="L545" s="83"/>
      <c r="M545" s="83">
        <v>0</v>
      </c>
      <c r="N545" s="83"/>
      <c r="O545" s="83">
        <v>219</v>
      </c>
      <c r="P545" s="83"/>
      <c r="Q545" s="83">
        <v>0</v>
      </c>
      <c r="R545" s="83"/>
      <c r="S545" s="83">
        <v>5569</v>
      </c>
      <c r="T545" s="83"/>
      <c r="U545" s="83">
        <v>0</v>
      </c>
      <c r="V545" s="83"/>
      <c r="W545" s="83">
        <v>0</v>
      </c>
      <c r="X545" s="83"/>
      <c r="Y545" s="83">
        <v>0</v>
      </c>
      <c r="Z545" s="83"/>
      <c r="AA545" s="83">
        <v>0</v>
      </c>
      <c r="AB545" s="83"/>
      <c r="AC545" s="83">
        <v>0</v>
      </c>
      <c r="AD545" s="83"/>
      <c r="AE545" s="83">
        <v>0</v>
      </c>
      <c r="AF545" s="83"/>
      <c r="AG545" s="83">
        <v>0</v>
      </c>
      <c r="AH545" s="83"/>
      <c r="AI545" s="83">
        <f t="shared" si="36"/>
        <v>8307</v>
      </c>
      <c r="AJ545" s="10"/>
    </row>
    <row r="546" spans="1:36" ht="12.75">
      <c r="A546" s="1" t="s">
        <v>489</v>
      </c>
      <c r="C546" s="1" t="s">
        <v>485</v>
      </c>
      <c r="E546" s="36">
        <v>55066.83</v>
      </c>
      <c r="F546" s="36"/>
      <c r="G546" s="36">
        <v>0</v>
      </c>
      <c r="H546" s="36"/>
      <c r="I546" s="36">
        <v>54303.73</v>
      </c>
      <c r="J546" s="36"/>
      <c r="K546" s="36">
        <v>0</v>
      </c>
      <c r="L546" s="36"/>
      <c r="M546" s="36">
        <v>59137.73</v>
      </c>
      <c r="N546" s="36"/>
      <c r="O546" s="36">
        <v>22709.15</v>
      </c>
      <c r="P546" s="36"/>
      <c r="Q546" s="36">
        <v>1405.46</v>
      </c>
      <c r="R546" s="36"/>
      <c r="S546" s="36">
        <v>11651.86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30000</v>
      </c>
      <c r="AB546" s="36"/>
      <c r="AC546" s="36">
        <v>0</v>
      </c>
      <c r="AD546" s="36"/>
      <c r="AE546" s="36">
        <v>0</v>
      </c>
      <c r="AF546" s="36"/>
      <c r="AG546" s="36">
        <v>0</v>
      </c>
      <c r="AH546" s="36"/>
      <c r="AI546" s="36">
        <f>SUM(E546:AG546)</f>
        <v>234274.76</v>
      </c>
      <c r="AJ546" s="10"/>
    </row>
    <row r="547" spans="1:39" s="21" customFormat="1" ht="12.75">
      <c r="A547" s="1" t="s">
        <v>336</v>
      </c>
      <c r="B547" s="1"/>
      <c r="C547" s="1" t="s">
        <v>329</v>
      </c>
      <c r="D547" s="1"/>
      <c r="E547" s="83">
        <v>7693</v>
      </c>
      <c r="F547" s="83"/>
      <c r="G547" s="83">
        <v>0</v>
      </c>
      <c r="H547" s="83"/>
      <c r="I547" s="83">
        <v>30143</v>
      </c>
      <c r="J547" s="83"/>
      <c r="K547" s="83">
        <v>0</v>
      </c>
      <c r="L547" s="83"/>
      <c r="M547" s="83">
        <v>0</v>
      </c>
      <c r="N547" s="83"/>
      <c r="O547" s="83">
        <v>0</v>
      </c>
      <c r="P547" s="83"/>
      <c r="Q547" s="83">
        <v>21</v>
      </c>
      <c r="R547" s="83"/>
      <c r="S547" s="83">
        <v>991</v>
      </c>
      <c r="T547" s="83"/>
      <c r="U547" s="83">
        <v>0</v>
      </c>
      <c r="V547" s="83"/>
      <c r="W547" s="83">
        <v>0</v>
      </c>
      <c r="X547" s="83"/>
      <c r="Y547" s="83">
        <v>0</v>
      </c>
      <c r="Z547" s="83"/>
      <c r="AA547" s="83">
        <v>0</v>
      </c>
      <c r="AB547" s="83"/>
      <c r="AC547" s="83">
        <v>0</v>
      </c>
      <c r="AD547" s="83"/>
      <c r="AE547" s="83">
        <v>0</v>
      </c>
      <c r="AF547" s="83"/>
      <c r="AG547" s="83">
        <v>0</v>
      </c>
      <c r="AH547" s="83"/>
      <c r="AI547" s="83">
        <f t="shared" si="36"/>
        <v>38848</v>
      </c>
      <c r="AJ547" s="10"/>
      <c r="AK547" s="22"/>
      <c r="AL547" s="22"/>
      <c r="AM547" s="22"/>
    </row>
    <row r="548" spans="1:36" s="21" customFormat="1" ht="12.75">
      <c r="A548" s="1" t="s">
        <v>912</v>
      </c>
      <c r="B548" s="1"/>
      <c r="C548" s="1" t="s">
        <v>562</v>
      </c>
      <c r="D548" s="1"/>
      <c r="E548" s="93">
        <v>10887.64</v>
      </c>
      <c r="F548" s="93"/>
      <c r="G548" s="93">
        <v>17378.39</v>
      </c>
      <c r="H548" s="93"/>
      <c r="I548" s="93">
        <v>15568.83</v>
      </c>
      <c r="J548" s="93"/>
      <c r="K548" s="93">
        <v>0</v>
      </c>
      <c r="L548" s="93"/>
      <c r="M548" s="93">
        <v>0</v>
      </c>
      <c r="N548" s="93"/>
      <c r="O548" s="93">
        <v>544</v>
      </c>
      <c r="P548" s="93"/>
      <c r="Q548" s="93">
        <v>10</v>
      </c>
      <c r="R548" s="93"/>
      <c r="S548" s="93">
        <v>3367.3</v>
      </c>
      <c r="T548" s="93"/>
      <c r="U548" s="93">
        <v>0</v>
      </c>
      <c r="V548" s="93"/>
      <c r="W548" s="93">
        <v>0</v>
      </c>
      <c r="X548" s="93"/>
      <c r="Y548" s="93">
        <v>0</v>
      </c>
      <c r="Z548" s="93"/>
      <c r="AA548" s="93">
        <v>0</v>
      </c>
      <c r="AB548" s="93"/>
      <c r="AC548" s="93">
        <v>0</v>
      </c>
      <c r="AD548" s="93"/>
      <c r="AE548" s="93">
        <v>0</v>
      </c>
      <c r="AF548" s="93"/>
      <c r="AG548" s="93">
        <v>0</v>
      </c>
      <c r="AH548" s="93"/>
      <c r="AI548" s="93">
        <f>SUM(E548:AG548)</f>
        <v>47756.16</v>
      </c>
      <c r="AJ548" s="10"/>
    </row>
    <row r="549" spans="1:36" s="21" customFormat="1" ht="12.75">
      <c r="A549" s="1" t="s">
        <v>855</v>
      </c>
      <c r="B549" s="1"/>
      <c r="C549" s="1" t="s">
        <v>786</v>
      </c>
      <c r="D549" s="1"/>
      <c r="E549" s="93">
        <v>62845.95</v>
      </c>
      <c r="F549" s="93"/>
      <c r="G549" s="93">
        <v>0</v>
      </c>
      <c r="H549" s="93"/>
      <c r="I549" s="93">
        <v>74968.71</v>
      </c>
      <c r="J549" s="93"/>
      <c r="K549" s="93">
        <v>0</v>
      </c>
      <c r="L549" s="93"/>
      <c r="M549" s="93">
        <v>0</v>
      </c>
      <c r="N549" s="93"/>
      <c r="O549" s="93">
        <v>2700.5</v>
      </c>
      <c r="P549" s="93"/>
      <c r="Q549" s="93">
        <v>881.96</v>
      </c>
      <c r="R549" s="93"/>
      <c r="S549" s="93">
        <v>2467.73</v>
      </c>
      <c r="T549" s="93"/>
      <c r="U549" s="93">
        <v>0</v>
      </c>
      <c r="V549" s="93"/>
      <c r="W549" s="93">
        <v>0</v>
      </c>
      <c r="X549" s="93"/>
      <c r="Y549" s="93">
        <v>0</v>
      </c>
      <c r="Z549" s="93"/>
      <c r="AA549" s="93">
        <v>0</v>
      </c>
      <c r="AB549" s="93"/>
      <c r="AC549" s="93">
        <v>0</v>
      </c>
      <c r="AD549" s="93"/>
      <c r="AE549" s="93">
        <v>0</v>
      </c>
      <c r="AF549" s="93"/>
      <c r="AG549" s="93">
        <v>0</v>
      </c>
      <c r="AH549" s="93"/>
      <c r="AI549" s="93">
        <f>SUM(E549:AG549)</f>
        <v>143864.85</v>
      </c>
      <c r="AJ549" s="10"/>
    </row>
    <row r="550" spans="1:39" s="21" customFormat="1" ht="12.75">
      <c r="A550" s="1" t="s">
        <v>65</v>
      </c>
      <c r="B550" s="1"/>
      <c r="C550" s="1" t="s">
        <v>766</v>
      </c>
      <c r="D550" s="1"/>
      <c r="E550" s="36">
        <v>7290.26</v>
      </c>
      <c r="F550" s="36"/>
      <c r="G550" s="36">
        <v>0</v>
      </c>
      <c r="H550" s="36"/>
      <c r="I550" s="36">
        <v>9278.66</v>
      </c>
      <c r="J550" s="36"/>
      <c r="K550" s="36">
        <v>0</v>
      </c>
      <c r="L550" s="36"/>
      <c r="M550" s="36">
        <v>1500</v>
      </c>
      <c r="N550" s="36"/>
      <c r="O550" s="36">
        <v>1150.76</v>
      </c>
      <c r="P550" s="36"/>
      <c r="Q550" s="36">
        <v>1634.87</v>
      </c>
      <c r="R550" s="36"/>
      <c r="S550" s="36">
        <v>639.3</v>
      </c>
      <c r="T550" s="36"/>
      <c r="U550" s="36">
        <v>0</v>
      </c>
      <c r="V550" s="36"/>
      <c r="W550" s="36">
        <v>0</v>
      </c>
      <c r="X550" s="36"/>
      <c r="Y550" s="36">
        <v>0</v>
      </c>
      <c r="Z550" s="36"/>
      <c r="AA550" s="36">
        <v>4.13</v>
      </c>
      <c r="AB550" s="36"/>
      <c r="AC550" s="36">
        <v>0</v>
      </c>
      <c r="AD550" s="36"/>
      <c r="AE550" s="36">
        <v>0</v>
      </c>
      <c r="AF550" s="36"/>
      <c r="AG550" s="36">
        <v>0</v>
      </c>
      <c r="AH550" s="36"/>
      <c r="AI550" s="36">
        <f>SUM(E550:AG550)</f>
        <v>21497.979999999996</v>
      </c>
      <c r="AJ550" s="10"/>
      <c r="AK550" s="22"/>
      <c r="AL550" s="22"/>
      <c r="AM550" s="22"/>
    </row>
    <row r="551" spans="1:36" s="21" customFormat="1" ht="12.75">
      <c r="A551" s="1" t="s">
        <v>447</v>
      </c>
      <c r="B551" s="1"/>
      <c r="C551" s="1" t="s">
        <v>446</v>
      </c>
      <c r="D551" s="1"/>
      <c r="E551" s="36">
        <v>76997.7</v>
      </c>
      <c r="F551" s="36"/>
      <c r="G551" s="36">
        <v>200918.62</v>
      </c>
      <c r="H551" s="36"/>
      <c r="I551" s="36">
        <v>293811.34</v>
      </c>
      <c r="J551" s="36"/>
      <c r="K551" s="36">
        <v>0</v>
      </c>
      <c r="L551" s="36"/>
      <c r="M551" s="36">
        <v>0</v>
      </c>
      <c r="N551" s="36"/>
      <c r="O551" s="36">
        <v>33395.87</v>
      </c>
      <c r="P551" s="36"/>
      <c r="Q551" s="36">
        <v>697.41</v>
      </c>
      <c r="R551" s="36"/>
      <c r="S551" s="36">
        <v>103307.12</v>
      </c>
      <c r="T551" s="36"/>
      <c r="U551" s="36">
        <v>0</v>
      </c>
      <c r="V551" s="36"/>
      <c r="W551" s="36">
        <v>0</v>
      </c>
      <c r="X551" s="36"/>
      <c r="Y551" s="36">
        <v>0</v>
      </c>
      <c r="Z551" s="36"/>
      <c r="AA551" s="36">
        <v>0</v>
      </c>
      <c r="AB551" s="36"/>
      <c r="AC551" s="36">
        <v>0</v>
      </c>
      <c r="AD551" s="36"/>
      <c r="AE551" s="36">
        <v>0</v>
      </c>
      <c r="AF551" s="36"/>
      <c r="AG551" s="36">
        <v>0</v>
      </c>
      <c r="AH551" s="36"/>
      <c r="AI551" s="36">
        <f>SUM(E551:AG551)</f>
        <v>709128.06</v>
      </c>
      <c r="AJ551" s="10"/>
    </row>
    <row r="552" spans="1:36" s="21" customFormat="1" ht="12.75">
      <c r="A552" s="1" t="s">
        <v>953</v>
      </c>
      <c r="B552" s="1"/>
      <c r="C552" s="1" t="s">
        <v>283</v>
      </c>
      <c r="D552" s="1"/>
      <c r="E552" s="36">
        <v>27167.02</v>
      </c>
      <c r="F552" s="36"/>
      <c r="G552" s="36">
        <v>0</v>
      </c>
      <c r="H552" s="36"/>
      <c r="I552" s="36">
        <v>13348.75</v>
      </c>
      <c r="J552" s="36"/>
      <c r="K552" s="36">
        <v>0</v>
      </c>
      <c r="L552" s="36"/>
      <c r="M552" s="36">
        <v>0</v>
      </c>
      <c r="N552" s="36"/>
      <c r="O552" s="36">
        <v>43211.6</v>
      </c>
      <c r="P552" s="36"/>
      <c r="Q552" s="36">
        <v>135.76</v>
      </c>
      <c r="R552" s="36"/>
      <c r="S552" s="36">
        <v>1699.07</v>
      </c>
      <c r="T552" s="36"/>
      <c r="U552" s="36">
        <v>0</v>
      </c>
      <c r="V552" s="36"/>
      <c r="W552" s="36">
        <v>0</v>
      </c>
      <c r="X552" s="36"/>
      <c r="Y552" s="36">
        <v>0</v>
      </c>
      <c r="Z552" s="36"/>
      <c r="AA552" s="36">
        <v>0</v>
      </c>
      <c r="AB552" s="36"/>
      <c r="AC552" s="36">
        <v>3600</v>
      </c>
      <c r="AD552" s="36"/>
      <c r="AE552" s="36">
        <v>0</v>
      </c>
      <c r="AF552" s="36"/>
      <c r="AG552" s="36">
        <v>0</v>
      </c>
      <c r="AH552" s="36"/>
      <c r="AI552" s="36">
        <f>SUM(E552:AG552)</f>
        <v>89162.2</v>
      </c>
      <c r="AJ552" s="10"/>
    </row>
    <row r="553" spans="1:36" ht="12.75">
      <c r="A553" s="15" t="s">
        <v>540</v>
      </c>
      <c r="B553" s="15"/>
      <c r="C553" s="15" t="s">
        <v>538</v>
      </c>
      <c r="D553" s="15"/>
      <c r="E553" s="83">
        <v>19968</v>
      </c>
      <c r="F553" s="85"/>
      <c r="G553" s="83">
        <v>107913</v>
      </c>
      <c r="H553" s="85"/>
      <c r="I553" s="83">
        <v>35259</v>
      </c>
      <c r="J553" s="85"/>
      <c r="K553" s="83">
        <v>0</v>
      </c>
      <c r="L553" s="85"/>
      <c r="M553" s="83">
        <v>6027</v>
      </c>
      <c r="N553" s="85"/>
      <c r="O553" s="83">
        <v>2350</v>
      </c>
      <c r="P553" s="85"/>
      <c r="Q553" s="83">
        <v>518</v>
      </c>
      <c r="R553" s="85"/>
      <c r="S553" s="83">
        <v>12600</v>
      </c>
      <c r="T553" s="83"/>
      <c r="U553" s="83">
        <v>0</v>
      </c>
      <c r="V553" s="85"/>
      <c r="W553" s="83">
        <v>0</v>
      </c>
      <c r="X553" s="85"/>
      <c r="Y553" s="83">
        <v>0</v>
      </c>
      <c r="Z553" s="85"/>
      <c r="AA553" s="83">
        <v>0</v>
      </c>
      <c r="AB553" s="85"/>
      <c r="AC553" s="83">
        <v>0</v>
      </c>
      <c r="AD553" s="85"/>
      <c r="AE553" s="83">
        <v>0</v>
      </c>
      <c r="AF553" s="85"/>
      <c r="AG553" s="83">
        <v>0</v>
      </c>
      <c r="AH553" s="85"/>
      <c r="AI553" s="83">
        <f t="shared" si="36"/>
        <v>184635</v>
      </c>
      <c r="AJ553" s="10"/>
    </row>
    <row r="554" spans="1:36" ht="12.75">
      <c r="A554" s="1" t="s">
        <v>706</v>
      </c>
      <c r="C554" s="1" t="s">
        <v>464</v>
      </c>
      <c r="E554" s="36">
        <v>15571</v>
      </c>
      <c r="F554" s="36"/>
      <c r="G554" s="36">
        <v>0</v>
      </c>
      <c r="H554" s="36"/>
      <c r="I554" s="36">
        <v>16032.05</v>
      </c>
      <c r="J554" s="36"/>
      <c r="K554" s="36">
        <v>1612.4</v>
      </c>
      <c r="L554" s="36"/>
      <c r="M554" s="36">
        <v>0</v>
      </c>
      <c r="N554" s="36"/>
      <c r="O554" s="36">
        <v>773.59</v>
      </c>
      <c r="P554" s="36"/>
      <c r="Q554" s="36">
        <v>16.7</v>
      </c>
      <c r="R554" s="36"/>
      <c r="S554" s="36">
        <v>278</v>
      </c>
      <c r="T554" s="36"/>
      <c r="U554" s="36">
        <v>0</v>
      </c>
      <c r="V554" s="36"/>
      <c r="W554" s="36">
        <v>0</v>
      </c>
      <c r="X554" s="36"/>
      <c r="Y554" s="36">
        <v>0</v>
      </c>
      <c r="Z554" s="36"/>
      <c r="AA554" s="36">
        <v>0</v>
      </c>
      <c r="AB554" s="36"/>
      <c r="AC554" s="36">
        <v>0</v>
      </c>
      <c r="AD554" s="36"/>
      <c r="AE554" s="36">
        <v>0</v>
      </c>
      <c r="AF554" s="36"/>
      <c r="AG554" s="36">
        <v>7030.6</v>
      </c>
      <c r="AH554" s="36"/>
      <c r="AI554" s="36">
        <f>SUM(E554:AG554)</f>
        <v>41314.33999999999</v>
      </c>
      <c r="AJ554" s="10"/>
    </row>
    <row r="555" spans="1:39" ht="12.75">
      <c r="A555" s="1" t="s">
        <v>304</v>
      </c>
      <c r="C555" s="1" t="s">
        <v>299</v>
      </c>
      <c r="E555" s="36">
        <v>63173.39</v>
      </c>
      <c r="F555" s="36"/>
      <c r="G555" s="36">
        <v>235929.41</v>
      </c>
      <c r="H555" s="36"/>
      <c r="I555" s="36">
        <v>164781.81</v>
      </c>
      <c r="J555" s="36"/>
      <c r="K555" s="36">
        <v>0</v>
      </c>
      <c r="L555" s="36"/>
      <c r="M555" s="36">
        <v>1976.05</v>
      </c>
      <c r="N555" s="36"/>
      <c r="O555" s="36">
        <v>27108.71</v>
      </c>
      <c r="P555" s="36"/>
      <c r="Q555" s="36">
        <v>2449.55</v>
      </c>
      <c r="R555" s="36"/>
      <c r="S555" s="36">
        <v>6309.44</v>
      </c>
      <c r="T555" s="36"/>
      <c r="U555" s="36">
        <v>0</v>
      </c>
      <c r="V555" s="36"/>
      <c r="W555" s="36">
        <v>0</v>
      </c>
      <c r="X555" s="36"/>
      <c r="Y555" s="36">
        <v>0</v>
      </c>
      <c r="Z555" s="36"/>
      <c r="AA555" s="36">
        <v>0</v>
      </c>
      <c r="AB555" s="36"/>
      <c r="AC555" s="36">
        <v>0</v>
      </c>
      <c r="AD555" s="36"/>
      <c r="AE555" s="36">
        <v>0</v>
      </c>
      <c r="AF555" s="36"/>
      <c r="AG555" s="36">
        <v>0</v>
      </c>
      <c r="AH555" s="36"/>
      <c r="AI555" s="36">
        <f>SUM(E555:AG555)</f>
        <v>501728.36</v>
      </c>
      <c r="AJ555" s="10"/>
      <c r="AK555" s="7"/>
      <c r="AL555" s="7"/>
      <c r="AM555" s="7"/>
    </row>
    <row r="556" spans="1:36" ht="12.75">
      <c r="A556" s="1" t="s">
        <v>161</v>
      </c>
      <c r="C556" s="1" t="s">
        <v>794</v>
      </c>
      <c r="E556" s="96">
        <v>89932.36</v>
      </c>
      <c r="F556" s="96"/>
      <c r="G556" s="96">
        <v>0</v>
      </c>
      <c r="H556" s="96"/>
      <c r="I556" s="96">
        <v>99777.69</v>
      </c>
      <c r="J556" s="96"/>
      <c r="K556" s="96">
        <v>0</v>
      </c>
      <c r="L556" s="96"/>
      <c r="M556" s="96">
        <v>0</v>
      </c>
      <c r="N556" s="96"/>
      <c r="O556" s="96">
        <v>26364.64</v>
      </c>
      <c r="P556" s="96"/>
      <c r="Q556" s="96">
        <v>11399.56</v>
      </c>
      <c r="R556" s="96"/>
      <c r="S556" s="96">
        <v>0</v>
      </c>
      <c r="T556" s="96"/>
      <c r="U556" s="96">
        <v>0</v>
      </c>
      <c r="V556" s="96"/>
      <c r="W556" s="96">
        <v>0</v>
      </c>
      <c r="X556" s="96"/>
      <c r="Y556" s="96">
        <v>500</v>
      </c>
      <c r="Z556" s="96"/>
      <c r="AA556" s="96">
        <v>50000</v>
      </c>
      <c r="AB556" s="96"/>
      <c r="AC556" s="96">
        <v>0</v>
      </c>
      <c r="AD556" s="96"/>
      <c r="AE556" s="96">
        <v>0</v>
      </c>
      <c r="AF556" s="96"/>
      <c r="AG556" s="96">
        <v>0</v>
      </c>
      <c r="AH556" s="96"/>
      <c r="AI556" s="96">
        <f>SUM(E556:AG556)</f>
        <v>277974.25</v>
      </c>
      <c r="AJ556" s="10"/>
    </row>
    <row r="557" spans="1:36" ht="12.75">
      <c r="A557" s="1" t="s">
        <v>954</v>
      </c>
      <c r="C557" s="1" t="s">
        <v>375</v>
      </c>
      <c r="E557" s="36">
        <v>1918.59</v>
      </c>
      <c r="F557" s="36"/>
      <c r="G557" s="36">
        <v>0</v>
      </c>
      <c r="H557" s="36"/>
      <c r="I557" s="36">
        <v>5840.81</v>
      </c>
      <c r="J557" s="36"/>
      <c r="K557" s="36">
        <v>0</v>
      </c>
      <c r="L557" s="36"/>
      <c r="M557" s="36">
        <v>0</v>
      </c>
      <c r="N557" s="36"/>
      <c r="O557" s="36">
        <v>0</v>
      </c>
      <c r="P557" s="36"/>
      <c r="Q557" s="36">
        <v>52.22</v>
      </c>
      <c r="R557" s="36"/>
      <c r="S557" s="36">
        <v>26291.32</v>
      </c>
      <c r="T557" s="36"/>
      <c r="U557" s="36">
        <v>0</v>
      </c>
      <c r="V557" s="36"/>
      <c r="W557" s="36">
        <v>0</v>
      </c>
      <c r="X557" s="36"/>
      <c r="Y557" s="36">
        <v>0</v>
      </c>
      <c r="Z557" s="36"/>
      <c r="AA557" s="36">
        <v>0</v>
      </c>
      <c r="AB557" s="36"/>
      <c r="AC557" s="36">
        <v>0</v>
      </c>
      <c r="AD557" s="36"/>
      <c r="AE557" s="36">
        <v>0</v>
      </c>
      <c r="AF557" s="36"/>
      <c r="AG557" s="36">
        <v>0</v>
      </c>
      <c r="AH557" s="36"/>
      <c r="AI557" s="36">
        <f>SUM(E557:AG557)</f>
        <v>34102.94</v>
      </c>
      <c r="AJ557" s="10"/>
    </row>
    <row r="558" spans="1:39" ht="12.75">
      <c r="A558" s="1" t="s">
        <v>46</v>
      </c>
      <c r="C558" s="1" t="s">
        <v>758</v>
      </c>
      <c r="E558" s="36">
        <v>71390.98</v>
      </c>
      <c r="F558" s="36"/>
      <c r="G558" s="36">
        <v>110305.45</v>
      </c>
      <c r="H558" s="36"/>
      <c r="I558" s="36">
        <v>59454.87</v>
      </c>
      <c r="J558" s="36"/>
      <c r="K558" s="36">
        <v>0</v>
      </c>
      <c r="L558" s="36"/>
      <c r="M558" s="36">
        <v>0</v>
      </c>
      <c r="N558" s="36"/>
      <c r="O558" s="36">
        <v>15690.2</v>
      </c>
      <c r="P558" s="36"/>
      <c r="Q558" s="36">
        <v>50.33</v>
      </c>
      <c r="R558" s="36"/>
      <c r="S558" s="36">
        <v>368.49</v>
      </c>
      <c r="T558" s="36"/>
      <c r="U558" s="36">
        <v>0</v>
      </c>
      <c r="V558" s="36"/>
      <c r="W558" s="36">
        <v>0</v>
      </c>
      <c r="X558" s="36"/>
      <c r="Y558" s="36">
        <v>0</v>
      </c>
      <c r="Z558" s="36"/>
      <c r="AA558" s="36">
        <v>0</v>
      </c>
      <c r="AB558" s="36"/>
      <c r="AC558" s="36">
        <v>9151.3</v>
      </c>
      <c r="AD558" s="36"/>
      <c r="AE558" s="36">
        <v>83749.21</v>
      </c>
      <c r="AF558" s="36"/>
      <c r="AG558" s="36">
        <v>0</v>
      </c>
      <c r="AH558" s="36"/>
      <c r="AI558" s="36">
        <f>SUM(E558:AG558)</f>
        <v>350160.83</v>
      </c>
      <c r="AJ558" s="10"/>
      <c r="AK558" s="7"/>
      <c r="AL558" s="7"/>
      <c r="AM558" s="7"/>
    </row>
    <row r="559" spans="1:39" ht="12.75">
      <c r="A559" s="1" t="s">
        <v>923</v>
      </c>
      <c r="C559" s="1" t="s">
        <v>801</v>
      </c>
      <c r="E559" s="83">
        <v>1870</v>
      </c>
      <c r="F559" s="83"/>
      <c r="G559" s="83">
        <v>0</v>
      </c>
      <c r="H559" s="83"/>
      <c r="I559" s="83">
        <v>12549</v>
      </c>
      <c r="J559" s="83"/>
      <c r="K559" s="83">
        <v>0</v>
      </c>
      <c r="L559" s="83"/>
      <c r="M559" s="83">
        <v>0</v>
      </c>
      <c r="N559" s="83"/>
      <c r="O559" s="83">
        <v>0</v>
      </c>
      <c r="P559" s="83"/>
      <c r="Q559" s="83">
        <v>18</v>
      </c>
      <c r="R559" s="83"/>
      <c r="S559" s="83">
        <v>1350</v>
      </c>
      <c r="T559" s="83"/>
      <c r="U559" s="83">
        <v>0</v>
      </c>
      <c r="V559" s="85"/>
      <c r="W559" s="83">
        <v>0</v>
      </c>
      <c r="X559" s="85"/>
      <c r="Y559" s="83">
        <v>0</v>
      </c>
      <c r="Z559" s="83"/>
      <c r="AA559" s="83">
        <v>0</v>
      </c>
      <c r="AB559" s="83"/>
      <c r="AC559" s="83">
        <v>0</v>
      </c>
      <c r="AD559" s="83"/>
      <c r="AE559" s="83">
        <v>0</v>
      </c>
      <c r="AF559" s="83"/>
      <c r="AG559" s="83">
        <v>0</v>
      </c>
      <c r="AH559" s="83"/>
      <c r="AI559" s="83">
        <f aca="true" t="shared" si="37" ref="AI559">SUM(E559:AG559)</f>
        <v>15787</v>
      </c>
      <c r="AJ559" s="10"/>
      <c r="AK559" s="7"/>
      <c r="AL559" s="7"/>
      <c r="AM559" s="7"/>
    </row>
    <row r="560" spans="1:39" ht="12.75">
      <c r="A560" s="1" t="s">
        <v>25</v>
      </c>
      <c r="C560" s="1" t="s">
        <v>751</v>
      </c>
      <c r="E560" s="36">
        <v>10805.11</v>
      </c>
      <c r="F560" s="36"/>
      <c r="G560" s="36">
        <v>0</v>
      </c>
      <c r="H560" s="36"/>
      <c r="I560" s="36">
        <v>12548.13</v>
      </c>
      <c r="J560" s="36"/>
      <c r="K560" s="36">
        <v>0</v>
      </c>
      <c r="L560" s="36"/>
      <c r="M560" s="36">
        <v>0</v>
      </c>
      <c r="N560" s="36"/>
      <c r="O560" s="36">
        <v>13819.1</v>
      </c>
      <c r="P560" s="36"/>
      <c r="Q560" s="36">
        <v>340.28</v>
      </c>
      <c r="R560" s="36"/>
      <c r="S560" s="36">
        <v>8787.02</v>
      </c>
      <c r="T560" s="36"/>
      <c r="U560" s="36">
        <v>0</v>
      </c>
      <c r="V560" s="36"/>
      <c r="W560" s="36">
        <v>0</v>
      </c>
      <c r="X560" s="36"/>
      <c r="Y560" s="36">
        <v>0</v>
      </c>
      <c r="Z560" s="36"/>
      <c r="AA560" s="36">
        <v>110000</v>
      </c>
      <c r="AB560" s="36"/>
      <c r="AC560" s="36">
        <v>0</v>
      </c>
      <c r="AD560" s="36"/>
      <c r="AE560" s="36">
        <v>0</v>
      </c>
      <c r="AF560" s="36"/>
      <c r="AG560" s="36">
        <v>0</v>
      </c>
      <c r="AH560" s="36"/>
      <c r="AI560" s="36">
        <f>SUM(E560:AG560)</f>
        <v>156299.64</v>
      </c>
      <c r="AJ560" s="10"/>
      <c r="AK560" s="7"/>
      <c r="AL560" s="7"/>
      <c r="AM560" s="7"/>
    </row>
    <row r="561" spans="1:39" s="21" customFormat="1" ht="12.75">
      <c r="A561" s="1" t="s">
        <v>676</v>
      </c>
      <c r="B561" s="1"/>
      <c r="C561" s="1" t="s">
        <v>669</v>
      </c>
      <c r="D561" s="1"/>
      <c r="E561" s="83">
        <v>7060.11</v>
      </c>
      <c r="F561" s="83"/>
      <c r="G561" s="83">
        <v>0</v>
      </c>
      <c r="H561" s="83"/>
      <c r="I561" s="83">
        <v>33034.63</v>
      </c>
      <c r="J561" s="83"/>
      <c r="K561" s="83">
        <v>0</v>
      </c>
      <c r="L561" s="83"/>
      <c r="M561" s="83">
        <v>0</v>
      </c>
      <c r="N561" s="83"/>
      <c r="O561" s="83">
        <v>671.52</v>
      </c>
      <c r="P561" s="83"/>
      <c r="Q561" s="83">
        <v>466.91</v>
      </c>
      <c r="R561" s="83"/>
      <c r="S561" s="83">
        <v>153.71</v>
      </c>
      <c r="T561" s="83"/>
      <c r="U561" s="83">
        <v>0</v>
      </c>
      <c r="V561" s="83"/>
      <c r="W561" s="83">
        <v>0</v>
      </c>
      <c r="X561" s="83"/>
      <c r="Y561" s="83">
        <v>0</v>
      </c>
      <c r="Z561" s="83"/>
      <c r="AA561" s="83">
        <v>0</v>
      </c>
      <c r="AB561" s="83"/>
      <c r="AC561" s="83">
        <v>0</v>
      </c>
      <c r="AD561" s="83"/>
      <c r="AE561" s="83">
        <v>0</v>
      </c>
      <c r="AF561" s="83"/>
      <c r="AG561" s="83">
        <v>0</v>
      </c>
      <c r="AH561" s="83"/>
      <c r="AI561" s="83">
        <f aca="true" t="shared" si="38" ref="AI561:AI562">SUM(E561:AG561)</f>
        <v>41386.88</v>
      </c>
      <c r="AJ561" s="10"/>
      <c r="AK561" s="22"/>
      <c r="AL561" s="22"/>
      <c r="AM561" s="22"/>
    </row>
    <row r="562" spans="1:36" s="21" customFormat="1" ht="12.75">
      <c r="A562" s="1" t="s">
        <v>406</v>
      </c>
      <c r="B562" s="1"/>
      <c r="C562" s="1" t="s">
        <v>403</v>
      </c>
      <c r="D562" s="1"/>
      <c r="E562" s="83">
        <v>43240.12</v>
      </c>
      <c r="F562" s="83"/>
      <c r="G562" s="83">
        <v>14581.45</v>
      </c>
      <c r="H562" s="83"/>
      <c r="I562" s="83">
        <v>22448.56</v>
      </c>
      <c r="J562" s="83"/>
      <c r="K562" s="83">
        <v>0</v>
      </c>
      <c r="L562" s="83"/>
      <c r="M562" s="83">
        <v>0</v>
      </c>
      <c r="N562" s="83"/>
      <c r="O562" s="83">
        <v>173960</v>
      </c>
      <c r="P562" s="83"/>
      <c r="Q562" s="83">
        <v>1031.91</v>
      </c>
      <c r="R562" s="83"/>
      <c r="S562" s="83">
        <v>2306.23</v>
      </c>
      <c r="T562" s="83"/>
      <c r="U562" s="83">
        <v>0</v>
      </c>
      <c r="V562" s="83"/>
      <c r="W562" s="83">
        <v>0</v>
      </c>
      <c r="X562" s="83"/>
      <c r="Y562" s="83">
        <v>0</v>
      </c>
      <c r="Z562" s="83"/>
      <c r="AA562" s="83">
        <v>0</v>
      </c>
      <c r="AB562" s="83"/>
      <c r="AC562" s="83">
        <v>0</v>
      </c>
      <c r="AD562" s="83"/>
      <c r="AE562" s="83">
        <v>0</v>
      </c>
      <c r="AF562" s="83"/>
      <c r="AG562" s="83">
        <v>0</v>
      </c>
      <c r="AH562" s="83"/>
      <c r="AI562" s="83">
        <f t="shared" si="38"/>
        <v>257568.27000000002</v>
      </c>
      <c r="AJ562" s="10"/>
    </row>
    <row r="563" spans="1:36" ht="12.75">
      <c r="A563" s="1" t="s">
        <v>576</v>
      </c>
      <c r="C563" s="1" t="s">
        <v>574</v>
      </c>
      <c r="E563" s="36">
        <v>12515.09</v>
      </c>
      <c r="F563" s="36"/>
      <c r="G563" s="36">
        <v>0</v>
      </c>
      <c r="H563" s="36"/>
      <c r="I563" s="36">
        <v>25200.57</v>
      </c>
      <c r="J563" s="36"/>
      <c r="K563" s="36">
        <v>0</v>
      </c>
      <c r="L563" s="36"/>
      <c r="M563" s="36">
        <v>0</v>
      </c>
      <c r="N563" s="36"/>
      <c r="O563" s="36">
        <v>0</v>
      </c>
      <c r="P563" s="36"/>
      <c r="Q563" s="36">
        <v>11.91</v>
      </c>
      <c r="R563" s="36"/>
      <c r="S563" s="36">
        <v>71.49</v>
      </c>
      <c r="T563" s="36"/>
      <c r="U563" s="36">
        <v>0</v>
      </c>
      <c r="V563" s="36"/>
      <c r="W563" s="36">
        <v>0</v>
      </c>
      <c r="X563" s="36"/>
      <c r="Y563" s="36">
        <v>0</v>
      </c>
      <c r="Z563" s="36"/>
      <c r="AA563" s="36">
        <v>0</v>
      </c>
      <c r="AB563" s="36"/>
      <c r="AC563" s="36">
        <v>0</v>
      </c>
      <c r="AD563" s="36"/>
      <c r="AE563" s="36">
        <v>0</v>
      </c>
      <c r="AF563" s="36"/>
      <c r="AG563" s="36">
        <v>0</v>
      </c>
      <c r="AH563" s="36"/>
      <c r="AI563" s="36">
        <f>SUM(E563:AG563)</f>
        <v>37799.060000000005</v>
      </c>
      <c r="AJ563" s="10"/>
    </row>
    <row r="564" spans="1:36" ht="12.75">
      <c r="A564" s="1" t="s">
        <v>677</v>
      </c>
      <c r="C564" s="1" t="s">
        <v>662</v>
      </c>
      <c r="E564" s="83">
        <v>111223</v>
      </c>
      <c r="F564" s="83"/>
      <c r="G564" s="83">
        <v>0</v>
      </c>
      <c r="H564" s="83"/>
      <c r="I564" s="83">
        <v>99641</v>
      </c>
      <c r="J564" s="83"/>
      <c r="K564" s="83">
        <v>0</v>
      </c>
      <c r="L564" s="83"/>
      <c r="M564" s="83">
        <v>7934</v>
      </c>
      <c r="N564" s="83"/>
      <c r="O564" s="83">
        <v>22727</v>
      </c>
      <c r="P564" s="83"/>
      <c r="Q564" s="83">
        <v>0</v>
      </c>
      <c r="R564" s="83"/>
      <c r="S564" s="83">
        <v>7900</v>
      </c>
      <c r="T564" s="83"/>
      <c r="U564" s="83">
        <v>0</v>
      </c>
      <c r="V564" s="83"/>
      <c r="W564" s="83">
        <v>0</v>
      </c>
      <c r="X564" s="83"/>
      <c r="Y564" s="83">
        <v>0</v>
      </c>
      <c r="Z564" s="83"/>
      <c r="AA564" s="83">
        <v>0</v>
      </c>
      <c r="AB564" s="83"/>
      <c r="AC564" s="83">
        <v>0</v>
      </c>
      <c r="AD564" s="83"/>
      <c r="AE564" s="83">
        <v>0</v>
      </c>
      <c r="AF564" s="83"/>
      <c r="AG564" s="83">
        <v>0</v>
      </c>
      <c r="AH564" s="83"/>
      <c r="AI564" s="83">
        <f aca="true" t="shared" si="39" ref="AI564">SUM(E564:AG564)</f>
        <v>249425</v>
      </c>
      <c r="AJ564" s="10"/>
    </row>
    <row r="565" spans="5:39" ht="12.75"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5"/>
      <c r="W565" s="83"/>
      <c r="X565" s="85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 t="s">
        <v>864</v>
      </c>
      <c r="AJ565" s="10"/>
      <c r="AK565" s="7"/>
      <c r="AL565" s="7"/>
      <c r="AM565" s="7"/>
    </row>
    <row r="566" spans="1:36" ht="12.75">
      <c r="A566" s="1" t="s">
        <v>461</v>
      </c>
      <c r="C566" s="1" t="s">
        <v>462</v>
      </c>
      <c r="E566" s="102">
        <v>1283153</v>
      </c>
      <c r="F566" s="102"/>
      <c r="G566" s="102">
        <v>0</v>
      </c>
      <c r="H566" s="102"/>
      <c r="I566" s="102">
        <v>115300</v>
      </c>
      <c r="J566" s="102"/>
      <c r="K566" s="102">
        <v>0</v>
      </c>
      <c r="L566" s="102"/>
      <c r="M566" s="102">
        <v>65699</v>
      </c>
      <c r="N566" s="102"/>
      <c r="O566" s="102">
        <v>65851</v>
      </c>
      <c r="P566" s="102"/>
      <c r="Q566" s="102">
        <v>168</v>
      </c>
      <c r="R566" s="102"/>
      <c r="S566" s="102">
        <v>19715</v>
      </c>
      <c r="T566" s="102"/>
      <c r="U566" s="102">
        <v>0</v>
      </c>
      <c r="V566" s="102"/>
      <c r="W566" s="102">
        <v>0</v>
      </c>
      <c r="X566" s="102"/>
      <c r="Y566" s="102">
        <v>0</v>
      </c>
      <c r="Z566" s="102"/>
      <c r="AA566" s="102">
        <v>0</v>
      </c>
      <c r="AB566" s="102"/>
      <c r="AC566" s="102">
        <v>0</v>
      </c>
      <c r="AD566" s="102"/>
      <c r="AE566" s="102">
        <v>0</v>
      </c>
      <c r="AF566" s="102"/>
      <c r="AG566" s="102">
        <v>0</v>
      </c>
      <c r="AH566" s="102"/>
      <c r="AI566" s="102">
        <f t="shared" si="36"/>
        <v>1549886</v>
      </c>
      <c r="AJ566" s="10"/>
    </row>
    <row r="567" spans="1:36" ht="12.75">
      <c r="A567" s="1" t="s">
        <v>90</v>
      </c>
      <c r="C567" s="1" t="s">
        <v>772</v>
      </c>
      <c r="E567" s="36">
        <v>7652.64</v>
      </c>
      <c r="F567" s="36"/>
      <c r="G567" s="36">
        <v>0</v>
      </c>
      <c r="H567" s="36"/>
      <c r="I567" s="36">
        <v>18886.08</v>
      </c>
      <c r="J567" s="36"/>
      <c r="K567" s="36">
        <v>0</v>
      </c>
      <c r="L567" s="36"/>
      <c r="M567" s="36">
        <v>0</v>
      </c>
      <c r="N567" s="36"/>
      <c r="O567" s="36">
        <v>0</v>
      </c>
      <c r="P567" s="36"/>
      <c r="Q567" s="36">
        <v>1244.81</v>
      </c>
      <c r="R567" s="36"/>
      <c r="S567" s="36">
        <v>830.71</v>
      </c>
      <c r="T567" s="36"/>
      <c r="U567" s="36">
        <v>0</v>
      </c>
      <c r="V567" s="36"/>
      <c r="W567" s="36">
        <v>0</v>
      </c>
      <c r="X567" s="36"/>
      <c r="Y567" s="36">
        <v>0</v>
      </c>
      <c r="Z567" s="36"/>
      <c r="AA567" s="36">
        <v>0</v>
      </c>
      <c r="AB567" s="36"/>
      <c r="AC567" s="36">
        <v>0</v>
      </c>
      <c r="AD567" s="36"/>
      <c r="AE567" s="36">
        <v>0</v>
      </c>
      <c r="AF567" s="36"/>
      <c r="AG567" s="36">
        <v>0</v>
      </c>
      <c r="AH567" s="36"/>
      <c r="AI567" s="36">
        <f aca="true" t="shared" si="40" ref="AI567:AI572">SUM(E567:AG567)</f>
        <v>28614.24</v>
      </c>
      <c r="AJ567" s="10"/>
    </row>
    <row r="568" spans="1:39" ht="12.75">
      <c r="A568" s="1" t="s">
        <v>27</v>
      </c>
      <c r="C568" s="1" t="s">
        <v>752</v>
      </c>
      <c r="E568" s="36">
        <v>34093.63</v>
      </c>
      <c r="F568" s="36"/>
      <c r="G568" s="36">
        <v>0</v>
      </c>
      <c r="H568" s="36"/>
      <c r="I568" s="36">
        <v>24779.67</v>
      </c>
      <c r="J568" s="36"/>
      <c r="K568" s="36">
        <v>0</v>
      </c>
      <c r="L568" s="36"/>
      <c r="M568" s="36">
        <v>10910</v>
      </c>
      <c r="N568" s="36"/>
      <c r="O568" s="36">
        <v>24309.37</v>
      </c>
      <c r="P568" s="36"/>
      <c r="Q568" s="36">
        <v>307.1</v>
      </c>
      <c r="R568" s="36"/>
      <c r="S568" s="36">
        <v>954.11</v>
      </c>
      <c r="T568" s="36"/>
      <c r="U568" s="36">
        <v>0</v>
      </c>
      <c r="V568" s="36"/>
      <c r="W568" s="36">
        <v>0</v>
      </c>
      <c r="X568" s="36"/>
      <c r="Y568" s="36">
        <v>0</v>
      </c>
      <c r="Z568" s="36"/>
      <c r="AA568" s="36">
        <v>0</v>
      </c>
      <c r="AB568" s="36"/>
      <c r="AC568" s="36">
        <v>0</v>
      </c>
      <c r="AD568" s="36"/>
      <c r="AE568" s="36">
        <v>4666.68</v>
      </c>
      <c r="AF568" s="36"/>
      <c r="AG568" s="36">
        <v>0</v>
      </c>
      <c r="AH568" s="36"/>
      <c r="AI568" s="36">
        <f t="shared" si="40"/>
        <v>100020.56</v>
      </c>
      <c r="AJ568" s="10"/>
      <c r="AK568" s="7"/>
      <c r="AL568" s="7"/>
      <c r="AM568" s="7"/>
    </row>
    <row r="569" spans="1:36" ht="12.75">
      <c r="A569" s="1" t="s">
        <v>154</v>
      </c>
      <c r="C569" s="1" t="s">
        <v>792</v>
      </c>
      <c r="E569" s="36">
        <v>247014.33</v>
      </c>
      <c r="F569" s="36"/>
      <c r="G569" s="36">
        <v>971462.07</v>
      </c>
      <c r="H569" s="36"/>
      <c r="I569" s="36">
        <v>127042.89</v>
      </c>
      <c r="J569" s="36"/>
      <c r="K569" s="36">
        <v>0</v>
      </c>
      <c r="L569" s="36"/>
      <c r="M569" s="36">
        <v>0</v>
      </c>
      <c r="N569" s="36"/>
      <c r="O569" s="36">
        <v>4600</v>
      </c>
      <c r="P569" s="36"/>
      <c r="Q569" s="36">
        <v>7635.76</v>
      </c>
      <c r="R569" s="36"/>
      <c r="S569" s="36">
        <v>326637.7</v>
      </c>
      <c r="T569" s="36"/>
      <c r="U569" s="36">
        <v>0</v>
      </c>
      <c r="V569" s="36"/>
      <c r="W569" s="36">
        <v>0</v>
      </c>
      <c r="X569" s="36"/>
      <c r="Y569" s="36">
        <v>0</v>
      </c>
      <c r="Z569" s="36"/>
      <c r="AA569" s="36">
        <v>0</v>
      </c>
      <c r="AB569" s="36"/>
      <c r="AC569" s="36">
        <v>0</v>
      </c>
      <c r="AD569" s="36"/>
      <c r="AE569" s="36">
        <v>0</v>
      </c>
      <c r="AF569" s="36"/>
      <c r="AG569" s="36">
        <v>0</v>
      </c>
      <c r="AH569" s="36"/>
      <c r="AI569" s="36">
        <f t="shared" si="40"/>
        <v>1684392.7499999998</v>
      </c>
      <c r="AJ569" s="10"/>
    </row>
    <row r="570" spans="1:39" s="21" customFormat="1" ht="12.75">
      <c r="A570" s="1" t="s">
        <v>20</v>
      </c>
      <c r="B570" s="1"/>
      <c r="C570" s="1" t="s">
        <v>750</v>
      </c>
      <c r="D570" s="1"/>
      <c r="E570" s="36">
        <v>331023.06</v>
      </c>
      <c r="F570" s="36"/>
      <c r="G570" s="36">
        <v>0</v>
      </c>
      <c r="H570" s="36"/>
      <c r="I570" s="36">
        <v>236681.25</v>
      </c>
      <c r="J570" s="36"/>
      <c r="K570" s="36">
        <v>0</v>
      </c>
      <c r="L570" s="36"/>
      <c r="M570" s="36">
        <v>41955.04</v>
      </c>
      <c r="N570" s="36"/>
      <c r="O570" s="36">
        <v>11232.55</v>
      </c>
      <c r="P570" s="36"/>
      <c r="Q570" s="36">
        <v>1155.79</v>
      </c>
      <c r="R570" s="36"/>
      <c r="S570" s="36">
        <v>11963.95</v>
      </c>
      <c r="T570" s="36"/>
      <c r="U570" s="36">
        <v>0</v>
      </c>
      <c r="V570" s="36"/>
      <c r="W570" s="36">
        <v>0</v>
      </c>
      <c r="X570" s="36"/>
      <c r="Y570" s="36">
        <v>0</v>
      </c>
      <c r="Z570" s="36"/>
      <c r="AA570" s="36">
        <v>0</v>
      </c>
      <c r="AB570" s="36"/>
      <c r="AC570" s="36">
        <v>0</v>
      </c>
      <c r="AD570" s="36"/>
      <c r="AE570" s="36">
        <v>72674</v>
      </c>
      <c r="AF570" s="36"/>
      <c r="AG570" s="36">
        <v>20</v>
      </c>
      <c r="AH570" s="36"/>
      <c r="AI570" s="36">
        <f t="shared" si="40"/>
        <v>706705.6400000001</v>
      </c>
      <c r="AJ570" s="10"/>
      <c r="AK570" s="22"/>
      <c r="AL570" s="22"/>
      <c r="AM570" s="22"/>
    </row>
    <row r="571" spans="1:36" ht="12.75">
      <c r="A571" s="1" t="s">
        <v>187</v>
      </c>
      <c r="C571" s="1" t="s">
        <v>433</v>
      </c>
      <c r="E571" s="36">
        <v>51363.86</v>
      </c>
      <c r="F571" s="36"/>
      <c r="G571" s="36">
        <v>0</v>
      </c>
      <c r="H571" s="36"/>
      <c r="I571" s="36">
        <v>24944.11</v>
      </c>
      <c r="J571" s="36"/>
      <c r="K571" s="36">
        <v>0</v>
      </c>
      <c r="L571" s="36"/>
      <c r="M571" s="36">
        <v>0</v>
      </c>
      <c r="N571" s="36"/>
      <c r="O571" s="36">
        <v>100</v>
      </c>
      <c r="P571" s="36"/>
      <c r="Q571" s="36">
        <v>2188.79</v>
      </c>
      <c r="R571" s="36"/>
      <c r="S571" s="36">
        <v>4996.05</v>
      </c>
      <c r="T571" s="36"/>
      <c r="U571" s="36">
        <v>0</v>
      </c>
      <c r="V571" s="36"/>
      <c r="W571" s="36">
        <v>0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v>100177.85</v>
      </c>
      <c r="AF571" s="36"/>
      <c r="AG571" s="36">
        <v>0</v>
      </c>
      <c r="AH571" s="36"/>
      <c r="AI571" s="36">
        <f t="shared" si="40"/>
        <v>183770.66</v>
      </c>
      <c r="AJ571" s="10"/>
    </row>
    <row r="572" spans="1:39" s="21" customFormat="1" ht="12.75">
      <c r="A572" s="1" t="s">
        <v>345</v>
      </c>
      <c r="B572" s="1"/>
      <c r="C572" s="1" t="s">
        <v>343</v>
      </c>
      <c r="D572" s="1"/>
      <c r="E572" s="36">
        <v>73690.62</v>
      </c>
      <c r="F572" s="36"/>
      <c r="G572" s="36">
        <v>374481.52</v>
      </c>
      <c r="H572" s="36"/>
      <c r="I572" s="36">
        <v>34475.72</v>
      </c>
      <c r="J572" s="36"/>
      <c r="K572" s="36">
        <v>0</v>
      </c>
      <c r="L572" s="36"/>
      <c r="M572" s="36">
        <v>0</v>
      </c>
      <c r="N572" s="36"/>
      <c r="O572" s="36">
        <v>77057.45</v>
      </c>
      <c r="P572" s="36"/>
      <c r="Q572" s="36">
        <v>43.07</v>
      </c>
      <c r="R572" s="36"/>
      <c r="S572" s="36">
        <v>7082.63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0</v>
      </c>
      <c r="AD572" s="36"/>
      <c r="AE572" s="36">
        <v>0</v>
      </c>
      <c r="AF572" s="36"/>
      <c r="AG572" s="36">
        <v>0</v>
      </c>
      <c r="AH572" s="36"/>
      <c r="AI572" s="36">
        <f t="shared" si="40"/>
        <v>566831.0099999999</v>
      </c>
      <c r="AJ572" s="10"/>
      <c r="AK572" s="22"/>
      <c r="AL572" s="22"/>
      <c r="AM572" s="22"/>
    </row>
    <row r="573" spans="1:36" ht="12.75">
      <c r="A573" s="1" t="s">
        <v>452</v>
      </c>
      <c r="C573" s="1" t="s">
        <v>451</v>
      </c>
      <c r="E573" s="83">
        <v>578866.42</v>
      </c>
      <c r="F573" s="83"/>
      <c r="G573" s="83">
        <v>3440037.22</v>
      </c>
      <c r="H573" s="83"/>
      <c r="I573" s="83">
        <v>253644.78</v>
      </c>
      <c r="J573" s="83"/>
      <c r="K573" s="83">
        <v>0</v>
      </c>
      <c r="L573" s="83"/>
      <c r="M573" s="83">
        <v>124573.91</v>
      </c>
      <c r="N573" s="83"/>
      <c r="O573" s="83">
        <v>566868.55</v>
      </c>
      <c r="P573" s="83"/>
      <c r="Q573" s="83">
        <v>575.64</v>
      </c>
      <c r="R573" s="83"/>
      <c r="S573" s="83">
        <v>83092.68</v>
      </c>
      <c r="T573" s="83"/>
      <c r="U573" s="83">
        <v>0</v>
      </c>
      <c r="V573" s="83"/>
      <c r="W573" s="83">
        <v>0</v>
      </c>
      <c r="X573" s="83"/>
      <c r="Y573" s="83">
        <v>0</v>
      </c>
      <c r="Z573" s="83"/>
      <c r="AA573" s="83">
        <v>0</v>
      </c>
      <c r="AB573" s="83"/>
      <c r="AC573" s="83">
        <v>0</v>
      </c>
      <c r="AD573" s="83"/>
      <c r="AE573" s="83">
        <v>0</v>
      </c>
      <c r="AF573" s="83"/>
      <c r="AG573" s="83">
        <v>0</v>
      </c>
      <c r="AH573" s="83"/>
      <c r="AI573" s="83">
        <f t="shared" si="36"/>
        <v>5047659.199999999</v>
      </c>
      <c r="AJ573" s="10"/>
    </row>
    <row r="574" spans="1:39" s="21" customFormat="1" ht="12.75">
      <c r="A574" s="1" t="s">
        <v>31</v>
      </c>
      <c r="B574" s="1"/>
      <c r="C574" s="1" t="s">
        <v>753</v>
      </c>
      <c r="D574" s="1"/>
      <c r="E574" s="93">
        <v>6228.11</v>
      </c>
      <c r="F574" s="93"/>
      <c r="G574" s="93">
        <v>19900.07</v>
      </c>
      <c r="H574" s="93"/>
      <c r="I574" s="93">
        <v>30988.47</v>
      </c>
      <c r="J574" s="93"/>
      <c r="K574" s="93">
        <v>0</v>
      </c>
      <c r="L574" s="93"/>
      <c r="M574" s="93">
        <v>13081.31</v>
      </c>
      <c r="N574" s="93"/>
      <c r="O574" s="93">
        <v>736.91</v>
      </c>
      <c r="P574" s="93"/>
      <c r="Q574" s="93">
        <v>158.85</v>
      </c>
      <c r="R574" s="93"/>
      <c r="S574" s="93">
        <v>5425</v>
      </c>
      <c r="T574" s="93"/>
      <c r="U574" s="93">
        <v>0</v>
      </c>
      <c r="V574" s="93"/>
      <c r="W574" s="93">
        <v>0</v>
      </c>
      <c r="X574" s="93"/>
      <c r="Y574" s="93">
        <v>0</v>
      </c>
      <c r="Z574" s="93"/>
      <c r="AA574" s="93">
        <v>0</v>
      </c>
      <c r="AB574" s="93"/>
      <c r="AC574" s="93">
        <v>0</v>
      </c>
      <c r="AD574" s="93"/>
      <c r="AE574" s="93">
        <v>542.81</v>
      </c>
      <c r="AF574" s="93"/>
      <c r="AG574" s="93">
        <v>0</v>
      </c>
      <c r="AH574" s="93"/>
      <c r="AI574" s="93">
        <f>SUM(E574:AG574)</f>
        <v>77061.53000000001</v>
      </c>
      <c r="AJ574" s="10"/>
      <c r="AK574" s="22"/>
      <c r="AL574" s="22"/>
      <c r="AM574" s="22"/>
    </row>
    <row r="575" spans="1:39" ht="12.75">
      <c r="A575" s="1" t="s">
        <v>56</v>
      </c>
      <c r="C575" s="1" t="s">
        <v>763</v>
      </c>
      <c r="E575" s="36">
        <v>18829.43</v>
      </c>
      <c r="F575" s="36"/>
      <c r="G575" s="36">
        <v>64533.18</v>
      </c>
      <c r="H575" s="36"/>
      <c r="I575" s="36">
        <v>74141.67</v>
      </c>
      <c r="J575" s="36"/>
      <c r="K575" s="36">
        <v>0</v>
      </c>
      <c r="L575" s="36"/>
      <c r="M575" s="36">
        <v>5820</v>
      </c>
      <c r="N575" s="36"/>
      <c r="O575" s="36">
        <v>8789.15</v>
      </c>
      <c r="P575" s="36"/>
      <c r="Q575" s="36">
        <v>1014.29</v>
      </c>
      <c r="R575" s="36"/>
      <c r="S575" s="36">
        <v>80.35</v>
      </c>
      <c r="T575" s="36"/>
      <c r="U575" s="36">
        <v>0</v>
      </c>
      <c r="V575" s="36"/>
      <c r="W575" s="36">
        <v>0</v>
      </c>
      <c r="X575" s="36"/>
      <c r="Y575" s="36">
        <v>0</v>
      </c>
      <c r="Z575" s="36"/>
      <c r="AA575" s="36">
        <v>0</v>
      </c>
      <c r="AB575" s="36"/>
      <c r="AC575" s="36">
        <v>0</v>
      </c>
      <c r="AD575" s="36"/>
      <c r="AE575" s="36">
        <v>0</v>
      </c>
      <c r="AF575" s="36"/>
      <c r="AG575" s="36">
        <v>0</v>
      </c>
      <c r="AH575" s="36"/>
      <c r="AI575" s="36">
        <f>SUM(E575:AG575)</f>
        <v>173208.07</v>
      </c>
      <c r="AJ575" s="10"/>
      <c r="AK575" s="7"/>
      <c r="AL575" s="7"/>
      <c r="AM575" s="7"/>
    </row>
    <row r="576" spans="1:36" ht="12.75">
      <c r="A576" s="1" t="s">
        <v>523</v>
      </c>
      <c r="C576" s="1" t="s">
        <v>520</v>
      </c>
      <c r="E576" s="83">
        <v>21052</v>
      </c>
      <c r="F576" s="83"/>
      <c r="G576" s="83">
        <v>0</v>
      </c>
      <c r="H576" s="83"/>
      <c r="I576" s="83">
        <v>48612</v>
      </c>
      <c r="J576" s="83"/>
      <c r="K576" s="83">
        <v>0</v>
      </c>
      <c r="L576" s="83"/>
      <c r="M576" s="83">
        <v>0</v>
      </c>
      <c r="N576" s="83"/>
      <c r="O576" s="83">
        <v>9515</v>
      </c>
      <c r="P576" s="83"/>
      <c r="Q576" s="83">
        <v>5624</v>
      </c>
      <c r="R576" s="83"/>
      <c r="S576" s="83">
        <v>5163</v>
      </c>
      <c r="T576" s="83"/>
      <c r="U576" s="83">
        <v>0</v>
      </c>
      <c r="V576" s="83"/>
      <c r="W576" s="83">
        <v>0</v>
      </c>
      <c r="X576" s="83"/>
      <c r="Y576" s="83">
        <v>0</v>
      </c>
      <c r="Z576" s="83"/>
      <c r="AA576" s="83">
        <v>0</v>
      </c>
      <c r="AB576" s="83"/>
      <c r="AC576" s="83">
        <v>0</v>
      </c>
      <c r="AD576" s="83"/>
      <c r="AE576" s="83">
        <v>22376</v>
      </c>
      <c r="AF576" s="83"/>
      <c r="AG576" s="83">
        <v>0</v>
      </c>
      <c r="AH576" s="83"/>
      <c r="AI576" s="83">
        <f t="shared" si="36"/>
        <v>112342</v>
      </c>
      <c r="AJ576" s="10"/>
    </row>
    <row r="577" spans="1:36" s="15" customFormat="1" ht="12.75">
      <c r="A577" s="15" t="s">
        <v>913</v>
      </c>
      <c r="C577" s="15" t="s">
        <v>590</v>
      </c>
      <c r="E577" s="85">
        <v>40308.55</v>
      </c>
      <c r="F577" s="85"/>
      <c r="G577" s="85">
        <v>215053.27</v>
      </c>
      <c r="H577" s="85"/>
      <c r="I577" s="85">
        <v>101268.85</v>
      </c>
      <c r="J577" s="85"/>
      <c r="K577" s="85">
        <v>8513.21</v>
      </c>
      <c r="L577" s="85"/>
      <c r="M577" s="85">
        <v>65606.26</v>
      </c>
      <c r="N577" s="85"/>
      <c r="O577" s="85">
        <v>663</v>
      </c>
      <c r="P577" s="85"/>
      <c r="Q577" s="85">
        <v>0</v>
      </c>
      <c r="R577" s="85"/>
      <c r="S577" s="85">
        <v>26156.8</v>
      </c>
      <c r="T577" s="85"/>
      <c r="U577" s="83">
        <v>0</v>
      </c>
      <c r="V577" s="85"/>
      <c r="W577" s="83">
        <v>0</v>
      </c>
      <c r="X577" s="85"/>
      <c r="Y577" s="83">
        <v>0</v>
      </c>
      <c r="Z577" s="85"/>
      <c r="AA577" s="85">
        <v>0</v>
      </c>
      <c r="AB577" s="85"/>
      <c r="AC577" s="83">
        <v>0</v>
      </c>
      <c r="AD577" s="85"/>
      <c r="AE577" s="85">
        <v>0</v>
      </c>
      <c r="AF577" s="85"/>
      <c r="AG577" s="83">
        <v>0</v>
      </c>
      <c r="AH577" s="85"/>
      <c r="AI577" s="83">
        <f t="shared" si="36"/>
        <v>457569.94000000006</v>
      </c>
      <c r="AJ577" s="24"/>
    </row>
    <row r="578" spans="1:36" ht="12.75">
      <c r="A578" s="1" t="s">
        <v>556</v>
      </c>
      <c r="C578" s="1" t="s">
        <v>551</v>
      </c>
      <c r="E578" s="83">
        <v>970022</v>
      </c>
      <c r="F578" s="83"/>
      <c r="G578" s="83">
        <v>485854</v>
      </c>
      <c r="H578" s="83"/>
      <c r="I578" s="83">
        <v>745925</v>
      </c>
      <c r="J578" s="83"/>
      <c r="K578" s="83">
        <v>0</v>
      </c>
      <c r="L578" s="83"/>
      <c r="M578" s="83">
        <v>3302</v>
      </c>
      <c r="N578" s="83"/>
      <c r="O578" s="83">
        <v>56678</v>
      </c>
      <c r="P578" s="83"/>
      <c r="Q578" s="83">
        <v>2065</v>
      </c>
      <c r="R578" s="83"/>
      <c r="S578" s="83">
        <v>13042</v>
      </c>
      <c r="T578" s="83"/>
      <c r="U578" s="83">
        <v>0</v>
      </c>
      <c r="V578" s="83"/>
      <c r="W578" s="83">
        <v>0</v>
      </c>
      <c r="X578" s="83"/>
      <c r="Y578" s="83">
        <v>12598</v>
      </c>
      <c r="Z578" s="83"/>
      <c r="AA578" s="83">
        <v>0</v>
      </c>
      <c r="AB578" s="83"/>
      <c r="AC578" s="83">
        <v>0</v>
      </c>
      <c r="AD578" s="83"/>
      <c r="AE578" s="83">
        <v>0</v>
      </c>
      <c r="AF578" s="83"/>
      <c r="AG578" s="83">
        <v>0</v>
      </c>
      <c r="AH578" s="83"/>
      <c r="AI578" s="83">
        <f t="shared" si="36"/>
        <v>2289486</v>
      </c>
      <c r="AJ578" s="10"/>
    </row>
    <row r="579" spans="1:36" ht="12.75">
      <c r="A579" s="1" t="s">
        <v>962</v>
      </c>
      <c r="C579" s="1" t="s">
        <v>378</v>
      </c>
      <c r="E579" s="83">
        <v>568299</v>
      </c>
      <c r="F579" s="83"/>
      <c r="G579" s="83">
        <v>1388693</v>
      </c>
      <c r="H579" s="1"/>
      <c r="I579" s="83">
        <v>287625</v>
      </c>
      <c r="J579" s="83"/>
      <c r="K579" s="83">
        <v>0</v>
      </c>
      <c r="L579" s="83"/>
      <c r="M579" s="83">
        <v>325257</v>
      </c>
      <c r="N579" s="83"/>
      <c r="O579" s="83">
        <v>106775</v>
      </c>
      <c r="P579" s="83"/>
      <c r="Q579" s="83">
        <v>12668</v>
      </c>
      <c r="R579" s="83"/>
      <c r="S579" s="83">
        <v>19715</v>
      </c>
      <c r="T579" s="83"/>
      <c r="U579" s="83">
        <v>0</v>
      </c>
      <c r="V579" s="83"/>
      <c r="W579" s="83">
        <v>0</v>
      </c>
      <c r="X579" s="83"/>
      <c r="Y579" s="83">
        <v>2313</v>
      </c>
      <c r="Z579" s="83"/>
      <c r="AA579" s="83">
        <v>148540</v>
      </c>
      <c r="AB579" s="83"/>
      <c r="AC579" s="83">
        <v>0</v>
      </c>
      <c r="AD579" s="83"/>
      <c r="AE579" s="83">
        <v>0</v>
      </c>
      <c r="AF579" s="83"/>
      <c r="AG579" s="83">
        <v>0</v>
      </c>
      <c r="AH579" s="83"/>
      <c r="AI579" s="83">
        <f t="shared" si="36"/>
        <v>2859885</v>
      </c>
      <c r="AJ579" s="10"/>
    </row>
    <row r="580" spans="1:36" s="21" customFormat="1" ht="12.75">
      <c r="A580" s="1" t="s">
        <v>411</v>
      </c>
      <c r="B580" s="1"/>
      <c r="C580" s="1" t="s">
        <v>409</v>
      </c>
      <c r="D580" s="1"/>
      <c r="E580" s="83">
        <v>6845</v>
      </c>
      <c r="F580" s="83"/>
      <c r="G580" s="83">
        <v>0</v>
      </c>
      <c r="H580" s="83"/>
      <c r="I580" s="83">
        <v>22586</v>
      </c>
      <c r="J580" s="83"/>
      <c r="K580" s="83">
        <v>0</v>
      </c>
      <c r="L580" s="83"/>
      <c r="M580" s="83">
        <v>0</v>
      </c>
      <c r="N580" s="83"/>
      <c r="O580" s="83">
        <v>0</v>
      </c>
      <c r="P580" s="83"/>
      <c r="Q580" s="83">
        <v>0</v>
      </c>
      <c r="R580" s="83"/>
      <c r="S580" s="83">
        <v>172</v>
      </c>
      <c r="T580" s="83"/>
      <c r="U580" s="83">
        <v>0</v>
      </c>
      <c r="V580" s="83"/>
      <c r="W580" s="83">
        <v>0</v>
      </c>
      <c r="X580" s="83"/>
      <c r="Y580" s="83">
        <v>0</v>
      </c>
      <c r="Z580" s="83"/>
      <c r="AA580" s="83">
        <v>0</v>
      </c>
      <c r="AB580" s="83"/>
      <c r="AC580" s="83">
        <v>0</v>
      </c>
      <c r="AD580" s="83"/>
      <c r="AE580" s="83">
        <v>0</v>
      </c>
      <c r="AF580" s="83"/>
      <c r="AG580" s="83">
        <v>0</v>
      </c>
      <c r="AH580" s="83"/>
      <c r="AI580" s="83">
        <f t="shared" si="36"/>
        <v>29603</v>
      </c>
      <c r="AJ580" s="10"/>
    </row>
    <row r="581" spans="1:36" s="15" customFormat="1" ht="12.75">
      <c r="A581" s="15" t="s">
        <v>596</v>
      </c>
      <c r="C581" s="15" t="s">
        <v>590</v>
      </c>
      <c r="E581" s="83">
        <v>590754</v>
      </c>
      <c r="F581" s="85"/>
      <c r="G581" s="83">
        <v>0</v>
      </c>
      <c r="H581" s="85"/>
      <c r="I581" s="83">
        <f>47221+37170</f>
        <v>84391</v>
      </c>
      <c r="J581" s="85"/>
      <c r="K581" s="83">
        <v>0</v>
      </c>
      <c r="L581" s="85"/>
      <c r="M581" s="83">
        <v>3877</v>
      </c>
      <c r="N581" s="85"/>
      <c r="O581" s="83">
        <v>22513</v>
      </c>
      <c r="P581" s="85"/>
      <c r="Q581" s="83">
        <v>1059</v>
      </c>
      <c r="R581" s="85"/>
      <c r="S581" s="83">
        <v>112</v>
      </c>
      <c r="T581" s="83"/>
      <c r="U581" s="83">
        <v>0</v>
      </c>
      <c r="V581" s="85"/>
      <c r="W581" s="83">
        <v>0</v>
      </c>
      <c r="X581" s="85"/>
      <c r="Y581" s="83">
        <v>0</v>
      </c>
      <c r="Z581" s="85"/>
      <c r="AA581" s="83">
        <v>0</v>
      </c>
      <c r="AB581" s="85"/>
      <c r="AC581" s="83">
        <v>0</v>
      </c>
      <c r="AD581" s="85"/>
      <c r="AE581" s="83">
        <v>0</v>
      </c>
      <c r="AF581" s="85"/>
      <c r="AG581" s="83">
        <v>0</v>
      </c>
      <c r="AH581" s="85"/>
      <c r="AI581" s="83">
        <f t="shared" si="36"/>
        <v>702706</v>
      </c>
      <c r="AJ581" s="24"/>
    </row>
    <row r="582" spans="1:36" ht="12.75">
      <c r="A582" s="1" t="s">
        <v>503</v>
      </c>
      <c r="C582" s="1" t="s">
        <v>501</v>
      </c>
      <c r="E582" s="83">
        <v>76403.56</v>
      </c>
      <c r="F582" s="83"/>
      <c r="G582" s="83">
        <v>0</v>
      </c>
      <c r="H582" s="83"/>
      <c r="I582" s="83">
        <v>33331.92</v>
      </c>
      <c r="J582" s="83"/>
      <c r="K582" s="83">
        <v>0</v>
      </c>
      <c r="L582" s="83"/>
      <c r="M582" s="83">
        <v>14138.5</v>
      </c>
      <c r="N582" s="83"/>
      <c r="O582" s="83">
        <v>8016</v>
      </c>
      <c r="P582" s="83"/>
      <c r="Q582" s="83">
        <v>658.7</v>
      </c>
      <c r="R582" s="83"/>
      <c r="S582" s="83">
        <v>12890.57</v>
      </c>
      <c r="T582" s="83"/>
      <c r="U582" s="83">
        <v>0</v>
      </c>
      <c r="V582" s="83"/>
      <c r="W582" s="83">
        <v>0</v>
      </c>
      <c r="X582" s="83"/>
      <c r="Y582" s="83">
        <v>0</v>
      </c>
      <c r="Z582" s="83"/>
      <c r="AA582" s="83">
        <v>0</v>
      </c>
      <c r="AB582" s="83"/>
      <c r="AC582" s="83">
        <v>0</v>
      </c>
      <c r="AD582" s="83"/>
      <c r="AE582" s="83">
        <v>8878.38</v>
      </c>
      <c r="AF582" s="83"/>
      <c r="AG582" s="83">
        <v>0</v>
      </c>
      <c r="AH582" s="83"/>
      <c r="AI582" s="83">
        <f t="shared" si="36"/>
        <v>154317.63</v>
      </c>
      <c r="AJ582" s="10"/>
    </row>
    <row r="583" spans="1:36" ht="12.75">
      <c r="A583" s="1" t="s">
        <v>955</v>
      </c>
      <c r="C583" s="1" t="s">
        <v>519</v>
      </c>
      <c r="E583" s="36">
        <v>9548.56</v>
      </c>
      <c r="F583" s="36"/>
      <c r="G583" s="36">
        <v>0</v>
      </c>
      <c r="H583" s="36"/>
      <c r="I583" s="36">
        <v>15319.12</v>
      </c>
      <c r="J583" s="36"/>
      <c r="K583" s="36">
        <v>0</v>
      </c>
      <c r="L583" s="36"/>
      <c r="M583" s="36">
        <v>1750</v>
      </c>
      <c r="N583" s="36"/>
      <c r="O583" s="36">
        <v>1509.26</v>
      </c>
      <c r="P583" s="36"/>
      <c r="Q583" s="36">
        <v>83.57</v>
      </c>
      <c r="R583" s="36"/>
      <c r="S583" s="36">
        <v>0</v>
      </c>
      <c r="T583" s="36"/>
      <c r="U583" s="36">
        <v>0</v>
      </c>
      <c r="V583" s="36"/>
      <c r="W583" s="36">
        <v>0</v>
      </c>
      <c r="X583" s="36"/>
      <c r="Y583" s="36">
        <v>0</v>
      </c>
      <c r="Z583" s="36"/>
      <c r="AA583" s="36">
        <v>0</v>
      </c>
      <c r="AB583" s="36"/>
      <c r="AC583" s="36">
        <v>0</v>
      </c>
      <c r="AD583" s="36"/>
      <c r="AE583" s="36">
        <v>0</v>
      </c>
      <c r="AF583" s="36"/>
      <c r="AG583" s="36">
        <v>0</v>
      </c>
      <c r="AH583" s="36"/>
      <c r="AI583" s="36">
        <f>SUM(E583:AG583)</f>
        <v>28210.51</v>
      </c>
      <c r="AJ583" s="10"/>
    </row>
    <row r="584" spans="1:39" s="15" customFormat="1" ht="12.75" hidden="1">
      <c r="A584" s="15" t="s">
        <v>915</v>
      </c>
      <c r="C584" s="15" t="s">
        <v>451</v>
      </c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3"/>
      <c r="V584" s="85"/>
      <c r="W584" s="83"/>
      <c r="X584" s="85"/>
      <c r="Y584" s="83"/>
      <c r="Z584" s="85"/>
      <c r="AA584" s="83"/>
      <c r="AB584" s="85"/>
      <c r="AC584" s="83"/>
      <c r="AD584" s="85"/>
      <c r="AE584" s="85"/>
      <c r="AF584" s="85"/>
      <c r="AG584" s="83"/>
      <c r="AH584" s="85"/>
      <c r="AI584" s="83">
        <f t="shared" si="36"/>
        <v>0</v>
      </c>
      <c r="AJ584" s="24"/>
      <c r="AK584" s="30"/>
      <c r="AL584" s="30"/>
      <c r="AM584" s="30"/>
    </row>
    <row r="585" spans="1:39" s="15" customFormat="1" ht="12.75">
      <c r="A585" s="15" t="s">
        <v>268</v>
      </c>
      <c r="C585" s="15" t="s">
        <v>804</v>
      </c>
      <c r="E585" s="36">
        <v>70068.31</v>
      </c>
      <c r="F585" s="36"/>
      <c r="G585" s="36">
        <v>244906.44</v>
      </c>
      <c r="H585" s="36"/>
      <c r="I585" s="36">
        <v>139552.42</v>
      </c>
      <c r="J585" s="36"/>
      <c r="K585" s="36">
        <v>279.3</v>
      </c>
      <c r="L585" s="36"/>
      <c r="M585" s="36">
        <v>145507.66</v>
      </c>
      <c r="N585" s="36"/>
      <c r="O585" s="36">
        <v>90951.6</v>
      </c>
      <c r="P585" s="36"/>
      <c r="Q585" s="36">
        <v>557.43</v>
      </c>
      <c r="R585" s="36"/>
      <c r="S585" s="36">
        <v>4890.32</v>
      </c>
      <c r="T585" s="36"/>
      <c r="U585" s="36">
        <v>0</v>
      </c>
      <c r="V585" s="36"/>
      <c r="W585" s="36">
        <v>0</v>
      </c>
      <c r="X585" s="36"/>
      <c r="Y585" s="36">
        <v>0</v>
      </c>
      <c r="Z585" s="36"/>
      <c r="AA585" s="36">
        <v>0</v>
      </c>
      <c r="AB585" s="36"/>
      <c r="AC585" s="36">
        <v>0</v>
      </c>
      <c r="AD585" s="36"/>
      <c r="AE585" s="36">
        <v>2913.06</v>
      </c>
      <c r="AF585" s="36"/>
      <c r="AG585" s="36">
        <v>0</v>
      </c>
      <c r="AH585" s="36"/>
      <c r="AI585" s="36">
        <f>SUM(E585:AG585)</f>
        <v>699626.54</v>
      </c>
      <c r="AJ585" s="24"/>
      <c r="AK585" s="30"/>
      <c r="AL585" s="30"/>
      <c r="AM585" s="30"/>
    </row>
    <row r="586" spans="1:39" ht="12.75">
      <c r="A586" s="1" t="s">
        <v>834</v>
      </c>
      <c r="C586" s="1" t="s">
        <v>755</v>
      </c>
      <c r="E586" s="36">
        <v>73343.05</v>
      </c>
      <c r="F586" s="36"/>
      <c r="G586" s="36">
        <v>414303.42</v>
      </c>
      <c r="H586" s="36"/>
      <c r="I586" s="36">
        <v>49100.45</v>
      </c>
      <c r="J586" s="36"/>
      <c r="K586" s="36">
        <v>0</v>
      </c>
      <c r="L586" s="36"/>
      <c r="M586" s="36">
        <v>76</v>
      </c>
      <c r="N586" s="36"/>
      <c r="O586" s="36">
        <v>53209.46</v>
      </c>
      <c r="P586" s="36"/>
      <c r="Q586" s="36">
        <v>425.66</v>
      </c>
      <c r="R586" s="36"/>
      <c r="S586" s="36">
        <v>10978.51</v>
      </c>
      <c r="T586" s="36"/>
      <c r="U586" s="36">
        <v>0</v>
      </c>
      <c r="V586" s="36"/>
      <c r="W586" s="36">
        <v>0</v>
      </c>
      <c r="X586" s="36"/>
      <c r="Y586" s="36">
        <v>4527.87</v>
      </c>
      <c r="Z586" s="36"/>
      <c r="AA586" s="36">
        <v>0</v>
      </c>
      <c r="AB586" s="36"/>
      <c r="AC586" s="36">
        <v>0</v>
      </c>
      <c r="AD586" s="36"/>
      <c r="AE586" s="36">
        <v>0</v>
      </c>
      <c r="AF586" s="36"/>
      <c r="AG586" s="36">
        <v>0</v>
      </c>
      <c r="AH586" s="36"/>
      <c r="AI586" s="36">
        <f>SUM(E586:AG586)</f>
        <v>605964.4199999999</v>
      </c>
      <c r="AJ586" s="10"/>
      <c r="AK586" s="7"/>
      <c r="AL586" s="7"/>
      <c r="AM586" s="7"/>
    </row>
    <row r="587" spans="1:36" ht="12.75">
      <c r="A587" s="1" t="s">
        <v>584</v>
      </c>
      <c r="C587" s="1" t="s">
        <v>583</v>
      </c>
      <c r="E587" s="36">
        <v>125412.98</v>
      </c>
      <c r="F587" s="36"/>
      <c r="G587" s="36">
        <v>1008055.98</v>
      </c>
      <c r="H587" s="36"/>
      <c r="I587" s="36">
        <v>49020.78</v>
      </c>
      <c r="J587" s="36"/>
      <c r="K587" s="36">
        <v>0</v>
      </c>
      <c r="L587" s="36"/>
      <c r="M587" s="36">
        <v>0</v>
      </c>
      <c r="N587" s="36"/>
      <c r="O587" s="36">
        <v>116694.04</v>
      </c>
      <c r="P587" s="36"/>
      <c r="Q587" s="36">
        <v>1614.81</v>
      </c>
      <c r="R587" s="36"/>
      <c r="S587" s="36">
        <v>102497.49</v>
      </c>
      <c r="T587" s="36"/>
      <c r="U587" s="36">
        <v>0</v>
      </c>
      <c r="V587" s="36"/>
      <c r="W587" s="36">
        <v>0</v>
      </c>
      <c r="X587" s="36"/>
      <c r="Y587" s="36">
        <v>0</v>
      </c>
      <c r="Z587" s="36"/>
      <c r="AA587" s="36">
        <v>0</v>
      </c>
      <c r="AB587" s="36"/>
      <c r="AC587" s="36">
        <v>0</v>
      </c>
      <c r="AD587" s="36"/>
      <c r="AE587" s="36">
        <v>0</v>
      </c>
      <c r="AF587" s="36"/>
      <c r="AG587" s="36">
        <v>0</v>
      </c>
      <c r="AH587" s="36"/>
      <c r="AI587" s="36">
        <f>SUM(E587:AG587)</f>
        <v>1403296.08</v>
      </c>
      <c r="AJ587" s="10"/>
    </row>
    <row r="588" spans="1:36" ht="12.75">
      <c r="A588" s="1" t="s">
        <v>128</v>
      </c>
      <c r="C588" s="1" t="s">
        <v>437</v>
      </c>
      <c r="E588" s="36">
        <v>204259.76</v>
      </c>
      <c r="F588" s="36"/>
      <c r="G588" s="36">
        <v>0</v>
      </c>
      <c r="H588" s="36"/>
      <c r="I588" s="36">
        <v>64666.58</v>
      </c>
      <c r="J588" s="36"/>
      <c r="K588" s="36">
        <v>0</v>
      </c>
      <c r="L588" s="36"/>
      <c r="M588" s="36">
        <v>4000</v>
      </c>
      <c r="N588" s="36"/>
      <c r="O588" s="36">
        <v>108739.9</v>
      </c>
      <c r="P588" s="36"/>
      <c r="Q588" s="36">
        <v>0</v>
      </c>
      <c r="R588" s="36"/>
      <c r="S588" s="36">
        <v>4217.03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0</v>
      </c>
      <c r="AB588" s="36"/>
      <c r="AC588" s="36">
        <v>0</v>
      </c>
      <c r="AD588" s="36"/>
      <c r="AE588" s="36">
        <v>0</v>
      </c>
      <c r="AF588" s="36"/>
      <c r="AG588" s="36">
        <v>0</v>
      </c>
      <c r="AH588" s="36"/>
      <c r="AI588" s="36">
        <f>SUM(E588:AG588)</f>
        <v>385883.27</v>
      </c>
      <c r="AJ588" s="10"/>
    </row>
    <row r="589" spans="1:36" ht="12.75">
      <c r="A589" s="1" t="s">
        <v>369</v>
      </c>
      <c r="C589" s="1" t="s">
        <v>368</v>
      </c>
      <c r="E589" s="83">
        <v>405224</v>
      </c>
      <c r="F589" s="83"/>
      <c r="G589" s="83">
        <v>0</v>
      </c>
      <c r="H589" s="83"/>
      <c r="I589" s="83">
        <v>327061</v>
      </c>
      <c r="J589" s="83"/>
      <c r="K589" s="83">
        <v>0</v>
      </c>
      <c r="L589" s="83"/>
      <c r="M589" s="83">
        <v>70861</v>
      </c>
      <c r="N589" s="83"/>
      <c r="O589" s="83">
        <v>67923</v>
      </c>
      <c r="P589" s="83"/>
      <c r="Q589" s="83">
        <v>703</v>
      </c>
      <c r="R589" s="83"/>
      <c r="S589" s="83">
        <v>14413</v>
      </c>
      <c r="T589" s="83"/>
      <c r="U589" s="83">
        <v>0</v>
      </c>
      <c r="V589" s="85"/>
      <c r="W589" s="83">
        <v>0</v>
      </c>
      <c r="X589" s="85"/>
      <c r="Y589" s="83">
        <v>0</v>
      </c>
      <c r="Z589" s="83"/>
      <c r="AA589" s="83">
        <v>190000</v>
      </c>
      <c r="AB589" s="83"/>
      <c r="AC589" s="83">
        <v>0</v>
      </c>
      <c r="AD589" s="83"/>
      <c r="AE589" s="83">
        <v>0</v>
      </c>
      <c r="AF589" s="83"/>
      <c r="AG589" s="83">
        <v>0</v>
      </c>
      <c r="AH589" s="83"/>
      <c r="AI589" s="83">
        <f t="shared" si="36"/>
        <v>1076185</v>
      </c>
      <c r="AJ589" s="38"/>
    </row>
    <row r="590" spans="1:36" ht="12.75">
      <c r="A590" s="1" t="s">
        <v>524</v>
      </c>
      <c r="C590" s="1" t="s">
        <v>525</v>
      </c>
      <c r="E590" s="93">
        <v>1597.75</v>
      </c>
      <c r="F590" s="93"/>
      <c r="G590" s="93">
        <v>0</v>
      </c>
      <c r="H590" s="93"/>
      <c r="I590" s="93">
        <v>26198.16</v>
      </c>
      <c r="J590" s="93"/>
      <c r="K590" s="93">
        <v>0</v>
      </c>
      <c r="L590" s="93"/>
      <c r="M590" s="93">
        <v>1445</v>
      </c>
      <c r="N590" s="93"/>
      <c r="O590" s="93">
        <v>300</v>
      </c>
      <c r="P590" s="93"/>
      <c r="Q590" s="93">
        <v>749.37</v>
      </c>
      <c r="R590" s="93"/>
      <c r="S590" s="93">
        <v>0</v>
      </c>
      <c r="T590" s="93"/>
      <c r="U590" s="93">
        <v>0</v>
      </c>
      <c r="V590" s="93"/>
      <c r="W590" s="93">
        <v>0</v>
      </c>
      <c r="X590" s="93"/>
      <c r="Y590" s="93">
        <v>0</v>
      </c>
      <c r="Z590" s="93"/>
      <c r="AA590" s="93">
        <v>0</v>
      </c>
      <c r="AB590" s="93"/>
      <c r="AC590" s="93">
        <v>0</v>
      </c>
      <c r="AD590" s="93"/>
      <c r="AE590" s="93">
        <v>0</v>
      </c>
      <c r="AF590" s="93"/>
      <c r="AG590" s="93">
        <v>0</v>
      </c>
      <c r="AH590" s="93"/>
      <c r="AI590" s="93">
        <f aca="true" t="shared" si="41" ref="AI590:AI597">SUM(E590:AG590)</f>
        <v>30290.28</v>
      </c>
      <c r="AJ590" s="38"/>
    </row>
    <row r="591" spans="1:36" ht="12.75">
      <c r="A591" s="1" t="s">
        <v>142</v>
      </c>
      <c r="C591" s="1" t="s">
        <v>789</v>
      </c>
      <c r="E591" s="36">
        <v>5524.11</v>
      </c>
      <c r="F591" s="36"/>
      <c r="G591" s="36">
        <v>3491.13</v>
      </c>
      <c r="H591" s="36"/>
      <c r="I591" s="36">
        <v>31204.64</v>
      </c>
      <c r="J591" s="36"/>
      <c r="K591" s="36">
        <v>0</v>
      </c>
      <c r="L591" s="36"/>
      <c r="M591" s="36">
        <v>55</v>
      </c>
      <c r="N591" s="36"/>
      <c r="O591" s="36">
        <v>0</v>
      </c>
      <c r="P591" s="36"/>
      <c r="Q591" s="36">
        <v>80.94</v>
      </c>
      <c r="R591" s="36"/>
      <c r="S591" s="36">
        <v>2137.28</v>
      </c>
      <c r="T591" s="36"/>
      <c r="U591" s="36">
        <v>0</v>
      </c>
      <c r="V591" s="36"/>
      <c r="W591" s="36">
        <v>0</v>
      </c>
      <c r="X591" s="36"/>
      <c r="Y591" s="36">
        <v>0</v>
      </c>
      <c r="Z591" s="36"/>
      <c r="AA591" s="36">
        <v>0</v>
      </c>
      <c r="AB591" s="36"/>
      <c r="AC591" s="36">
        <v>0</v>
      </c>
      <c r="AD591" s="36"/>
      <c r="AE591" s="36">
        <v>0</v>
      </c>
      <c r="AF591" s="36"/>
      <c r="AG591" s="36">
        <v>0</v>
      </c>
      <c r="AH591" s="36"/>
      <c r="AI591" s="36">
        <f t="shared" si="41"/>
        <v>42493.1</v>
      </c>
      <c r="AJ591" s="38"/>
    </row>
    <row r="592" spans="1:36" ht="12.75">
      <c r="A592" s="1" t="s">
        <v>35</v>
      </c>
      <c r="C592" s="1" t="s">
        <v>292</v>
      </c>
      <c r="E592" s="36">
        <v>28358.65</v>
      </c>
      <c r="F592" s="36"/>
      <c r="G592" s="36">
        <v>0</v>
      </c>
      <c r="H592" s="36"/>
      <c r="I592" s="36">
        <v>8371.41</v>
      </c>
      <c r="J592" s="36"/>
      <c r="K592" s="36">
        <v>0</v>
      </c>
      <c r="L592" s="36"/>
      <c r="M592" s="36">
        <v>3167.4</v>
      </c>
      <c r="N592" s="36"/>
      <c r="O592" s="36">
        <v>15487.82</v>
      </c>
      <c r="P592" s="36"/>
      <c r="Q592" s="36">
        <v>5318.56</v>
      </c>
      <c r="R592" s="36"/>
      <c r="S592" s="36">
        <v>7408.1</v>
      </c>
      <c r="T592" s="36"/>
      <c r="U592" s="36">
        <v>0</v>
      </c>
      <c r="V592" s="36"/>
      <c r="W592" s="36">
        <v>0</v>
      </c>
      <c r="X592" s="36"/>
      <c r="Y592" s="36">
        <v>0</v>
      </c>
      <c r="Z592" s="36"/>
      <c r="AA592" s="36">
        <v>150000</v>
      </c>
      <c r="AB592" s="36"/>
      <c r="AC592" s="36">
        <v>0</v>
      </c>
      <c r="AD592" s="36"/>
      <c r="AE592" s="36">
        <v>0</v>
      </c>
      <c r="AF592" s="36"/>
      <c r="AG592" s="36">
        <v>0</v>
      </c>
      <c r="AH592" s="36"/>
      <c r="AI592" s="36">
        <f t="shared" si="41"/>
        <v>218111.94</v>
      </c>
      <c r="AJ592" s="38"/>
    </row>
    <row r="593" spans="1:36" ht="12.75">
      <c r="A593" s="1" t="s">
        <v>217</v>
      </c>
      <c r="C593" s="1" t="s">
        <v>531</v>
      </c>
      <c r="E593" s="36">
        <v>12478.37</v>
      </c>
      <c r="F593" s="36"/>
      <c r="G593" s="36">
        <v>0</v>
      </c>
      <c r="H593" s="36"/>
      <c r="I593" s="36">
        <v>9460.48</v>
      </c>
      <c r="J593" s="36"/>
      <c r="K593" s="36">
        <v>0</v>
      </c>
      <c r="L593" s="36"/>
      <c r="M593" s="36">
        <v>0</v>
      </c>
      <c r="N593" s="36"/>
      <c r="O593" s="36">
        <v>662.25</v>
      </c>
      <c r="P593" s="36"/>
      <c r="Q593" s="36">
        <v>292.17</v>
      </c>
      <c r="R593" s="36"/>
      <c r="S593" s="36">
        <v>39.55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v>0</v>
      </c>
      <c r="AF593" s="36"/>
      <c r="AG593" s="36">
        <v>0</v>
      </c>
      <c r="AH593" s="36"/>
      <c r="AI593" s="36">
        <f t="shared" si="41"/>
        <v>22932.819999999996</v>
      </c>
      <c r="AJ593" s="38"/>
    </row>
    <row r="594" spans="1:36" ht="12.75">
      <c r="A594" s="1" t="s">
        <v>840</v>
      </c>
      <c r="C594" s="1" t="s">
        <v>243</v>
      </c>
      <c r="E594" s="36">
        <v>10939.93</v>
      </c>
      <c r="F594" s="36"/>
      <c r="G594" s="36">
        <v>0</v>
      </c>
      <c r="H594" s="36"/>
      <c r="I594" s="36">
        <v>14243.1</v>
      </c>
      <c r="J594" s="36"/>
      <c r="K594" s="36">
        <v>0</v>
      </c>
      <c r="L594" s="36"/>
      <c r="M594" s="36">
        <v>0</v>
      </c>
      <c r="N594" s="36"/>
      <c r="O594" s="36">
        <v>1301.68</v>
      </c>
      <c r="P594" s="36"/>
      <c r="Q594" s="36">
        <v>37.14</v>
      </c>
      <c r="R594" s="36"/>
      <c r="S594" s="36">
        <v>556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v>0</v>
      </c>
      <c r="AF594" s="36"/>
      <c r="AG594" s="36">
        <v>430</v>
      </c>
      <c r="AH594" s="36"/>
      <c r="AI594" s="36">
        <f t="shared" si="41"/>
        <v>27507.85</v>
      </c>
      <c r="AJ594" s="38"/>
    </row>
    <row r="595" spans="1:36" ht="12.75">
      <c r="A595" s="1" t="s">
        <v>856</v>
      </c>
      <c r="C595" s="1" t="s">
        <v>792</v>
      </c>
      <c r="E595" s="36">
        <v>33795.29</v>
      </c>
      <c r="F595" s="36"/>
      <c r="G595" s="36">
        <v>0</v>
      </c>
      <c r="H595" s="36"/>
      <c r="I595" s="36">
        <v>140493.38</v>
      </c>
      <c r="J595" s="36"/>
      <c r="K595" s="36">
        <v>0</v>
      </c>
      <c r="L595" s="36"/>
      <c r="M595" s="36">
        <v>0</v>
      </c>
      <c r="N595" s="36"/>
      <c r="O595" s="36">
        <v>22955.86</v>
      </c>
      <c r="P595" s="36"/>
      <c r="Q595" s="36">
        <v>2130.56</v>
      </c>
      <c r="R595" s="36"/>
      <c r="S595" s="36">
        <v>4006.01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0</v>
      </c>
      <c r="AB595" s="36"/>
      <c r="AC595" s="36">
        <v>7231</v>
      </c>
      <c r="AD595" s="36"/>
      <c r="AE595" s="36">
        <v>13791.26</v>
      </c>
      <c r="AF595" s="36"/>
      <c r="AG595" s="36">
        <v>0</v>
      </c>
      <c r="AH595" s="36"/>
      <c r="AI595" s="36">
        <f t="shared" si="41"/>
        <v>224403.36000000004</v>
      </c>
      <c r="AJ595" s="38"/>
    </row>
    <row r="596" spans="1:36" s="21" customFormat="1" ht="12.75">
      <c r="A596" s="1" t="s">
        <v>6</v>
      </c>
      <c r="B596" s="1"/>
      <c r="C596" s="1" t="s">
        <v>746</v>
      </c>
      <c r="D596" s="1"/>
      <c r="E596" s="36">
        <v>66998.3</v>
      </c>
      <c r="F596" s="36"/>
      <c r="G596" s="36">
        <v>0</v>
      </c>
      <c r="H596" s="36"/>
      <c r="I596" s="36">
        <v>177083.17</v>
      </c>
      <c r="J596" s="36"/>
      <c r="K596" s="36">
        <v>0</v>
      </c>
      <c r="L596" s="36"/>
      <c r="M596" s="36">
        <v>990</v>
      </c>
      <c r="N596" s="36"/>
      <c r="O596" s="36">
        <v>23359.19</v>
      </c>
      <c r="P596" s="36"/>
      <c r="Q596" s="36">
        <v>865.54</v>
      </c>
      <c r="R596" s="36"/>
      <c r="S596" s="36">
        <v>4304.49</v>
      </c>
      <c r="T596" s="36"/>
      <c r="U596" s="36">
        <v>0</v>
      </c>
      <c r="V596" s="36"/>
      <c r="W596" s="36">
        <v>0</v>
      </c>
      <c r="X596" s="36"/>
      <c r="Y596" s="36">
        <v>0</v>
      </c>
      <c r="Z596" s="36"/>
      <c r="AA596" s="36">
        <v>325069.8</v>
      </c>
      <c r="AB596" s="36"/>
      <c r="AC596" s="36">
        <v>0</v>
      </c>
      <c r="AD596" s="36"/>
      <c r="AE596" s="36">
        <v>0</v>
      </c>
      <c r="AF596" s="36"/>
      <c r="AG596" s="36">
        <v>0</v>
      </c>
      <c r="AH596" s="36"/>
      <c r="AI596" s="36">
        <f t="shared" si="41"/>
        <v>598670.49</v>
      </c>
      <c r="AJ596" s="10"/>
    </row>
    <row r="597" spans="1:36" s="21" customFormat="1" ht="12.75">
      <c r="A597" s="1" t="s">
        <v>85</v>
      </c>
      <c r="B597" s="1"/>
      <c r="C597" s="1" t="s">
        <v>771</v>
      </c>
      <c r="D597" s="1"/>
      <c r="E597" s="36">
        <v>33332.16</v>
      </c>
      <c r="F597" s="36"/>
      <c r="G597" s="36">
        <v>0</v>
      </c>
      <c r="H597" s="36"/>
      <c r="I597" s="36">
        <v>30410.56</v>
      </c>
      <c r="J597" s="36"/>
      <c r="K597" s="36">
        <v>0</v>
      </c>
      <c r="L597" s="36"/>
      <c r="M597" s="36">
        <v>6240</v>
      </c>
      <c r="N597" s="36"/>
      <c r="O597" s="36">
        <v>16370.46</v>
      </c>
      <c r="P597" s="36"/>
      <c r="Q597" s="36">
        <v>0</v>
      </c>
      <c r="R597" s="36"/>
      <c r="S597" s="36">
        <v>2141.64</v>
      </c>
      <c r="T597" s="36"/>
      <c r="U597" s="36">
        <v>0</v>
      </c>
      <c r="V597" s="36"/>
      <c r="W597" s="36">
        <v>0</v>
      </c>
      <c r="X597" s="36"/>
      <c r="Y597" s="36">
        <v>0</v>
      </c>
      <c r="Z597" s="36"/>
      <c r="AA597" s="36">
        <v>0</v>
      </c>
      <c r="AB597" s="36"/>
      <c r="AC597" s="36">
        <v>0</v>
      </c>
      <c r="AD597" s="36"/>
      <c r="AE597" s="36">
        <v>0</v>
      </c>
      <c r="AF597" s="36"/>
      <c r="AG597" s="36">
        <v>0</v>
      </c>
      <c r="AH597" s="36"/>
      <c r="AI597" s="36">
        <f t="shared" si="41"/>
        <v>88494.81999999999</v>
      </c>
      <c r="AJ597" s="10"/>
    </row>
    <row r="598" spans="1:36" s="21" customFormat="1" ht="12.75">
      <c r="A598" s="1" t="s">
        <v>443</v>
      </c>
      <c r="B598" s="1"/>
      <c r="C598" s="1" t="s">
        <v>439</v>
      </c>
      <c r="D598" s="1"/>
      <c r="E598" s="83">
        <v>0</v>
      </c>
      <c r="F598" s="83"/>
      <c r="G598" s="83">
        <v>0</v>
      </c>
      <c r="H598" s="83"/>
      <c r="I598" s="83">
        <v>44584</v>
      </c>
      <c r="J598" s="83"/>
      <c r="K598" s="83">
        <v>0</v>
      </c>
      <c r="L598" s="83"/>
      <c r="M598" s="83">
        <v>0</v>
      </c>
      <c r="N598" s="83"/>
      <c r="O598" s="83">
        <v>31301</v>
      </c>
      <c r="P598" s="83"/>
      <c r="Q598" s="83">
        <v>0</v>
      </c>
      <c r="R598" s="83"/>
      <c r="S598" s="83">
        <v>9731</v>
      </c>
      <c r="T598" s="83"/>
      <c r="U598" s="83">
        <v>0</v>
      </c>
      <c r="V598" s="83"/>
      <c r="W598" s="83">
        <v>0</v>
      </c>
      <c r="X598" s="83"/>
      <c r="Y598" s="83">
        <v>0</v>
      </c>
      <c r="Z598" s="83"/>
      <c r="AA598" s="83">
        <v>0</v>
      </c>
      <c r="AB598" s="83"/>
      <c r="AC598" s="83">
        <v>0</v>
      </c>
      <c r="AD598" s="83"/>
      <c r="AE598" s="83">
        <v>0</v>
      </c>
      <c r="AF598" s="83"/>
      <c r="AG598" s="83">
        <v>0</v>
      </c>
      <c r="AH598" s="83"/>
      <c r="AI598" s="83">
        <f t="shared" si="36"/>
        <v>85616</v>
      </c>
      <c r="AJ598" s="10"/>
    </row>
    <row r="599" spans="1:39" s="21" customFormat="1" ht="12.75">
      <c r="A599" s="1" t="s">
        <v>33</v>
      </c>
      <c r="B599" s="1"/>
      <c r="C599" s="1" t="s">
        <v>754</v>
      </c>
      <c r="D599" s="1"/>
      <c r="E599" s="36">
        <v>53739.76</v>
      </c>
      <c r="F599" s="36"/>
      <c r="G599" s="36">
        <v>245073.26</v>
      </c>
      <c r="H599" s="36"/>
      <c r="I599" s="36">
        <v>55911.85</v>
      </c>
      <c r="J599" s="36"/>
      <c r="K599" s="36">
        <v>132</v>
      </c>
      <c r="L599" s="36"/>
      <c r="M599" s="36">
        <v>24100</v>
      </c>
      <c r="N599" s="36"/>
      <c r="O599" s="36">
        <v>48527.25</v>
      </c>
      <c r="P599" s="36"/>
      <c r="Q599" s="36">
        <v>1791.29</v>
      </c>
      <c r="R599" s="36"/>
      <c r="S599" s="36">
        <v>668.05</v>
      </c>
      <c r="T599" s="36"/>
      <c r="U599" s="36">
        <v>0</v>
      </c>
      <c r="V599" s="36"/>
      <c r="W599" s="36">
        <v>0</v>
      </c>
      <c r="X599" s="36"/>
      <c r="Y599" s="36">
        <v>0</v>
      </c>
      <c r="Z599" s="36"/>
      <c r="AA599" s="36">
        <v>0</v>
      </c>
      <c r="AB599" s="36"/>
      <c r="AC599" s="36">
        <v>0</v>
      </c>
      <c r="AD599" s="36"/>
      <c r="AE599" s="36">
        <v>0</v>
      </c>
      <c r="AF599" s="36"/>
      <c r="AG599" s="36">
        <v>0</v>
      </c>
      <c r="AH599" s="36"/>
      <c r="AI599" s="36">
        <f>SUM(E599:AG599)</f>
        <v>429943.45999999996</v>
      </c>
      <c r="AJ599" s="10"/>
      <c r="AK599" s="22"/>
      <c r="AL599" s="22"/>
      <c r="AM599" s="22"/>
    </row>
    <row r="600" spans="1:36" ht="12.75">
      <c r="A600" s="1" t="s">
        <v>477</v>
      </c>
      <c r="C600" s="1" t="s">
        <v>474</v>
      </c>
      <c r="E600" s="83">
        <v>3259</v>
      </c>
      <c r="F600" s="83"/>
      <c r="G600" s="83">
        <v>0</v>
      </c>
      <c r="H600" s="83"/>
      <c r="I600" s="83">
        <v>4122</v>
      </c>
      <c r="J600" s="83"/>
      <c r="K600" s="83">
        <v>0</v>
      </c>
      <c r="L600" s="83"/>
      <c r="M600" s="83">
        <v>0</v>
      </c>
      <c r="N600" s="83"/>
      <c r="O600" s="83">
        <v>0</v>
      </c>
      <c r="P600" s="83"/>
      <c r="Q600" s="83">
        <v>0</v>
      </c>
      <c r="R600" s="83"/>
      <c r="S600" s="83">
        <v>49</v>
      </c>
      <c r="T600" s="83"/>
      <c r="U600" s="83">
        <v>0</v>
      </c>
      <c r="V600" s="83"/>
      <c r="W600" s="83">
        <v>0</v>
      </c>
      <c r="X600" s="83"/>
      <c r="Y600" s="83">
        <v>0</v>
      </c>
      <c r="Z600" s="83"/>
      <c r="AA600" s="83">
        <v>0</v>
      </c>
      <c r="AB600" s="83"/>
      <c r="AC600" s="83">
        <v>0</v>
      </c>
      <c r="AD600" s="83"/>
      <c r="AE600" s="83">
        <v>0</v>
      </c>
      <c r="AF600" s="83"/>
      <c r="AG600" s="83">
        <v>0</v>
      </c>
      <c r="AH600" s="83"/>
      <c r="AI600" s="83">
        <f t="shared" si="36"/>
        <v>7430</v>
      </c>
      <c r="AJ600" s="10"/>
    </row>
    <row r="601" spans="1:36" s="21" customFormat="1" ht="12.75">
      <c r="A601" s="1" t="s">
        <v>169</v>
      </c>
      <c r="B601" s="1"/>
      <c r="C601" s="1" t="s">
        <v>798</v>
      </c>
      <c r="D601" s="1"/>
      <c r="E601" s="36">
        <v>17803.89</v>
      </c>
      <c r="F601" s="36"/>
      <c r="G601" s="36">
        <v>0</v>
      </c>
      <c r="H601" s="36"/>
      <c r="I601" s="36">
        <v>23498.39</v>
      </c>
      <c r="J601" s="36"/>
      <c r="K601" s="36">
        <v>0</v>
      </c>
      <c r="L601" s="36"/>
      <c r="M601" s="36">
        <v>0</v>
      </c>
      <c r="N601" s="36"/>
      <c r="O601" s="36">
        <v>0</v>
      </c>
      <c r="P601" s="36"/>
      <c r="Q601" s="36">
        <v>1072.45</v>
      </c>
      <c r="R601" s="36"/>
      <c r="S601" s="36">
        <v>4078</v>
      </c>
      <c r="T601" s="36"/>
      <c r="U601" s="36">
        <v>0</v>
      </c>
      <c r="V601" s="36"/>
      <c r="W601" s="36">
        <v>0</v>
      </c>
      <c r="X601" s="36"/>
      <c r="Y601" s="36">
        <v>0</v>
      </c>
      <c r="Z601" s="36"/>
      <c r="AA601" s="36">
        <v>0</v>
      </c>
      <c r="AB601" s="36"/>
      <c r="AC601" s="36">
        <v>0</v>
      </c>
      <c r="AD601" s="36"/>
      <c r="AE601" s="36">
        <v>0</v>
      </c>
      <c r="AF601" s="36"/>
      <c r="AG601" s="36">
        <v>0</v>
      </c>
      <c r="AH601" s="36"/>
      <c r="AI601" s="36">
        <f>SUM(E601:AG601)</f>
        <v>46452.729999999996</v>
      </c>
      <c r="AJ601" s="10"/>
    </row>
    <row r="602" spans="1:36" ht="12.75">
      <c r="A602" s="1" t="s">
        <v>568</v>
      </c>
      <c r="C602" s="1" t="s">
        <v>562</v>
      </c>
      <c r="E602" s="36">
        <v>5000.99</v>
      </c>
      <c r="F602" s="36"/>
      <c r="G602" s="36">
        <v>13329.07</v>
      </c>
      <c r="H602" s="36"/>
      <c r="I602" s="36">
        <v>9304</v>
      </c>
      <c r="J602" s="36"/>
      <c r="K602" s="36">
        <v>0</v>
      </c>
      <c r="L602" s="36"/>
      <c r="M602" s="36">
        <v>0</v>
      </c>
      <c r="N602" s="36"/>
      <c r="O602" s="36">
        <v>40</v>
      </c>
      <c r="P602" s="36"/>
      <c r="Q602" s="36">
        <v>12.39</v>
      </c>
      <c r="R602" s="36"/>
      <c r="S602" s="36">
        <v>74.24</v>
      </c>
      <c r="T602" s="36"/>
      <c r="U602" s="36">
        <v>0</v>
      </c>
      <c r="V602" s="36"/>
      <c r="W602" s="36">
        <v>0</v>
      </c>
      <c r="X602" s="36"/>
      <c r="Y602" s="36">
        <v>0</v>
      </c>
      <c r="Z602" s="36"/>
      <c r="AA602" s="36">
        <v>0</v>
      </c>
      <c r="AB602" s="36"/>
      <c r="AC602" s="36">
        <v>0</v>
      </c>
      <c r="AD602" s="36"/>
      <c r="AE602" s="36">
        <v>0</v>
      </c>
      <c r="AF602" s="36"/>
      <c r="AG602" s="36">
        <v>0</v>
      </c>
      <c r="AH602" s="36"/>
      <c r="AI602" s="36">
        <f>SUM(E602:AG602)</f>
        <v>27760.69</v>
      </c>
      <c r="AJ602" s="10"/>
    </row>
    <row r="603" spans="1:36" ht="12.75">
      <c r="A603" s="1" t="s">
        <v>956</v>
      </c>
      <c r="C603" s="1" t="s">
        <v>350</v>
      </c>
      <c r="E603" s="36">
        <v>27308.79</v>
      </c>
      <c r="F603" s="36"/>
      <c r="G603" s="36">
        <v>0</v>
      </c>
      <c r="H603" s="36"/>
      <c r="I603" s="36">
        <v>16110.9</v>
      </c>
      <c r="J603" s="36"/>
      <c r="K603" s="36">
        <v>0</v>
      </c>
      <c r="L603" s="36"/>
      <c r="M603" s="36">
        <v>0</v>
      </c>
      <c r="N603" s="36"/>
      <c r="O603" s="36">
        <v>3137.84</v>
      </c>
      <c r="P603" s="36"/>
      <c r="Q603" s="36">
        <v>460.48</v>
      </c>
      <c r="R603" s="36"/>
      <c r="S603" s="36">
        <v>4116</v>
      </c>
      <c r="T603" s="36"/>
      <c r="U603" s="36">
        <v>0</v>
      </c>
      <c r="V603" s="36"/>
      <c r="W603" s="36">
        <v>0</v>
      </c>
      <c r="X603" s="36"/>
      <c r="Y603" s="36">
        <v>0</v>
      </c>
      <c r="Z603" s="36"/>
      <c r="AA603" s="36">
        <v>0</v>
      </c>
      <c r="AB603" s="36"/>
      <c r="AC603" s="36">
        <v>0</v>
      </c>
      <c r="AD603" s="36"/>
      <c r="AE603" s="36">
        <v>0</v>
      </c>
      <c r="AF603" s="36"/>
      <c r="AG603" s="36">
        <v>0</v>
      </c>
      <c r="AH603" s="36"/>
      <c r="AI603" s="36">
        <f>SUM(E603:AG603)</f>
        <v>51134.01</v>
      </c>
      <c r="AJ603" s="10"/>
    </row>
    <row r="604" spans="1:36" ht="12.75">
      <c r="A604" s="1" t="s">
        <v>569</v>
      </c>
      <c r="C604" s="1" t="s">
        <v>562</v>
      </c>
      <c r="E604" s="83">
        <v>96134.16</v>
      </c>
      <c r="F604" s="83"/>
      <c r="G604" s="83">
        <v>421312.67</v>
      </c>
      <c r="H604" s="83"/>
      <c r="I604" s="83">
        <v>115435.97</v>
      </c>
      <c r="J604" s="83"/>
      <c r="K604" s="83">
        <v>0</v>
      </c>
      <c r="L604" s="83"/>
      <c r="M604" s="83">
        <v>100031.93</v>
      </c>
      <c r="N604" s="83"/>
      <c r="O604" s="83">
        <v>7858.6</v>
      </c>
      <c r="P604" s="83"/>
      <c r="Q604" s="83">
        <v>6617.19</v>
      </c>
      <c r="R604" s="83"/>
      <c r="S604" s="83">
        <v>66717.55</v>
      </c>
      <c r="T604" s="83"/>
      <c r="U604" s="83">
        <v>0</v>
      </c>
      <c r="V604" s="83"/>
      <c r="W604" s="83">
        <v>0</v>
      </c>
      <c r="X604" s="83"/>
      <c r="Y604" s="83">
        <v>0</v>
      </c>
      <c r="Z604" s="83"/>
      <c r="AA604" s="83">
        <v>269751.84</v>
      </c>
      <c r="AB604" s="83"/>
      <c r="AC604" s="83">
        <v>0</v>
      </c>
      <c r="AD604" s="83"/>
      <c r="AE604" s="83">
        <v>0</v>
      </c>
      <c r="AF604" s="83"/>
      <c r="AG604" s="83">
        <v>0</v>
      </c>
      <c r="AH604" s="83"/>
      <c r="AI604" s="83">
        <f t="shared" si="36"/>
        <v>1083859.91</v>
      </c>
      <c r="AJ604" s="10"/>
    </row>
    <row r="605" spans="1:36" s="21" customFormat="1" ht="12.75">
      <c r="A605" s="1" t="s">
        <v>424</v>
      </c>
      <c r="B605" s="1"/>
      <c r="C605" s="1" t="s">
        <v>420</v>
      </c>
      <c r="D605" s="1"/>
      <c r="E605" s="83">
        <v>1119318.53</v>
      </c>
      <c r="F605" s="83"/>
      <c r="G605" s="83">
        <v>0</v>
      </c>
      <c r="H605" s="83"/>
      <c r="I605" s="83">
        <v>416719.75</v>
      </c>
      <c r="J605" s="83"/>
      <c r="K605" s="83">
        <v>0</v>
      </c>
      <c r="L605" s="83"/>
      <c r="M605" s="83">
        <v>3385</v>
      </c>
      <c r="N605" s="83"/>
      <c r="O605" s="83">
        <v>640</v>
      </c>
      <c r="P605" s="83"/>
      <c r="Q605" s="83">
        <v>1226.45</v>
      </c>
      <c r="R605" s="83"/>
      <c r="S605" s="83">
        <v>18945</v>
      </c>
      <c r="T605" s="83"/>
      <c r="U605" s="83">
        <v>0</v>
      </c>
      <c r="V605" s="83"/>
      <c r="W605" s="83">
        <v>0</v>
      </c>
      <c r="X605" s="83"/>
      <c r="Y605" s="83">
        <v>0</v>
      </c>
      <c r="Z605" s="83"/>
      <c r="AA605" s="83">
        <v>0</v>
      </c>
      <c r="AB605" s="83"/>
      <c r="AC605" s="83">
        <v>0</v>
      </c>
      <c r="AD605" s="83"/>
      <c r="AE605" s="83">
        <v>28073.35</v>
      </c>
      <c r="AF605" s="83"/>
      <c r="AG605" s="83">
        <v>0</v>
      </c>
      <c r="AH605" s="83"/>
      <c r="AI605" s="83">
        <f t="shared" si="36"/>
        <v>1588308.08</v>
      </c>
      <c r="AJ605" s="10"/>
    </row>
    <row r="606" spans="1:36" ht="12.75">
      <c r="A606" s="1" t="s">
        <v>600</v>
      </c>
      <c r="C606" s="1" t="s">
        <v>598</v>
      </c>
      <c r="E606" s="83">
        <v>303200.58</v>
      </c>
      <c r="F606" s="83"/>
      <c r="G606" s="83">
        <v>0</v>
      </c>
      <c r="H606" s="83"/>
      <c r="I606" s="83">
        <v>84814.84</v>
      </c>
      <c r="J606" s="83"/>
      <c r="K606" s="83">
        <v>0</v>
      </c>
      <c r="L606" s="83"/>
      <c r="M606" s="83">
        <v>525</v>
      </c>
      <c r="N606" s="83"/>
      <c r="O606" s="83">
        <v>8528.45</v>
      </c>
      <c r="P606" s="83"/>
      <c r="Q606" s="10">
        <v>1896.91</v>
      </c>
      <c r="R606" s="83"/>
      <c r="S606" s="83">
        <v>17923.75</v>
      </c>
      <c r="T606" s="83"/>
      <c r="U606" s="83">
        <v>0</v>
      </c>
      <c r="V606" s="83"/>
      <c r="W606" s="83">
        <v>0</v>
      </c>
      <c r="X606" s="83"/>
      <c r="Y606" s="83">
        <v>0</v>
      </c>
      <c r="Z606" s="83"/>
      <c r="AA606" s="83">
        <v>0</v>
      </c>
      <c r="AB606" s="83"/>
      <c r="AC606" s="83">
        <v>0</v>
      </c>
      <c r="AD606" s="83"/>
      <c r="AE606" s="83">
        <v>0</v>
      </c>
      <c r="AF606" s="83"/>
      <c r="AG606" s="83">
        <v>0</v>
      </c>
      <c r="AH606" s="83"/>
      <c r="AI606" s="83">
        <f t="shared" si="36"/>
        <v>416889.53</v>
      </c>
      <c r="AJ606" s="10"/>
    </row>
    <row r="607" spans="1:36" ht="12.75">
      <c r="A607" s="1" t="s">
        <v>196</v>
      </c>
      <c r="C607" s="1" t="s">
        <v>806</v>
      </c>
      <c r="E607" s="93">
        <v>63196.65</v>
      </c>
      <c r="F607" s="93"/>
      <c r="G607" s="93">
        <v>0</v>
      </c>
      <c r="H607" s="93"/>
      <c r="I607" s="93">
        <v>54592.91</v>
      </c>
      <c r="J607" s="93"/>
      <c r="K607" s="93">
        <v>0</v>
      </c>
      <c r="L607" s="93"/>
      <c r="M607" s="93">
        <v>0</v>
      </c>
      <c r="N607" s="93"/>
      <c r="O607" s="93">
        <v>3240.66</v>
      </c>
      <c r="P607" s="93"/>
      <c r="Q607" s="93">
        <v>49.4</v>
      </c>
      <c r="R607" s="93"/>
      <c r="S607" s="93">
        <v>0</v>
      </c>
      <c r="T607" s="93"/>
      <c r="U607" s="93">
        <v>0</v>
      </c>
      <c r="V607" s="93"/>
      <c r="W607" s="93">
        <v>0</v>
      </c>
      <c r="X607" s="93"/>
      <c r="Y607" s="93">
        <v>0</v>
      </c>
      <c r="Z607" s="93"/>
      <c r="AA607" s="93">
        <v>0</v>
      </c>
      <c r="AB607" s="93"/>
      <c r="AC607" s="93">
        <v>0</v>
      </c>
      <c r="AD607" s="93"/>
      <c r="AE607" s="93">
        <v>0</v>
      </c>
      <c r="AF607" s="93"/>
      <c r="AG607" s="93">
        <v>0</v>
      </c>
      <c r="AH607" s="93"/>
      <c r="AI607" s="93">
        <f>SUM(E607:AG607)</f>
        <v>121079.62</v>
      </c>
      <c r="AJ607" s="10"/>
    </row>
    <row r="608" spans="1:39" s="21" customFormat="1" ht="12.75">
      <c r="A608" s="1" t="s">
        <v>66</v>
      </c>
      <c r="B608" s="1"/>
      <c r="C608" s="1" t="s">
        <v>766</v>
      </c>
      <c r="D608" s="1"/>
      <c r="E608" s="36">
        <v>33137.58</v>
      </c>
      <c r="F608" s="36"/>
      <c r="G608" s="36">
        <v>74482.23</v>
      </c>
      <c r="H608" s="36"/>
      <c r="I608" s="36">
        <v>21824.86</v>
      </c>
      <c r="J608" s="36"/>
      <c r="K608" s="36">
        <v>0</v>
      </c>
      <c r="L608" s="36"/>
      <c r="M608" s="36">
        <v>0</v>
      </c>
      <c r="N608" s="36"/>
      <c r="O608" s="36">
        <v>6147.47</v>
      </c>
      <c r="P608" s="36"/>
      <c r="Q608" s="36">
        <v>620.5</v>
      </c>
      <c r="R608" s="36"/>
      <c r="S608" s="36">
        <v>422.32</v>
      </c>
      <c r="T608" s="36"/>
      <c r="U608" s="36">
        <v>0</v>
      </c>
      <c r="V608" s="36"/>
      <c r="W608" s="36">
        <v>0</v>
      </c>
      <c r="X608" s="36"/>
      <c r="Y608" s="36">
        <v>0</v>
      </c>
      <c r="Z608" s="36"/>
      <c r="AA608" s="36">
        <v>0</v>
      </c>
      <c r="AB608" s="36"/>
      <c r="AC608" s="36">
        <v>0</v>
      </c>
      <c r="AD608" s="36"/>
      <c r="AE608" s="36">
        <v>0</v>
      </c>
      <c r="AF608" s="36"/>
      <c r="AG608" s="36">
        <v>0</v>
      </c>
      <c r="AH608" s="36"/>
      <c r="AI608" s="36">
        <f>SUM(E608:AG608)</f>
        <v>136634.96</v>
      </c>
      <c r="AJ608" s="10"/>
      <c r="AK608" s="22"/>
      <c r="AL608" s="22"/>
      <c r="AM608" s="22"/>
    </row>
    <row r="609" spans="1:36" ht="12.75">
      <c r="A609" s="1" t="s">
        <v>570</v>
      </c>
      <c r="C609" s="1" t="s">
        <v>562</v>
      </c>
      <c r="E609" s="83">
        <v>260671.25</v>
      </c>
      <c r="F609" s="83"/>
      <c r="G609" s="83">
        <v>498705.06</v>
      </c>
      <c r="H609" s="83"/>
      <c r="I609" s="83">
        <v>167965.68</v>
      </c>
      <c r="J609" s="83"/>
      <c r="K609" s="83">
        <v>200000</v>
      </c>
      <c r="L609" s="83"/>
      <c r="M609" s="83">
        <v>8084</v>
      </c>
      <c r="N609" s="83"/>
      <c r="O609" s="83">
        <v>24574</v>
      </c>
      <c r="P609" s="83"/>
      <c r="Q609" s="83">
        <v>272.42</v>
      </c>
      <c r="R609" s="83"/>
      <c r="S609" s="83">
        <v>12797.66</v>
      </c>
      <c r="T609" s="83"/>
      <c r="U609" s="83">
        <v>0</v>
      </c>
      <c r="V609" s="83"/>
      <c r="W609" s="83">
        <v>28240</v>
      </c>
      <c r="X609" s="83"/>
      <c r="Y609" s="83">
        <v>1000</v>
      </c>
      <c r="Z609" s="83"/>
      <c r="AA609" s="83">
        <v>0</v>
      </c>
      <c r="AB609" s="83"/>
      <c r="AC609" s="83">
        <v>0</v>
      </c>
      <c r="AD609" s="83"/>
      <c r="AE609" s="83">
        <v>0</v>
      </c>
      <c r="AF609" s="83"/>
      <c r="AG609" s="83">
        <v>0</v>
      </c>
      <c r="AH609" s="83"/>
      <c r="AI609" s="83">
        <f t="shared" si="36"/>
        <v>1202310.0699999998</v>
      </c>
      <c r="AJ609" s="10"/>
    </row>
    <row r="610" spans="1:36" ht="12.75">
      <c r="A610" s="1" t="s">
        <v>178</v>
      </c>
      <c r="C610" s="1" t="s">
        <v>801</v>
      </c>
      <c r="E610" s="36">
        <v>16920.56</v>
      </c>
      <c r="F610" s="36"/>
      <c r="G610" s="36">
        <v>0</v>
      </c>
      <c r="H610" s="36"/>
      <c r="I610" s="36">
        <v>11080.81</v>
      </c>
      <c r="J610" s="36"/>
      <c r="K610" s="36">
        <v>0</v>
      </c>
      <c r="L610" s="36"/>
      <c r="M610" s="36">
        <v>0</v>
      </c>
      <c r="N610" s="36"/>
      <c r="O610" s="36">
        <v>0</v>
      </c>
      <c r="P610" s="36"/>
      <c r="Q610" s="36">
        <v>11.83</v>
      </c>
      <c r="R610" s="36"/>
      <c r="S610" s="36">
        <v>0</v>
      </c>
      <c r="T610" s="36"/>
      <c r="U610" s="36">
        <v>0</v>
      </c>
      <c r="V610" s="36"/>
      <c r="W610" s="36">
        <v>0</v>
      </c>
      <c r="X610" s="36"/>
      <c r="Y610" s="36">
        <v>0</v>
      </c>
      <c r="Z610" s="36"/>
      <c r="AA610" s="36">
        <v>0</v>
      </c>
      <c r="AB610" s="36"/>
      <c r="AC610" s="36">
        <v>0</v>
      </c>
      <c r="AD610" s="36"/>
      <c r="AE610" s="36">
        <v>0</v>
      </c>
      <c r="AF610" s="36"/>
      <c r="AG610" s="36">
        <v>0</v>
      </c>
      <c r="AH610" s="36"/>
      <c r="AI610" s="36">
        <f>SUM(E610:AG610)</f>
        <v>28013.200000000004</v>
      </c>
      <c r="AJ610" s="10"/>
    </row>
    <row r="611" spans="1:39" ht="12.75">
      <c r="A611" s="1" t="s">
        <v>47</v>
      </c>
      <c r="C611" s="1" t="s">
        <v>305</v>
      </c>
      <c r="E611" s="36">
        <v>9072.85</v>
      </c>
      <c r="F611" s="36"/>
      <c r="G611" s="36">
        <v>0</v>
      </c>
      <c r="H611" s="36"/>
      <c r="I611" s="36">
        <v>9308.66</v>
      </c>
      <c r="J611" s="36"/>
      <c r="K611" s="36">
        <v>0</v>
      </c>
      <c r="L611" s="36"/>
      <c r="M611" s="36">
        <v>0</v>
      </c>
      <c r="N611" s="36"/>
      <c r="O611" s="36">
        <v>2262.8</v>
      </c>
      <c r="P611" s="36"/>
      <c r="Q611" s="36">
        <v>0</v>
      </c>
      <c r="R611" s="36"/>
      <c r="S611" s="36">
        <v>3550.14</v>
      </c>
      <c r="T611" s="36"/>
      <c r="U611" s="36">
        <v>0</v>
      </c>
      <c r="V611" s="36"/>
      <c r="W611" s="36">
        <v>0</v>
      </c>
      <c r="X611" s="36"/>
      <c r="Y611" s="36">
        <v>0</v>
      </c>
      <c r="Z611" s="36"/>
      <c r="AA611" s="36">
        <v>0</v>
      </c>
      <c r="AB611" s="36"/>
      <c r="AC611" s="36">
        <v>0</v>
      </c>
      <c r="AD611" s="36"/>
      <c r="AE611" s="36">
        <v>0</v>
      </c>
      <c r="AF611" s="36"/>
      <c r="AG611" s="36">
        <v>0</v>
      </c>
      <c r="AH611" s="36"/>
      <c r="AI611" s="36">
        <f>SUM(E611:AG611)</f>
        <v>24194.45</v>
      </c>
      <c r="AJ611" s="10"/>
      <c r="AK611" s="7"/>
      <c r="AL611" s="7"/>
      <c r="AM611" s="7"/>
    </row>
    <row r="612" spans="1:39" s="21" customFormat="1" ht="12.75">
      <c r="A612" s="1" t="s">
        <v>346</v>
      </c>
      <c r="B612" s="1"/>
      <c r="C612" s="1" t="s">
        <v>343</v>
      </c>
      <c r="D612" s="1"/>
      <c r="E612" s="83">
        <v>299890</v>
      </c>
      <c r="F612" s="83"/>
      <c r="G612" s="83">
        <v>2468995</v>
      </c>
      <c r="H612" s="83"/>
      <c r="I612" s="83">
        <v>220157</v>
      </c>
      <c r="J612" s="83"/>
      <c r="K612" s="83">
        <v>0</v>
      </c>
      <c r="L612" s="83"/>
      <c r="M612" s="83">
        <v>0</v>
      </c>
      <c r="N612" s="83"/>
      <c r="O612" s="83">
        <v>186748</v>
      </c>
      <c r="P612" s="83"/>
      <c r="Q612" s="83">
        <v>14066</v>
      </c>
      <c r="R612" s="83"/>
      <c r="S612" s="83">
        <v>50190</v>
      </c>
      <c r="T612" s="83"/>
      <c r="U612" s="83">
        <v>0</v>
      </c>
      <c r="V612" s="83"/>
      <c r="W612" s="83">
        <v>1269169</v>
      </c>
      <c r="X612" s="83"/>
      <c r="Y612" s="83">
        <v>0</v>
      </c>
      <c r="Z612" s="83"/>
      <c r="AA612" s="83">
        <v>0</v>
      </c>
      <c r="AB612" s="83"/>
      <c r="AC612" s="83">
        <v>0</v>
      </c>
      <c r="AD612" s="83"/>
      <c r="AE612" s="83">
        <v>0</v>
      </c>
      <c r="AF612" s="83"/>
      <c r="AG612" s="83">
        <v>0</v>
      </c>
      <c r="AH612" s="83"/>
      <c r="AI612" s="83">
        <f aca="true" t="shared" si="42" ref="AI612:AI684">SUM(E612:AG612)</f>
        <v>4509215</v>
      </c>
      <c r="AJ612" s="10"/>
      <c r="AK612" s="22"/>
      <c r="AL612" s="22"/>
      <c r="AM612" s="22"/>
    </row>
    <row r="613" spans="1:36" s="21" customFormat="1" ht="12.75">
      <c r="A613" s="1" t="s">
        <v>362</v>
      </c>
      <c r="B613" s="1"/>
      <c r="C613" s="1" t="s">
        <v>358</v>
      </c>
      <c r="D613" s="1"/>
      <c r="E613" s="36">
        <v>151764.32</v>
      </c>
      <c r="F613" s="36"/>
      <c r="G613" s="36">
        <v>1114399.8</v>
      </c>
      <c r="H613" s="36"/>
      <c r="I613" s="36">
        <v>157362.02</v>
      </c>
      <c r="J613" s="36"/>
      <c r="K613" s="36">
        <v>63182.57</v>
      </c>
      <c r="L613" s="36"/>
      <c r="M613" s="36">
        <v>8671.07</v>
      </c>
      <c r="N613" s="36"/>
      <c r="O613" s="36">
        <v>57958.86</v>
      </c>
      <c r="P613" s="36"/>
      <c r="Q613" s="36">
        <v>9969.56</v>
      </c>
      <c r="R613" s="36"/>
      <c r="S613" s="36">
        <v>8276</v>
      </c>
      <c r="T613" s="36"/>
      <c r="U613" s="36">
        <v>0</v>
      </c>
      <c r="V613" s="36"/>
      <c r="W613" s="36">
        <v>0</v>
      </c>
      <c r="X613" s="36"/>
      <c r="Y613" s="36">
        <v>0</v>
      </c>
      <c r="Z613" s="36"/>
      <c r="AA613" s="36">
        <v>2605477.07</v>
      </c>
      <c r="AB613" s="36"/>
      <c r="AC613" s="36">
        <v>0</v>
      </c>
      <c r="AD613" s="36"/>
      <c r="AE613" s="36">
        <v>0</v>
      </c>
      <c r="AF613" s="36"/>
      <c r="AG613" s="36">
        <v>0</v>
      </c>
      <c r="AH613" s="36"/>
      <c r="AI613" s="36">
        <f aca="true" t="shared" si="43" ref="AI613:AI620">SUM(E613:AG613)</f>
        <v>4177061.2700000005</v>
      </c>
      <c r="AJ613" s="10"/>
    </row>
    <row r="614" spans="1:36" ht="12.75">
      <c r="A614" s="1" t="s">
        <v>266</v>
      </c>
      <c r="C614" s="1" t="s">
        <v>826</v>
      </c>
      <c r="E614" s="36">
        <v>35269.67</v>
      </c>
      <c r="F614" s="36"/>
      <c r="G614" s="36">
        <v>111376.59</v>
      </c>
      <c r="H614" s="36"/>
      <c r="I614" s="36">
        <v>28419.99</v>
      </c>
      <c r="J614" s="36"/>
      <c r="K614" s="36">
        <v>0</v>
      </c>
      <c r="L614" s="36"/>
      <c r="M614" s="36">
        <v>8507.41</v>
      </c>
      <c r="N614" s="36"/>
      <c r="O614" s="36">
        <v>98.76</v>
      </c>
      <c r="P614" s="36"/>
      <c r="Q614" s="36">
        <v>1854.59</v>
      </c>
      <c r="R614" s="36"/>
      <c r="S614" s="36">
        <v>0</v>
      </c>
      <c r="T614" s="36"/>
      <c r="U614" s="36">
        <v>0</v>
      </c>
      <c r="V614" s="36"/>
      <c r="W614" s="36">
        <v>0</v>
      </c>
      <c r="X614" s="36"/>
      <c r="Y614" s="36">
        <v>0</v>
      </c>
      <c r="Z614" s="36"/>
      <c r="AA614" s="36">
        <v>144240.71</v>
      </c>
      <c r="AB614" s="36"/>
      <c r="AC614" s="36">
        <v>0</v>
      </c>
      <c r="AD614" s="36"/>
      <c r="AE614" s="36">
        <v>0</v>
      </c>
      <c r="AF614" s="36"/>
      <c r="AG614" s="36">
        <v>0</v>
      </c>
      <c r="AH614" s="36"/>
      <c r="AI614" s="36">
        <f t="shared" si="43"/>
        <v>329767.72</v>
      </c>
      <c r="AJ614" s="10"/>
    </row>
    <row r="615" spans="1:36" ht="12.75">
      <c r="A615" s="1" t="s">
        <v>159</v>
      </c>
      <c r="C615" s="1" t="s">
        <v>793</v>
      </c>
      <c r="E615" s="36">
        <v>29373.73</v>
      </c>
      <c r="F615" s="36"/>
      <c r="G615" s="36">
        <v>0</v>
      </c>
      <c r="H615" s="36"/>
      <c r="I615" s="36">
        <v>36753.35</v>
      </c>
      <c r="J615" s="36"/>
      <c r="K615" s="36">
        <v>0</v>
      </c>
      <c r="L615" s="36"/>
      <c r="M615" s="36">
        <v>129.03</v>
      </c>
      <c r="N615" s="36"/>
      <c r="O615" s="36">
        <v>14413.01</v>
      </c>
      <c r="P615" s="36"/>
      <c r="Q615" s="36">
        <v>2505.69</v>
      </c>
      <c r="R615" s="36"/>
      <c r="S615" s="36">
        <v>677.38</v>
      </c>
      <c r="T615" s="36"/>
      <c r="U615" s="36">
        <v>0</v>
      </c>
      <c r="V615" s="36"/>
      <c r="W615" s="36">
        <v>0</v>
      </c>
      <c r="X615" s="36"/>
      <c r="Y615" s="36">
        <v>0</v>
      </c>
      <c r="Z615" s="36"/>
      <c r="AA615" s="36">
        <v>0</v>
      </c>
      <c r="AB615" s="36"/>
      <c r="AC615" s="36">
        <v>0</v>
      </c>
      <c r="AD615" s="36"/>
      <c r="AE615" s="36">
        <v>7931.95</v>
      </c>
      <c r="AF615" s="36"/>
      <c r="AG615" s="36">
        <v>0</v>
      </c>
      <c r="AH615" s="36"/>
      <c r="AI615" s="36">
        <f t="shared" si="43"/>
        <v>91784.14</v>
      </c>
      <c r="AJ615" s="10"/>
    </row>
    <row r="616" spans="1:36" ht="12.75">
      <c r="A616" s="1" t="s">
        <v>191</v>
      </c>
      <c r="C616" s="1" t="s">
        <v>804</v>
      </c>
      <c r="E616" s="36">
        <v>7651.63</v>
      </c>
      <c r="F616" s="36"/>
      <c r="G616" s="36">
        <v>0</v>
      </c>
      <c r="H616" s="36"/>
      <c r="I616" s="36">
        <v>21406.64</v>
      </c>
      <c r="J616" s="36"/>
      <c r="K616" s="36">
        <v>0</v>
      </c>
      <c r="L616" s="36"/>
      <c r="M616" s="36">
        <v>1550</v>
      </c>
      <c r="N616" s="36"/>
      <c r="O616" s="36">
        <v>3323.66</v>
      </c>
      <c r="P616" s="36"/>
      <c r="Q616" s="36">
        <v>75.02</v>
      </c>
      <c r="R616" s="36"/>
      <c r="S616" s="36">
        <v>20000</v>
      </c>
      <c r="T616" s="36"/>
      <c r="U616" s="36">
        <v>0</v>
      </c>
      <c r="V616" s="36"/>
      <c r="W616" s="36">
        <v>0</v>
      </c>
      <c r="X616" s="36"/>
      <c r="Y616" s="36">
        <v>0</v>
      </c>
      <c r="Z616" s="36"/>
      <c r="AA616" s="36">
        <v>0</v>
      </c>
      <c r="AB616" s="36"/>
      <c r="AC616" s="36">
        <v>0</v>
      </c>
      <c r="AD616" s="36"/>
      <c r="AE616" s="36">
        <v>0</v>
      </c>
      <c r="AF616" s="36"/>
      <c r="AG616" s="36">
        <v>0</v>
      </c>
      <c r="AH616" s="36"/>
      <c r="AI616" s="36">
        <f t="shared" si="43"/>
        <v>54006.95</v>
      </c>
      <c r="AJ616" s="10"/>
    </row>
    <row r="617" spans="1:36" s="21" customFormat="1" ht="12.75">
      <c r="A617" s="1" t="s">
        <v>385</v>
      </c>
      <c r="B617" s="1"/>
      <c r="C617" s="1" t="s">
        <v>378</v>
      </c>
      <c r="D617" s="1"/>
      <c r="E617" s="93">
        <v>1146561.11</v>
      </c>
      <c r="F617" s="93"/>
      <c r="G617" s="93">
        <v>0</v>
      </c>
      <c r="H617" s="93"/>
      <c r="I617" s="93">
        <v>489724.65</v>
      </c>
      <c r="J617" s="93"/>
      <c r="K617" s="93">
        <v>0</v>
      </c>
      <c r="L617" s="93"/>
      <c r="M617" s="93">
        <v>0</v>
      </c>
      <c r="N617" s="93"/>
      <c r="O617" s="93">
        <v>88214.37</v>
      </c>
      <c r="P617" s="93"/>
      <c r="Q617" s="93">
        <v>2519.35</v>
      </c>
      <c r="R617" s="93"/>
      <c r="S617" s="93">
        <v>40328.17</v>
      </c>
      <c r="T617" s="93"/>
      <c r="U617" s="93">
        <v>0</v>
      </c>
      <c r="V617" s="93"/>
      <c r="W617" s="93">
        <v>0</v>
      </c>
      <c r="X617" s="93"/>
      <c r="Y617" s="93">
        <v>0</v>
      </c>
      <c r="Z617" s="93"/>
      <c r="AA617" s="93">
        <v>0</v>
      </c>
      <c r="AB617" s="93"/>
      <c r="AC617" s="93">
        <v>0</v>
      </c>
      <c r="AD617" s="93"/>
      <c r="AE617" s="93">
        <v>0</v>
      </c>
      <c r="AF617" s="93"/>
      <c r="AG617" s="93">
        <v>0</v>
      </c>
      <c r="AH617" s="93"/>
      <c r="AI617" s="93">
        <f t="shared" si="43"/>
        <v>1767347.6500000004</v>
      </c>
      <c r="AJ617" s="10"/>
    </row>
    <row r="618" spans="1:36" ht="12.75">
      <c r="A618" s="1" t="s">
        <v>504</v>
      </c>
      <c r="C618" s="1" t="s">
        <v>501</v>
      </c>
      <c r="E618" s="36">
        <v>77582.65</v>
      </c>
      <c r="F618" s="36"/>
      <c r="G618" s="36">
        <v>0</v>
      </c>
      <c r="H618" s="36"/>
      <c r="I618" s="36">
        <v>25199.49</v>
      </c>
      <c r="J618" s="36"/>
      <c r="K618" s="36">
        <v>0</v>
      </c>
      <c r="L618" s="36"/>
      <c r="M618" s="36">
        <v>0</v>
      </c>
      <c r="N618" s="36"/>
      <c r="O618" s="36">
        <v>132934.53</v>
      </c>
      <c r="P618" s="36"/>
      <c r="Q618" s="36">
        <v>4138.22</v>
      </c>
      <c r="R618" s="36"/>
      <c r="S618" s="36">
        <v>9709.54</v>
      </c>
      <c r="T618" s="36"/>
      <c r="U618" s="36">
        <v>0</v>
      </c>
      <c r="V618" s="36"/>
      <c r="W618" s="36">
        <v>0</v>
      </c>
      <c r="X618" s="36"/>
      <c r="Y618" s="36">
        <v>0</v>
      </c>
      <c r="Z618" s="36"/>
      <c r="AA618" s="36">
        <v>0</v>
      </c>
      <c r="AB618" s="36"/>
      <c r="AC618" s="36">
        <v>0</v>
      </c>
      <c r="AD618" s="36"/>
      <c r="AE618" s="36">
        <v>0</v>
      </c>
      <c r="AF618" s="36"/>
      <c r="AG618" s="36">
        <v>0</v>
      </c>
      <c r="AH618" s="36"/>
      <c r="AI618" s="36">
        <f t="shared" si="43"/>
        <v>249564.43</v>
      </c>
      <c r="AJ618" s="10"/>
    </row>
    <row r="619" spans="1:39" s="21" customFormat="1" ht="12.75">
      <c r="A619" s="1" t="s">
        <v>67</v>
      </c>
      <c r="B619" s="1"/>
      <c r="C619" s="1" t="s">
        <v>766</v>
      </c>
      <c r="D619" s="1"/>
      <c r="E619" s="36">
        <v>11358.98</v>
      </c>
      <c r="F619" s="36"/>
      <c r="G619" s="36">
        <v>35591.11</v>
      </c>
      <c r="H619" s="36"/>
      <c r="I619" s="36">
        <v>14290.04</v>
      </c>
      <c r="J619" s="36"/>
      <c r="K619" s="36">
        <v>0</v>
      </c>
      <c r="L619" s="36"/>
      <c r="M619" s="36">
        <v>0</v>
      </c>
      <c r="N619" s="36"/>
      <c r="O619" s="36">
        <v>0</v>
      </c>
      <c r="P619" s="36"/>
      <c r="Q619" s="36">
        <v>3362.65</v>
      </c>
      <c r="R619" s="36"/>
      <c r="S619" s="36">
        <v>4479.5</v>
      </c>
      <c r="T619" s="36"/>
      <c r="U619" s="36">
        <v>0</v>
      </c>
      <c r="V619" s="36"/>
      <c r="W619" s="36">
        <v>0</v>
      </c>
      <c r="X619" s="36"/>
      <c r="Y619" s="36">
        <v>0</v>
      </c>
      <c r="Z619" s="36"/>
      <c r="AA619" s="36">
        <v>404.36</v>
      </c>
      <c r="AB619" s="36"/>
      <c r="AC619" s="36">
        <v>0</v>
      </c>
      <c r="AD619" s="36"/>
      <c r="AE619" s="36">
        <v>0</v>
      </c>
      <c r="AF619" s="36"/>
      <c r="AG619" s="36">
        <v>0</v>
      </c>
      <c r="AH619" s="36"/>
      <c r="AI619" s="36">
        <f t="shared" si="43"/>
        <v>69486.64</v>
      </c>
      <c r="AJ619" s="10"/>
      <c r="AK619" s="22"/>
      <c r="AL619" s="22"/>
      <c r="AM619" s="22"/>
    </row>
    <row r="620" spans="1:36" s="50" customFormat="1" ht="12.75">
      <c r="A620" s="38" t="s">
        <v>120</v>
      </c>
      <c r="B620" s="38"/>
      <c r="C620" s="38" t="s">
        <v>781</v>
      </c>
      <c r="D620" s="38"/>
      <c r="E620" s="36">
        <v>71669.24</v>
      </c>
      <c r="F620" s="36"/>
      <c r="G620" s="36">
        <v>0</v>
      </c>
      <c r="H620" s="36"/>
      <c r="I620" s="36">
        <v>51583.64</v>
      </c>
      <c r="J620" s="36"/>
      <c r="K620" s="36">
        <v>0</v>
      </c>
      <c r="L620" s="36"/>
      <c r="M620" s="36">
        <v>0</v>
      </c>
      <c r="N620" s="36"/>
      <c r="O620" s="36">
        <v>22623.5</v>
      </c>
      <c r="P620" s="36"/>
      <c r="Q620" s="36">
        <v>338.1</v>
      </c>
      <c r="R620" s="36"/>
      <c r="S620" s="36">
        <v>10268.99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0</v>
      </c>
      <c r="AD620" s="36"/>
      <c r="AE620" s="36">
        <v>0</v>
      </c>
      <c r="AF620" s="36"/>
      <c r="AG620" s="36">
        <v>0</v>
      </c>
      <c r="AH620" s="36"/>
      <c r="AI620" s="36">
        <f t="shared" si="43"/>
        <v>156483.47</v>
      </c>
      <c r="AJ620" s="38"/>
    </row>
    <row r="621" spans="1:36" s="21" customFormat="1" ht="12.75">
      <c r="A621" s="1" t="s">
        <v>434</v>
      </c>
      <c r="B621" s="1"/>
      <c r="C621" s="1" t="s">
        <v>430</v>
      </c>
      <c r="D621" s="1"/>
      <c r="E621" s="83">
        <v>271707.22</v>
      </c>
      <c r="F621" s="83"/>
      <c r="G621" s="83">
        <v>75531.92</v>
      </c>
      <c r="H621" s="83"/>
      <c r="I621" s="83">
        <v>58277.39</v>
      </c>
      <c r="J621" s="83"/>
      <c r="K621" s="83">
        <v>0</v>
      </c>
      <c r="L621" s="83"/>
      <c r="M621" s="83">
        <v>7105</v>
      </c>
      <c r="N621" s="83"/>
      <c r="O621" s="83">
        <v>8377.88</v>
      </c>
      <c r="P621" s="83"/>
      <c r="Q621" s="83">
        <v>271.01</v>
      </c>
      <c r="R621" s="83"/>
      <c r="S621" s="83">
        <v>65530.31</v>
      </c>
      <c r="T621" s="83"/>
      <c r="U621" s="83">
        <v>0</v>
      </c>
      <c r="V621" s="83"/>
      <c r="W621" s="83">
        <v>0</v>
      </c>
      <c r="X621" s="83"/>
      <c r="Y621" s="83">
        <v>0</v>
      </c>
      <c r="Z621" s="83"/>
      <c r="AA621" s="83">
        <v>0</v>
      </c>
      <c r="AB621" s="83"/>
      <c r="AC621" s="83">
        <v>0</v>
      </c>
      <c r="AD621" s="83"/>
      <c r="AE621" s="83">
        <v>0</v>
      </c>
      <c r="AF621" s="83"/>
      <c r="AG621" s="83">
        <v>0</v>
      </c>
      <c r="AH621" s="83"/>
      <c r="AI621" s="83">
        <f t="shared" si="42"/>
        <v>486800.73</v>
      </c>
      <c r="AJ621" s="10"/>
    </row>
    <row r="622" spans="1:39" s="21" customFormat="1" ht="12.75">
      <c r="A622" s="1" t="s">
        <v>857</v>
      </c>
      <c r="B622" s="1"/>
      <c r="C622" s="1" t="s">
        <v>760</v>
      </c>
      <c r="D622" s="1"/>
      <c r="E622" s="93">
        <v>5007.62</v>
      </c>
      <c r="F622" s="93"/>
      <c r="G622" s="93">
        <v>0</v>
      </c>
      <c r="H622" s="93"/>
      <c r="I622" s="93">
        <v>11151.37</v>
      </c>
      <c r="J622" s="93"/>
      <c r="K622" s="93">
        <v>0</v>
      </c>
      <c r="L622" s="93"/>
      <c r="M622" s="93">
        <v>200</v>
      </c>
      <c r="N622" s="93"/>
      <c r="O622" s="93">
        <v>0</v>
      </c>
      <c r="P622" s="93"/>
      <c r="Q622" s="93">
        <v>2.46</v>
      </c>
      <c r="R622" s="93"/>
      <c r="S622" s="93">
        <v>0</v>
      </c>
      <c r="T622" s="93"/>
      <c r="U622" s="93">
        <v>0</v>
      </c>
      <c r="V622" s="93"/>
      <c r="W622" s="93">
        <v>0</v>
      </c>
      <c r="X622" s="93"/>
      <c r="Y622" s="93">
        <v>0</v>
      </c>
      <c r="Z622" s="93"/>
      <c r="AA622" s="93">
        <v>0</v>
      </c>
      <c r="AB622" s="93"/>
      <c r="AC622" s="93">
        <v>0</v>
      </c>
      <c r="AD622" s="93"/>
      <c r="AE622" s="93">
        <v>0</v>
      </c>
      <c r="AF622" s="93"/>
      <c r="AG622" s="93">
        <v>0</v>
      </c>
      <c r="AH622" s="93"/>
      <c r="AI622" s="93">
        <f>SUM(E622:AG622)</f>
        <v>16361.45</v>
      </c>
      <c r="AJ622" s="10"/>
      <c r="AK622" s="22"/>
      <c r="AL622" s="22"/>
      <c r="AM622" s="22"/>
    </row>
    <row r="623" spans="1:36" ht="12.75">
      <c r="A623" s="1" t="s">
        <v>609</v>
      </c>
      <c r="C623" s="1" t="s">
        <v>603</v>
      </c>
      <c r="E623" s="36">
        <v>19680.59</v>
      </c>
      <c r="F623" s="36"/>
      <c r="G623" s="36">
        <v>70933.85</v>
      </c>
      <c r="H623" s="36"/>
      <c r="I623" s="36">
        <v>10849.08</v>
      </c>
      <c r="J623" s="36"/>
      <c r="K623" s="36">
        <v>0</v>
      </c>
      <c r="L623" s="36"/>
      <c r="M623" s="36">
        <v>0</v>
      </c>
      <c r="N623" s="36"/>
      <c r="O623" s="36">
        <v>4047.31</v>
      </c>
      <c r="P623" s="36"/>
      <c r="Q623" s="36">
        <v>440.08</v>
      </c>
      <c r="R623" s="36"/>
      <c r="S623" s="36">
        <v>3681.44</v>
      </c>
      <c r="T623" s="36"/>
      <c r="U623" s="36">
        <v>0</v>
      </c>
      <c r="V623" s="36"/>
      <c r="W623" s="36">
        <v>0</v>
      </c>
      <c r="X623" s="36"/>
      <c r="Y623" s="36">
        <v>0</v>
      </c>
      <c r="Z623" s="36"/>
      <c r="AA623" s="36">
        <v>0</v>
      </c>
      <c r="AB623" s="36"/>
      <c r="AC623" s="36">
        <v>0</v>
      </c>
      <c r="AD623" s="36"/>
      <c r="AE623" s="36">
        <v>0</v>
      </c>
      <c r="AF623" s="36"/>
      <c r="AG623" s="36">
        <v>0</v>
      </c>
      <c r="AH623" s="36"/>
      <c r="AI623" s="36">
        <f>SUM(E623:AG623)</f>
        <v>109632.35</v>
      </c>
      <c r="AJ623" s="10"/>
    </row>
    <row r="624" spans="1:36" ht="12.75">
      <c r="A624" s="1" t="s">
        <v>961</v>
      </c>
      <c r="C624" s="1" t="s">
        <v>271</v>
      </c>
      <c r="E624" s="83">
        <v>10972.26</v>
      </c>
      <c r="F624" s="83"/>
      <c r="G624" s="83">
        <v>0</v>
      </c>
      <c r="H624" s="83"/>
      <c r="I624" s="83">
        <v>16656.13</v>
      </c>
      <c r="J624" s="83"/>
      <c r="K624" s="83">
        <v>1505.59</v>
      </c>
      <c r="L624" s="83"/>
      <c r="M624" s="83">
        <v>0</v>
      </c>
      <c r="N624" s="83"/>
      <c r="O624" s="83">
        <v>3608</v>
      </c>
      <c r="P624" s="83"/>
      <c r="Q624" s="83">
        <v>0</v>
      </c>
      <c r="R624" s="83"/>
      <c r="S624" s="83">
        <v>16041.57</v>
      </c>
      <c r="T624" s="83"/>
      <c r="U624" s="83">
        <v>0</v>
      </c>
      <c r="V624" s="85"/>
      <c r="W624" s="83">
        <v>0</v>
      </c>
      <c r="X624" s="85"/>
      <c r="Y624" s="83">
        <v>0</v>
      </c>
      <c r="Z624" s="83"/>
      <c r="AA624" s="83">
        <v>0</v>
      </c>
      <c r="AB624" s="83"/>
      <c r="AC624" s="83">
        <v>0</v>
      </c>
      <c r="AD624" s="83"/>
      <c r="AE624" s="83">
        <v>0</v>
      </c>
      <c r="AF624" s="83"/>
      <c r="AG624" s="83">
        <v>0</v>
      </c>
      <c r="AH624" s="83"/>
      <c r="AI624" s="83">
        <f t="shared" si="42"/>
        <v>48783.55</v>
      </c>
      <c r="AJ624" s="10"/>
    </row>
    <row r="625" spans="1:36" ht="12.75">
      <c r="A625" s="1" t="s">
        <v>562</v>
      </c>
      <c r="C625" s="1" t="s">
        <v>562</v>
      </c>
      <c r="E625" s="36">
        <v>62628.82</v>
      </c>
      <c r="F625" s="36"/>
      <c r="G625" s="36">
        <v>65153.3</v>
      </c>
      <c r="H625" s="36"/>
      <c r="I625" s="36">
        <v>28053.93</v>
      </c>
      <c r="J625" s="36"/>
      <c r="K625" s="36">
        <v>0</v>
      </c>
      <c r="L625" s="36"/>
      <c r="M625" s="36">
        <v>56009.38</v>
      </c>
      <c r="N625" s="36"/>
      <c r="O625" s="36">
        <v>1263</v>
      </c>
      <c r="P625" s="36"/>
      <c r="Q625" s="36">
        <v>2741.23</v>
      </c>
      <c r="R625" s="36"/>
      <c r="S625" s="36">
        <v>13849.26</v>
      </c>
      <c r="T625" s="36"/>
      <c r="U625" s="36">
        <v>0</v>
      </c>
      <c r="V625" s="36"/>
      <c r="W625" s="36">
        <v>0</v>
      </c>
      <c r="X625" s="36"/>
      <c r="Y625" s="36">
        <v>0</v>
      </c>
      <c r="Z625" s="36"/>
      <c r="AA625" s="36">
        <v>0</v>
      </c>
      <c r="AB625" s="36"/>
      <c r="AC625" s="36">
        <v>0</v>
      </c>
      <c r="AD625" s="36"/>
      <c r="AE625" s="36">
        <v>25.83</v>
      </c>
      <c r="AF625" s="36"/>
      <c r="AG625" s="36">
        <v>0</v>
      </c>
      <c r="AH625" s="36"/>
      <c r="AI625" s="36">
        <f>SUM(E625:AG625)</f>
        <v>229724.75</v>
      </c>
      <c r="AJ625" s="10"/>
    </row>
    <row r="626" spans="1:39" ht="12.75">
      <c r="A626" s="1" t="s">
        <v>337</v>
      </c>
      <c r="C626" s="1" t="s">
        <v>329</v>
      </c>
      <c r="E626" s="83">
        <v>175013</v>
      </c>
      <c r="F626" s="83"/>
      <c r="G626" s="83">
        <v>224776</v>
      </c>
      <c r="H626" s="83"/>
      <c r="I626" s="83">
        <v>46941</v>
      </c>
      <c r="J626" s="83"/>
      <c r="K626" s="83">
        <v>0</v>
      </c>
      <c r="L626" s="83"/>
      <c r="M626" s="83">
        <v>220548</v>
      </c>
      <c r="N626" s="83"/>
      <c r="O626" s="83">
        <v>56101</v>
      </c>
      <c r="P626" s="83"/>
      <c r="Q626" s="83">
        <v>1193</v>
      </c>
      <c r="R626" s="83"/>
      <c r="S626" s="83">
        <v>4283</v>
      </c>
      <c r="T626" s="83"/>
      <c r="U626" s="83">
        <v>0</v>
      </c>
      <c r="V626" s="83"/>
      <c r="W626" s="83">
        <v>0</v>
      </c>
      <c r="X626" s="83"/>
      <c r="Y626" s="83">
        <v>3500</v>
      </c>
      <c r="Z626" s="83"/>
      <c r="AA626" s="83">
        <v>0</v>
      </c>
      <c r="AB626" s="83"/>
      <c r="AC626" s="83">
        <v>0</v>
      </c>
      <c r="AD626" s="83"/>
      <c r="AE626" s="83">
        <v>0</v>
      </c>
      <c r="AF626" s="83"/>
      <c r="AG626" s="83">
        <v>0</v>
      </c>
      <c r="AH626" s="83"/>
      <c r="AI626" s="83">
        <f t="shared" si="42"/>
        <v>732355</v>
      </c>
      <c r="AJ626" s="10"/>
      <c r="AK626" s="7"/>
      <c r="AL626" s="7"/>
      <c r="AM626" s="7"/>
    </row>
    <row r="627" spans="1:35" s="10" customFormat="1" ht="12.75">
      <c r="A627" s="10" t="s">
        <v>571</v>
      </c>
      <c r="C627" s="10" t="s">
        <v>572</v>
      </c>
      <c r="E627" s="36">
        <v>7863.32</v>
      </c>
      <c r="F627" s="36"/>
      <c r="G627" s="36">
        <v>0</v>
      </c>
      <c r="H627" s="36"/>
      <c r="I627" s="36">
        <v>7270.78</v>
      </c>
      <c r="J627" s="36"/>
      <c r="K627" s="36">
        <v>0</v>
      </c>
      <c r="L627" s="36"/>
      <c r="M627" s="36">
        <v>720</v>
      </c>
      <c r="N627" s="36"/>
      <c r="O627" s="36">
        <v>2000</v>
      </c>
      <c r="P627" s="36"/>
      <c r="Q627" s="36">
        <v>3.9</v>
      </c>
      <c r="R627" s="36"/>
      <c r="S627" s="36">
        <v>810.99</v>
      </c>
      <c r="T627" s="36"/>
      <c r="U627" s="36">
        <v>0</v>
      </c>
      <c r="V627" s="36"/>
      <c r="W627" s="36">
        <v>0</v>
      </c>
      <c r="X627" s="36"/>
      <c r="Y627" s="36">
        <v>0</v>
      </c>
      <c r="Z627" s="36"/>
      <c r="AA627" s="36">
        <v>0</v>
      </c>
      <c r="AB627" s="36"/>
      <c r="AC627" s="36">
        <v>0</v>
      </c>
      <c r="AD627" s="36"/>
      <c r="AE627" s="36">
        <v>0</v>
      </c>
      <c r="AF627" s="36"/>
      <c r="AG627" s="36">
        <v>0</v>
      </c>
      <c r="AH627" s="36"/>
      <c r="AI627" s="36">
        <f>SUM(E627:AG627)</f>
        <v>18668.99</v>
      </c>
    </row>
    <row r="628" spans="1:39" ht="12.75">
      <c r="A628" s="1" t="s">
        <v>13</v>
      </c>
      <c r="C628" s="1" t="s">
        <v>749</v>
      </c>
      <c r="E628" s="36">
        <v>8698.99</v>
      </c>
      <c r="F628" s="36"/>
      <c r="G628" s="36">
        <v>0</v>
      </c>
      <c r="H628" s="36"/>
      <c r="I628" s="36">
        <v>62406.38</v>
      </c>
      <c r="J628" s="36"/>
      <c r="K628" s="36">
        <v>0</v>
      </c>
      <c r="L628" s="36"/>
      <c r="M628" s="36">
        <v>0</v>
      </c>
      <c r="N628" s="36"/>
      <c r="O628" s="36">
        <v>0</v>
      </c>
      <c r="P628" s="36"/>
      <c r="Q628" s="36">
        <v>252.37</v>
      </c>
      <c r="R628" s="36"/>
      <c r="S628" s="36">
        <v>2767.86</v>
      </c>
      <c r="T628" s="36"/>
      <c r="U628" s="36">
        <v>0</v>
      </c>
      <c r="V628" s="36"/>
      <c r="W628" s="36">
        <v>0</v>
      </c>
      <c r="X628" s="36"/>
      <c r="Y628" s="36">
        <v>0</v>
      </c>
      <c r="Z628" s="36"/>
      <c r="AA628" s="36">
        <v>0</v>
      </c>
      <c r="AB628" s="36"/>
      <c r="AC628" s="36">
        <v>0</v>
      </c>
      <c r="AD628" s="36"/>
      <c r="AE628" s="36">
        <v>0</v>
      </c>
      <c r="AF628" s="36"/>
      <c r="AG628" s="36">
        <v>500</v>
      </c>
      <c r="AH628" s="36"/>
      <c r="AI628" s="36">
        <f>SUM(E628:AG628)</f>
        <v>74625.59999999999</v>
      </c>
      <c r="AJ628" s="10"/>
      <c r="AK628" s="7"/>
      <c r="AL628" s="7"/>
      <c r="AM628" s="7"/>
    </row>
    <row r="629" spans="1:36" s="21" customFormat="1" ht="12.75">
      <c r="A629" s="1" t="s">
        <v>76</v>
      </c>
      <c r="B629" s="1"/>
      <c r="C629" s="1" t="s">
        <v>768</v>
      </c>
      <c r="D629" s="1"/>
      <c r="E629" s="36">
        <v>10542.1</v>
      </c>
      <c r="F629" s="36"/>
      <c r="G629" s="36">
        <v>833273.99</v>
      </c>
      <c r="H629" s="36"/>
      <c r="I629" s="36">
        <v>241301.6</v>
      </c>
      <c r="J629" s="36"/>
      <c r="K629" s="36">
        <v>0</v>
      </c>
      <c r="L629" s="36"/>
      <c r="M629" s="36">
        <v>0</v>
      </c>
      <c r="N629" s="36"/>
      <c r="O629" s="36">
        <v>2120</v>
      </c>
      <c r="P629" s="36"/>
      <c r="Q629" s="36">
        <v>908.67</v>
      </c>
      <c r="R629" s="36"/>
      <c r="S629" s="36">
        <v>300</v>
      </c>
      <c r="T629" s="36"/>
      <c r="U629" s="36">
        <v>0</v>
      </c>
      <c r="V629" s="36"/>
      <c r="W629" s="36">
        <v>0</v>
      </c>
      <c r="X629" s="36"/>
      <c r="Y629" s="36">
        <v>0</v>
      </c>
      <c r="Z629" s="36"/>
      <c r="AA629" s="36">
        <v>0</v>
      </c>
      <c r="AB629" s="36"/>
      <c r="AC629" s="36">
        <v>0</v>
      </c>
      <c r="AD629" s="36"/>
      <c r="AE629" s="36">
        <v>0</v>
      </c>
      <c r="AF629" s="36"/>
      <c r="AG629" s="36">
        <v>0</v>
      </c>
      <c r="AH629" s="36"/>
      <c r="AI629" s="36">
        <f>SUM(E629:AG629)</f>
        <v>1088446.3599999999</v>
      </c>
      <c r="AJ629" s="10"/>
    </row>
    <row r="630" spans="1:36" s="21" customFormat="1" ht="12.75">
      <c r="A630" s="1" t="s">
        <v>444</v>
      </c>
      <c r="B630" s="1"/>
      <c r="C630" s="1" t="s">
        <v>439</v>
      </c>
      <c r="D630" s="1"/>
      <c r="E630" s="83">
        <v>107873</v>
      </c>
      <c r="F630" s="83"/>
      <c r="G630" s="83">
        <v>248482</v>
      </c>
      <c r="H630" s="83"/>
      <c r="I630" s="83">
        <v>78933</v>
      </c>
      <c r="J630" s="83"/>
      <c r="K630" s="83">
        <v>0</v>
      </c>
      <c r="L630" s="83"/>
      <c r="M630" s="83">
        <v>925</v>
      </c>
      <c r="N630" s="83"/>
      <c r="O630" s="83">
        <v>27032</v>
      </c>
      <c r="P630" s="83"/>
      <c r="Q630" s="83">
        <v>2426</v>
      </c>
      <c r="R630" s="83"/>
      <c r="S630" s="83">
        <v>13651</v>
      </c>
      <c r="T630" s="83"/>
      <c r="U630" s="83">
        <v>0</v>
      </c>
      <c r="V630" s="83"/>
      <c r="W630" s="83">
        <v>0</v>
      </c>
      <c r="X630" s="83"/>
      <c r="Y630" s="83">
        <v>7000</v>
      </c>
      <c r="Z630" s="83"/>
      <c r="AA630" s="83">
        <v>53504</v>
      </c>
      <c r="AB630" s="83"/>
      <c r="AC630" s="83">
        <v>0</v>
      </c>
      <c r="AD630" s="83"/>
      <c r="AE630" s="83">
        <v>0</v>
      </c>
      <c r="AF630" s="83"/>
      <c r="AG630" s="83">
        <v>0</v>
      </c>
      <c r="AH630" s="83"/>
      <c r="AI630" s="83">
        <f t="shared" si="42"/>
        <v>539826</v>
      </c>
      <c r="AJ630" s="10"/>
    </row>
    <row r="631" spans="1:36" ht="12.75">
      <c r="A631" s="1" t="s">
        <v>448</v>
      </c>
      <c r="C631" s="1" t="s">
        <v>446</v>
      </c>
      <c r="E631" s="83">
        <v>2951</v>
      </c>
      <c r="F631" s="83"/>
      <c r="G631" s="83">
        <v>26015</v>
      </c>
      <c r="H631" s="83"/>
      <c r="I631" s="83">
        <v>2487</v>
      </c>
      <c r="J631" s="83"/>
      <c r="K631" s="83">
        <v>0</v>
      </c>
      <c r="L631" s="83"/>
      <c r="M631" s="83">
        <v>0</v>
      </c>
      <c r="N631" s="83"/>
      <c r="O631" s="83">
        <v>1163</v>
      </c>
      <c r="P631" s="83"/>
      <c r="Q631" s="83">
        <v>201</v>
      </c>
      <c r="R631" s="83"/>
      <c r="S631" s="83">
        <v>0</v>
      </c>
      <c r="T631" s="83"/>
      <c r="U631" s="83">
        <v>0</v>
      </c>
      <c r="V631" s="83"/>
      <c r="W631" s="83">
        <v>0</v>
      </c>
      <c r="X631" s="83"/>
      <c r="Y631" s="83">
        <v>0</v>
      </c>
      <c r="Z631" s="83"/>
      <c r="AA631" s="83">
        <v>0</v>
      </c>
      <c r="AB631" s="83"/>
      <c r="AC631" s="83">
        <v>0</v>
      </c>
      <c r="AD631" s="83"/>
      <c r="AE631" s="83">
        <v>0</v>
      </c>
      <c r="AF631" s="87"/>
      <c r="AG631" s="83">
        <v>0</v>
      </c>
      <c r="AH631" s="87"/>
      <c r="AI631" s="83">
        <f t="shared" si="42"/>
        <v>32817</v>
      </c>
      <c r="AJ631" s="10"/>
    </row>
    <row r="632" spans="1:39" ht="12.75">
      <c r="A632" s="1" t="s">
        <v>326</v>
      </c>
      <c r="C632" s="1" t="s">
        <v>316</v>
      </c>
      <c r="E632" s="96">
        <v>1019849</v>
      </c>
      <c r="F632" s="96"/>
      <c r="G632" s="96">
        <v>8995193</v>
      </c>
      <c r="H632" s="96"/>
      <c r="I632" s="96">
        <v>282553</v>
      </c>
      <c r="J632" s="96"/>
      <c r="K632" s="96">
        <v>0</v>
      </c>
      <c r="L632" s="96"/>
      <c r="M632" s="96">
        <v>159298</v>
      </c>
      <c r="N632" s="96"/>
      <c r="O632" s="96">
        <v>107090</v>
      </c>
      <c r="P632" s="96"/>
      <c r="Q632" s="96">
        <v>3778</v>
      </c>
      <c r="R632" s="96"/>
      <c r="S632" s="96">
        <v>53179</v>
      </c>
      <c r="T632" s="96"/>
      <c r="U632" s="96">
        <v>0</v>
      </c>
      <c r="V632" s="96"/>
      <c r="W632" s="96">
        <v>0</v>
      </c>
      <c r="X632" s="96"/>
      <c r="Y632" s="96">
        <v>0</v>
      </c>
      <c r="Z632" s="96"/>
      <c r="AA632" s="96">
        <v>25837</v>
      </c>
      <c r="AB632" s="96"/>
      <c r="AC632" s="96">
        <v>0</v>
      </c>
      <c r="AD632" s="96"/>
      <c r="AE632" s="96">
        <v>0</v>
      </c>
      <c r="AF632" s="96"/>
      <c r="AG632" s="96">
        <v>0</v>
      </c>
      <c r="AH632" s="96"/>
      <c r="AI632" s="96">
        <f aca="true" t="shared" si="44" ref="AI632">SUM(E632:AG632)</f>
        <v>10646777</v>
      </c>
      <c r="AJ632" s="10"/>
      <c r="AK632" s="7"/>
      <c r="AL632" s="7"/>
      <c r="AM632" s="7"/>
    </row>
    <row r="633" spans="1:36" s="21" customFormat="1" ht="12.75">
      <c r="A633" s="1" t="s">
        <v>77</v>
      </c>
      <c r="B633" s="1"/>
      <c r="C633" s="1" t="s">
        <v>768</v>
      </c>
      <c r="D633" s="1"/>
      <c r="E633" s="36">
        <v>64524.95</v>
      </c>
      <c r="F633" s="36"/>
      <c r="G633" s="36">
        <v>0</v>
      </c>
      <c r="H633" s="36"/>
      <c r="I633" s="36">
        <v>80641.46</v>
      </c>
      <c r="J633" s="36"/>
      <c r="K633" s="36">
        <v>0</v>
      </c>
      <c r="L633" s="36"/>
      <c r="M633" s="36">
        <v>0</v>
      </c>
      <c r="N633" s="36"/>
      <c r="O633" s="36">
        <v>51473.21</v>
      </c>
      <c r="P633" s="36"/>
      <c r="Q633" s="36">
        <v>61.63</v>
      </c>
      <c r="R633" s="36"/>
      <c r="S633" s="36">
        <v>4623.9</v>
      </c>
      <c r="T633" s="36"/>
      <c r="U633" s="36">
        <v>0</v>
      </c>
      <c r="V633" s="36"/>
      <c r="W633" s="36">
        <v>0</v>
      </c>
      <c r="X633" s="36"/>
      <c r="Y633" s="36">
        <v>0</v>
      </c>
      <c r="Z633" s="36"/>
      <c r="AA633" s="36">
        <v>0</v>
      </c>
      <c r="AB633" s="36"/>
      <c r="AC633" s="36">
        <v>0</v>
      </c>
      <c r="AD633" s="36"/>
      <c r="AE633" s="36">
        <v>0</v>
      </c>
      <c r="AF633" s="36"/>
      <c r="AG633" s="36">
        <v>0</v>
      </c>
      <c r="AH633" s="36"/>
      <c r="AI633" s="36">
        <f>SUM(E633:AG633)</f>
        <v>201325.15</v>
      </c>
      <c r="AJ633" s="10"/>
    </row>
    <row r="634" spans="1:36" s="21" customFormat="1" ht="12.75">
      <c r="A634" s="1" t="s">
        <v>393</v>
      </c>
      <c r="B634" s="1"/>
      <c r="C634" s="1" t="s">
        <v>388</v>
      </c>
      <c r="D634" s="1"/>
      <c r="E634" s="93">
        <v>25495.65</v>
      </c>
      <c r="F634" s="93"/>
      <c r="G634" s="93">
        <v>0</v>
      </c>
      <c r="H634" s="93"/>
      <c r="I634" s="93">
        <v>40051.14</v>
      </c>
      <c r="J634" s="93"/>
      <c r="K634" s="93">
        <v>0</v>
      </c>
      <c r="L634" s="93"/>
      <c r="M634" s="93">
        <v>0</v>
      </c>
      <c r="N634" s="93"/>
      <c r="O634" s="93">
        <v>425</v>
      </c>
      <c r="P634" s="93"/>
      <c r="Q634" s="93">
        <v>244.76</v>
      </c>
      <c r="R634" s="93"/>
      <c r="S634" s="93">
        <v>50.54</v>
      </c>
      <c r="T634" s="93"/>
      <c r="U634" s="93">
        <v>0</v>
      </c>
      <c r="V634" s="93"/>
      <c r="W634" s="93">
        <v>0</v>
      </c>
      <c r="X634" s="93"/>
      <c r="Y634" s="93">
        <v>0</v>
      </c>
      <c r="Z634" s="93"/>
      <c r="AA634" s="93">
        <v>0</v>
      </c>
      <c r="AB634" s="93"/>
      <c r="AC634" s="93">
        <v>0</v>
      </c>
      <c r="AD634" s="93"/>
      <c r="AE634" s="93">
        <v>0</v>
      </c>
      <c r="AF634" s="93"/>
      <c r="AG634" s="93">
        <v>0</v>
      </c>
      <c r="AH634" s="93"/>
      <c r="AI634" s="93">
        <f>SUM(E634:AG634)</f>
        <v>66267.09</v>
      </c>
      <c r="AJ634" s="10"/>
    </row>
    <row r="635" spans="1:36" ht="12.75">
      <c r="A635" s="1" t="s">
        <v>394</v>
      </c>
      <c r="C635" s="1" t="s">
        <v>388</v>
      </c>
      <c r="E635" s="93">
        <v>4531.53</v>
      </c>
      <c r="F635" s="93"/>
      <c r="G635" s="93">
        <v>0</v>
      </c>
      <c r="H635" s="93"/>
      <c r="I635" s="93">
        <v>46341.04</v>
      </c>
      <c r="J635" s="93"/>
      <c r="K635" s="93">
        <v>0</v>
      </c>
      <c r="L635" s="93"/>
      <c r="M635" s="93">
        <v>0</v>
      </c>
      <c r="N635" s="93"/>
      <c r="O635" s="93">
        <v>225</v>
      </c>
      <c r="P635" s="93"/>
      <c r="Q635" s="93">
        <v>334.05</v>
      </c>
      <c r="R635" s="93"/>
      <c r="S635" s="93">
        <v>3322.71</v>
      </c>
      <c r="T635" s="93"/>
      <c r="U635" s="93">
        <v>0</v>
      </c>
      <c r="V635" s="93"/>
      <c r="W635" s="93">
        <v>0</v>
      </c>
      <c r="X635" s="93"/>
      <c r="Y635" s="93">
        <v>0</v>
      </c>
      <c r="Z635" s="93"/>
      <c r="AA635" s="93">
        <v>0</v>
      </c>
      <c r="AB635" s="93"/>
      <c r="AC635" s="93">
        <v>0</v>
      </c>
      <c r="AD635" s="93"/>
      <c r="AE635" s="93">
        <v>0</v>
      </c>
      <c r="AF635" s="93"/>
      <c r="AG635" s="93">
        <v>0</v>
      </c>
      <c r="AH635" s="93"/>
      <c r="AI635" s="93">
        <f>SUM(E635:AG635)</f>
        <v>54754.33</v>
      </c>
      <c r="AJ635" s="10"/>
    </row>
    <row r="636" spans="1:36" ht="12.75">
      <c r="A636" s="1" t="s">
        <v>577</v>
      </c>
      <c r="C636" s="1" t="s">
        <v>574</v>
      </c>
      <c r="E636" s="36">
        <v>3517.75</v>
      </c>
      <c r="F636" s="36"/>
      <c r="G636" s="36">
        <v>0</v>
      </c>
      <c r="H636" s="36"/>
      <c r="I636" s="36">
        <v>14471.85</v>
      </c>
      <c r="J636" s="36"/>
      <c r="K636" s="36">
        <v>0</v>
      </c>
      <c r="L636" s="36"/>
      <c r="M636" s="36">
        <v>0</v>
      </c>
      <c r="N636" s="36"/>
      <c r="O636" s="36">
        <v>0</v>
      </c>
      <c r="P636" s="36"/>
      <c r="Q636" s="36">
        <v>91.83</v>
      </c>
      <c r="R636" s="36"/>
      <c r="S636" s="36">
        <v>319.65</v>
      </c>
      <c r="T636" s="36"/>
      <c r="U636" s="36">
        <v>0</v>
      </c>
      <c r="V636" s="36"/>
      <c r="W636" s="36">
        <v>0</v>
      </c>
      <c r="X636" s="36"/>
      <c r="Y636" s="36">
        <v>0</v>
      </c>
      <c r="Z636" s="36"/>
      <c r="AA636" s="36">
        <v>0</v>
      </c>
      <c r="AB636" s="36"/>
      <c r="AC636" s="36">
        <v>0</v>
      </c>
      <c r="AD636" s="36"/>
      <c r="AE636" s="36">
        <v>0</v>
      </c>
      <c r="AF636" s="36"/>
      <c r="AG636" s="36">
        <v>0</v>
      </c>
      <c r="AH636" s="36"/>
      <c r="AI636" s="36">
        <f>SUM(E636:AG636)</f>
        <v>18401.08</v>
      </c>
      <c r="AJ636" s="10"/>
    </row>
    <row r="637" spans="1:36" s="15" customFormat="1" ht="12.75">
      <c r="A637" s="15" t="s">
        <v>512</v>
      </c>
      <c r="C637" s="15" t="s">
        <v>510</v>
      </c>
      <c r="E637" s="85">
        <v>62620.45</v>
      </c>
      <c r="F637" s="85"/>
      <c r="G637" s="85">
        <v>0</v>
      </c>
      <c r="H637" s="85"/>
      <c r="I637" s="85">
        <v>5147.1</v>
      </c>
      <c r="J637" s="85"/>
      <c r="K637" s="85">
        <v>257.3</v>
      </c>
      <c r="L637" s="85"/>
      <c r="M637" s="85">
        <v>0</v>
      </c>
      <c r="N637" s="85"/>
      <c r="O637" s="85">
        <v>2846.25</v>
      </c>
      <c r="P637" s="85"/>
      <c r="Q637" s="85">
        <v>729.67</v>
      </c>
      <c r="R637" s="85"/>
      <c r="S637" s="85">
        <v>49115.74</v>
      </c>
      <c r="T637" s="85"/>
      <c r="U637" s="83">
        <v>0</v>
      </c>
      <c r="V637" s="85"/>
      <c r="W637" s="83">
        <v>0</v>
      </c>
      <c r="X637" s="85"/>
      <c r="Y637" s="83">
        <v>0</v>
      </c>
      <c r="Z637" s="85"/>
      <c r="AA637" s="83">
        <v>0</v>
      </c>
      <c r="AB637" s="85"/>
      <c r="AC637" s="83">
        <v>0</v>
      </c>
      <c r="AD637" s="85"/>
      <c r="AE637" s="85">
        <v>0</v>
      </c>
      <c r="AF637" s="85"/>
      <c r="AG637" s="83">
        <v>0</v>
      </c>
      <c r="AH637" s="85"/>
      <c r="AI637" s="83">
        <f aca="true" t="shared" si="45" ref="AI637:AI638">SUM(E637:AG637)</f>
        <v>120716.51000000001</v>
      </c>
      <c r="AJ637" s="24"/>
    </row>
    <row r="638" spans="1:39" ht="12.75">
      <c r="A638" s="1" t="s">
        <v>338</v>
      </c>
      <c r="C638" s="1" t="s">
        <v>329</v>
      </c>
      <c r="E638" s="83">
        <v>77047</v>
      </c>
      <c r="F638" s="83"/>
      <c r="G638" s="83">
        <v>1832410</v>
      </c>
      <c r="H638" s="83"/>
      <c r="I638" s="83">
        <v>577913</v>
      </c>
      <c r="J638" s="83"/>
      <c r="K638" s="83">
        <v>0</v>
      </c>
      <c r="L638" s="83"/>
      <c r="M638" s="83">
        <v>221073</v>
      </c>
      <c r="N638" s="83"/>
      <c r="O638" s="83">
        <v>15067</v>
      </c>
      <c r="P638" s="83"/>
      <c r="Q638" s="83">
        <v>33243</v>
      </c>
      <c r="R638" s="83"/>
      <c r="S638" s="83">
        <v>18216</v>
      </c>
      <c r="T638" s="83"/>
      <c r="U638" s="83">
        <v>0</v>
      </c>
      <c r="V638" s="83"/>
      <c r="W638" s="83">
        <v>0</v>
      </c>
      <c r="X638" s="83"/>
      <c r="Y638" s="83">
        <v>0</v>
      </c>
      <c r="Z638" s="83"/>
      <c r="AA638" s="83">
        <v>0</v>
      </c>
      <c r="AB638" s="83"/>
      <c r="AC638" s="83">
        <v>0</v>
      </c>
      <c r="AD638" s="83"/>
      <c r="AE638" s="83">
        <v>0</v>
      </c>
      <c r="AF638" s="83"/>
      <c r="AG638" s="83">
        <v>0</v>
      </c>
      <c r="AH638" s="83"/>
      <c r="AI638" s="83">
        <f t="shared" si="45"/>
        <v>2774969</v>
      </c>
      <c r="AJ638" s="38"/>
      <c r="AK638" s="7"/>
      <c r="AL638" s="7"/>
      <c r="AM638" s="7"/>
    </row>
    <row r="639" spans="1:39" ht="12.75">
      <c r="A639" s="1" t="s">
        <v>82</v>
      </c>
      <c r="C639" s="1" t="s">
        <v>770</v>
      </c>
      <c r="E639" s="36">
        <v>13785.12</v>
      </c>
      <c r="F639" s="36"/>
      <c r="G639" s="36">
        <v>0</v>
      </c>
      <c r="H639" s="36"/>
      <c r="I639" s="36">
        <v>112778.7</v>
      </c>
      <c r="J639" s="36"/>
      <c r="K639" s="36">
        <v>0</v>
      </c>
      <c r="L639" s="36"/>
      <c r="M639" s="36">
        <v>12100</v>
      </c>
      <c r="N639" s="36"/>
      <c r="O639" s="36">
        <v>225</v>
      </c>
      <c r="P639" s="36"/>
      <c r="Q639" s="36">
        <v>0</v>
      </c>
      <c r="R639" s="36"/>
      <c r="S639" s="36">
        <v>22851.78</v>
      </c>
      <c r="T639" s="36"/>
      <c r="U639" s="36">
        <v>0</v>
      </c>
      <c r="V639" s="36"/>
      <c r="W639" s="36">
        <v>0</v>
      </c>
      <c r="X639" s="36"/>
      <c r="Y639" s="36">
        <v>0</v>
      </c>
      <c r="Z639" s="36"/>
      <c r="AA639" s="36">
        <v>5</v>
      </c>
      <c r="AB639" s="36"/>
      <c r="AC639" s="36">
        <v>0</v>
      </c>
      <c r="AD639" s="36"/>
      <c r="AE639" s="36">
        <v>0</v>
      </c>
      <c r="AF639" s="36"/>
      <c r="AG639" s="36">
        <v>0</v>
      </c>
      <c r="AH639" s="36"/>
      <c r="AI639" s="36">
        <f>SUM(E639:AG639)</f>
        <v>161745.6</v>
      </c>
      <c r="AJ639" s="38"/>
      <c r="AK639" s="7"/>
      <c r="AL639" s="7"/>
      <c r="AM639" s="7"/>
    </row>
    <row r="640" spans="1:36" s="21" customFormat="1" ht="12.75">
      <c r="A640" s="1" t="s">
        <v>435</v>
      </c>
      <c r="B640" s="1"/>
      <c r="C640" s="1" t="s">
        <v>430</v>
      </c>
      <c r="D640" s="1"/>
      <c r="E640" s="83">
        <v>606445</v>
      </c>
      <c r="F640" s="83"/>
      <c r="G640" s="83">
        <v>0</v>
      </c>
      <c r="H640" s="83"/>
      <c r="I640" s="83">
        <v>301968</v>
      </c>
      <c r="J640" s="83"/>
      <c r="K640" s="83">
        <v>0</v>
      </c>
      <c r="L640" s="83"/>
      <c r="M640" s="83">
        <v>0</v>
      </c>
      <c r="N640" s="83"/>
      <c r="O640" s="83">
        <v>4953</v>
      </c>
      <c r="P640" s="83"/>
      <c r="Q640" s="83">
        <v>474129</v>
      </c>
      <c r="R640" s="83"/>
      <c r="S640" s="83">
        <v>59568</v>
      </c>
      <c r="T640" s="83"/>
      <c r="U640" s="83">
        <v>0</v>
      </c>
      <c r="V640" s="83"/>
      <c r="W640" s="83">
        <v>0</v>
      </c>
      <c r="X640" s="83"/>
      <c r="Y640" s="83">
        <v>0</v>
      </c>
      <c r="Z640" s="83"/>
      <c r="AA640" s="83">
        <v>0</v>
      </c>
      <c r="AB640" s="83"/>
      <c r="AC640" s="83">
        <v>0</v>
      </c>
      <c r="AD640" s="83"/>
      <c r="AE640" s="83">
        <v>0</v>
      </c>
      <c r="AF640" s="83"/>
      <c r="AG640" s="83">
        <v>0</v>
      </c>
      <c r="AH640" s="83"/>
      <c r="AI640" s="83">
        <f aca="true" t="shared" si="46" ref="AI640:AI641">SUM(E640:AG640)</f>
        <v>1447063</v>
      </c>
      <c r="AJ640" s="10"/>
    </row>
    <row r="641" spans="1:36" s="21" customFormat="1" ht="12.75">
      <c r="A641" s="1" t="s">
        <v>419</v>
      </c>
      <c r="B641" s="1"/>
      <c r="C641" s="1" t="s">
        <v>416</v>
      </c>
      <c r="D641" s="1"/>
      <c r="E641" s="36">
        <v>39323.93</v>
      </c>
      <c r="F641" s="36"/>
      <c r="G641" s="36">
        <v>147793.88</v>
      </c>
      <c r="H641" s="36"/>
      <c r="I641" s="36">
        <v>92487.82</v>
      </c>
      <c r="J641" s="36"/>
      <c r="K641" s="36">
        <v>3553.24</v>
      </c>
      <c r="L641" s="36"/>
      <c r="M641" s="36">
        <v>0</v>
      </c>
      <c r="N641" s="36"/>
      <c r="O641" s="36">
        <v>57380.49</v>
      </c>
      <c r="P641" s="36"/>
      <c r="Q641" s="36">
        <v>169.98</v>
      </c>
      <c r="R641" s="36"/>
      <c r="S641" s="36">
        <v>2665.4</v>
      </c>
      <c r="T641" s="36"/>
      <c r="U641" s="36">
        <v>0</v>
      </c>
      <c r="V641" s="36"/>
      <c r="W641" s="36">
        <v>0</v>
      </c>
      <c r="X641" s="36"/>
      <c r="Y641" s="36">
        <v>0</v>
      </c>
      <c r="Z641" s="36"/>
      <c r="AA641" s="36">
        <v>0</v>
      </c>
      <c r="AB641" s="36"/>
      <c r="AC641" s="36">
        <v>0</v>
      </c>
      <c r="AD641" s="36"/>
      <c r="AE641" s="36">
        <v>28364.82</v>
      </c>
      <c r="AF641" s="36"/>
      <c r="AG641" s="36">
        <v>0</v>
      </c>
      <c r="AH641" s="36"/>
      <c r="AI641" s="36">
        <f t="shared" si="46"/>
        <v>371739.56</v>
      </c>
      <c r="AJ641" s="10"/>
    </row>
    <row r="642" spans="5:36" ht="12.75"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7"/>
      <c r="AG642" s="83"/>
      <c r="AH642" s="87"/>
      <c r="AI642" s="83" t="s">
        <v>864</v>
      </c>
      <c r="AJ642" s="10"/>
    </row>
    <row r="643" spans="1:36" s="21" customFormat="1" ht="12.75">
      <c r="A643" s="1" t="s">
        <v>261</v>
      </c>
      <c r="B643" s="1"/>
      <c r="C643" s="1" t="s">
        <v>603</v>
      </c>
      <c r="D643" s="1"/>
      <c r="E643" s="102">
        <v>84566.1</v>
      </c>
      <c r="F643" s="102"/>
      <c r="G643" s="102">
        <v>546434.26</v>
      </c>
      <c r="H643" s="102"/>
      <c r="I643" s="102">
        <v>129330.74</v>
      </c>
      <c r="J643" s="102"/>
      <c r="K643" s="102">
        <v>1204.55</v>
      </c>
      <c r="L643" s="102"/>
      <c r="M643" s="102">
        <v>25904.98</v>
      </c>
      <c r="N643" s="102"/>
      <c r="O643" s="102">
        <v>49588.53</v>
      </c>
      <c r="P643" s="102"/>
      <c r="Q643" s="102">
        <v>10251.89</v>
      </c>
      <c r="R643" s="102"/>
      <c r="S643" s="102">
        <v>44662.71</v>
      </c>
      <c r="T643" s="102"/>
      <c r="U643" s="102">
        <v>0</v>
      </c>
      <c r="V643" s="102"/>
      <c r="W643" s="102">
        <v>0</v>
      </c>
      <c r="X643" s="102"/>
      <c r="Y643" s="102">
        <v>0</v>
      </c>
      <c r="Z643" s="102"/>
      <c r="AA643" s="102">
        <v>0</v>
      </c>
      <c r="AB643" s="102"/>
      <c r="AC643" s="102">
        <v>0</v>
      </c>
      <c r="AD643" s="102"/>
      <c r="AE643" s="102">
        <v>0</v>
      </c>
      <c r="AF643" s="102"/>
      <c r="AG643" s="102">
        <v>0</v>
      </c>
      <c r="AH643" s="102"/>
      <c r="AI643" s="102">
        <f aca="true" t="shared" si="47" ref="AI643:AI647">SUM(E643:AG643)</f>
        <v>891943.76</v>
      </c>
      <c r="AJ643" s="10"/>
    </row>
    <row r="644" spans="1:36" s="21" customFormat="1" ht="12.75">
      <c r="A644" s="1" t="s">
        <v>151</v>
      </c>
      <c r="B644" s="1"/>
      <c r="C644" s="1" t="s">
        <v>463</v>
      </c>
      <c r="D644" s="1"/>
      <c r="E644" s="36">
        <v>37647.97</v>
      </c>
      <c r="F644" s="36"/>
      <c r="G644" s="36">
        <v>0</v>
      </c>
      <c r="H644" s="36"/>
      <c r="I644" s="36">
        <v>20638.24</v>
      </c>
      <c r="J644" s="36"/>
      <c r="K644" s="36">
        <v>0</v>
      </c>
      <c r="L644" s="36"/>
      <c r="M644" s="36">
        <v>0</v>
      </c>
      <c r="N644" s="36"/>
      <c r="O644" s="36">
        <v>507</v>
      </c>
      <c r="P644" s="36"/>
      <c r="Q644" s="36">
        <v>1793.94</v>
      </c>
      <c r="R644" s="36"/>
      <c r="S644" s="36">
        <v>4236.62</v>
      </c>
      <c r="T644" s="36"/>
      <c r="U644" s="36">
        <v>0</v>
      </c>
      <c r="V644" s="36"/>
      <c r="W644" s="36">
        <v>0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v>0</v>
      </c>
      <c r="AF644" s="36"/>
      <c r="AG644" s="36">
        <v>0</v>
      </c>
      <c r="AH644" s="36"/>
      <c r="AI644" s="36">
        <f t="shared" si="47"/>
        <v>64823.77000000001</v>
      </c>
      <c r="AJ644" s="10"/>
    </row>
    <row r="645" spans="1:36" s="21" customFormat="1" ht="12.75">
      <c r="A645" s="1" t="s">
        <v>50</v>
      </c>
      <c r="B645" s="1"/>
      <c r="C645" s="1" t="s">
        <v>316</v>
      </c>
      <c r="D645" s="1"/>
      <c r="E645" s="93">
        <v>7128.45</v>
      </c>
      <c r="F645" s="93"/>
      <c r="G645" s="93">
        <v>3377502.79</v>
      </c>
      <c r="H645" s="93"/>
      <c r="I645" s="93">
        <v>157332.51</v>
      </c>
      <c r="J645" s="93"/>
      <c r="K645" s="93">
        <v>2498.64</v>
      </c>
      <c r="L645" s="93"/>
      <c r="M645" s="93">
        <v>455922.1</v>
      </c>
      <c r="N645" s="93"/>
      <c r="O645" s="93">
        <v>219530.47</v>
      </c>
      <c r="P645" s="93"/>
      <c r="Q645" s="93">
        <v>150.79</v>
      </c>
      <c r="R645" s="93"/>
      <c r="S645" s="93">
        <v>7761.44</v>
      </c>
      <c r="T645" s="93"/>
      <c r="U645" s="93">
        <v>0</v>
      </c>
      <c r="V645" s="93"/>
      <c r="W645" s="93">
        <v>0</v>
      </c>
      <c r="X645" s="93"/>
      <c r="Y645" s="93">
        <v>2291.66</v>
      </c>
      <c r="Z645" s="93"/>
      <c r="AA645" s="93">
        <v>0</v>
      </c>
      <c r="AB645" s="93"/>
      <c r="AC645" s="93">
        <v>0</v>
      </c>
      <c r="AD645" s="93"/>
      <c r="AE645" s="93">
        <v>0</v>
      </c>
      <c r="AF645" s="93"/>
      <c r="AG645" s="93">
        <v>0</v>
      </c>
      <c r="AH645" s="93"/>
      <c r="AI645" s="93">
        <f t="shared" si="47"/>
        <v>4230118.850000001</v>
      </c>
      <c r="AJ645" s="10"/>
    </row>
    <row r="646" spans="1:36" s="21" customFormat="1" ht="12.75">
      <c r="A646" s="1" t="s">
        <v>848</v>
      </c>
      <c r="B646" s="1"/>
      <c r="C646" s="1" t="s">
        <v>308</v>
      </c>
      <c r="D646" s="1"/>
      <c r="E646" s="36">
        <v>56088.35</v>
      </c>
      <c r="F646" s="36"/>
      <c r="G646" s="36">
        <v>0</v>
      </c>
      <c r="H646" s="36"/>
      <c r="I646" s="36">
        <v>32997.55</v>
      </c>
      <c r="J646" s="36"/>
      <c r="K646" s="36">
        <v>0</v>
      </c>
      <c r="L646" s="36"/>
      <c r="M646" s="36">
        <v>11201</v>
      </c>
      <c r="N646" s="36"/>
      <c r="O646" s="36">
        <v>4997.07</v>
      </c>
      <c r="P646" s="36"/>
      <c r="Q646" s="36">
        <v>2854.93</v>
      </c>
      <c r="R646" s="36"/>
      <c r="S646" s="36">
        <v>1155.35</v>
      </c>
      <c r="T646" s="36"/>
      <c r="U646" s="36">
        <v>0</v>
      </c>
      <c r="V646" s="36"/>
      <c r="W646" s="36">
        <v>0</v>
      </c>
      <c r="X646" s="36"/>
      <c r="Y646" s="36">
        <v>0</v>
      </c>
      <c r="Z646" s="36"/>
      <c r="AA646" s="36">
        <v>0</v>
      </c>
      <c r="AB646" s="36"/>
      <c r="AC646" s="36">
        <v>0</v>
      </c>
      <c r="AD646" s="36"/>
      <c r="AE646" s="36">
        <v>13574.47</v>
      </c>
      <c r="AF646" s="36"/>
      <c r="AG646" s="36">
        <v>0</v>
      </c>
      <c r="AH646" s="36"/>
      <c r="AI646" s="36">
        <f t="shared" si="47"/>
        <v>122868.72</v>
      </c>
      <c r="AJ646" s="10"/>
    </row>
    <row r="647" spans="1:36" s="21" customFormat="1" ht="12.75">
      <c r="A647" s="1" t="s">
        <v>48</v>
      </c>
      <c r="B647" s="1"/>
      <c r="C647" s="1" t="s">
        <v>305</v>
      </c>
      <c r="D647" s="1"/>
      <c r="E647" s="36">
        <v>20898.53</v>
      </c>
      <c r="F647" s="36"/>
      <c r="G647" s="36">
        <v>0</v>
      </c>
      <c r="H647" s="36"/>
      <c r="I647" s="36">
        <v>25062.81</v>
      </c>
      <c r="J647" s="36"/>
      <c r="K647" s="36">
        <v>0</v>
      </c>
      <c r="L647" s="36"/>
      <c r="M647" s="36">
        <v>0</v>
      </c>
      <c r="N647" s="36"/>
      <c r="O647" s="36">
        <v>47473.26</v>
      </c>
      <c r="P647" s="36"/>
      <c r="Q647" s="36">
        <v>391.32</v>
      </c>
      <c r="R647" s="36"/>
      <c r="S647" s="36">
        <v>711</v>
      </c>
      <c r="T647" s="36"/>
      <c r="U647" s="36">
        <v>0</v>
      </c>
      <c r="V647" s="36"/>
      <c r="W647" s="36">
        <v>0</v>
      </c>
      <c r="X647" s="36"/>
      <c r="Y647" s="36">
        <v>0</v>
      </c>
      <c r="Z647" s="36"/>
      <c r="AA647" s="36">
        <v>0</v>
      </c>
      <c r="AB647" s="36"/>
      <c r="AC647" s="36">
        <v>0</v>
      </c>
      <c r="AD647" s="36"/>
      <c r="AE647" s="36">
        <v>0</v>
      </c>
      <c r="AF647" s="36"/>
      <c r="AG647" s="36">
        <v>0</v>
      </c>
      <c r="AH647" s="36"/>
      <c r="AI647" s="36">
        <f t="shared" si="47"/>
        <v>94536.92000000001</v>
      </c>
      <c r="AJ647" s="10"/>
    </row>
    <row r="648" spans="1:36" s="21" customFormat="1" ht="12.75" hidden="1">
      <c r="A648" s="1" t="s">
        <v>457</v>
      </c>
      <c r="B648" s="1"/>
      <c r="C648" s="1" t="s">
        <v>455</v>
      </c>
      <c r="D648" s="1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>
        <f t="shared" si="42"/>
        <v>0</v>
      </c>
      <c r="AJ648" s="10"/>
    </row>
    <row r="649" spans="1:39" ht="12.75">
      <c r="A649" s="1" t="s">
        <v>590</v>
      </c>
      <c r="C649" s="1" t="s">
        <v>603</v>
      </c>
      <c r="E649" s="83">
        <v>24848.31</v>
      </c>
      <c r="F649" s="83"/>
      <c r="G649" s="83">
        <v>0</v>
      </c>
      <c r="H649" s="83"/>
      <c r="I649" s="83">
        <v>24998.01</v>
      </c>
      <c r="J649" s="83"/>
      <c r="K649" s="83">
        <v>0</v>
      </c>
      <c r="L649" s="83"/>
      <c r="M649" s="83">
        <v>0</v>
      </c>
      <c r="N649" s="83"/>
      <c r="O649" s="83">
        <v>20128.35</v>
      </c>
      <c r="P649" s="83"/>
      <c r="Q649" s="83">
        <v>120.82</v>
      </c>
      <c r="R649" s="83"/>
      <c r="S649" s="83">
        <v>1204.15</v>
      </c>
      <c r="T649" s="83"/>
      <c r="U649" s="83">
        <v>0</v>
      </c>
      <c r="V649" s="83"/>
      <c r="W649" s="83">
        <v>0</v>
      </c>
      <c r="X649" s="83"/>
      <c r="Y649" s="83">
        <v>0</v>
      </c>
      <c r="Z649" s="83"/>
      <c r="AA649" s="83">
        <v>0</v>
      </c>
      <c r="AB649" s="83"/>
      <c r="AC649" s="83">
        <v>0</v>
      </c>
      <c r="AD649" s="83"/>
      <c r="AE649" s="83">
        <v>0</v>
      </c>
      <c r="AF649" s="83"/>
      <c r="AG649" s="83">
        <v>0</v>
      </c>
      <c r="AH649" s="83"/>
      <c r="AI649" s="83">
        <f t="shared" si="42"/>
        <v>71299.64</v>
      </c>
      <c r="AJ649" s="10"/>
      <c r="AK649" s="7"/>
      <c r="AL649" s="7"/>
      <c r="AM649" s="7"/>
    </row>
    <row r="650" spans="1:39" ht="12.75" hidden="1">
      <c r="A650" s="1" t="s">
        <v>339</v>
      </c>
      <c r="C650" s="1" t="s">
        <v>329</v>
      </c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>
        <f t="shared" si="42"/>
        <v>0</v>
      </c>
      <c r="AJ650" s="10"/>
      <c r="AK650" s="7"/>
      <c r="AL650" s="7"/>
      <c r="AM650" s="7"/>
    </row>
    <row r="651" spans="1:35" s="38" customFormat="1" ht="12.75">
      <c r="A651" s="38" t="s">
        <v>549</v>
      </c>
      <c r="C651" s="38" t="s">
        <v>542</v>
      </c>
      <c r="E651" s="83">
        <v>42780</v>
      </c>
      <c r="F651" s="83"/>
      <c r="G651" s="83">
        <v>0</v>
      </c>
      <c r="H651" s="83"/>
      <c r="I651" s="83">
        <v>29896</v>
      </c>
      <c r="J651" s="83"/>
      <c r="K651" s="83">
        <v>0</v>
      </c>
      <c r="L651" s="83"/>
      <c r="M651" s="83">
        <v>0</v>
      </c>
      <c r="N651" s="83"/>
      <c r="O651" s="83">
        <v>22008</v>
      </c>
      <c r="P651" s="83"/>
      <c r="Q651" s="83">
        <v>760</v>
      </c>
      <c r="R651" s="83"/>
      <c r="S651" s="83">
        <v>9333</v>
      </c>
      <c r="T651" s="83"/>
      <c r="U651" s="83">
        <v>0</v>
      </c>
      <c r="V651" s="83"/>
      <c r="W651" s="83">
        <v>0</v>
      </c>
      <c r="X651" s="83"/>
      <c r="Y651" s="83">
        <v>0</v>
      </c>
      <c r="Z651" s="83"/>
      <c r="AA651" s="83">
        <v>0</v>
      </c>
      <c r="AB651" s="83"/>
      <c r="AC651" s="83">
        <v>0</v>
      </c>
      <c r="AD651" s="83"/>
      <c r="AE651" s="83">
        <v>0</v>
      </c>
      <c r="AF651" s="83"/>
      <c r="AG651" s="83">
        <v>0</v>
      </c>
      <c r="AH651" s="83"/>
      <c r="AI651" s="83">
        <f t="shared" si="42"/>
        <v>104777</v>
      </c>
    </row>
    <row r="652" spans="1:39" s="21" customFormat="1" ht="12.75">
      <c r="A652" s="1" t="s">
        <v>14</v>
      </c>
      <c r="B652" s="1"/>
      <c r="C652" s="1" t="s">
        <v>749</v>
      </c>
      <c r="D652" s="1"/>
      <c r="E652" s="36">
        <v>46690.87</v>
      </c>
      <c r="F652" s="36"/>
      <c r="G652" s="36">
        <v>120204.77</v>
      </c>
      <c r="H652" s="36"/>
      <c r="I652" s="36">
        <v>68029.86</v>
      </c>
      <c r="J652" s="36"/>
      <c r="K652" s="36">
        <v>99.74</v>
      </c>
      <c r="L652" s="36"/>
      <c r="M652" s="36">
        <v>225</v>
      </c>
      <c r="N652" s="36"/>
      <c r="O652" s="36">
        <v>13776.84</v>
      </c>
      <c r="P652" s="36"/>
      <c r="Q652" s="36">
        <v>302.06</v>
      </c>
      <c r="R652" s="36"/>
      <c r="S652" s="36">
        <v>8137.33</v>
      </c>
      <c r="T652" s="36"/>
      <c r="U652" s="36">
        <v>0</v>
      </c>
      <c r="V652" s="36"/>
      <c r="W652" s="36">
        <v>0</v>
      </c>
      <c r="X652" s="36"/>
      <c r="Y652" s="36">
        <v>0</v>
      </c>
      <c r="Z652" s="36"/>
      <c r="AA652" s="36">
        <v>0</v>
      </c>
      <c r="AB652" s="36"/>
      <c r="AC652" s="36">
        <v>0</v>
      </c>
      <c r="AD652" s="36"/>
      <c r="AE652" s="36">
        <v>0</v>
      </c>
      <c r="AF652" s="36"/>
      <c r="AG652" s="36">
        <v>0</v>
      </c>
      <c r="AH652" s="36"/>
      <c r="AI652" s="36">
        <f>SUM(E652:AG652)</f>
        <v>257466.46999999997</v>
      </c>
      <c r="AJ652" s="10"/>
      <c r="AK652" s="22"/>
      <c r="AL652" s="22"/>
      <c r="AM652" s="22"/>
    </row>
    <row r="653" spans="1:36" ht="12.75">
      <c r="A653" s="1" t="s">
        <v>585</v>
      </c>
      <c r="C653" s="1" t="s">
        <v>583</v>
      </c>
      <c r="E653" s="83">
        <f>87603+2579</f>
        <v>90182</v>
      </c>
      <c r="F653" s="83"/>
      <c r="G653" s="83">
        <v>361181</v>
      </c>
      <c r="H653" s="83"/>
      <c r="I653" s="83">
        <v>142538</v>
      </c>
      <c r="J653" s="83"/>
      <c r="K653" s="83">
        <v>0</v>
      </c>
      <c r="L653" s="83"/>
      <c r="M653" s="83">
        <v>40287</v>
      </c>
      <c r="N653" s="83"/>
      <c r="O653" s="83">
        <v>65825</v>
      </c>
      <c r="P653" s="83"/>
      <c r="Q653" s="83">
        <v>1217</v>
      </c>
      <c r="R653" s="83"/>
      <c r="S653" s="83">
        <v>3209</v>
      </c>
      <c r="T653" s="83"/>
      <c r="U653" s="83">
        <v>0</v>
      </c>
      <c r="V653" s="83"/>
      <c r="W653" s="83">
        <v>0</v>
      </c>
      <c r="X653" s="83"/>
      <c r="Y653" s="83">
        <v>0</v>
      </c>
      <c r="Z653" s="83"/>
      <c r="AA653" s="83">
        <v>0</v>
      </c>
      <c r="AB653" s="83"/>
      <c r="AC653" s="83">
        <v>0</v>
      </c>
      <c r="AD653" s="83"/>
      <c r="AE653" s="83">
        <v>0</v>
      </c>
      <c r="AF653" s="83"/>
      <c r="AG653" s="83">
        <v>0</v>
      </c>
      <c r="AH653" s="83"/>
      <c r="AI653" s="83">
        <f t="shared" si="42"/>
        <v>704439</v>
      </c>
      <c r="AJ653" s="10"/>
    </row>
    <row r="654" spans="1:36" s="21" customFormat="1" ht="12.75">
      <c r="A654" s="1" t="s">
        <v>453</v>
      </c>
      <c r="B654" s="1"/>
      <c r="C654" s="1" t="s">
        <v>451</v>
      </c>
      <c r="D654" s="1"/>
      <c r="E654" s="83">
        <v>584075</v>
      </c>
      <c r="F654" s="83"/>
      <c r="G654" s="83">
        <v>1140638</v>
      </c>
      <c r="H654" s="83"/>
      <c r="I654" s="83">
        <v>236336</v>
      </c>
      <c r="J654" s="83"/>
      <c r="K654" s="83">
        <v>0</v>
      </c>
      <c r="L654" s="83"/>
      <c r="M654" s="83">
        <v>60679</v>
      </c>
      <c r="N654" s="83"/>
      <c r="O654" s="83">
        <v>40691</v>
      </c>
      <c r="P654" s="83"/>
      <c r="Q654" s="83">
        <v>0</v>
      </c>
      <c r="R654" s="83"/>
      <c r="S654" s="83">
        <f>1045+28514+76552</f>
        <v>106111</v>
      </c>
      <c r="T654" s="83"/>
      <c r="U654" s="83">
        <v>0</v>
      </c>
      <c r="V654" s="83"/>
      <c r="W654" s="83">
        <v>0</v>
      </c>
      <c r="X654" s="83"/>
      <c r="Y654" s="83">
        <v>0</v>
      </c>
      <c r="Z654" s="83"/>
      <c r="AA654" s="83">
        <v>0</v>
      </c>
      <c r="AB654" s="83"/>
      <c r="AC654" s="83">
        <v>0</v>
      </c>
      <c r="AD654" s="83"/>
      <c r="AE654" s="83">
        <v>0</v>
      </c>
      <c r="AF654" s="83"/>
      <c r="AG654" s="83">
        <v>0</v>
      </c>
      <c r="AH654" s="83"/>
      <c r="AI654" s="83">
        <f t="shared" si="42"/>
        <v>2168530</v>
      </c>
      <c r="AJ654" s="10"/>
    </row>
    <row r="655" spans="1:39" s="21" customFormat="1" ht="12.75">
      <c r="A655" s="1" t="s">
        <v>306</v>
      </c>
      <c r="B655" s="1"/>
      <c r="C655" s="1" t="s">
        <v>305</v>
      </c>
      <c r="D655" s="1"/>
      <c r="E655" s="36">
        <v>90903.85</v>
      </c>
      <c r="F655" s="36"/>
      <c r="G655" s="36">
        <v>349850.17</v>
      </c>
      <c r="H655" s="36"/>
      <c r="I655" s="36">
        <v>127414.11</v>
      </c>
      <c r="J655" s="36"/>
      <c r="K655" s="36">
        <v>0</v>
      </c>
      <c r="L655" s="36"/>
      <c r="M655" s="36">
        <v>6459</v>
      </c>
      <c r="N655" s="36"/>
      <c r="O655" s="36">
        <v>105059.25</v>
      </c>
      <c r="P655" s="36"/>
      <c r="Q655" s="36">
        <v>2803.21</v>
      </c>
      <c r="R655" s="36"/>
      <c r="S655" s="36">
        <v>25262.5</v>
      </c>
      <c r="T655" s="36"/>
      <c r="U655" s="36">
        <v>0</v>
      </c>
      <c r="V655" s="36"/>
      <c r="W655" s="36">
        <v>0</v>
      </c>
      <c r="X655" s="36"/>
      <c r="Y655" s="36">
        <v>0</v>
      </c>
      <c r="Z655" s="36"/>
      <c r="AA655" s="36">
        <v>0</v>
      </c>
      <c r="AB655" s="36"/>
      <c r="AC655" s="36">
        <v>0</v>
      </c>
      <c r="AD655" s="36"/>
      <c r="AE655" s="36">
        <v>0</v>
      </c>
      <c r="AF655" s="36"/>
      <c r="AG655" s="36">
        <v>0</v>
      </c>
      <c r="AH655" s="36"/>
      <c r="AI655" s="36">
        <f>SUM(E655:AG655)</f>
        <v>707752.09</v>
      </c>
      <c r="AJ655" s="10"/>
      <c r="AK655" s="22"/>
      <c r="AL655" s="22"/>
      <c r="AM655" s="22"/>
    </row>
    <row r="656" spans="1:36" ht="12.75">
      <c r="A656" s="1" t="s">
        <v>513</v>
      </c>
      <c r="C656" s="1" t="s">
        <v>510</v>
      </c>
      <c r="E656" s="83">
        <v>121029.17</v>
      </c>
      <c r="F656" s="83"/>
      <c r="G656" s="83">
        <v>282538.09</v>
      </c>
      <c r="H656" s="83"/>
      <c r="I656" s="83">
        <v>89132.34</v>
      </c>
      <c r="J656" s="83"/>
      <c r="K656" s="83">
        <v>0</v>
      </c>
      <c r="L656" s="83"/>
      <c r="M656" s="83">
        <v>0</v>
      </c>
      <c r="N656" s="83"/>
      <c r="O656" s="83">
        <v>3649.58</v>
      </c>
      <c r="P656" s="83"/>
      <c r="Q656" s="83">
        <v>7155.11</v>
      </c>
      <c r="R656" s="83"/>
      <c r="S656" s="83">
        <v>16099.14</v>
      </c>
      <c r="T656" s="83"/>
      <c r="U656" s="83">
        <v>0</v>
      </c>
      <c r="V656" s="83"/>
      <c r="W656" s="83">
        <v>0</v>
      </c>
      <c r="X656" s="83"/>
      <c r="Y656" s="83">
        <v>0</v>
      </c>
      <c r="Z656" s="83"/>
      <c r="AA656" s="83">
        <v>0</v>
      </c>
      <c r="AB656" s="83"/>
      <c r="AC656" s="83">
        <v>0</v>
      </c>
      <c r="AD656" s="83"/>
      <c r="AE656" s="83">
        <v>132000</v>
      </c>
      <c r="AF656" s="83"/>
      <c r="AG656" s="83">
        <v>0</v>
      </c>
      <c r="AH656" s="83"/>
      <c r="AI656" s="83">
        <f t="shared" si="42"/>
        <v>651603.4299999999</v>
      </c>
      <c r="AJ656" s="10"/>
    </row>
    <row r="657" spans="1:36" ht="12.75">
      <c r="A657" s="1" t="s">
        <v>957</v>
      </c>
      <c r="C657" s="1" t="s">
        <v>510</v>
      </c>
      <c r="E657" s="36">
        <v>3412.61</v>
      </c>
      <c r="F657" s="36"/>
      <c r="G657" s="36">
        <v>21079.05</v>
      </c>
      <c r="H657" s="36"/>
      <c r="I657" s="36">
        <v>22518.16</v>
      </c>
      <c r="J657" s="36"/>
      <c r="K657" s="36">
        <v>0</v>
      </c>
      <c r="L657" s="36"/>
      <c r="M657" s="36">
        <v>2560</v>
      </c>
      <c r="N657" s="36"/>
      <c r="O657" s="36">
        <v>4346.2</v>
      </c>
      <c r="P657" s="36"/>
      <c r="Q657" s="36">
        <v>43.86</v>
      </c>
      <c r="R657" s="36"/>
      <c r="S657" s="36">
        <v>3637.29</v>
      </c>
      <c r="T657" s="36"/>
      <c r="U657" s="36">
        <v>0</v>
      </c>
      <c r="V657" s="36"/>
      <c r="W657" s="36">
        <v>0</v>
      </c>
      <c r="X657" s="36"/>
      <c r="Y657" s="36">
        <v>0</v>
      </c>
      <c r="Z657" s="36"/>
      <c r="AA657" s="36">
        <v>0</v>
      </c>
      <c r="AB657" s="36"/>
      <c r="AC657" s="36">
        <v>0</v>
      </c>
      <c r="AD657" s="36"/>
      <c r="AE657" s="36">
        <v>0</v>
      </c>
      <c r="AF657" s="36"/>
      <c r="AG657" s="36">
        <v>0</v>
      </c>
      <c r="AH657" s="36"/>
      <c r="AI657" s="36">
        <f>SUM(E657:AG657)</f>
        <v>57597.17</v>
      </c>
      <c r="AJ657" s="10"/>
    </row>
    <row r="658" spans="1:36" ht="12.75">
      <c r="A658" s="1" t="s">
        <v>230</v>
      </c>
      <c r="C658" s="1" t="s">
        <v>817</v>
      </c>
      <c r="E658" s="93">
        <v>32814.17</v>
      </c>
      <c r="F658" s="93"/>
      <c r="G658" s="93">
        <v>0</v>
      </c>
      <c r="H658" s="93"/>
      <c r="I658" s="93">
        <v>27429.19</v>
      </c>
      <c r="J658" s="93"/>
      <c r="K658" s="93">
        <v>0</v>
      </c>
      <c r="L658" s="93"/>
      <c r="M658" s="93">
        <v>0</v>
      </c>
      <c r="N658" s="93"/>
      <c r="O658" s="93">
        <v>49100.83</v>
      </c>
      <c r="P658" s="93"/>
      <c r="Q658" s="93">
        <v>177.41</v>
      </c>
      <c r="R658" s="93"/>
      <c r="S658" s="93">
        <v>606</v>
      </c>
      <c r="T658" s="93"/>
      <c r="U658" s="93">
        <v>0</v>
      </c>
      <c r="V658" s="93"/>
      <c r="W658" s="93">
        <v>0</v>
      </c>
      <c r="X658" s="93"/>
      <c r="Y658" s="93">
        <v>0</v>
      </c>
      <c r="Z658" s="93"/>
      <c r="AA658" s="93">
        <v>0</v>
      </c>
      <c r="AB658" s="93"/>
      <c r="AC658" s="93">
        <v>0</v>
      </c>
      <c r="AD658" s="93"/>
      <c r="AE658" s="93">
        <v>0</v>
      </c>
      <c r="AF658" s="93"/>
      <c r="AG658" s="93">
        <v>0</v>
      </c>
      <c r="AH658" s="93"/>
      <c r="AI658" s="93">
        <f>SUM(E658:AG658)</f>
        <v>110127.6</v>
      </c>
      <c r="AJ658" s="10"/>
    </row>
    <row r="659" spans="1:36" ht="12.75">
      <c r="A659" s="1" t="s">
        <v>958</v>
      </c>
      <c r="C659" s="1" t="s">
        <v>432</v>
      </c>
      <c r="E659" s="36">
        <v>70303.13</v>
      </c>
      <c r="F659" s="36"/>
      <c r="G659" s="36">
        <v>1672349.3</v>
      </c>
      <c r="H659" s="36"/>
      <c r="I659" s="36">
        <v>129429.78</v>
      </c>
      <c r="J659" s="36"/>
      <c r="K659" s="36">
        <v>91533.34</v>
      </c>
      <c r="L659" s="36"/>
      <c r="M659" s="36">
        <v>28758</v>
      </c>
      <c r="N659" s="36"/>
      <c r="O659" s="36">
        <v>56838.09</v>
      </c>
      <c r="P659" s="36"/>
      <c r="Q659" s="36">
        <v>32968.23</v>
      </c>
      <c r="R659" s="36"/>
      <c r="S659" s="36">
        <v>9590.71</v>
      </c>
      <c r="T659" s="36"/>
      <c r="U659" s="36">
        <v>0</v>
      </c>
      <c r="V659" s="36"/>
      <c r="W659" s="36">
        <v>0</v>
      </c>
      <c r="X659" s="36"/>
      <c r="Y659" s="36">
        <v>7660.04</v>
      </c>
      <c r="Z659" s="36"/>
      <c r="AA659" s="36">
        <v>0</v>
      </c>
      <c r="AB659" s="36"/>
      <c r="AC659" s="36">
        <v>0</v>
      </c>
      <c r="AD659" s="36"/>
      <c r="AE659" s="36">
        <v>0</v>
      </c>
      <c r="AF659" s="36"/>
      <c r="AG659" s="36">
        <v>0</v>
      </c>
      <c r="AH659" s="36"/>
      <c r="AI659" s="36">
        <f>SUM(E659:AG659)</f>
        <v>2099430.62</v>
      </c>
      <c r="AJ659" s="10"/>
    </row>
    <row r="660" spans="1:39" s="21" customFormat="1" ht="12.75">
      <c r="A660" s="1" t="s">
        <v>310</v>
      </c>
      <c r="B660" s="1"/>
      <c r="C660" s="1" t="s">
        <v>308</v>
      </c>
      <c r="D660" s="1"/>
      <c r="E660" s="83">
        <v>163880</v>
      </c>
      <c r="F660" s="83"/>
      <c r="G660" s="83">
        <v>261682</v>
      </c>
      <c r="H660" s="83"/>
      <c r="I660" s="83">
        <v>47494</v>
      </c>
      <c r="J660" s="83"/>
      <c r="K660" s="83">
        <v>0</v>
      </c>
      <c r="L660" s="83"/>
      <c r="M660" s="83">
        <v>85759</v>
      </c>
      <c r="N660" s="83"/>
      <c r="O660" s="83">
        <v>4912</v>
      </c>
      <c r="P660" s="83"/>
      <c r="Q660" s="83">
        <v>3025</v>
      </c>
      <c r="R660" s="83"/>
      <c r="S660" s="83">
        <f>2902</f>
        <v>2902</v>
      </c>
      <c r="T660" s="83"/>
      <c r="U660" s="83">
        <v>0</v>
      </c>
      <c r="V660" s="83"/>
      <c r="W660" s="83">
        <v>0</v>
      </c>
      <c r="X660" s="83"/>
      <c r="Y660" s="83">
        <v>0</v>
      </c>
      <c r="Z660" s="83"/>
      <c r="AA660" s="83">
        <v>0</v>
      </c>
      <c r="AB660" s="83"/>
      <c r="AC660" s="83">
        <v>0</v>
      </c>
      <c r="AD660" s="83"/>
      <c r="AE660" s="83">
        <v>0</v>
      </c>
      <c r="AF660" s="83"/>
      <c r="AG660" s="83">
        <v>27774</v>
      </c>
      <c r="AH660" s="83"/>
      <c r="AI660" s="83">
        <f t="shared" si="42"/>
        <v>597428</v>
      </c>
      <c r="AJ660" s="10"/>
      <c r="AK660" s="22"/>
      <c r="AL660" s="22"/>
      <c r="AM660" s="22"/>
    </row>
    <row r="661" spans="1:36" s="15" customFormat="1" ht="12.75">
      <c r="A661" s="15" t="s">
        <v>916</v>
      </c>
      <c r="C661" s="15" t="s">
        <v>514</v>
      </c>
      <c r="E661" s="93">
        <v>3237.19</v>
      </c>
      <c r="F661" s="93"/>
      <c r="G661" s="93">
        <v>0</v>
      </c>
      <c r="H661" s="93"/>
      <c r="I661" s="93">
        <v>38476.3</v>
      </c>
      <c r="J661" s="93"/>
      <c r="K661" s="93">
        <v>0</v>
      </c>
      <c r="L661" s="93"/>
      <c r="M661" s="93">
        <v>0</v>
      </c>
      <c r="N661" s="93"/>
      <c r="O661" s="93">
        <v>0</v>
      </c>
      <c r="P661" s="93"/>
      <c r="Q661" s="93">
        <v>234.25</v>
      </c>
      <c r="R661" s="93"/>
      <c r="S661" s="93">
        <v>1173.28</v>
      </c>
      <c r="T661" s="93"/>
      <c r="U661" s="93">
        <v>0</v>
      </c>
      <c r="V661" s="93"/>
      <c r="W661" s="93">
        <v>0</v>
      </c>
      <c r="X661" s="93"/>
      <c r="Y661" s="93">
        <v>0</v>
      </c>
      <c r="Z661" s="93"/>
      <c r="AA661" s="93">
        <v>0</v>
      </c>
      <c r="AB661" s="93"/>
      <c r="AC661" s="93">
        <v>0</v>
      </c>
      <c r="AD661" s="93"/>
      <c r="AE661" s="93">
        <v>0</v>
      </c>
      <c r="AF661" s="93"/>
      <c r="AG661" s="93">
        <v>0</v>
      </c>
      <c r="AH661" s="93"/>
      <c r="AI661" s="93">
        <f>SUM(E661:AG661)</f>
        <v>43121.020000000004</v>
      </c>
      <c r="AJ661" s="24"/>
    </row>
    <row r="662" spans="1:36" s="21" customFormat="1" ht="12.75">
      <c r="A662" s="1" t="s">
        <v>135</v>
      </c>
      <c r="B662" s="1"/>
      <c r="C662" s="1" t="s">
        <v>786</v>
      </c>
      <c r="D662" s="1"/>
      <c r="E662" s="36">
        <v>243215.44</v>
      </c>
      <c r="F662" s="36"/>
      <c r="G662" s="36">
        <v>0</v>
      </c>
      <c r="H662" s="36"/>
      <c r="I662" s="36">
        <v>176733.22</v>
      </c>
      <c r="J662" s="36"/>
      <c r="K662" s="36">
        <v>0</v>
      </c>
      <c r="L662" s="36"/>
      <c r="M662" s="36">
        <v>110347.99</v>
      </c>
      <c r="N662" s="36"/>
      <c r="O662" s="36">
        <v>1813</v>
      </c>
      <c r="P662" s="36"/>
      <c r="Q662" s="36">
        <v>10016.95</v>
      </c>
      <c r="R662" s="36"/>
      <c r="S662" s="36">
        <v>41266.7</v>
      </c>
      <c r="T662" s="36"/>
      <c r="U662" s="36">
        <v>0</v>
      </c>
      <c r="V662" s="36"/>
      <c r="W662" s="36">
        <v>0</v>
      </c>
      <c r="X662" s="36"/>
      <c r="Y662" s="36">
        <v>0</v>
      </c>
      <c r="Z662" s="36"/>
      <c r="AA662" s="36">
        <v>3166.35</v>
      </c>
      <c r="AB662" s="36"/>
      <c r="AC662" s="36">
        <v>0</v>
      </c>
      <c r="AD662" s="36"/>
      <c r="AE662" s="36">
        <v>0</v>
      </c>
      <c r="AF662" s="36"/>
      <c r="AG662" s="36">
        <v>0</v>
      </c>
      <c r="AH662" s="36"/>
      <c r="AI662" s="36">
        <f>SUM(E662:AG662)</f>
        <v>586559.6499999999</v>
      </c>
      <c r="AJ662" s="10"/>
    </row>
    <row r="663" spans="1:36" ht="12.75">
      <c r="A663" s="1" t="s">
        <v>917</v>
      </c>
      <c r="C663" s="1" t="s">
        <v>510</v>
      </c>
      <c r="E663" s="83">
        <v>47298.75</v>
      </c>
      <c r="F663" s="83"/>
      <c r="G663" s="83">
        <v>0</v>
      </c>
      <c r="H663" s="83"/>
      <c r="I663" s="83">
        <v>413.45</v>
      </c>
      <c r="J663" s="83"/>
      <c r="K663" s="83">
        <v>0</v>
      </c>
      <c r="L663" s="83"/>
      <c r="M663" s="83">
        <v>28062.99</v>
      </c>
      <c r="N663" s="83"/>
      <c r="O663" s="83">
        <v>170.7</v>
      </c>
      <c r="P663" s="83"/>
      <c r="Q663" s="83">
        <v>1316.65</v>
      </c>
      <c r="R663" s="83"/>
      <c r="S663" s="83">
        <v>22485.29</v>
      </c>
      <c r="T663" s="83"/>
      <c r="U663" s="83">
        <v>0</v>
      </c>
      <c r="V663" s="85"/>
      <c r="W663" s="83">
        <v>0</v>
      </c>
      <c r="X663" s="85"/>
      <c r="Y663" s="83">
        <v>0</v>
      </c>
      <c r="Z663" s="83"/>
      <c r="AA663" s="10">
        <v>0</v>
      </c>
      <c r="AB663" s="83"/>
      <c r="AC663" s="83">
        <v>4500</v>
      </c>
      <c r="AD663" s="83"/>
      <c r="AE663" s="83">
        <v>0</v>
      </c>
      <c r="AF663" s="83"/>
      <c r="AG663" s="83">
        <v>0</v>
      </c>
      <c r="AH663" s="83"/>
      <c r="AI663" s="83">
        <f t="shared" si="42"/>
        <v>104247.82999999999</v>
      </c>
      <c r="AJ663" s="10"/>
    </row>
    <row r="664" spans="1:36" ht="12.75">
      <c r="A664" s="1" t="s">
        <v>959</v>
      </c>
      <c r="C664" s="1" t="s">
        <v>446</v>
      </c>
      <c r="E664" s="36">
        <v>75758.03</v>
      </c>
      <c r="F664" s="36"/>
      <c r="G664" s="36">
        <v>0</v>
      </c>
      <c r="H664" s="36"/>
      <c r="I664" s="36">
        <v>59869.71</v>
      </c>
      <c r="J664" s="36"/>
      <c r="K664" s="36">
        <v>0</v>
      </c>
      <c r="L664" s="36"/>
      <c r="M664" s="36">
        <v>0</v>
      </c>
      <c r="N664" s="36"/>
      <c r="O664" s="36">
        <v>7045.47</v>
      </c>
      <c r="P664" s="36"/>
      <c r="Q664" s="36">
        <v>1273.51</v>
      </c>
      <c r="R664" s="36"/>
      <c r="S664" s="36">
        <v>431.43</v>
      </c>
      <c r="T664" s="36"/>
      <c r="U664" s="36">
        <v>0</v>
      </c>
      <c r="V664" s="36"/>
      <c r="W664" s="36">
        <v>0</v>
      </c>
      <c r="X664" s="36"/>
      <c r="Y664" s="36">
        <v>0</v>
      </c>
      <c r="Z664" s="36"/>
      <c r="AA664" s="36">
        <v>0</v>
      </c>
      <c r="AB664" s="36"/>
      <c r="AC664" s="36">
        <v>0</v>
      </c>
      <c r="AD664" s="36"/>
      <c r="AE664" s="36">
        <v>0</v>
      </c>
      <c r="AF664" s="36"/>
      <c r="AG664" s="36">
        <v>0</v>
      </c>
      <c r="AH664" s="36"/>
      <c r="AI664" s="36">
        <f>SUM(E664:AG664)</f>
        <v>144378.15</v>
      </c>
      <c r="AJ664" s="10"/>
    </row>
    <row r="665" spans="1:36" ht="12.75">
      <c r="A665" s="1" t="s">
        <v>262</v>
      </c>
      <c r="C665" s="1" t="s">
        <v>825</v>
      </c>
      <c r="E665" s="36">
        <v>12026.85</v>
      </c>
      <c r="F665" s="36"/>
      <c r="G665" s="36">
        <v>0</v>
      </c>
      <c r="H665" s="36"/>
      <c r="I665" s="36">
        <v>9337.52</v>
      </c>
      <c r="J665" s="36"/>
      <c r="K665" s="36">
        <v>2248.08</v>
      </c>
      <c r="L665" s="36"/>
      <c r="M665" s="36">
        <v>0</v>
      </c>
      <c r="N665" s="36"/>
      <c r="O665" s="36">
        <v>6281.36</v>
      </c>
      <c r="P665" s="36"/>
      <c r="Q665" s="36">
        <v>65.36</v>
      </c>
      <c r="R665" s="36"/>
      <c r="S665" s="36">
        <v>1111.56</v>
      </c>
      <c r="T665" s="36"/>
      <c r="U665" s="36">
        <v>0</v>
      </c>
      <c r="V665" s="36"/>
      <c r="W665" s="36">
        <v>0</v>
      </c>
      <c r="X665" s="36"/>
      <c r="Y665" s="36">
        <v>0</v>
      </c>
      <c r="Z665" s="36"/>
      <c r="AA665" s="36">
        <v>0</v>
      </c>
      <c r="AB665" s="36"/>
      <c r="AC665" s="36">
        <v>0</v>
      </c>
      <c r="AD665" s="36"/>
      <c r="AE665" s="36">
        <v>0</v>
      </c>
      <c r="AF665" s="36"/>
      <c r="AG665" s="36">
        <v>0</v>
      </c>
      <c r="AH665" s="36"/>
      <c r="AI665" s="36">
        <f>SUM(E665:AG665)</f>
        <v>31070.730000000007</v>
      </c>
      <c r="AJ665" s="10"/>
    </row>
    <row r="666" spans="1:36" s="21" customFormat="1" ht="12.75">
      <c r="A666" s="1" t="s">
        <v>472</v>
      </c>
      <c r="B666" s="1"/>
      <c r="C666" s="1" t="s">
        <v>470</v>
      </c>
      <c r="D666" s="1"/>
      <c r="E666" s="83">
        <v>196202</v>
      </c>
      <c r="F666" s="83"/>
      <c r="G666" s="83">
        <v>877060</v>
      </c>
      <c r="H666" s="83"/>
      <c r="I666" s="83">
        <v>247676</v>
      </c>
      <c r="J666" s="83"/>
      <c r="K666" s="83">
        <v>0</v>
      </c>
      <c r="L666" s="83"/>
      <c r="M666" s="83">
        <v>250</v>
      </c>
      <c r="N666" s="83"/>
      <c r="O666" s="83">
        <v>71806</v>
      </c>
      <c r="P666" s="83"/>
      <c r="Q666" s="83">
        <v>4386</v>
      </c>
      <c r="R666" s="83"/>
      <c r="S666" s="83">
        <v>12768</v>
      </c>
      <c r="T666" s="83"/>
      <c r="U666" s="83">
        <v>0</v>
      </c>
      <c r="V666" s="83"/>
      <c r="W666" s="83">
        <v>0</v>
      </c>
      <c r="X666" s="83"/>
      <c r="Y666" s="83">
        <v>0</v>
      </c>
      <c r="Z666" s="83"/>
      <c r="AA666" s="83">
        <v>0</v>
      </c>
      <c r="AB666" s="83"/>
      <c r="AC666" s="83">
        <v>0</v>
      </c>
      <c r="AD666" s="83"/>
      <c r="AE666" s="83">
        <v>0</v>
      </c>
      <c r="AF666" s="83"/>
      <c r="AG666" s="83">
        <v>0</v>
      </c>
      <c r="AH666" s="83"/>
      <c r="AI666" s="83">
        <f t="shared" si="42"/>
        <v>1410148</v>
      </c>
      <c r="AJ666" s="10"/>
    </row>
    <row r="667" spans="1:39" ht="12.75">
      <c r="A667" s="1" t="s">
        <v>351</v>
      </c>
      <c r="C667" s="1" t="s">
        <v>350</v>
      </c>
      <c r="E667" s="83">
        <v>16013</v>
      </c>
      <c r="F667" s="83"/>
      <c r="G667" s="83">
        <v>0</v>
      </c>
      <c r="H667" s="83"/>
      <c r="I667" s="83">
        <v>7345</v>
      </c>
      <c r="J667" s="83"/>
      <c r="K667" s="83">
        <v>0</v>
      </c>
      <c r="L667" s="83"/>
      <c r="M667" s="83">
        <v>0</v>
      </c>
      <c r="N667" s="83"/>
      <c r="O667" s="83">
        <v>0</v>
      </c>
      <c r="P667" s="83"/>
      <c r="Q667" s="83">
        <v>0</v>
      </c>
      <c r="R667" s="83"/>
      <c r="S667" s="83">
        <v>2377</v>
      </c>
      <c r="T667" s="83"/>
      <c r="U667" s="83">
        <v>0</v>
      </c>
      <c r="V667" s="83"/>
      <c r="W667" s="83">
        <v>0</v>
      </c>
      <c r="X667" s="83"/>
      <c r="Y667" s="83">
        <v>0</v>
      </c>
      <c r="Z667" s="83"/>
      <c r="AA667" s="83">
        <v>0</v>
      </c>
      <c r="AB667" s="83"/>
      <c r="AC667" s="83">
        <v>0</v>
      </c>
      <c r="AD667" s="83"/>
      <c r="AE667" s="83">
        <v>0</v>
      </c>
      <c r="AF667" s="83"/>
      <c r="AG667" s="83">
        <v>0</v>
      </c>
      <c r="AH667" s="83"/>
      <c r="AI667" s="83">
        <f t="shared" si="42"/>
        <v>25735</v>
      </c>
      <c r="AJ667" s="10"/>
      <c r="AK667" s="7"/>
      <c r="AL667" s="7"/>
      <c r="AM667" s="7"/>
    </row>
    <row r="668" spans="1:36" ht="12.75">
      <c r="A668" s="1" t="s">
        <v>250</v>
      </c>
      <c r="C668" s="1" t="s">
        <v>823</v>
      </c>
      <c r="E668" s="36">
        <v>39694.23</v>
      </c>
      <c r="F668" s="36"/>
      <c r="G668" s="36">
        <v>164816.11</v>
      </c>
      <c r="H668" s="36"/>
      <c r="I668" s="36">
        <v>55240.64</v>
      </c>
      <c r="J668" s="36"/>
      <c r="K668" s="36">
        <v>0</v>
      </c>
      <c r="L668" s="36"/>
      <c r="M668" s="36">
        <v>34800</v>
      </c>
      <c r="N668" s="36"/>
      <c r="O668" s="36">
        <v>15629</v>
      </c>
      <c r="P668" s="36"/>
      <c r="Q668" s="36">
        <v>1784.39</v>
      </c>
      <c r="R668" s="36"/>
      <c r="S668" s="36">
        <v>6383.78</v>
      </c>
      <c r="T668" s="36"/>
      <c r="U668" s="36">
        <v>0</v>
      </c>
      <c r="V668" s="36"/>
      <c r="W668" s="36">
        <v>0</v>
      </c>
      <c r="X668" s="36"/>
      <c r="Y668" s="36">
        <v>0</v>
      </c>
      <c r="Z668" s="36"/>
      <c r="AA668" s="36">
        <v>0</v>
      </c>
      <c r="AB668" s="36"/>
      <c r="AC668" s="36">
        <v>0</v>
      </c>
      <c r="AD668" s="36"/>
      <c r="AE668" s="36">
        <v>0</v>
      </c>
      <c r="AF668" s="36"/>
      <c r="AG668" s="36">
        <v>0</v>
      </c>
      <c r="AH668" s="36"/>
      <c r="AI668" s="36">
        <f>SUM(E668:AG668)</f>
        <v>318348.15</v>
      </c>
      <c r="AJ668" s="10"/>
    </row>
    <row r="669" spans="1:39" s="21" customFormat="1" ht="12.75">
      <c r="A669" s="1" t="s">
        <v>0</v>
      </c>
      <c r="B669" s="1"/>
      <c r="C669" s="1" t="s">
        <v>664</v>
      </c>
      <c r="D669" s="1"/>
      <c r="E669" s="36">
        <v>45775.23</v>
      </c>
      <c r="F669" s="36"/>
      <c r="G669" s="36">
        <v>594602.43</v>
      </c>
      <c r="H669" s="36"/>
      <c r="I669" s="36">
        <v>54520.03</v>
      </c>
      <c r="J669" s="36"/>
      <c r="K669" s="36">
        <v>0</v>
      </c>
      <c r="L669" s="36"/>
      <c r="M669" s="36">
        <v>3451</v>
      </c>
      <c r="N669" s="36"/>
      <c r="O669" s="36">
        <v>120878.28</v>
      </c>
      <c r="P669" s="36"/>
      <c r="Q669" s="36">
        <v>2677.16</v>
      </c>
      <c r="R669" s="36"/>
      <c r="S669" s="36">
        <v>26784.58</v>
      </c>
      <c r="T669" s="36"/>
      <c r="U669" s="36">
        <v>0</v>
      </c>
      <c r="V669" s="36"/>
      <c r="W669" s="36">
        <v>0</v>
      </c>
      <c r="X669" s="36"/>
      <c r="Y669" s="36">
        <v>0</v>
      </c>
      <c r="Z669" s="36"/>
      <c r="AA669" s="36">
        <v>0</v>
      </c>
      <c r="AB669" s="36"/>
      <c r="AC669" s="36">
        <v>0</v>
      </c>
      <c r="AD669" s="36"/>
      <c r="AE669" s="36">
        <v>0</v>
      </c>
      <c r="AF669" s="36"/>
      <c r="AG669" s="36">
        <v>0</v>
      </c>
      <c r="AH669" s="36"/>
      <c r="AI669" s="36">
        <f>SUM(E669:AG669)</f>
        <v>848688.7100000001</v>
      </c>
      <c r="AJ669" s="10"/>
      <c r="AK669" s="22"/>
      <c r="AL669" s="22"/>
      <c r="AM669" s="22"/>
    </row>
    <row r="670" spans="1:36" ht="12.75">
      <c r="A670" s="1" t="s">
        <v>601</v>
      </c>
      <c r="C670" s="1" t="s">
        <v>598</v>
      </c>
      <c r="E670" s="36">
        <v>133476.8</v>
      </c>
      <c r="F670" s="36"/>
      <c r="G670" s="36">
        <v>200655.55</v>
      </c>
      <c r="H670" s="36"/>
      <c r="I670" s="36">
        <v>120941.82</v>
      </c>
      <c r="J670" s="36"/>
      <c r="K670" s="36">
        <v>0</v>
      </c>
      <c r="L670" s="36"/>
      <c r="M670" s="36">
        <v>0</v>
      </c>
      <c r="N670" s="36"/>
      <c r="O670" s="36">
        <v>26651.87</v>
      </c>
      <c r="P670" s="36"/>
      <c r="Q670" s="36">
        <v>5224.17</v>
      </c>
      <c r="R670" s="36"/>
      <c r="S670" s="36">
        <v>29592.81</v>
      </c>
      <c r="T670" s="36"/>
      <c r="U670" s="36">
        <v>0</v>
      </c>
      <c r="V670" s="36"/>
      <c r="W670" s="36">
        <v>0</v>
      </c>
      <c r="X670" s="36"/>
      <c r="Y670" s="36">
        <v>0</v>
      </c>
      <c r="Z670" s="36"/>
      <c r="AA670" s="36">
        <v>0</v>
      </c>
      <c r="AB670" s="36"/>
      <c r="AC670" s="36">
        <v>0</v>
      </c>
      <c r="AD670" s="36"/>
      <c r="AE670" s="36">
        <v>0</v>
      </c>
      <c r="AF670" s="36"/>
      <c r="AG670" s="36">
        <v>0</v>
      </c>
      <c r="AH670" s="36"/>
      <c r="AI670" s="36">
        <f>SUM(E670:AG670)</f>
        <v>516543.01999999996</v>
      </c>
      <c r="AJ670" s="10"/>
    </row>
    <row r="671" spans="1:36" ht="12.75">
      <c r="A671" s="1" t="s">
        <v>155</v>
      </c>
      <c r="C671" s="1" t="s">
        <v>792</v>
      </c>
      <c r="E671" s="36">
        <v>120279.57</v>
      </c>
      <c r="F671" s="36"/>
      <c r="G671" s="36">
        <v>1067730.51</v>
      </c>
      <c r="H671" s="36"/>
      <c r="I671" s="36">
        <v>62649.18</v>
      </c>
      <c r="J671" s="36"/>
      <c r="K671" s="36">
        <v>0</v>
      </c>
      <c r="L671" s="36"/>
      <c r="M671" s="36">
        <v>11468.86</v>
      </c>
      <c r="N671" s="36"/>
      <c r="O671" s="36">
        <v>5297</v>
      </c>
      <c r="P671" s="36"/>
      <c r="Q671" s="36">
        <v>0</v>
      </c>
      <c r="R671" s="36"/>
      <c r="S671" s="36">
        <v>52272</v>
      </c>
      <c r="T671" s="36"/>
      <c r="U671" s="36">
        <v>0</v>
      </c>
      <c r="V671" s="36"/>
      <c r="W671" s="36">
        <v>0</v>
      </c>
      <c r="X671" s="36"/>
      <c r="Y671" s="36">
        <v>0</v>
      </c>
      <c r="Z671" s="36"/>
      <c r="AA671" s="36">
        <v>0</v>
      </c>
      <c r="AB671" s="36"/>
      <c r="AC671" s="36">
        <v>0</v>
      </c>
      <c r="AD671" s="36"/>
      <c r="AE671" s="36">
        <v>0</v>
      </c>
      <c r="AF671" s="36"/>
      <c r="AG671" s="36">
        <v>0</v>
      </c>
      <c r="AH671" s="36"/>
      <c r="AI671" s="36">
        <f>SUM(E671:AG671)</f>
        <v>1319697.12</v>
      </c>
      <c r="AJ671" s="10"/>
    </row>
    <row r="672" spans="1:36" s="15" customFormat="1" ht="12.75">
      <c r="A672" s="15" t="s">
        <v>263</v>
      </c>
      <c r="C672" s="15" t="s">
        <v>603</v>
      </c>
      <c r="E672" s="36">
        <v>35116.37</v>
      </c>
      <c r="F672" s="36"/>
      <c r="G672" s="36">
        <v>206727.65</v>
      </c>
      <c r="H672" s="36"/>
      <c r="I672" s="36">
        <v>44092.05</v>
      </c>
      <c r="J672" s="36"/>
      <c r="K672" s="36">
        <v>2020.32</v>
      </c>
      <c r="L672" s="36"/>
      <c r="M672" s="36">
        <v>12500</v>
      </c>
      <c r="N672" s="36"/>
      <c r="O672" s="36">
        <v>10202.99</v>
      </c>
      <c r="P672" s="36"/>
      <c r="Q672" s="36">
        <v>2438.65</v>
      </c>
      <c r="R672" s="36"/>
      <c r="S672" s="36">
        <v>27705.83</v>
      </c>
      <c r="T672" s="36"/>
      <c r="U672" s="36">
        <v>0</v>
      </c>
      <c r="V672" s="36"/>
      <c r="W672" s="36">
        <v>0</v>
      </c>
      <c r="X672" s="36"/>
      <c r="Y672" s="36">
        <v>4502</v>
      </c>
      <c r="Z672" s="36"/>
      <c r="AA672" s="36">
        <v>15875</v>
      </c>
      <c r="AB672" s="36"/>
      <c r="AC672" s="36">
        <v>0</v>
      </c>
      <c r="AD672" s="36"/>
      <c r="AE672" s="36">
        <v>0</v>
      </c>
      <c r="AF672" s="36"/>
      <c r="AG672" s="36">
        <v>0</v>
      </c>
      <c r="AH672" s="36"/>
      <c r="AI672" s="36">
        <f>SUM(E672:AG672)</f>
        <v>361180.86000000004</v>
      </c>
      <c r="AJ672" s="24"/>
    </row>
    <row r="673" spans="1:36" ht="12.75" hidden="1">
      <c r="A673" s="1" t="s">
        <v>918</v>
      </c>
      <c r="C673" s="1" t="s">
        <v>611</v>
      </c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>
        <f t="shared" si="42"/>
        <v>0</v>
      </c>
      <c r="AJ673" s="10"/>
    </row>
    <row r="674" spans="1:36" ht="12.75">
      <c r="A674" s="1" t="s">
        <v>458</v>
      </c>
      <c r="C674" s="1" t="s">
        <v>455</v>
      </c>
      <c r="E674" s="83">
        <v>377435</v>
      </c>
      <c r="F674" s="83"/>
      <c r="G674" s="83">
        <v>0</v>
      </c>
      <c r="H674" s="83"/>
      <c r="I674" s="83">
        <v>283434</v>
      </c>
      <c r="J674" s="83"/>
      <c r="K674" s="83">
        <v>0</v>
      </c>
      <c r="L674" s="83"/>
      <c r="M674" s="83">
        <v>260123</v>
      </c>
      <c r="N674" s="83"/>
      <c r="O674" s="83">
        <v>80822</v>
      </c>
      <c r="P674" s="83"/>
      <c r="Q674" s="83">
        <v>0</v>
      </c>
      <c r="R674" s="83"/>
      <c r="S674" s="83">
        <v>71272</v>
      </c>
      <c r="T674" s="83"/>
      <c r="U674" s="83">
        <v>0</v>
      </c>
      <c r="V674" s="83"/>
      <c r="W674" s="83">
        <v>0</v>
      </c>
      <c r="X674" s="83"/>
      <c r="Y674" s="83">
        <v>12832</v>
      </c>
      <c r="Z674" s="83"/>
      <c r="AA674" s="83">
        <v>1250225</v>
      </c>
      <c r="AB674" s="83"/>
      <c r="AC674" s="83">
        <v>0</v>
      </c>
      <c r="AD674" s="83"/>
      <c r="AE674" s="83">
        <v>0</v>
      </c>
      <c r="AF674" s="83"/>
      <c r="AG674" s="83">
        <v>0</v>
      </c>
      <c r="AH674" s="83"/>
      <c r="AI674" s="83">
        <f t="shared" si="42"/>
        <v>2336143</v>
      </c>
      <c r="AJ674" s="10"/>
    </row>
    <row r="675" spans="1:36" ht="12.75">
      <c r="A675" s="1" t="s">
        <v>579</v>
      </c>
      <c r="C675" s="1" t="s">
        <v>82</v>
      </c>
      <c r="E675" s="83">
        <v>13300</v>
      </c>
      <c r="F675" s="83"/>
      <c r="G675" s="83">
        <v>0</v>
      </c>
      <c r="H675" s="83"/>
      <c r="I675" s="83">
        <v>0</v>
      </c>
      <c r="J675" s="83"/>
      <c r="K675" s="83">
        <v>0</v>
      </c>
      <c r="L675" s="83"/>
      <c r="M675" s="83">
        <v>0</v>
      </c>
      <c r="N675" s="83"/>
      <c r="O675" s="83">
        <v>0</v>
      </c>
      <c r="P675" s="83"/>
      <c r="Q675" s="83">
        <v>10</v>
      </c>
      <c r="R675" s="83"/>
      <c r="S675" s="83">
        <v>245</v>
      </c>
      <c r="T675" s="83"/>
      <c r="U675" s="83">
        <v>0</v>
      </c>
      <c r="V675" s="83"/>
      <c r="W675" s="83">
        <v>0</v>
      </c>
      <c r="X675" s="83"/>
      <c r="Y675" s="83">
        <v>0</v>
      </c>
      <c r="Z675" s="83"/>
      <c r="AA675" s="83">
        <v>0</v>
      </c>
      <c r="AB675" s="83"/>
      <c r="AC675" s="83">
        <v>0</v>
      </c>
      <c r="AD675" s="83"/>
      <c r="AE675" s="83">
        <v>0</v>
      </c>
      <c r="AF675" s="83"/>
      <c r="AG675" s="83">
        <v>0</v>
      </c>
      <c r="AH675" s="83"/>
      <c r="AI675" s="83">
        <f t="shared" si="42"/>
        <v>13555</v>
      </c>
      <c r="AJ675" s="10"/>
    </row>
    <row r="676" spans="1:39" s="21" customFormat="1" ht="12.75">
      <c r="A676" s="1" t="s">
        <v>40</v>
      </c>
      <c r="B676" s="1"/>
      <c r="C676" s="1" t="s">
        <v>756</v>
      </c>
      <c r="D676" s="1"/>
      <c r="E676" s="36">
        <v>121478.94</v>
      </c>
      <c r="F676" s="36"/>
      <c r="G676" s="36">
        <v>449169.99</v>
      </c>
      <c r="H676" s="36"/>
      <c r="I676" s="36">
        <v>71218.31</v>
      </c>
      <c r="J676" s="36"/>
      <c r="K676" s="36">
        <v>0</v>
      </c>
      <c r="L676" s="36"/>
      <c r="M676" s="36">
        <v>93077.73</v>
      </c>
      <c r="N676" s="36"/>
      <c r="O676" s="36">
        <v>30909.21</v>
      </c>
      <c r="P676" s="36"/>
      <c r="Q676" s="36">
        <v>312.01</v>
      </c>
      <c r="R676" s="36"/>
      <c r="S676" s="36">
        <v>1624.67</v>
      </c>
      <c r="T676" s="36"/>
      <c r="U676" s="36">
        <v>0</v>
      </c>
      <c r="V676" s="36"/>
      <c r="W676" s="36">
        <v>0</v>
      </c>
      <c r="X676" s="36"/>
      <c r="Y676" s="36">
        <v>0</v>
      </c>
      <c r="Z676" s="36"/>
      <c r="AA676" s="36">
        <v>0</v>
      </c>
      <c r="AB676" s="36"/>
      <c r="AC676" s="36">
        <v>0</v>
      </c>
      <c r="AD676" s="36"/>
      <c r="AE676" s="36">
        <v>0</v>
      </c>
      <c r="AF676" s="36"/>
      <c r="AG676" s="36">
        <v>0</v>
      </c>
      <c r="AH676" s="36"/>
      <c r="AI676" s="36">
        <f>SUM(E676:AG676)</f>
        <v>767790.86</v>
      </c>
      <c r="AJ676" s="10"/>
      <c r="AK676" s="22"/>
      <c r="AL676" s="22"/>
      <c r="AM676" s="22"/>
    </row>
    <row r="677" spans="1:36" ht="12.75">
      <c r="A677" s="1" t="s">
        <v>192</v>
      </c>
      <c r="C677" s="1" t="s">
        <v>804</v>
      </c>
      <c r="E677" s="93">
        <v>35459.75</v>
      </c>
      <c r="F677" s="93"/>
      <c r="G677" s="93">
        <v>0</v>
      </c>
      <c r="H677" s="93"/>
      <c r="I677" s="93">
        <v>38500.1</v>
      </c>
      <c r="J677" s="93"/>
      <c r="K677" s="93">
        <v>0</v>
      </c>
      <c r="L677" s="93"/>
      <c r="M677" s="93">
        <v>0</v>
      </c>
      <c r="N677" s="93"/>
      <c r="O677" s="93">
        <v>593.33</v>
      </c>
      <c r="P677" s="93"/>
      <c r="Q677" s="93">
        <v>1616.03</v>
      </c>
      <c r="R677" s="93"/>
      <c r="S677" s="93">
        <v>4224.93</v>
      </c>
      <c r="T677" s="93"/>
      <c r="U677" s="93">
        <v>0</v>
      </c>
      <c r="V677" s="93"/>
      <c r="W677" s="93">
        <v>0</v>
      </c>
      <c r="X677" s="93"/>
      <c r="Y677" s="93">
        <v>0</v>
      </c>
      <c r="Z677" s="93"/>
      <c r="AA677" s="93">
        <v>0</v>
      </c>
      <c r="AB677" s="93"/>
      <c r="AC677" s="93">
        <v>0</v>
      </c>
      <c r="AD677" s="93"/>
      <c r="AE677" s="93">
        <v>0</v>
      </c>
      <c r="AF677" s="93"/>
      <c r="AG677" s="93">
        <v>0</v>
      </c>
      <c r="AH677" s="93"/>
      <c r="AI677" s="93">
        <f>SUM(E677:AG677)</f>
        <v>80394.14000000001</v>
      </c>
      <c r="AJ677" s="10"/>
    </row>
    <row r="678" spans="1:36" ht="12.75">
      <c r="A678" s="1" t="s">
        <v>578</v>
      </c>
      <c r="C678" s="1" t="s">
        <v>574</v>
      </c>
      <c r="E678" s="36">
        <v>28383.57</v>
      </c>
      <c r="F678" s="36"/>
      <c r="G678" s="36">
        <v>56729.08</v>
      </c>
      <c r="H678" s="36"/>
      <c r="I678" s="36">
        <v>32687.87</v>
      </c>
      <c r="J678" s="36"/>
      <c r="K678" s="36">
        <v>0</v>
      </c>
      <c r="L678" s="36"/>
      <c r="M678" s="36">
        <v>0</v>
      </c>
      <c r="N678" s="36"/>
      <c r="O678" s="36">
        <v>2317.21</v>
      </c>
      <c r="P678" s="36"/>
      <c r="Q678" s="36">
        <v>1913.18</v>
      </c>
      <c r="R678" s="36"/>
      <c r="S678" s="36">
        <v>1470.2</v>
      </c>
      <c r="T678" s="36"/>
      <c r="U678" s="36">
        <v>0</v>
      </c>
      <c r="V678" s="36"/>
      <c r="W678" s="36">
        <v>0</v>
      </c>
      <c r="X678" s="36"/>
      <c r="Y678" s="36">
        <v>0</v>
      </c>
      <c r="Z678" s="36"/>
      <c r="AA678" s="36">
        <v>0</v>
      </c>
      <c r="AB678" s="36"/>
      <c r="AC678" s="36">
        <v>0</v>
      </c>
      <c r="AD678" s="36"/>
      <c r="AE678" s="36">
        <v>0</v>
      </c>
      <c r="AF678" s="36"/>
      <c r="AG678" s="36">
        <v>0</v>
      </c>
      <c r="AH678" s="36"/>
      <c r="AI678" s="36">
        <f>SUM(E678:AG678)</f>
        <v>123501.10999999999</v>
      </c>
      <c r="AJ678" s="10"/>
    </row>
    <row r="679" spans="1:36" s="21" customFormat="1" ht="12.75">
      <c r="A679" s="1" t="s">
        <v>858</v>
      </c>
      <c r="B679" s="1"/>
      <c r="C679" s="1" t="s">
        <v>815</v>
      </c>
      <c r="D679" s="1"/>
      <c r="E679" s="36">
        <v>9769.5</v>
      </c>
      <c r="F679" s="36"/>
      <c r="G679" s="36">
        <v>99181.89</v>
      </c>
      <c r="H679" s="36"/>
      <c r="I679" s="36">
        <v>8979.65</v>
      </c>
      <c r="J679" s="36"/>
      <c r="K679" s="36">
        <v>0</v>
      </c>
      <c r="L679" s="36"/>
      <c r="M679" s="36">
        <v>0</v>
      </c>
      <c r="N679" s="36"/>
      <c r="O679" s="36">
        <v>2115.87</v>
      </c>
      <c r="P679" s="36"/>
      <c r="Q679" s="36">
        <v>72.43</v>
      </c>
      <c r="R679" s="36"/>
      <c r="S679" s="36">
        <v>1952.57</v>
      </c>
      <c r="T679" s="36"/>
      <c r="U679" s="36">
        <v>0</v>
      </c>
      <c r="V679" s="36"/>
      <c r="W679" s="36">
        <v>0</v>
      </c>
      <c r="X679" s="36"/>
      <c r="Y679" s="36">
        <v>0</v>
      </c>
      <c r="Z679" s="36"/>
      <c r="AA679" s="36">
        <v>0</v>
      </c>
      <c r="AB679" s="36"/>
      <c r="AC679" s="36">
        <v>0</v>
      </c>
      <c r="AD679" s="36"/>
      <c r="AE679" s="36">
        <v>0</v>
      </c>
      <c r="AF679" s="36"/>
      <c r="AG679" s="36">
        <v>0</v>
      </c>
      <c r="AH679" s="36"/>
      <c r="AI679" s="36">
        <f>SUM(E679:AG679)</f>
        <v>122071.90999999999</v>
      </c>
      <c r="AJ679" s="10"/>
    </row>
    <row r="680" spans="1:36" ht="12.75">
      <c r="A680" s="1" t="s">
        <v>478</v>
      </c>
      <c r="C680" s="1" t="s">
        <v>474</v>
      </c>
      <c r="E680" s="83">
        <v>2820</v>
      </c>
      <c r="F680" s="83"/>
      <c r="G680" s="83">
        <v>0</v>
      </c>
      <c r="H680" s="83"/>
      <c r="I680" s="83">
        <v>5425</v>
      </c>
      <c r="J680" s="83"/>
      <c r="K680" s="83">
        <v>0</v>
      </c>
      <c r="L680" s="83"/>
      <c r="M680" s="83">
        <v>0</v>
      </c>
      <c r="N680" s="83"/>
      <c r="O680" s="83">
        <v>105</v>
      </c>
      <c r="P680" s="83"/>
      <c r="Q680" s="83">
        <v>75</v>
      </c>
      <c r="R680" s="83"/>
      <c r="S680" s="83">
        <v>7</v>
      </c>
      <c r="T680" s="83"/>
      <c r="U680" s="83">
        <v>0</v>
      </c>
      <c r="V680" s="83"/>
      <c r="W680" s="83">
        <v>0</v>
      </c>
      <c r="X680" s="83"/>
      <c r="Y680" s="83">
        <v>0</v>
      </c>
      <c r="Z680" s="83"/>
      <c r="AA680" s="83">
        <v>0</v>
      </c>
      <c r="AB680" s="83"/>
      <c r="AC680" s="83">
        <v>0</v>
      </c>
      <c r="AD680" s="83"/>
      <c r="AE680" s="83">
        <v>0</v>
      </c>
      <c r="AF680" s="83"/>
      <c r="AG680" s="83">
        <v>0</v>
      </c>
      <c r="AH680" s="83"/>
      <c r="AI680" s="83">
        <f t="shared" si="42"/>
        <v>8432</v>
      </c>
      <c r="AJ680" s="10"/>
    </row>
    <row r="681" spans="1:36" s="21" customFormat="1" ht="12.75">
      <c r="A681" s="1" t="s">
        <v>1</v>
      </c>
      <c r="B681" s="1"/>
      <c r="C681" s="1" t="s">
        <v>664</v>
      </c>
      <c r="D681" s="1"/>
      <c r="E681" s="93">
        <v>82051.34</v>
      </c>
      <c r="F681" s="93"/>
      <c r="G681" s="93">
        <v>0</v>
      </c>
      <c r="H681" s="93"/>
      <c r="I681" s="93">
        <v>15332.27</v>
      </c>
      <c r="J681" s="93"/>
      <c r="K681" s="93">
        <v>0</v>
      </c>
      <c r="L681" s="93"/>
      <c r="M681" s="93">
        <v>0</v>
      </c>
      <c r="N681" s="93"/>
      <c r="O681" s="93">
        <v>92676.81</v>
      </c>
      <c r="P681" s="93"/>
      <c r="Q681" s="93">
        <v>794.47</v>
      </c>
      <c r="R681" s="93"/>
      <c r="S681" s="93">
        <v>31055.76</v>
      </c>
      <c r="T681" s="93"/>
      <c r="U681" s="93">
        <v>0</v>
      </c>
      <c r="V681" s="93"/>
      <c r="W681" s="93">
        <v>0</v>
      </c>
      <c r="X681" s="93"/>
      <c r="Y681" s="93">
        <v>0</v>
      </c>
      <c r="Z681" s="93"/>
      <c r="AA681" s="93">
        <v>0</v>
      </c>
      <c r="AB681" s="93"/>
      <c r="AC681" s="93">
        <v>0</v>
      </c>
      <c r="AD681" s="93"/>
      <c r="AE681" s="93">
        <v>0</v>
      </c>
      <c r="AF681" s="93"/>
      <c r="AG681" s="93">
        <v>0</v>
      </c>
      <c r="AH681" s="93"/>
      <c r="AI681" s="93">
        <f>SUM(E681:AG681)</f>
        <v>221910.65</v>
      </c>
      <c r="AJ681" s="10"/>
    </row>
    <row r="682" spans="1:36" ht="12.75">
      <c r="A682" s="1" t="s">
        <v>197</v>
      </c>
      <c r="C682" s="1" t="s">
        <v>806</v>
      </c>
      <c r="E682" s="36">
        <v>72623.7</v>
      </c>
      <c r="F682" s="36"/>
      <c r="G682" s="36">
        <v>504913.62</v>
      </c>
      <c r="H682" s="36"/>
      <c r="I682" s="36">
        <v>307462.74</v>
      </c>
      <c r="J682" s="36"/>
      <c r="K682" s="36">
        <v>0</v>
      </c>
      <c r="L682" s="36"/>
      <c r="M682" s="36">
        <v>105.3</v>
      </c>
      <c r="N682" s="36"/>
      <c r="O682" s="36">
        <v>108968.29</v>
      </c>
      <c r="P682" s="36"/>
      <c r="Q682" s="36">
        <v>979.29</v>
      </c>
      <c r="R682" s="36"/>
      <c r="S682" s="36">
        <v>984.9</v>
      </c>
      <c r="T682" s="36"/>
      <c r="U682" s="36">
        <v>0</v>
      </c>
      <c r="V682" s="36"/>
      <c r="W682" s="36">
        <v>0</v>
      </c>
      <c r="X682" s="36"/>
      <c r="Y682" s="36">
        <v>0</v>
      </c>
      <c r="Z682" s="36"/>
      <c r="AA682" s="36">
        <v>0</v>
      </c>
      <c r="AB682" s="36"/>
      <c r="AC682" s="36">
        <v>0</v>
      </c>
      <c r="AD682" s="36"/>
      <c r="AE682" s="36">
        <v>18399.58</v>
      </c>
      <c r="AF682" s="36"/>
      <c r="AG682" s="36">
        <v>0</v>
      </c>
      <c r="AH682" s="36"/>
      <c r="AI682" s="36">
        <f>SUM(E682:AG682)</f>
        <v>1014437.42</v>
      </c>
      <c r="AJ682" s="10"/>
    </row>
    <row r="683" spans="1:36" ht="12.75">
      <c r="A683" s="1" t="s">
        <v>859</v>
      </c>
      <c r="C683" s="1" t="s">
        <v>781</v>
      </c>
      <c r="E683" s="36">
        <v>211429.62</v>
      </c>
      <c r="F683" s="36"/>
      <c r="G683" s="36">
        <v>840184.81</v>
      </c>
      <c r="H683" s="36"/>
      <c r="I683" s="36">
        <v>102209.8</v>
      </c>
      <c r="J683" s="36"/>
      <c r="K683" s="36">
        <v>0</v>
      </c>
      <c r="L683" s="36"/>
      <c r="M683" s="36">
        <v>54279.1</v>
      </c>
      <c r="N683" s="36"/>
      <c r="O683" s="36">
        <v>84045.09</v>
      </c>
      <c r="P683" s="36"/>
      <c r="Q683" s="36">
        <v>3022.43</v>
      </c>
      <c r="R683" s="36"/>
      <c r="S683" s="36">
        <v>34875.76</v>
      </c>
      <c r="T683" s="36"/>
      <c r="U683" s="36">
        <v>0</v>
      </c>
      <c r="V683" s="36"/>
      <c r="W683" s="36">
        <v>0</v>
      </c>
      <c r="X683" s="36"/>
      <c r="Y683" s="36">
        <v>0</v>
      </c>
      <c r="Z683" s="36"/>
      <c r="AA683" s="36">
        <v>0</v>
      </c>
      <c r="AB683" s="36"/>
      <c r="AC683" s="36">
        <v>116329</v>
      </c>
      <c r="AD683" s="36"/>
      <c r="AE683" s="36">
        <v>0</v>
      </c>
      <c r="AF683" s="36"/>
      <c r="AG683" s="36">
        <v>0</v>
      </c>
      <c r="AH683" s="36"/>
      <c r="AI683" s="36">
        <f>SUM(E683:AG683)</f>
        <v>1446375.6100000003</v>
      </c>
      <c r="AJ683" s="10"/>
    </row>
    <row r="684" spans="1:36" s="21" customFormat="1" ht="12.75" hidden="1">
      <c r="A684" s="1" t="s">
        <v>386</v>
      </c>
      <c r="B684" s="1"/>
      <c r="C684" s="1" t="s">
        <v>378</v>
      </c>
      <c r="D684" s="1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>
        <f t="shared" si="42"/>
        <v>0</v>
      </c>
      <c r="AJ684" s="10"/>
    </row>
    <row r="685" spans="1:39" ht="12.75">
      <c r="A685" s="1" t="s">
        <v>327</v>
      </c>
      <c r="C685" s="1" t="s">
        <v>316</v>
      </c>
      <c r="E685" s="83">
        <v>2377677</v>
      </c>
      <c r="F685" s="83"/>
      <c r="G685" s="83">
        <v>0</v>
      </c>
      <c r="H685" s="83"/>
      <c r="I685" s="83">
        <v>73100</v>
      </c>
      <c r="J685" s="83"/>
      <c r="K685" s="83">
        <v>0</v>
      </c>
      <c r="L685" s="83"/>
      <c r="M685" s="83">
        <v>23585</v>
      </c>
      <c r="N685" s="83"/>
      <c r="O685" s="83">
        <v>146548</v>
      </c>
      <c r="P685" s="83"/>
      <c r="Q685" s="83">
        <v>0</v>
      </c>
      <c r="R685" s="83"/>
      <c r="S685" s="83">
        <v>1285</v>
      </c>
      <c r="T685" s="83"/>
      <c r="U685" s="83">
        <v>0</v>
      </c>
      <c r="V685" s="83"/>
      <c r="W685" s="83">
        <v>0</v>
      </c>
      <c r="X685" s="83"/>
      <c r="Y685" s="83">
        <v>0</v>
      </c>
      <c r="Z685" s="83"/>
      <c r="AA685" s="83">
        <v>0</v>
      </c>
      <c r="AB685" s="83"/>
      <c r="AC685" s="83">
        <v>0</v>
      </c>
      <c r="AD685" s="83"/>
      <c r="AE685" s="83">
        <v>52078</v>
      </c>
      <c r="AF685" s="83"/>
      <c r="AG685" s="83">
        <v>0</v>
      </c>
      <c r="AH685" s="83"/>
      <c r="AI685" s="83">
        <f aca="true" t="shared" si="48" ref="AI685:AI695">SUM(E685:AG685)</f>
        <v>2674273</v>
      </c>
      <c r="AJ685" s="10"/>
      <c r="AK685" s="7"/>
      <c r="AL685" s="7"/>
      <c r="AM685" s="7"/>
    </row>
    <row r="686" spans="1:36" ht="12.75">
      <c r="A686" s="1" t="s">
        <v>166</v>
      </c>
      <c r="C686" s="1" t="s">
        <v>796</v>
      </c>
      <c r="E686" s="36">
        <v>39439.92</v>
      </c>
      <c r="F686" s="36"/>
      <c r="G686" s="36">
        <v>201499.1</v>
      </c>
      <c r="H686" s="36"/>
      <c r="I686" s="36">
        <v>61848.92</v>
      </c>
      <c r="J686" s="36"/>
      <c r="K686" s="36">
        <v>0</v>
      </c>
      <c r="L686" s="36"/>
      <c r="M686" s="36">
        <v>144857.83</v>
      </c>
      <c r="N686" s="36"/>
      <c r="O686" s="36">
        <v>21795.12</v>
      </c>
      <c r="P686" s="36"/>
      <c r="Q686" s="36">
        <v>1253.41</v>
      </c>
      <c r="R686" s="36"/>
      <c r="S686" s="36">
        <v>6921.45</v>
      </c>
      <c r="T686" s="36"/>
      <c r="U686" s="36">
        <v>0</v>
      </c>
      <c r="V686" s="36"/>
      <c r="W686" s="36">
        <v>0</v>
      </c>
      <c r="X686" s="36"/>
      <c r="Y686" s="36">
        <v>0</v>
      </c>
      <c r="Z686" s="36"/>
      <c r="AA686" s="36">
        <v>0</v>
      </c>
      <c r="AB686" s="36"/>
      <c r="AC686" s="36">
        <v>0</v>
      </c>
      <c r="AD686" s="36"/>
      <c r="AE686" s="36">
        <v>0</v>
      </c>
      <c r="AF686" s="36"/>
      <c r="AG686" s="36">
        <v>0</v>
      </c>
      <c r="AH686" s="36"/>
      <c r="AI686" s="36">
        <f>SUM(E686:AG686)</f>
        <v>477615.75</v>
      </c>
      <c r="AJ686" s="10"/>
    </row>
    <row r="687" spans="1:39" s="21" customFormat="1" ht="12.75">
      <c r="A687" s="1" t="s">
        <v>290</v>
      </c>
      <c r="B687" s="1"/>
      <c r="C687" s="1" t="s">
        <v>287</v>
      </c>
      <c r="D687" s="1"/>
      <c r="E687" s="36">
        <v>3300.09</v>
      </c>
      <c r="F687" s="36"/>
      <c r="G687" s="36">
        <v>34620.56</v>
      </c>
      <c r="H687" s="36"/>
      <c r="I687" s="36">
        <v>15445.12</v>
      </c>
      <c r="J687" s="36"/>
      <c r="K687" s="36">
        <v>0</v>
      </c>
      <c r="L687" s="36"/>
      <c r="M687" s="36">
        <v>0</v>
      </c>
      <c r="N687" s="36"/>
      <c r="O687" s="36">
        <v>105</v>
      </c>
      <c r="P687" s="36"/>
      <c r="Q687" s="36">
        <v>12.02</v>
      </c>
      <c r="R687" s="36"/>
      <c r="S687" s="36">
        <v>1449.05</v>
      </c>
      <c r="T687" s="36"/>
      <c r="U687" s="36">
        <v>0</v>
      </c>
      <c r="V687" s="36"/>
      <c r="W687" s="36">
        <v>0</v>
      </c>
      <c r="X687" s="36"/>
      <c r="Y687" s="36">
        <v>0</v>
      </c>
      <c r="Z687" s="36"/>
      <c r="AA687" s="36">
        <v>0</v>
      </c>
      <c r="AB687" s="36"/>
      <c r="AC687" s="36">
        <v>0</v>
      </c>
      <c r="AD687" s="36"/>
      <c r="AE687" s="36">
        <v>0</v>
      </c>
      <c r="AF687" s="36"/>
      <c r="AG687" s="36">
        <v>0</v>
      </c>
      <c r="AH687" s="36"/>
      <c r="AI687" s="36">
        <f>SUM(E687:AG687)</f>
        <v>54931.84</v>
      </c>
      <c r="AJ687" s="10"/>
      <c r="AK687" s="22"/>
      <c r="AL687" s="22"/>
      <c r="AM687" s="22"/>
    </row>
    <row r="688" spans="1:36" ht="12.75">
      <c r="A688" s="1" t="s">
        <v>529</v>
      </c>
      <c r="C688" s="1" t="s">
        <v>527</v>
      </c>
      <c r="E688" s="83">
        <v>333961</v>
      </c>
      <c r="F688" s="83"/>
      <c r="G688" s="83">
        <v>0</v>
      </c>
      <c r="H688" s="83"/>
      <c r="I688" s="83">
        <v>165502</v>
      </c>
      <c r="J688" s="83"/>
      <c r="K688" s="83">
        <v>0</v>
      </c>
      <c r="L688" s="83"/>
      <c r="M688" s="83">
        <v>24434</v>
      </c>
      <c r="N688" s="83"/>
      <c r="O688" s="83">
        <v>84227</v>
      </c>
      <c r="P688" s="83"/>
      <c r="Q688" s="83">
        <v>2499</v>
      </c>
      <c r="R688" s="83"/>
      <c r="S688" s="83">
        <v>22129</v>
      </c>
      <c r="T688" s="83"/>
      <c r="U688" s="83">
        <v>0</v>
      </c>
      <c r="V688" s="83"/>
      <c r="W688" s="83">
        <v>0</v>
      </c>
      <c r="X688" s="83"/>
      <c r="Y688" s="83">
        <v>0</v>
      </c>
      <c r="Z688" s="83"/>
      <c r="AA688" s="83">
        <v>0</v>
      </c>
      <c r="AB688" s="83"/>
      <c r="AC688" s="83">
        <v>0</v>
      </c>
      <c r="AD688" s="83"/>
      <c r="AE688" s="83">
        <v>0</v>
      </c>
      <c r="AF688" s="83"/>
      <c r="AG688" s="83">
        <v>0</v>
      </c>
      <c r="AH688" s="83"/>
      <c r="AI688" s="83">
        <f t="shared" si="48"/>
        <v>632752</v>
      </c>
      <c r="AJ688" s="10"/>
    </row>
    <row r="689" spans="1:36" ht="12.75">
      <c r="A689" s="1" t="s">
        <v>240</v>
      </c>
      <c r="C689" s="1" t="s">
        <v>820</v>
      </c>
      <c r="E689" s="36">
        <v>9690.84</v>
      </c>
      <c r="F689" s="36"/>
      <c r="G689" s="36">
        <v>0</v>
      </c>
      <c r="H689" s="36"/>
      <c r="I689" s="36">
        <v>21640.15</v>
      </c>
      <c r="J689" s="36"/>
      <c r="K689" s="36">
        <v>92</v>
      </c>
      <c r="L689" s="36"/>
      <c r="M689" s="36">
        <v>873.12</v>
      </c>
      <c r="N689" s="36"/>
      <c r="O689" s="36">
        <v>0</v>
      </c>
      <c r="P689" s="36"/>
      <c r="Q689" s="36">
        <v>14.19</v>
      </c>
      <c r="R689" s="36"/>
      <c r="S689" s="36">
        <v>4508.68</v>
      </c>
      <c r="T689" s="36"/>
      <c r="U689" s="36">
        <v>0</v>
      </c>
      <c r="V689" s="36"/>
      <c r="W689" s="36">
        <v>0</v>
      </c>
      <c r="X689" s="36"/>
      <c r="Y689" s="36">
        <v>0</v>
      </c>
      <c r="Z689" s="36"/>
      <c r="AA689" s="36">
        <v>0</v>
      </c>
      <c r="AB689" s="36"/>
      <c r="AC689" s="36">
        <v>0</v>
      </c>
      <c r="AD689" s="36"/>
      <c r="AE689" s="36">
        <v>0</v>
      </c>
      <c r="AF689" s="36"/>
      <c r="AG689" s="36">
        <v>0</v>
      </c>
      <c r="AH689" s="36"/>
      <c r="AI689" s="36">
        <f>SUM(E689:AG689)</f>
        <v>36818.979999999996</v>
      </c>
      <c r="AJ689" s="10"/>
    </row>
    <row r="690" spans="1:36" ht="12.75">
      <c r="A690" s="1" t="s">
        <v>231</v>
      </c>
      <c r="C690" s="1" t="s">
        <v>817</v>
      </c>
      <c r="E690" s="93">
        <v>13728.64</v>
      </c>
      <c r="F690" s="93"/>
      <c r="G690" s="93">
        <v>0</v>
      </c>
      <c r="H690" s="93"/>
      <c r="I690" s="93">
        <v>6555.32</v>
      </c>
      <c r="J690" s="93"/>
      <c r="K690" s="93">
        <v>0</v>
      </c>
      <c r="L690" s="93"/>
      <c r="M690" s="93">
        <v>0</v>
      </c>
      <c r="N690" s="93"/>
      <c r="O690" s="93">
        <v>1192.47</v>
      </c>
      <c r="P690" s="93"/>
      <c r="Q690" s="93">
        <v>17.2</v>
      </c>
      <c r="R690" s="93"/>
      <c r="S690" s="93">
        <v>0</v>
      </c>
      <c r="T690" s="93"/>
      <c r="U690" s="93">
        <v>0</v>
      </c>
      <c r="V690" s="93"/>
      <c r="W690" s="93">
        <v>0</v>
      </c>
      <c r="X690" s="93"/>
      <c r="Y690" s="93">
        <v>0</v>
      </c>
      <c r="Z690" s="93"/>
      <c r="AA690" s="93">
        <v>0</v>
      </c>
      <c r="AB690" s="93"/>
      <c r="AC690" s="93">
        <v>0</v>
      </c>
      <c r="AD690" s="93"/>
      <c r="AE690" s="93">
        <v>0</v>
      </c>
      <c r="AF690" s="93"/>
      <c r="AG690" s="93">
        <v>0</v>
      </c>
      <c r="AH690" s="93"/>
      <c r="AI690" s="93">
        <f>SUM(E690:AG690)</f>
        <v>21493.63</v>
      </c>
      <c r="AJ690" s="10"/>
    </row>
    <row r="691" spans="1:36" ht="12.75">
      <c r="A691" s="1" t="s">
        <v>374</v>
      </c>
      <c r="C691" s="1" t="s">
        <v>371</v>
      </c>
      <c r="E691" s="83">
        <v>1017059</v>
      </c>
      <c r="F691" s="83"/>
      <c r="G691" s="83">
        <v>1668566</v>
      </c>
      <c r="H691" s="83"/>
      <c r="I691" s="83">
        <v>578301</v>
      </c>
      <c r="J691" s="83"/>
      <c r="K691" s="83">
        <v>0</v>
      </c>
      <c r="L691" s="83"/>
      <c r="M691" s="83">
        <v>58290</v>
      </c>
      <c r="N691" s="83"/>
      <c r="O691" s="83">
        <v>64115</v>
      </c>
      <c r="P691" s="83"/>
      <c r="Q691" s="83">
        <v>0</v>
      </c>
      <c r="R691" s="83"/>
      <c r="S691" s="83">
        <f>921+52870+54006+36+137885+52236</f>
        <v>297954</v>
      </c>
      <c r="T691" s="83"/>
      <c r="U691" s="83">
        <v>0</v>
      </c>
      <c r="V691" s="83"/>
      <c r="W691" s="83">
        <v>0</v>
      </c>
      <c r="X691" s="83"/>
      <c r="Y691" s="83">
        <v>0</v>
      </c>
      <c r="Z691" s="83"/>
      <c r="AA691" s="83">
        <v>428752</v>
      </c>
      <c r="AB691" s="83"/>
      <c r="AC691" s="83">
        <v>0</v>
      </c>
      <c r="AD691" s="83"/>
      <c r="AE691" s="83">
        <v>0</v>
      </c>
      <c r="AF691" s="83"/>
      <c r="AG691" s="83">
        <v>0</v>
      </c>
      <c r="AH691" s="83"/>
      <c r="AI691" s="83">
        <f t="shared" si="48"/>
        <v>4113037</v>
      </c>
      <c r="AJ691" s="10"/>
    </row>
    <row r="692" spans="1:39" ht="12.75">
      <c r="A692" s="1" t="s">
        <v>340</v>
      </c>
      <c r="C692" s="1" t="s">
        <v>329</v>
      </c>
      <c r="E692" s="83">
        <v>1567</v>
      </c>
      <c r="F692" s="83"/>
      <c r="G692" s="83">
        <v>0</v>
      </c>
      <c r="H692" s="83"/>
      <c r="I692" s="83">
        <v>22818</v>
      </c>
      <c r="J692" s="83"/>
      <c r="K692" s="83">
        <v>0</v>
      </c>
      <c r="L692" s="83"/>
      <c r="M692" s="83">
        <v>0</v>
      </c>
      <c r="N692" s="83"/>
      <c r="O692" s="83">
        <v>1682</v>
      </c>
      <c r="P692" s="83"/>
      <c r="Q692" s="83">
        <v>495</v>
      </c>
      <c r="R692" s="83"/>
      <c r="S692" s="83">
        <v>1209</v>
      </c>
      <c r="T692" s="83"/>
      <c r="U692" s="83">
        <v>0</v>
      </c>
      <c r="V692" s="83"/>
      <c r="W692" s="83">
        <v>0</v>
      </c>
      <c r="X692" s="83"/>
      <c r="Y692" s="83">
        <v>0</v>
      </c>
      <c r="Z692" s="83"/>
      <c r="AA692" s="83">
        <v>0</v>
      </c>
      <c r="AB692" s="83"/>
      <c r="AC692" s="83">
        <v>0</v>
      </c>
      <c r="AD692" s="83"/>
      <c r="AE692" s="83">
        <v>49874</v>
      </c>
      <c r="AF692" s="83"/>
      <c r="AG692" s="83">
        <v>0</v>
      </c>
      <c r="AH692" s="83"/>
      <c r="AI692" s="83">
        <f t="shared" si="48"/>
        <v>77645</v>
      </c>
      <c r="AJ692" s="38"/>
      <c r="AK692" s="7"/>
      <c r="AL692" s="7"/>
      <c r="AM692" s="7"/>
    </row>
    <row r="693" spans="1:36" ht="12.75">
      <c r="A693" s="1" t="s">
        <v>425</v>
      </c>
      <c r="C693" s="1" t="s">
        <v>420</v>
      </c>
      <c r="E693" s="83">
        <v>250752</v>
      </c>
      <c r="F693" s="83"/>
      <c r="G693" s="83">
        <v>0</v>
      </c>
      <c r="H693" s="83"/>
      <c r="I693" s="83">
        <v>17780</v>
      </c>
      <c r="J693" s="83"/>
      <c r="K693" s="83">
        <v>0</v>
      </c>
      <c r="L693" s="83"/>
      <c r="M693" s="83">
        <v>13411</v>
      </c>
      <c r="N693" s="83"/>
      <c r="O693" s="83">
        <v>8767</v>
      </c>
      <c r="P693" s="83"/>
      <c r="Q693" s="83">
        <v>0</v>
      </c>
      <c r="R693" s="83"/>
      <c r="S693" s="83">
        <v>5844</v>
      </c>
      <c r="T693" s="83"/>
      <c r="U693" s="83">
        <v>0</v>
      </c>
      <c r="V693" s="83"/>
      <c r="W693" s="83">
        <v>0</v>
      </c>
      <c r="X693" s="83"/>
      <c r="Y693" s="83">
        <v>0</v>
      </c>
      <c r="Z693" s="83"/>
      <c r="AA693" s="83">
        <v>0</v>
      </c>
      <c r="AB693" s="83"/>
      <c r="AC693" s="83">
        <v>0</v>
      </c>
      <c r="AD693" s="83"/>
      <c r="AE693" s="83">
        <v>0</v>
      </c>
      <c r="AF693" s="83"/>
      <c r="AG693" s="83">
        <v>0</v>
      </c>
      <c r="AH693" s="83"/>
      <c r="AI693" s="83">
        <f t="shared" si="48"/>
        <v>296554</v>
      </c>
      <c r="AJ693" s="10"/>
    </row>
    <row r="694" spans="1:36" ht="12.75">
      <c r="A694" s="1" t="s">
        <v>580</v>
      </c>
      <c r="C694" s="1" t="s">
        <v>82</v>
      </c>
      <c r="E694" s="83">
        <v>4284</v>
      </c>
      <c r="F694" s="83"/>
      <c r="G694" s="83">
        <v>0</v>
      </c>
      <c r="H694" s="83"/>
      <c r="I694" s="83">
        <v>11644</v>
      </c>
      <c r="J694" s="83"/>
      <c r="K694" s="83">
        <v>0</v>
      </c>
      <c r="L694" s="83"/>
      <c r="M694" s="83">
        <v>0</v>
      </c>
      <c r="N694" s="83"/>
      <c r="O694" s="83">
        <v>0</v>
      </c>
      <c r="P694" s="83"/>
      <c r="Q694" s="83">
        <v>243</v>
      </c>
      <c r="R694" s="83"/>
      <c r="S694" s="83">
        <v>1105</v>
      </c>
      <c r="T694" s="83"/>
      <c r="U694" s="83">
        <v>0</v>
      </c>
      <c r="V694" s="83"/>
      <c r="W694" s="83">
        <v>0</v>
      </c>
      <c r="X694" s="83"/>
      <c r="Y694" s="83">
        <v>0</v>
      </c>
      <c r="Z694" s="83"/>
      <c r="AA694" s="83">
        <v>0</v>
      </c>
      <c r="AB694" s="83"/>
      <c r="AC694" s="83">
        <v>0</v>
      </c>
      <c r="AD694" s="83"/>
      <c r="AE694" s="83">
        <v>0</v>
      </c>
      <c r="AF694" s="87"/>
      <c r="AG694" s="83">
        <v>0</v>
      </c>
      <c r="AH694" s="87"/>
      <c r="AI694" s="83">
        <f t="shared" si="48"/>
        <v>17276</v>
      </c>
      <c r="AJ694" s="10"/>
    </row>
    <row r="695" spans="1:36" ht="12.75">
      <c r="A695" s="1" t="s">
        <v>449</v>
      </c>
      <c r="C695" s="1" t="s">
        <v>446</v>
      </c>
      <c r="E695" s="83">
        <v>6921</v>
      </c>
      <c r="F695" s="83"/>
      <c r="G695" s="83">
        <v>0</v>
      </c>
      <c r="H695" s="83"/>
      <c r="I695" s="83">
        <v>10697</v>
      </c>
      <c r="J695" s="83"/>
      <c r="K695" s="83">
        <v>0</v>
      </c>
      <c r="L695" s="83"/>
      <c r="M695" s="83">
        <v>0</v>
      </c>
      <c r="N695" s="83"/>
      <c r="O695" s="83">
        <v>377</v>
      </c>
      <c r="P695" s="83"/>
      <c r="Q695" s="83">
        <v>65</v>
      </c>
      <c r="R695" s="83"/>
      <c r="S695" s="83">
        <v>1318</v>
      </c>
      <c r="T695" s="83"/>
      <c r="U695" s="83">
        <v>0</v>
      </c>
      <c r="V695" s="83"/>
      <c r="W695" s="83">
        <v>0</v>
      </c>
      <c r="X695" s="83"/>
      <c r="Y695" s="83">
        <v>0</v>
      </c>
      <c r="Z695" s="83"/>
      <c r="AA695" s="83">
        <v>0</v>
      </c>
      <c r="AB695" s="83"/>
      <c r="AC695" s="83">
        <v>0</v>
      </c>
      <c r="AD695" s="83"/>
      <c r="AE695" s="83">
        <v>0</v>
      </c>
      <c r="AF695" s="83"/>
      <c r="AG695" s="83">
        <v>0</v>
      </c>
      <c r="AH695" s="83"/>
      <c r="AI695" s="83">
        <f t="shared" si="48"/>
        <v>19378</v>
      </c>
      <c r="AJ695" s="10"/>
    </row>
    <row r="696" spans="1:36" ht="12.75">
      <c r="A696" s="1" t="s">
        <v>235</v>
      </c>
      <c r="C696" s="1" t="s">
        <v>818</v>
      </c>
      <c r="E696" s="36">
        <v>18850.21</v>
      </c>
      <c r="F696" s="36"/>
      <c r="G696" s="36">
        <v>0</v>
      </c>
      <c r="H696" s="36"/>
      <c r="I696" s="36">
        <v>12035.81</v>
      </c>
      <c r="J696" s="36"/>
      <c r="K696" s="36">
        <v>0</v>
      </c>
      <c r="L696" s="36"/>
      <c r="M696" s="36">
        <v>0</v>
      </c>
      <c r="N696" s="36"/>
      <c r="O696" s="36">
        <v>2565.51</v>
      </c>
      <c r="P696" s="36"/>
      <c r="Q696" s="36">
        <v>72.47</v>
      </c>
      <c r="R696" s="36"/>
      <c r="S696" s="36">
        <v>145.62</v>
      </c>
      <c r="T696" s="36"/>
      <c r="U696" s="36">
        <v>0</v>
      </c>
      <c r="V696" s="36"/>
      <c r="W696" s="36">
        <v>0</v>
      </c>
      <c r="X696" s="36"/>
      <c r="Y696" s="36">
        <v>0</v>
      </c>
      <c r="Z696" s="36"/>
      <c r="AA696" s="36">
        <v>0</v>
      </c>
      <c r="AB696" s="36"/>
      <c r="AC696" s="36">
        <v>0</v>
      </c>
      <c r="AD696" s="36"/>
      <c r="AE696" s="36">
        <v>0</v>
      </c>
      <c r="AF696" s="36"/>
      <c r="AG696" s="36">
        <v>0</v>
      </c>
      <c r="AH696" s="36"/>
      <c r="AI696" s="36">
        <f>SUM(E696:AG696)</f>
        <v>33669.62</v>
      </c>
      <c r="AJ696" s="10"/>
    </row>
    <row r="697" ht="12.75">
      <c r="A697" s="1" t="s">
        <v>618</v>
      </c>
    </row>
    <row r="699" spans="1:34" ht="12.75">
      <c r="A699" s="21"/>
      <c r="B699" s="21"/>
      <c r="C699" s="21"/>
      <c r="D699" s="21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</row>
    <row r="700" spans="1:34" ht="12.75">
      <c r="A700" s="21"/>
      <c r="B700" s="21"/>
      <c r="C700" s="21"/>
      <c r="D700" s="21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</row>
    <row r="701" spans="1:34" ht="12.75">
      <c r="A701" s="21"/>
      <c r="B701" s="21"/>
      <c r="C701" s="21"/>
      <c r="D701" s="21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</row>
    <row r="702" spans="1:34" ht="12.75">
      <c r="A702" s="21"/>
      <c r="B702" s="21"/>
      <c r="C702" s="21"/>
      <c r="D702" s="21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</row>
    <row r="703" spans="1:34" ht="12.75">
      <c r="A703" s="21"/>
      <c r="B703" s="21"/>
      <c r="C703" s="21"/>
      <c r="D703" s="21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</row>
    <row r="704" spans="1:34" ht="12.75">
      <c r="A704" s="21"/>
      <c r="B704" s="21"/>
      <c r="C704" s="21"/>
      <c r="D704" s="21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</row>
    <row r="705" spans="1:34" ht="12.75">
      <c r="A705" s="21"/>
      <c r="B705" s="21"/>
      <c r="C705" s="21"/>
      <c r="D705" s="21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</row>
    <row r="706" spans="1:34" ht="12.75">
      <c r="A706" s="21"/>
      <c r="B706" s="21"/>
      <c r="C706" s="21"/>
      <c r="D706" s="21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</row>
    <row r="707" spans="1:34" ht="12.75">
      <c r="A707" s="21"/>
      <c r="B707" s="21"/>
      <c r="C707" s="21"/>
      <c r="D707" s="21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</row>
    <row r="708" spans="1:34" ht="12.75">
      <c r="A708" s="21"/>
      <c r="B708" s="21"/>
      <c r="C708" s="21"/>
      <c r="D708" s="21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</row>
    <row r="709" spans="1:34" ht="12.75">
      <c r="A709" s="21"/>
      <c r="B709" s="21"/>
      <c r="C709" s="21"/>
      <c r="D709" s="21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</row>
    <row r="710" spans="1:34" ht="12.75">
      <c r="A710" s="21"/>
      <c r="B710" s="21"/>
      <c r="C710" s="21"/>
      <c r="D710" s="21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</row>
    <row r="711" spans="1:34" ht="12.75">
      <c r="A711" s="21"/>
      <c r="B711" s="21"/>
      <c r="C711" s="21"/>
      <c r="D711" s="21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</row>
    <row r="712" spans="1:34" ht="12.75">
      <c r="A712" s="21"/>
      <c r="B712" s="21"/>
      <c r="C712" s="21"/>
      <c r="D712" s="21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</row>
    <row r="713" spans="1:34" ht="12.75">
      <c r="A713" s="21"/>
      <c r="B713" s="21"/>
      <c r="C713" s="21"/>
      <c r="D713" s="21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</row>
    <row r="714" spans="1:34" ht="12.75">
      <c r="A714" s="21"/>
      <c r="B714" s="21"/>
      <c r="C714" s="21"/>
      <c r="D714" s="21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</row>
    <row r="715" spans="1:34" ht="12.75">
      <c r="A715" s="21"/>
      <c r="B715" s="21"/>
      <c r="C715" s="21"/>
      <c r="D715" s="21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</row>
    <row r="716" spans="1:34" ht="12.75">
      <c r="A716" s="21"/>
      <c r="B716" s="21"/>
      <c r="C716" s="21"/>
      <c r="D716" s="21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</row>
    <row r="717" spans="1:34" ht="12.75">
      <c r="A717" s="21"/>
      <c r="B717" s="21"/>
      <c r="C717" s="21"/>
      <c r="D717" s="21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</row>
    <row r="718" spans="1:34" ht="12.75">
      <c r="A718" s="21"/>
      <c r="B718" s="21"/>
      <c r="C718" s="21"/>
      <c r="D718" s="21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</row>
    <row r="719" spans="1:34" ht="12.75">
      <c r="A719" s="21"/>
      <c r="B719" s="21"/>
      <c r="C719" s="21"/>
      <c r="D719" s="21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</row>
    <row r="720" spans="1:34" ht="12.75">
      <c r="A720" s="21"/>
      <c r="B720" s="21"/>
      <c r="C720" s="21"/>
      <c r="D720" s="21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</row>
    <row r="721" spans="1:34" ht="12.75">
      <c r="A721" s="21"/>
      <c r="B721" s="21"/>
      <c r="C721" s="21"/>
      <c r="D721" s="21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</row>
    <row r="722" spans="1:34" ht="12.75">
      <c r="A722" s="21"/>
      <c r="B722" s="21"/>
      <c r="C722" s="21"/>
      <c r="D722" s="21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</row>
    <row r="723" spans="1:34" ht="12.75">
      <c r="A723" s="21"/>
      <c r="B723" s="21"/>
      <c r="C723" s="21"/>
      <c r="D723" s="21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</row>
    <row r="724" spans="1:34" ht="12.75">
      <c r="A724" s="21"/>
      <c r="B724" s="21"/>
      <c r="C724" s="21"/>
      <c r="D724" s="21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</row>
    <row r="725" spans="1:34" ht="12.75">
      <c r="A725" s="21"/>
      <c r="B725" s="21"/>
      <c r="C725" s="21"/>
      <c r="D725" s="21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</row>
    <row r="726" spans="1:34" ht="12.75">
      <c r="A726" s="21"/>
      <c r="B726" s="21"/>
      <c r="C726" s="21"/>
      <c r="D726" s="21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</row>
    <row r="727" spans="1:34" ht="12.75">
      <c r="A727" s="21"/>
      <c r="B727" s="21"/>
      <c r="C727" s="21"/>
      <c r="D727" s="21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</row>
    <row r="728" spans="1:34" ht="12.75">
      <c r="A728" s="21"/>
      <c r="B728" s="21"/>
      <c r="C728" s="21"/>
      <c r="D728" s="21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</row>
    <row r="729" spans="1:34" ht="12.75">
      <c r="A729" s="21"/>
      <c r="B729" s="21"/>
      <c r="C729" s="21"/>
      <c r="D729" s="21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</row>
    <row r="730" spans="1:34" ht="12.75">
      <c r="A730" s="21"/>
      <c r="B730" s="21"/>
      <c r="C730" s="21"/>
      <c r="D730" s="21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</row>
    <row r="731" spans="1:34" ht="12.75">
      <c r="A731" s="21"/>
      <c r="B731" s="21"/>
      <c r="C731" s="21"/>
      <c r="D731" s="21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</row>
    <row r="732" spans="1:34" ht="12.75">
      <c r="A732" s="21"/>
      <c r="B732" s="21"/>
      <c r="C732" s="21"/>
      <c r="D732" s="21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</row>
    <row r="733" spans="1:34" ht="12.75">
      <c r="A733" s="21"/>
      <c r="B733" s="21"/>
      <c r="C733" s="21"/>
      <c r="D733" s="21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</row>
    <row r="734" spans="1:34" ht="12.75">
      <c r="A734" s="21"/>
      <c r="B734" s="21"/>
      <c r="C734" s="21"/>
      <c r="D734" s="21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</row>
    <row r="735" spans="1:34" ht="12.75">
      <c r="A735" s="21"/>
      <c r="B735" s="21"/>
      <c r="C735" s="21"/>
      <c r="D735" s="21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</row>
    <row r="736" spans="1:34" ht="12.75">
      <c r="A736" s="21"/>
      <c r="B736" s="21"/>
      <c r="C736" s="21"/>
      <c r="D736" s="21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</row>
    <row r="737" spans="1:34" ht="12.75">
      <c r="A737" s="21"/>
      <c r="B737" s="21"/>
      <c r="C737" s="21"/>
      <c r="D737" s="21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</row>
    <row r="738" spans="1:34" ht="12.75">
      <c r="A738" s="21"/>
      <c r="B738" s="21"/>
      <c r="C738" s="21"/>
      <c r="D738" s="21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</row>
    <row r="739" spans="1:34" ht="12.75">
      <c r="A739" s="21"/>
      <c r="B739" s="21"/>
      <c r="C739" s="21"/>
      <c r="D739" s="21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</row>
    <row r="740" spans="1:34" ht="12.75">
      <c r="A740" s="21"/>
      <c r="B740" s="21"/>
      <c r="C740" s="21"/>
      <c r="D740" s="21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</row>
    <row r="741" spans="1:34" ht="12.75">
      <c r="A741" s="21"/>
      <c r="B741" s="21"/>
      <c r="C741" s="21"/>
      <c r="D741" s="21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</row>
    <row r="742" spans="1:34" ht="12.75">
      <c r="A742" s="21"/>
      <c r="B742" s="21"/>
      <c r="C742" s="21"/>
      <c r="D742" s="21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</row>
    <row r="743" spans="1:34" ht="12.75">
      <c r="A743" s="21"/>
      <c r="B743" s="21"/>
      <c r="C743" s="21"/>
      <c r="D743" s="21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</row>
    <row r="744" spans="1:34" ht="12.75">
      <c r="A744" s="21"/>
      <c r="B744" s="21"/>
      <c r="C744" s="21"/>
      <c r="D744" s="21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</row>
    <row r="745" spans="1:34" ht="12.75">
      <c r="A745" s="21"/>
      <c r="B745" s="21"/>
      <c r="C745" s="21"/>
      <c r="D745" s="21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</row>
    <row r="746" spans="1:34" ht="12.75">
      <c r="A746" s="21"/>
      <c r="B746" s="21"/>
      <c r="C746" s="21"/>
      <c r="D746" s="21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</row>
    <row r="747" spans="1:34" ht="12.75">
      <c r="A747" s="21"/>
      <c r="B747" s="21"/>
      <c r="C747" s="21"/>
      <c r="D747" s="21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</row>
    <row r="748" spans="1:34" ht="12.75">
      <c r="A748" s="21"/>
      <c r="B748" s="21"/>
      <c r="C748" s="21"/>
      <c r="D748" s="21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</row>
    <row r="749" spans="1:34" ht="12.75">
      <c r="A749" s="21"/>
      <c r="B749" s="21"/>
      <c r="C749" s="21"/>
      <c r="D749" s="21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</row>
    <row r="750" spans="1:34" ht="12.75">
      <c r="A750" s="21"/>
      <c r="B750" s="21"/>
      <c r="C750" s="21"/>
      <c r="D750" s="21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</row>
    <row r="751" spans="1:34" ht="12.75">
      <c r="A751" s="21"/>
      <c r="B751" s="21"/>
      <c r="C751" s="21"/>
      <c r="D751" s="21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</row>
    <row r="752" spans="1:34" ht="12.75">
      <c r="A752" s="21"/>
      <c r="B752" s="21"/>
      <c r="C752" s="21"/>
      <c r="D752" s="21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</row>
    <row r="753" spans="1:34" ht="12.75">
      <c r="A753" s="21"/>
      <c r="B753" s="21"/>
      <c r="C753" s="21"/>
      <c r="D753" s="21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</row>
    <row r="754" spans="1:34" ht="12.75">
      <c r="A754" s="21"/>
      <c r="B754" s="21"/>
      <c r="C754" s="21"/>
      <c r="D754" s="21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</row>
    <row r="755" spans="1:34" ht="12.75">
      <c r="A755" s="21"/>
      <c r="B755" s="21"/>
      <c r="C755" s="21"/>
      <c r="D755" s="21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</row>
    <row r="756" spans="1:34" ht="12.75">
      <c r="A756" s="21"/>
      <c r="B756" s="21"/>
      <c r="C756" s="21"/>
      <c r="D756" s="21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</row>
    <row r="757" spans="1:34" ht="12.75">
      <c r="A757" s="21"/>
      <c r="B757" s="21"/>
      <c r="C757" s="21"/>
      <c r="D757" s="21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</row>
    <row r="758" spans="1:34" ht="12.75">
      <c r="A758" s="21"/>
      <c r="B758" s="21"/>
      <c r="C758" s="21"/>
      <c r="D758" s="21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</row>
    <row r="759" spans="1:34" ht="12.75">
      <c r="A759" s="21"/>
      <c r="B759" s="21"/>
      <c r="C759" s="21"/>
      <c r="D759" s="21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</row>
    <row r="760" spans="1:34" ht="12.75">
      <c r="A760" s="21"/>
      <c r="B760" s="21"/>
      <c r="C760" s="21"/>
      <c r="D760" s="21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</row>
    <row r="761" spans="1:34" ht="12.75">
      <c r="A761" s="21"/>
      <c r="B761" s="21"/>
      <c r="C761" s="21"/>
      <c r="D761" s="21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</row>
    <row r="762" spans="1:34" ht="12.75">
      <c r="A762" s="21"/>
      <c r="B762" s="21"/>
      <c r="C762" s="21"/>
      <c r="D762" s="21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</row>
    <row r="763" spans="1:34" ht="12.75">
      <c r="A763" s="21"/>
      <c r="B763" s="21"/>
      <c r="C763" s="21"/>
      <c r="D763" s="21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</row>
    <row r="764" spans="1:34" ht="12.75">
      <c r="A764" s="21"/>
      <c r="B764" s="21"/>
      <c r="C764" s="21"/>
      <c r="D764" s="21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</row>
    <row r="765" spans="1:34" ht="12.75">
      <c r="A765" s="21"/>
      <c r="B765" s="21"/>
      <c r="C765" s="21"/>
      <c r="D765" s="21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</row>
    <row r="766" spans="1:34" ht="12.75">
      <c r="A766" s="21"/>
      <c r="B766" s="21"/>
      <c r="C766" s="21"/>
      <c r="D766" s="21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</row>
    <row r="767" spans="1:34" ht="12.75">
      <c r="A767" s="21"/>
      <c r="B767" s="21"/>
      <c r="C767" s="21"/>
      <c r="D767" s="21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</row>
    <row r="768" spans="1:34" ht="12.75">
      <c r="A768" s="21"/>
      <c r="B768" s="21"/>
      <c r="C768" s="21"/>
      <c r="D768" s="21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</row>
    <row r="769" spans="1:34" ht="12.75">
      <c r="A769" s="21"/>
      <c r="B769" s="21"/>
      <c r="C769" s="21"/>
      <c r="D769" s="21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</row>
    <row r="770" spans="1:34" ht="12.75">
      <c r="A770" s="21"/>
      <c r="B770" s="21"/>
      <c r="C770" s="21"/>
      <c r="D770" s="21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</row>
    <row r="771" spans="1:34" ht="12.75">
      <c r="A771" s="21"/>
      <c r="B771" s="21"/>
      <c r="C771" s="21"/>
      <c r="D771" s="21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</row>
    <row r="772" spans="1:34" ht="12.75">
      <c r="A772" s="21"/>
      <c r="B772" s="21"/>
      <c r="C772" s="21"/>
      <c r="D772" s="21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</row>
    <row r="773" spans="1:34" ht="12.75">
      <c r="A773" s="21"/>
      <c r="B773" s="21"/>
      <c r="C773" s="21"/>
      <c r="D773" s="21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</row>
    <row r="774" spans="1:34" ht="12.75">
      <c r="A774" s="21"/>
      <c r="B774" s="21"/>
      <c r="C774" s="21"/>
      <c r="D774" s="21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</row>
    <row r="775" spans="1:34" ht="12.75">
      <c r="A775" s="21"/>
      <c r="B775" s="21"/>
      <c r="C775" s="21"/>
      <c r="D775" s="21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</row>
    <row r="776" spans="1:34" ht="12.75">
      <c r="A776" s="21"/>
      <c r="B776" s="21"/>
      <c r="C776" s="21"/>
      <c r="D776" s="21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</row>
    <row r="777" spans="1:34" ht="12.75">
      <c r="A777" s="21"/>
      <c r="B777" s="21"/>
      <c r="C777" s="21"/>
      <c r="D777" s="21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</row>
    <row r="778" spans="1:34" ht="12.75">
      <c r="A778" s="21"/>
      <c r="B778" s="21"/>
      <c r="C778" s="21"/>
      <c r="D778" s="21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</row>
    <row r="779" spans="1:34" ht="12.75">
      <c r="A779" s="21"/>
      <c r="B779" s="21"/>
      <c r="C779" s="21"/>
      <c r="D779" s="21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</row>
    <row r="780" spans="1:34" ht="12.75">
      <c r="A780" s="21"/>
      <c r="B780" s="21"/>
      <c r="C780" s="21"/>
      <c r="D780" s="21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</row>
    <row r="781" spans="1:34" ht="12.75">
      <c r="A781" s="21"/>
      <c r="B781" s="21"/>
      <c r="C781" s="21"/>
      <c r="D781" s="21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</row>
    <row r="782" spans="1:34" ht="12.75">
      <c r="A782" s="21"/>
      <c r="B782" s="21"/>
      <c r="C782" s="21"/>
      <c r="D782" s="21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</row>
    <row r="783" spans="1:34" ht="12.75">
      <c r="A783" s="21"/>
      <c r="B783" s="21"/>
      <c r="C783" s="21"/>
      <c r="D783" s="21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</row>
    <row r="784" spans="1:34" ht="12.75">
      <c r="A784" s="21"/>
      <c r="B784" s="21"/>
      <c r="C784" s="21"/>
      <c r="D784" s="21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</row>
    <row r="785" spans="1:34" ht="12.75">
      <c r="A785" s="21"/>
      <c r="B785" s="21"/>
      <c r="C785" s="21"/>
      <c r="D785" s="21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</row>
    <row r="786" spans="1:34" ht="12.75">
      <c r="A786" s="21"/>
      <c r="B786" s="21"/>
      <c r="C786" s="21"/>
      <c r="D786" s="21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</row>
    <row r="787" spans="1:34" ht="12.75">
      <c r="A787" s="21"/>
      <c r="B787" s="21"/>
      <c r="C787" s="21"/>
      <c r="D787" s="21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</row>
    <row r="788" spans="1:34" ht="12.75">
      <c r="A788" s="21"/>
      <c r="B788" s="21"/>
      <c r="C788" s="21"/>
      <c r="D788" s="21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</row>
    <row r="789" spans="1:34" ht="12.75">
      <c r="A789" s="21"/>
      <c r="B789" s="21"/>
      <c r="C789" s="21"/>
      <c r="D789" s="21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</row>
    <row r="790" spans="1:34" ht="12.75">
      <c r="A790" s="21"/>
      <c r="B790" s="21"/>
      <c r="C790" s="21"/>
      <c r="D790" s="21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</row>
    <row r="791" spans="1:34" ht="12.75">
      <c r="A791" s="21"/>
      <c r="B791" s="21"/>
      <c r="C791" s="21"/>
      <c r="D791" s="21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</row>
    <row r="792" spans="1:34" ht="12.75">
      <c r="A792" s="21"/>
      <c r="B792" s="21"/>
      <c r="C792" s="21"/>
      <c r="D792" s="21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</row>
    <row r="793" spans="1:34" ht="12.75">
      <c r="A793" s="21"/>
      <c r="B793" s="21"/>
      <c r="C793" s="21"/>
      <c r="D793" s="21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</row>
    <row r="794" spans="1:34" ht="12.75">
      <c r="A794" s="21"/>
      <c r="B794" s="21"/>
      <c r="C794" s="21"/>
      <c r="D794" s="21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</row>
    <row r="795" spans="1:34" ht="12.75">
      <c r="A795" s="21"/>
      <c r="B795" s="21"/>
      <c r="C795" s="21"/>
      <c r="D795" s="21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</row>
    <row r="796" spans="1:34" ht="12.75">
      <c r="A796" s="21"/>
      <c r="B796" s="21"/>
      <c r="C796" s="21"/>
      <c r="D796" s="21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</row>
    <row r="797" spans="1:34" ht="12.75">
      <c r="A797" s="21"/>
      <c r="B797" s="21"/>
      <c r="C797" s="21"/>
      <c r="D797" s="21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</row>
    <row r="798" spans="1:34" ht="12.75">
      <c r="A798" s="21"/>
      <c r="B798" s="21"/>
      <c r="C798" s="21"/>
      <c r="D798" s="21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</row>
    <row r="799" spans="1:34" ht="12.75">
      <c r="A799" s="21"/>
      <c r="B799" s="21"/>
      <c r="C799" s="21"/>
      <c r="D799" s="21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</row>
    <row r="800" spans="1:34" ht="12.75">
      <c r="A800" s="21"/>
      <c r="B800" s="21"/>
      <c r="C800" s="21"/>
      <c r="D800" s="21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</row>
    <row r="801" spans="1:34" ht="12.75">
      <c r="A801" s="21"/>
      <c r="B801" s="21"/>
      <c r="C801" s="21"/>
      <c r="D801" s="21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</row>
    <row r="802" spans="1:34" ht="12.75">
      <c r="A802" s="21"/>
      <c r="B802" s="21"/>
      <c r="C802" s="21"/>
      <c r="D802" s="21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</row>
    <row r="803" spans="1:34" ht="12.75">
      <c r="A803" s="21"/>
      <c r="B803" s="21"/>
      <c r="C803" s="21"/>
      <c r="D803" s="21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</row>
    <row r="804" spans="1:34" ht="12.75">
      <c r="A804" s="21"/>
      <c r="B804" s="21"/>
      <c r="C804" s="21"/>
      <c r="D804" s="21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</row>
    <row r="805" spans="1:34" ht="12.75">
      <c r="A805" s="21"/>
      <c r="B805" s="21"/>
      <c r="C805" s="21"/>
      <c r="D805" s="21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</row>
    <row r="806" spans="1:34" ht="12.75">
      <c r="A806" s="21"/>
      <c r="B806" s="21"/>
      <c r="C806" s="21"/>
      <c r="D806" s="21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</row>
    <row r="807" spans="1:34" ht="12.75">
      <c r="A807" s="21"/>
      <c r="B807" s="21"/>
      <c r="C807" s="21"/>
      <c r="D807" s="21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</row>
    <row r="808" spans="1:34" ht="12.75">
      <c r="A808" s="21"/>
      <c r="B808" s="21"/>
      <c r="C808" s="21"/>
      <c r="D808" s="21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</row>
    <row r="809" spans="1:34" ht="12.75">
      <c r="A809" s="21"/>
      <c r="B809" s="21"/>
      <c r="C809" s="21"/>
      <c r="D809" s="21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</row>
    <row r="810" spans="1:34" ht="12.75">
      <c r="A810" s="21"/>
      <c r="B810" s="21"/>
      <c r="C810" s="21"/>
      <c r="D810" s="21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</row>
    <row r="811" spans="1:34" ht="12.75">
      <c r="A811" s="21"/>
      <c r="B811" s="21"/>
      <c r="C811" s="21"/>
      <c r="D811" s="21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</row>
    <row r="812" spans="1:34" ht="12.75">
      <c r="A812" s="21"/>
      <c r="B812" s="21"/>
      <c r="C812" s="21"/>
      <c r="D812" s="21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</row>
    <row r="813" spans="1:34" ht="12.75">
      <c r="A813" s="21"/>
      <c r="B813" s="21"/>
      <c r="C813" s="21"/>
      <c r="D813" s="21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</row>
    <row r="814" spans="1:34" ht="12.75">
      <c r="A814" s="21"/>
      <c r="B814" s="21"/>
      <c r="C814" s="21"/>
      <c r="D814" s="21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</row>
    <row r="815" spans="1:34" ht="12.75">
      <c r="A815" s="21"/>
      <c r="B815" s="21"/>
      <c r="C815" s="21"/>
      <c r="D815" s="21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</row>
    <row r="816" spans="1:34" ht="12.75">
      <c r="A816" s="21"/>
      <c r="B816" s="21"/>
      <c r="C816" s="21"/>
      <c r="D816" s="21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</row>
    <row r="817" spans="1:34" ht="12.75">
      <c r="A817" s="21"/>
      <c r="B817" s="21"/>
      <c r="C817" s="21"/>
      <c r="D817" s="21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</row>
    <row r="818" spans="1:34" ht="12.75">
      <c r="A818" s="21"/>
      <c r="B818" s="21"/>
      <c r="C818" s="21"/>
      <c r="D818" s="21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</row>
    <row r="819" spans="1:34" ht="12.75">
      <c r="A819" s="21"/>
      <c r="B819" s="21"/>
      <c r="C819" s="21"/>
      <c r="D819" s="21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</row>
    <row r="820" spans="1:34" ht="12.75">
      <c r="A820" s="21"/>
      <c r="B820" s="21"/>
      <c r="C820" s="21"/>
      <c r="D820" s="21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</row>
    <row r="821" spans="1:34" ht="12.75">
      <c r="A821" s="21"/>
      <c r="B821" s="21"/>
      <c r="C821" s="21"/>
      <c r="D821" s="21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</row>
    <row r="822" spans="1:34" ht="12.75">
      <c r="A822" s="21"/>
      <c r="B822" s="21"/>
      <c r="C822" s="21"/>
      <c r="D822" s="21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</row>
    <row r="823" spans="1:34" ht="12.75">
      <c r="A823" s="21"/>
      <c r="B823" s="21"/>
      <c r="C823" s="21"/>
      <c r="D823" s="21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</row>
    <row r="824" spans="1:34" ht="12.75">
      <c r="A824" s="21"/>
      <c r="B824" s="21"/>
      <c r="C824" s="21"/>
      <c r="D824" s="21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</row>
    <row r="825" spans="1:34" ht="12.75">
      <c r="A825" s="21"/>
      <c r="B825" s="21"/>
      <c r="C825" s="21"/>
      <c r="D825" s="21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</row>
    <row r="826" spans="1:34" ht="12.75">
      <c r="A826" s="21"/>
      <c r="B826" s="21"/>
      <c r="C826" s="21"/>
      <c r="D826" s="21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</row>
    <row r="827" spans="1:34" ht="12.75">
      <c r="A827" s="21"/>
      <c r="B827" s="21"/>
      <c r="C827" s="21"/>
      <c r="D827" s="21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</row>
    <row r="828" spans="1:34" ht="12.75">
      <c r="A828" s="21"/>
      <c r="B828" s="21"/>
      <c r="C828" s="21"/>
      <c r="D828" s="21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</row>
    <row r="829" spans="1:34" ht="12.75">
      <c r="A829" s="21"/>
      <c r="B829" s="21"/>
      <c r="C829" s="21"/>
      <c r="D829" s="21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</row>
    <row r="830" spans="1:34" ht="12.75">
      <c r="A830" s="21"/>
      <c r="B830" s="21"/>
      <c r="C830" s="21"/>
      <c r="D830" s="21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</row>
    <row r="831" spans="1:34" ht="12.75">
      <c r="A831" s="21"/>
      <c r="B831" s="21"/>
      <c r="C831" s="21"/>
      <c r="D831" s="21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</row>
    <row r="832" spans="1:34" ht="12.75">
      <c r="A832" s="21"/>
      <c r="B832" s="21"/>
      <c r="C832" s="21"/>
      <c r="D832" s="21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</row>
    <row r="833" spans="1:34" ht="12.75">
      <c r="A833" s="21"/>
      <c r="B833" s="21"/>
      <c r="C833" s="21"/>
      <c r="D833" s="21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</row>
    <row r="834" spans="1:34" ht="12.75">
      <c r="A834" s="21"/>
      <c r="B834" s="21"/>
      <c r="C834" s="21"/>
      <c r="D834" s="21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</row>
    <row r="835" spans="1:34" ht="12.75">
      <c r="A835" s="21"/>
      <c r="B835" s="21"/>
      <c r="C835" s="21"/>
      <c r="D835" s="21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</row>
    <row r="836" spans="1:34" ht="12.75">
      <c r="A836" s="21"/>
      <c r="B836" s="21"/>
      <c r="C836" s="21"/>
      <c r="D836" s="21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</row>
    <row r="837" spans="1:34" ht="12.75">
      <c r="A837" s="21"/>
      <c r="B837" s="21"/>
      <c r="C837" s="21"/>
      <c r="D837" s="21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</row>
    <row r="838" spans="1:34" ht="12.75">
      <c r="A838" s="21"/>
      <c r="B838" s="21"/>
      <c r="C838" s="21"/>
      <c r="D838" s="21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</row>
    <row r="839" spans="1:34" ht="12.75">
      <c r="A839" s="21"/>
      <c r="B839" s="21"/>
      <c r="C839" s="21"/>
      <c r="D839" s="21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</row>
    <row r="840" spans="1:34" ht="12.75">
      <c r="A840" s="21"/>
      <c r="B840" s="21"/>
      <c r="C840" s="21"/>
      <c r="D840" s="21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</row>
    <row r="841" spans="1:34" ht="12.75">
      <c r="A841" s="21"/>
      <c r="B841" s="21"/>
      <c r="C841" s="21"/>
      <c r="D841" s="21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</row>
    <row r="842" spans="1:34" ht="12.75">
      <c r="A842" s="21"/>
      <c r="B842" s="21"/>
      <c r="C842" s="21"/>
      <c r="D842" s="21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</row>
    <row r="843" spans="1:34" ht="12.75">
      <c r="A843" s="21"/>
      <c r="B843" s="21"/>
      <c r="C843" s="21"/>
      <c r="D843" s="21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</row>
    <row r="844" spans="1:34" ht="12.75">
      <c r="A844" s="21"/>
      <c r="B844" s="21"/>
      <c r="C844" s="21"/>
      <c r="D844" s="21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</row>
    <row r="845" spans="1:34" ht="12.75">
      <c r="A845" s="21"/>
      <c r="B845" s="21"/>
      <c r="C845" s="21"/>
      <c r="D845" s="21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</row>
    <row r="846" spans="1:34" ht="12.75">
      <c r="A846" s="21"/>
      <c r="B846" s="21"/>
      <c r="C846" s="21"/>
      <c r="D846" s="21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</row>
    <row r="847" spans="1:34" ht="12.75">
      <c r="A847" s="21"/>
      <c r="B847" s="21"/>
      <c r="C847" s="21"/>
      <c r="D847" s="21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</row>
    <row r="848" spans="1:34" ht="12.75">
      <c r="A848" s="21"/>
      <c r="B848" s="21"/>
      <c r="C848" s="21"/>
      <c r="D848" s="21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</row>
    <row r="849" spans="1:34" ht="12.75">
      <c r="A849" s="21"/>
      <c r="B849" s="21"/>
      <c r="C849" s="21"/>
      <c r="D849" s="21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</row>
    <row r="850" spans="1:34" ht="12.75">
      <c r="A850" s="21"/>
      <c r="B850" s="21"/>
      <c r="C850" s="21"/>
      <c r="D850" s="21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</row>
    <row r="851" spans="1:34" ht="12.75">
      <c r="A851" s="21"/>
      <c r="B851" s="21"/>
      <c r="C851" s="21"/>
      <c r="D851" s="21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</row>
    <row r="852" spans="1:34" ht="12.75">
      <c r="A852" s="21"/>
      <c r="B852" s="21"/>
      <c r="C852" s="21"/>
      <c r="D852" s="21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</row>
    <row r="853" spans="1:34" ht="12.75">
      <c r="A853" s="21"/>
      <c r="B853" s="21"/>
      <c r="C853" s="21"/>
      <c r="D853" s="21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</row>
    <row r="854" spans="1:34" ht="12.75">
      <c r="A854" s="21"/>
      <c r="B854" s="21"/>
      <c r="C854" s="21"/>
      <c r="D854" s="21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</row>
    <row r="855" spans="1:34" ht="12.75">
      <c r="A855" s="21"/>
      <c r="B855" s="21"/>
      <c r="C855" s="21"/>
      <c r="D855" s="21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</row>
    <row r="856" spans="1:34" ht="12.75">
      <c r="A856" s="21"/>
      <c r="B856" s="21"/>
      <c r="C856" s="21"/>
      <c r="D856" s="21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</row>
    <row r="857" spans="1:34" ht="12.75">
      <c r="A857" s="21"/>
      <c r="B857" s="21"/>
      <c r="C857" s="21"/>
      <c r="D857" s="21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</row>
    <row r="858" spans="1:34" ht="12.75">
      <c r="A858" s="21"/>
      <c r="B858" s="21"/>
      <c r="C858" s="21"/>
      <c r="D858" s="21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</row>
    <row r="859" spans="1:34" ht="12.75">
      <c r="A859" s="21"/>
      <c r="B859" s="21"/>
      <c r="C859" s="21"/>
      <c r="D859" s="21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</row>
    <row r="860" spans="1:34" ht="12.75">
      <c r="A860" s="21"/>
      <c r="B860" s="21"/>
      <c r="C860" s="21"/>
      <c r="D860" s="21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</row>
    <row r="861" spans="1:34" ht="12.75">
      <c r="A861" s="21"/>
      <c r="B861" s="21"/>
      <c r="C861" s="21"/>
      <c r="D861" s="21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</row>
    <row r="862" spans="1:34" ht="12.75">
      <c r="A862" s="21"/>
      <c r="B862" s="21"/>
      <c r="C862" s="21"/>
      <c r="D862" s="21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</row>
    <row r="863" spans="1:34" ht="12.75">
      <c r="A863" s="21"/>
      <c r="B863" s="21"/>
      <c r="C863" s="21"/>
      <c r="D863" s="21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</row>
    <row r="864" spans="1:34" ht="12.75">
      <c r="A864" s="21"/>
      <c r="B864" s="21"/>
      <c r="C864" s="21"/>
      <c r="D864" s="21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</row>
    <row r="865" spans="1:34" ht="12.75">
      <c r="A865" s="21"/>
      <c r="B865" s="21"/>
      <c r="C865" s="21"/>
      <c r="D865" s="21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</row>
    <row r="866" spans="1:34" ht="12.75">
      <c r="A866" s="21"/>
      <c r="B866" s="21"/>
      <c r="C866" s="21"/>
      <c r="D866" s="21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</row>
    <row r="867" spans="1:34" ht="12.75">
      <c r="A867" s="21"/>
      <c r="B867" s="21"/>
      <c r="C867" s="21"/>
      <c r="D867" s="21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</row>
    <row r="868" spans="1:34" ht="12.75">
      <c r="A868" s="21"/>
      <c r="B868" s="21"/>
      <c r="C868" s="21"/>
      <c r="D868" s="21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</row>
    <row r="869" spans="1:34" ht="12.75">
      <c r="A869" s="21"/>
      <c r="B869" s="21"/>
      <c r="C869" s="21"/>
      <c r="D869" s="21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</row>
    <row r="870" spans="1:34" ht="12.75">
      <c r="A870" s="21"/>
      <c r="B870" s="21"/>
      <c r="C870" s="21"/>
      <c r="D870" s="21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</row>
    <row r="871" spans="1:34" ht="12.75">
      <c r="A871" s="21"/>
      <c r="B871" s="21"/>
      <c r="C871" s="21"/>
      <c r="D871" s="21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</row>
    <row r="872" spans="1:34" ht="12.75">
      <c r="A872" s="21"/>
      <c r="B872" s="21"/>
      <c r="C872" s="21"/>
      <c r="D872" s="21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</row>
    <row r="873" spans="1:34" ht="12.75">
      <c r="A873" s="21"/>
      <c r="B873" s="21"/>
      <c r="C873" s="21"/>
      <c r="D873" s="21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</row>
    <row r="874" spans="1:34" ht="12.75">
      <c r="A874" s="21"/>
      <c r="B874" s="21"/>
      <c r="C874" s="21"/>
      <c r="D874" s="21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</row>
    <row r="875" spans="1:34" ht="12.75">
      <c r="A875" s="21"/>
      <c r="B875" s="21"/>
      <c r="C875" s="21"/>
      <c r="D875" s="21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</row>
    <row r="876" spans="1:34" ht="12.75">
      <c r="A876" s="21"/>
      <c r="B876" s="21"/>
      <c r="C876" s="21"/>
      <c r="D876" s="21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</row>
    <row r="877" spans="1:34" ht="12.75">
      <c r="A877" s="21"/>
      <c r="B877" s="21"/>
      <c r="C877" s="21"/>
      <c r="D877" s="21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</row>
    <row r="878" spans="1:34" ht="12.75">
      <c r="A878" s="21"/>
      <c r="B878" s="21"/>
      <c r="C878" s="21"/>
      <c r="D878" s="21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</row>
    <row r="879" spans="1:34" ht="12.75">
      <c r="A879" s="21"/>
      <c r="B879" s="21"/>
      <c r="C879" s="21"/>
      <c r="D879" s="21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</row>
    <row r="880" spans="1:34" ht="12.75">
      <c r="A880" s="21"/>
      <c r="B880" s="21"/>
      <c r="C880" s="21"/>
      <c r="D880" s="21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</row>
    <row r="881" spans="1:34" ht="12.75">
      <c r="A881" s="21"/>
      <c r="B881" s="21"/>
      <c r="C881" s="21"/>
      <c r="D881" s="21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</row>
    <row r="882" spans="1:34" ht="12.75">
      <c r="A882" s="21"/>
      <c r="B882" s="21"/>
      <c r="C882" s="21"/>
      <c r="D882" s="21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</row>
    <row r="883" spans="1:34" ht="12.75">
      <c r="A883" s="21"/>
      <c r="B883" s="21"/>
      <c r="C883" s="21"/>
      <c r="D883" s="21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</row>
    <row r="884" spans="1:34" ht="12.75">
      <c r="A884" s="21"/>
      <c r="B884" s="21"/>
      <c r="C884" s="21"/>
      <c r="D884" s="21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</row>
    <row r="885" spans="1:34" ht="12.75">
      <c r="A885" s="21"/>
      <c r="B885" s="21"/>
      <c r="C885" s="21"/>
      <c r="D885" s="21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</row>
    <row r="886" spans="1:34" ht="12.75">
      <c r="A886" s="21"/>
      <c r="B886" s="21"/>
      <c r="C886" s="21"/>
      <c r="D886" s="21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</row>
    <row r="887" spans="1:34" ht="12.75">
      <c r="A887" s="21"/>
      <c r="B887" s="21"/>
      <c r="C887" s="21"/>
      <c r="D887" s="21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</row>
    <row r="888" spans="1:34" ht="12.75">
      <c r="A888" s="21"/>
      <c r="B888" s="21"/>
      <c r="C888" s="21"/>
      <c r="D888" s="21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</row>
    <row r="889" spans="1:34" ht="12.75">
      <c r="A889" s="21"/>
      <c r="B889" s="21"/>
      <c r="C889" s="21"/>
      <c r="D889" s="21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</row>
    <row r="890" spans="1:34" ht="12.75">
      <c r="A890" s="21"/>
      <c r="B890" s="21"/>
      <c r="C890" s="21"/>
      <c r="D890" s="21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</row>
    <row r="891" spans="1:34" ht="12.75">
      <c r="A891" s="21"/>
      <c r="B891" s="21"/>
      <c r="C891" s="21"/>
      <c r="D891" s="21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</row>
    <row r="892" spans="1:34" ht="12.75">
      <c r="A892" s="21"/>
      <c r="B892" s="21"/>
      <c r="C892" s="21"/>
      <c r="D892" s="21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</row>
    <row r="893" spans="1:34" ht="12.75">
      <c r="A893" s="21"/>
      <c r="B893" s="21"/>
      <c r="C893" s="21"/>
      <c r="D893" s="21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</row>
    <row r="894" spans="1:34" ht="12.75">
      <c r="A894" s="21"/>
      <c r="B894" s="21"/>
      <c r="C894" s="21"/>
      <c r="D894" s="21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</row>
    <row r="895" spans="1:34" ht="12.75">
      <c r="A895" s="21"/>
      <c r="B895" s="21"/>
      <c r="C895" s="21"/>
      <c r="D895" s="21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</row>
    <row r="896" spans="1:34" ht="12.75">
      <c r="A896" s="21"/>
      <c r="B896" s="21"/>
      <c r="C896" s="21"/>
      <c r="D896" s="21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</row>
    <row r="897" spans="1:34" ht="12.75">
      <c r="A897" s="21"/>
      <c r="B897" s="21"/>
      <c r="C897" s="21"/>
      <c r="D897" s="21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</row>
    <row r="898" spans="1:34" ht="12.75">
      <c r="A898" s="21"/>
      <c r="B898" s="21"/>
      <c r="C898" s="21"/>
      <c r="D898" s="21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</row>
    <row r="899" spans="1:34" ht="12.75">
      <c r="A899" s="21"/>
      <c r="B899" s="21"/>
      <c r="C899" s="21"/>
      <c r="D899" s="21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</row>
    <row r="900" spans="1:34" ht="12.75">
      <c r="A900" s="21"/>
      <c r="B900" s="21"/>
      <c r="C900" s="21"/>
      <c r="D900" s="21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</row>
    <row r="901" spans="1:34" ht="12.75">
      <c r="A901" s="21"/>
      <c r="B901" s="21"/>
      <c r="C901" s="21"/>
      <c r="D901" s="21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</row>
    <row r="902" spans="1:34" ht="12.75">
      <c r="A902" s="21"/>
      <c r="B902" s="21"/>
      <c r="C902" s="21"/>
      <c r="D902" s="21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</row>
    <row r="903" spans="1:34" ht="12.75">
      <c r="A903" s="21"/>
      <c r="B903" s="21"/>
      <c r="C903" s="21"/>
      <c r="D903" s="21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</row>
    <row r="904" spans="1:34" ht="12.75">
      <c r="A904" s="21"/>
      <c r="B904" s="21"/>
      <c r="C904" s="21"/>
      <c r="D904" s="21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</row>
    <row r="905" spans="1:34" ht="12.75">
      <c r="A905" s="21"/>
      <c r="B905" s="21"/>
      <c r="C905" s="21"/>
      <c r="D905" s="21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</row>
    <row r="906" spans="1:34" ht="12.75">
      <c r="A906" s="21"/>
      <c r="B906" s="21"/>
      <c r="C906" s="21"/>
      <c r="D906" s="21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</row>
    <row r="907" spans="1:34" ht="12.75">
      <c r="A907" s="21"/>
      <c r="B907" s="21"/>
      <c r="C907" s="21"/>
      <c r="D907" s="21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</row>
    <row r="908" spans="1:34" ht="12.75">
      <c r="A908" s="21"/>
      <c r="B908" s="21"/>
      <c r="C908" s="21"/>
      <c r="D908" s="21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</row>
    <row r="909" spans="1:34" ht="12.75">
      <c r="A909" s="21"/>
      <c r="B909" s="21"/>
      <c r="C909" s="21"/>
      <c r="D909" s="21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</row>
    <row r="910" spans="1:34" ht="12.75">
      <c r="A910" s="21"/>
      <c r="B910" s="21"/>
      <c r="C910" s="21"/>
      <c r="D910" s="21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</row>
    <row r="911" spans="1:34" ht="12.75">
      <c r="A911" s="21"/>
      <c r="B911" s="21"/>
      <c r="C911" s="21"/>
      <c r="D911" s="21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</row>
    <row r="912" spans="1:34" ht="12.75">
      <c r="A912" s="21"/>
      <c r="B912" s="21"/>
      <c r="C912" s="21"/>
      <c r="D912" s="21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</row>
    <row r="913" spans="1:34" ht="12.75">
      <c r="A913" s="21"/>
      <c r="B913" s="21"/>
      <c r="C913" s="21"/>
      <c r="D913" s="21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</row>
    <row r="914" spans="1:34" ht="12.75">
      <c r="A914" s="21"/>
      <c r="B914" s="21"/>
      <c r="C914" s="21"/>
      <c r="D914" s="21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</row>
    <row r="915" spans="1:34" ht="12.75">
      <c r="A915" s="21"/>
      <c r="B915" s="21"/>
      <c r="C915" s="21"/>
      <c r="D915" s="21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</row>
    <row r="916" spans="1:34" ht="12.75">
      <c r="A916" s="21"/>
      <c r="B916" s="21"/>
      <c r="C916" s="21"/>
      <c r="D916" s="21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</row>
    <row r="917" spans="1:34" ht="12.75">
      <c r="A917" s="21"/>
      <c r="B917" s="21"/>
      <c r="C917" s="21"/>
      <c r="D917" s="21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</row>
    <row r="918" spans="1:34" ht="12.75">
      <c r="A918" s="21"/>
      <c r="B918" s="21"/>
      <c r="C918" s="21"/>
      <c r="D918" s="21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</row>
    <row r="919" spans="1:34" ht="12.75">
      <c r="A919" s="21"/>
      <c r="B919" s="21"/>
      <c r="C919" s="21"/>
      <c r="D919" s="21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</row>
    <row r="920" spans="1:34" ht="12.75">
      <c r="A920" s="21"/>
      <c r="B920" s="21"/>
      <c r="C920" s="21"/>
      <c r="D920" s="21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</row>
    <row r="921" spans="1:34" ht="12.75">
      <c r="A921" s="21"/>
      <c r="B921" s="21"/>
      <c r="C921" s="21"/>
      <c r="D921" s="21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</row>
    <row r="922" spans="1:34" ht="12.75">
      <c r="A922" s="21"/>
      <c r="B922" s="21"/>
      <c r="C922" s="21"/>
      <c r="D922" s="21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</row>
    <row r="923" spans="1:34" ht="12.75">
      <c r="A923" s="21"/>
      <c r="B923" s="21"/>
      <c r="C923" s="21"/>
      <c r="D923" s="21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</row>
    <row r="924" spans="1:34" ht="12.75">
      <c r="A924" s="21"/>
      <c r="B924" s="21"/>
      <c r="C924" s="21"/>
      <c r="D924" s="21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</row>
    <row r="925" spans="1:34" ht="12.75">
      <c r="A925" s="21"/>
      <c r="B925" s="21"/>
      <c r="C925" s="21"/>
      <c r="D925" s="21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</row>
    <row r="926" spans="1:34" ht="12.75">
      <c r="A926" s="21"/>
      <c r="B926" s="21"/>
      <c r="C926" s="21"/>
      <c r="D926" s="21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</row>
    <row r="927" spans="1:34" ht="12.75">
      <c r="A927" s="21"/>
      <c r="B927" s="21"/>
      <c r="C927" s="21"/>
      <c r="D927" s="21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</row>
    <row r="928" spans="1:34" ht="12.75">
      <c r="A928" s="21"/>
      <c r="B928" s="21"/>
      <c r="C928" s="21"/>
      <c r="D928" s="21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</row>
    <row r="929" spans="1:34" ht="12.75">
      <c r="A929" s="21"/>
      <c r="B929" s="21"/>
      <c r="C929" s="21"/>
      <c r="D929" s="21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</row>
    <row r="930" spans="1:34" ht="12.75">
      <c r="A930" s="21"/>
      <c r="B930" s="21"/>
      <c r="C930" s="21"/>
      <c r="D930" s="21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</row>
    <row r="931" spans="1:34" ht="12.75">
      <c r="A931" s="21"/>
      <c r="B931" s="21"/>
      <c r="C931" s="21"/>
      <c r="D931" s="21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</row>
    <row r="932" spans="1:34" ht="12.75">
      <c r="A932" s="21"/>
      <c r="B932" s="21"/>
      <c r="C932" s="21"/>
      <c r="D932" s="21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</row>
    <row r="933" spans="1:34" ht="12.75">
      <c r="A933" s="21"/>
      <c r="B933" s="21"/>
      <c r="C933" s="21"/>
      <c r="D933" s="21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</row>
    <row r="934" spans="1:34" ht="12.75">
      <c r="A934" s="21"/>
      <c r="B934" s="21"/>
      <c r="C934" s="21"/>
      <c r="D934" s="21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</row>
    <row r="935" spans="1:34" ht="12.75">
      <c r="A935" s="21"/>
      <c r="B935" s="21"/>
      <c r="C935" s="21"/>
      <c r="D935" s="21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</row>
    <row r="936" spans="1:34" ht="12.75">
      <c r="A936" s="21"/>
      <c r="B936" s="21"/>
      <c r="C936" s="21"/>
      <c r="D936" s="21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</row>
    <row r="937" spans="1:34" ht="12.75">
      <c r="A937" s="21"/>
      <c r="B937" s="21"/>
      <c r="C937" s="21"/>
      <c r="D937" s="21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</row>
    <row r="938" spans="1:34" ht="12.75">
      <c r="A938" s="21"/>
      <c r="B938" s="21"/>
      <c r="C938" s="21"/>
      <c r="D938" s="21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</row>
    <row r="939" spans="1:34" ht="12.75">
      <c r="A939" s="21"/>
      <c r="B939" s="21"/>
      <c r="C939" s="21"/>
      <c r="D939" s="21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</row>
    <row r="940" spans="1:34" ht="12.75">
      <c r="A940" s="21"/>
      <c r="B940" s="21"/>
      <c r="C940" s="21"/>
      <c r="D940" s="21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</row>
    <row r="941" spans="1:34" ht="12.75">
      <c r="A941" s="21"/>
      <c r="B941" s="21"/>
      <c r="C941" s="21"/>
      <c r="D941" s="21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</row>
    <row r="942" spans="1:34" ht="12.75">
      <c r="A942" s="21"/>
      <c r="B942" s="21"/>
      <c r="C942" s="21"/>
      <c r="D942" s="21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</row>
    <row r="943" spans="1:34" ht="12.75">
      <c r="A943" s="21"/>
      <c r="B943" s="21"/>
      <c r="C943" s="21"/>
      <c r="D943" s="21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</row>
    <row r="944" spans="1:34" ht="12.75">
      <c r="A944" s="21"/>
      <c r="B944" s="21"/>
      <c r="C944" s="21"/>
      <c r="D944" s="21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</row>
    <row r="945" spans="1:34" ht="12.75">
      <c r="A945" s="21"/>
      <c r="B945" s="21"/>
      <c r="C945" s="21"/>
      <c r="D945" s="21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</row>
    <row r="946" spans="1:34" ht="12.75">
      <c r="A946" s="21"/>
      <c r="B946" s="21"/>
      <c r="C946" s="21"/>
      <c r="D946" s="21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</row>
    <row r="947" spans="1:34" ht="12.75">
      <c r="A947" s="21"/>
      <c r="B947" s="21"/>
      <c r="C947" s="21"/>
      <c r="D947" s="21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</row>
    <row r="948" spans="1:34" ht="12.75">
      <c r="A948" s="21"/>
      <c r="B948" s="21"/>
      <c r="C948" s="21"/>
      <c r="D948" s="21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</row>
    <row r="949" spans="1:34" ht="12.75">
      <c r="A949" s="21"/>
      <c r="B949" s="21"/>
      <c r="C949" s="21"/>
      <c r="D949" s="21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</row>
    <row r="950" spans="1:34" ht="12.75">
      <c r="A950" s="21"/>
      <c r="B950" s="21"/>
      <c r="C950" s="21"/>
      <c r="D950" s="21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</row>
  </sheetData>
  <printOptions/>
  <pageMargins left="0.75" right="0.75" top="0.5" bottom="0.5" header="0" footer="0.3"/>
  <pageSetup firstPageNumber="8" useFirstPageNumber="1" fitToHeight="20" fitToWidth="2" horizontalDpi="300" verticalDpi="300" orientation="portrait" pageOrder="overThenDown" scale="75" r:id="rId1"/>
  <headerFooter scaleWithDoc="0" alignWithMargins="0">
    <oddFooter>&amp;C&amp;P</oddFooter>
  </headerFooter>
  <colBreaks count="1" manualBreakCount="1">
    <brk id="1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51"/>
  <sheetViews>
    <sheetView view="pageBreakPreview" zoomScale="90" zoomScaleSheetLayoutView="90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A6" sqref="A6"/>
    </sheetView>
  </sheetViews>
  <sheetFormatPr defaultColWidth="9.33203125" defaultRowHeight="12.75"/>
  <cols>
    <col min="1" max="1" width="20.83203125" style="1" customWidth="1"/>
    <col min="2" max="2" width="1.83203125" style="1" customWidth="1"/>
    <col min="3" max="3" width="14.33203125" style="1" customWidth="1"/>
    <col min="4" max="4" width="1.83203125" style="1" customWidth="1"/>
    <col min="5" max="5" width="12.66015625" style="10" customWidth="1"/>
    <col min="6" max="6" width="1.83203125" style="10" customWidth="1"/>
    <col min="7" max="7" width="12.66015625" style="10" bestFit="1" customWidth="1"/>
    <col min="8" max="8" width="1.83203125" style="10" customWidth="1"/>
    <col min="9" max="9" width="11.83203125" style="10" customWidth="1"/>
    <col min="10" max="10" width="1.83203125" style="10" customWidth="1"/>
    <col min="11" max="11" width="13.16015625" style="10" bestFit="1" customWidth="1"/>
    <col min="12" max="12" width="1.83203125" style="10" customWidth="1"/>
    <col min="13" max="13" width="11.83203125" style="10" customWidth="1"/>
    <col min="14" max="14" width="1.83203125" style="10" customWidth="1"/>
    <col min="15" max="15" width="13.5" style="10" customWidth="1"/>
    <col min="16" max="16" width="1.83203125" style="10" hidden="1" customWidth="1"/>
    <col min="17" max="17" width="15.83203125" style="10" customWidth="1"/>
    <col min="18" max="18" width="1.83203125" style="10" customWidth="1"/>
    <col min="19" max="19" width="12.16015625" style="10" customWidth="1"/>
    <col min="20" max="20" width="1.83203125" style="10" customWidth="1"/>
    <col min="21" max="21" width="11.83203125" style="10" customWidth="1"/>
    <col min="22" max="22" width="1.83203125" style="10" customWidth="1"/>
    <col min="23" max="23" width="13" style="10" customWidth="1"/>
    <col min="24" max="24" width="1.83203125" style="10" customWidth="1"/>
    <col min="25" max="25" width="14.33203125" style="10" customWidth="1"/>
    <col min="26" max="26" width="1.83203125" style="10" customWidth="1"/>
    <col min="27" max="27" width="14.33203125" style="10" customWidth="1"/>
    <col min="28" max="28" width="1.83203125" style="10" customWidth="1"/>
    <col min="29" max="29" width="12.33203125" style="10" customWidth="1"/>
    <col min="30" max="30" width="1.83203125" style="10" customWidth="1"/>
    <col min="31" max="31" width="14.5" style="1" customWidth="1"/>
    <col min="32" max="32" width="1.83203125" style="1" hidden="1" customWidth="1"/>
    <col min="33" max="33" width="16.66015625" style="10" customWidth="1"/>
    <col min="34" max="34" width="1.83203125" style="10" customWidth="1"/>
    <col min="35" max="35" width="12.83203125" style="10" bestFit="1" customWidth="1"/>
    <col min="36" max="36" width="1.83203125" style="10" customWidth="1"/>
    <col min="37" max="37" width="9.83203125" style="10" customWidth="1"/>
    <col min="38" max="38" width="13.16015625" style="10" bestFit="1" customWidth="1"/>
    <col min="39" max="39" width="14" style="10" customWidth="1"/>
    <col min="40" max="40" width="23.33203125" style="1" bestFit="1" customWidth="1"/>
    <col min="41" max="16384" width="9.33203125" style="1" customWidth="1"/>
  </cols>
  <sheetData>
    <row r="1" spans="1:33" ht="12.75">
      <c r="A1" s="2" t="s">
        <v>617</v>
      </c>
      <c r="B1" s="2"/>
      <c r="C1" s="2"/>
      <c r="D1" s="2"/>
      <c r="AG1" s="10" t="s">
        <v>887</v>
      </c>
    </row>
    <row r="2" spans="1:33" ht="12.75">
      <c r="A2" s="2" t="s">
        <v>863</v>
      </c>
      <c r="B2" s="2"/>
      <c r="C2" s="2"/>
      <c r="D2" s="2"/>
      <c r="AG2" s="10" t="s">
        <v>888</v>
      </c>
    </row>
    <row r="3" spans="1:33" ht="12.75">
      <c r="A3" s="2" t="s">
        <v>960</v>
      </c>
      <c r="B3" s="2"/>
      <c r="C3" s="2"/>
      <c r="D3" s="2"/>
      <c r="AG3" s="10" t="s">
        <v>889</v>
      </c>
    </row>
    <row r="4" ht="12.75">
      <c r="A4" s="15" t="s">
        <v>864</v>
      </c>
    </row>
    <row r="5" spans="1:39" s="9" customFormat="1" ht="12.6" customHeight="1">
      <c r="A5" s="2"/>
      <c r="B5" s="2"/>
      <c r="C5" s="2"/>
      <c r="D5" s="2"/>
      <c r="E5" s="12" t="s">
        <v>641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 t="s">
        <v>657</v>
      </c>
      <c r="X5" s="12"/>
      <c r="Y5" s="11"/>
      <c r="Z5" s="11"/>
      <c r="AA5" s="11"/>
      <c r="AB5" s="11"/>
      <c r="AC5" s="16" t="s">
        <v>638</v>
      </c>
      <c r="AD5" s="16"/>
      <c r="AE5" s="8"/>
      <c r="AF5" s="8"/>
      <c r="AG5" s="48" t="s">
        <v>880</v>
      </c>
      <c r="AH5" s="48"/>
      <c r="AI5" s="48" t="s">
        <v>882</v>
      </c>
      <c r="AJ5" s="48"/>
      <c r="AK5" s="48" t="s">
        <v>885</v>
      </c>
      <c r="AL5" s="48"/>
      <c r="AM5" s="53"/>
    </row>
    <row r="6" spans="1:39" s="9" customFormat="1" ht="12.6" customHeight="1">
      <c r="A6" s="2"/>
      <c r="B6" s="2"/>
      <c r="C6" s="2"/>
      <c r="D6" s="2"/>
      <c r="E6" s="12" t="s">
        <v>642</v>
      </c>
      <c r="F6" s="12"/>
      <c r="G6" s="12" t="s">
        <v>644</v>
      </c>
      <c r="H6" s="12"/>
      <c r="I6" s="12" t="s">
        <v>646</v>
      </c>
      <c r="J6" s="12"/>
      <c r="K6" s="12" t="s">
        <v>648</v>
      </c>
      <c r="L6" s="12"/>
      <c r="M6" s="12" t="s">
        <v>650</v>
      </c>
      <c r="N6" s="12"/>
      <c r="O6" s="11"/>
      <c r="P6" s="11"/>
      <c r="Q6" s="12" t="s">
        <v>651</v>
      </c>
      <c r="R6" s="12"/>
      <c r="S6" s="12" t="s">
        <v>653</v>
      </c>
      <c r="T6" s="12"/>
      <c r="U6" s="12" t="s">
        <v>655</v>
      </c>
      <c r="V6" s="12"/>
      <c r="W6" s="12" t="s">
        <v>658</v>
      </c>
      <c r="X6" s="12"/>
      <c r="Y6" s="14"/>
      <c r="Z6" s="14"/>
      <c r="AA6" s="11"/>
      <c r="AB6" s="11"/>
      <c r="AC6" s="16" t="s">
        <v>639</v>
      </c>
      <c r="AD6" s="16"/>
      <c r="AE6" s="8"/>
      <c r="AF6" s="8"/>
      <c r="AG6" s="48" t="s">
        <v>837</v>
      </c>
      <c r="AH6" s="48"/>
      <c r="AI6" s="48" t="s">
        <v>883</v>
      </c>
      <c r="AJ6" s="48"/>
      <c r="AK6" s="48" t="s">
        <v>886</v>
      </c>
      <c r="AL6" s="48"/>
      <c r="AM6" s="53"/>
    </row>
    <row r="7" spans="1:39" s="6" customFormat="1" ht="12" customHeight="1">
      <c r="A7" s="5" t="s">
        <v>734</v>
      </c>
      <c r="C7" s="5" t="s">
        <v>735</v>
      </c>
      <c r="E7" s="13" t="s">
        <v>643</v>
      </c>
      <c r="F7" s="14"/>
      <c r="G7" s="13" t="s">
        <v>645</v>
      </c>
      <c r="H7" s="14"/>
      <c r="I7" s="13" t="s">
        <v>647</v>
      </c>
      <c r="J7" s="14"/>
      <c r="K7" s="13" t="s">
        <v>870</v>
      </c>
      <c r="L7" s="14"/>
      <c r="M7" s="13" t="s">
        <v>629</v>
      </c>
      <c r="N7" s="14"/>
      <c r="O7" s="20" t="s">
        <v>614</v>
      </c>
      <c r="P7" s="48"/>
      <c r="Q7" s="13" t="s">
        <v>869</v>
      </c>
      <c r="R7" s="14"/>
      <c r="S7" s="13" t="s">
        <v>654</v>
      </c>
      <c r="T7" s="14"/>
      <c r="U7" s="13" t="s">
        <v>656</v>
      </c>
      <c r="V7" s="14"/>
      <c r="W7" s="13" t="s">
        <v>659</v>
      </c>
      <c r="X7" s="14"/>
      <c r="Y7" s="13" t="s">
        <v>616</v>
      </c>
      <c r="Z7" s="14"/>
      <c r="AA7" s="13" t="s">
        <v>660</v>
      </c>
      <c r="AB7" s="14"/>
      <c r="AC7" s="18" t="s">
        <v>661</v>
      </c>
      <c r="AD7" s="26"/>
      <c r="AE7" s="5" t="s">
        <v>827</v>
      </c>
      <c r="AG7" s="13"/>
      <c r="AH7" s="14"/>
      <c r="AI7" s="13" t="s">
        <v>884</v>
      </c>
      <c r="AJ7" s="14"/>
      <c r="AK7" s="13" t="s">
        <v>879</v>
      </c>
      <c r="AL7" s="13" t="s">
        <v>878</v>
      </c>
      <c r="AM7" s="14"/>
    </row>
    <row r="8" spans="1:41" s="21" customFormat="1" ht="12.6" customHeight="1">
      <c r="A8" s="1" t="s">
        <v>282</v>
      </c>
      <c r="B8" s="1"/>
      <c r="C8" s="1" t="s">
        <v>283</v>
      </c>
      <c r="D8" s="1"/>
      <c r="E8" s="102">
        <v>271795.14</v>
      </c>
      <c r="F8" s="102"/>
      <c r="G8" s="102">
        <v>0</v>
      </c>
      <c r="H8" s="102"/>
      <c r="I8" s="102">
        <v>9639.98</v>
      </c>
      <c r="J8" s="102"/>
      <c r="K8" s="102">
        <v>0</v>
      </c>
      <c r="L8" s="102"/>
      <c r="M8" s="102">
        <v>113823.3</v>
      </c>
      <c r="N8" s="102"/>
      <c r="O8" s="102">
        <v>0</v>
      </c>
      <c r="P8" s="102"/>
      <c r="Q8" s="102">
        <v>79729.09</v>
      </c>
      <c r="R8" s="102"/>
      <c r="S8" s="102">
        <v>0</v>
      </c>
      <c r="T8" s="102"/>
      <c r="U8" s="102">
        <v>0</v>
      </c>
      <c r="V8" s="102"/>
      <c r="W8" s="102">
        <v>0</v>
      </c>
      <c r="X8" s="102"/>
      <c r="Y8" s="102">
        <v>0</v>
      </c>
      <c r="Z8" s="102"/>
      <c r="AA8" s="102">
        <v>0</v>
      </c>
      <c r="AB8" s="102"/>
      <c r="AC8" s="102">
        <v>0</v>
      </c>
      <c r="AD8" s="102"/>
      <c r="AE8" s="102">
        <f>SUM(E8:AC8)</f>
        <v>474987.51</v>
      </c>
      <c r="AF8" s="36"/>
      <c r="AG8" s="36">
        <v>1153.06</v>
      </c>
      <c r="AH8" s="36"/>
      <c r="AI8" s="36">
        <v>45531.77</v>
      </c>
      <c r="AJ8" s="36"/>
      <c r="AK8" s="36">
        <v>46684.83</v>
      </c>
      <c r="AL8" s="24">
        <f>+'Gen Rev'!AI8-'Gen Exp'!AE8+'Gen Exp'!AI8-AK8</f>
        <v>0</v>
      </c>
      <c r="AM8" s="44" t="str">
        <f>'Gen Rev'!A8</f>
        <v>Aberdeen</v>
      </c>
      <c r="AN8" s="21" t="str">
        <f>A8</f>
        <v>Aberdeen</v>
      </c>
      <c r="AO8" s="21" t="b">
        <f>AM8=AN8</f>
        <v>1</v>
      </c>
    </row>
    <row r="9" spans="1:41" s="38" customFormat="1" ht="12.75">
      <c r="A9" s="38" t="s">
        <v>395</v>
      </c>
      <c r="C9" s="38" t="s">
        <v>396</v>
      </c>
      <c r="E9" s="83">
        <v>53898</v>
      </c>
      <c r="F9" s="83"/>
      <c r="G9" s="83">
        <v>22652</v>
      </c>
      <c r="H9" s="83"/>
      <c r="I9" s="83">
        <v>0</v>
      </c>
      <c r="J9" s="83"/>
      <c r="K9" s="83">
        <v>3170</v>
      </c>
      <c r="L9" s="83"/>
      <c r="M9" s="83">
        <v>0</v>
      </c>
      <c r="N9" s="83"/>
      <c r="O9" s="83">
        <v>0</v>
      </c>
      <c r="P9" s="83"/>
      <c r="Q9" s="83">
        <v>220409</v>
      </c>
      <c r="R9" s="83"/>
      <c r="S9" s="83">
        <v>6952</v>
      </c>
      <c r="T9" s="83"/>
      <c r="U9" s="83">
        <v>52633</v>
      </c>
      <c r="V9" s="83"/>
      <c r="W9" s="83">
        <v>0</v>
      </c>
      <c r="X9" s="83"/>
      <c r="Y9" s="83">
        <v>0</v>
      </c>
      <c r="Z9" s="83"/>
      <c r="AA9" s="83">
        <v>0</v>
      </c>
      <c r="AB9" s="83"/>
      <c r="AC9" s="83">
        <v>110322</v>
      </c>
      <c r="AD9" s="83"/>
      <c r="AE9" s="83">
        <f>SUM(E9:AC9)</f>
        <v>470036</v>
      </c>
      <c r="AF9" s="83"/>
      <c r="AG9" s="83">
        <v>-55944</v>
      </c>
      <c r="AH9" s="83"/>
      <c r="AI9" s="83">
        <v>107473</v>
      </c>
      <c r="AJ9" s="83"/>
      <c r="AK9" s="83">
        <v>51530</v>
      </c>
      <c r="AL9" s="24">
        <f>+'Gen Rev'!AI9-'Gen Exp'!AE9+'Gen Exp'!AI9-AK9</f>
        <v>-1</v>
      </c>
      <c r="AM9" s="44" t="str">
        <f>'Gen Rev'!A9</f>
        <v>Ada</v>
      </c>
      <c r="AN9" s="21" t="str">
        <f aca="true" t="shared" si="0" ref="AN9:AN21">A9</f>
        <v>Ada</v>
      </c>
      <c r="AO9" s="21" t="b">
        <f aca="true" t="shared" si="1" ref="AO9:AO21">AM9=AN9</f>
        <v>1</v>
      </c>
    </row>
    <row r="10" spans="1:41" s="31" customFormat="1" ht="12.75">
      <c r="A10" s="15" t="s">
        <v>484</v>
      </c>
      <c r="B10" s="15"/>
      <c r="C10" s="15" t="s">
        <v>485</v>
      </c>
      <c r="D10" s="15"/>
      <c r="E10" s="85">
        <v>800</v>
      </c>
      <c r="F10" s="85"/>
      <c r="G10" s="85">
        <v>0</v>
      </c>
      <c r="H10" s="85"/>
      <c r="I10" s="85">
        <v>0</v>
      </c>
      <c r="J10" s="85"/>
      <c r="K10" s="85">
        <v>0</v>
      </c>
      <c r="L10" s="85"/>
      <c r="M10" s="85">
        <v>0</v>
      </c>
      <c r="N10" s="85"/>
      <c r="O10" s="85">
        <v>1800</v>
      </c>
      <c r="P10" s="85"/>
      <c r="Q10" s="85">
        <v>8408</v>
      </c>
      <c r="R10" s="85"/>
      <c r="S10" s="85">
        <v>0</v>
      </c>
      <c r="T10" s="85"/>
      <c r="U10" s="85">
        <v>0</v>
      </c>
      <c r="V10" s="85"/>
      <c r="W10" s="85">
        <v>0</v>
      </c>
      <c r="X10" s="85"/>
      <c r="Y10" s="85">
        <v>0</v>
      </c>
      <c r="Z10" s="85"/>
      <c r="AA10" s="85">
        <v>0</v>
      </c>
      <c r="AB10" s="85"/>
      <c r="AC10" s="85">
        <v>0</v>
      </c>
      <c r="AD10" s="85"/>
      <c r="AE10" s="83">
        <f>SUM(E10:AC10)</f>
        <v>11008</v>
      </c>
      <c r="AF10" s="85"/>
      <c r="AG10" s="85">
        <v>3117</v>
      </c>
      <c r="AH10" s="85"/>
      <c r="AI10" s="85">
        <v>3627</v>
      </c>
      <c r="AJ10" s="85"/>
      <c r="AK10" s="85">
        <v>6744</v>
      </c>
      <c r="AL10" s="24">
        <f>+'Gen Rev'!AI10-'Gen Exp'!AE10+'Gen Exp'!AI10-AK10</f>
        <v>0</v>
      </c>
      <c r="AM10" s="44" t="str">
        <f>'Gen Rev'!A10</f>
        <v>Adamsville</v>
      </c>
      <c r="AN10" s="21" t="str">
        <f t="shared" si="0"/>
        <v>Adamsville</v>
      </c>
      <c r="AO10" s="21" t="b">
        <f t="shared" si="1"/>
        <v>1</v>
      </c>
    </row>
    <row r="11" spans="1:41" s="21" customFormat="1" ht="12.75" hidden="1">
      <c r="A11" s="1" t="s">
        <v>890</v>
      </c>
      <c r="B11" s="1"/>
      <c r="C11" s="1" t="s">
        <v>420</v>
      </c>
      <c r="D11" s="2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>
        <f>SUM(E11:AC11)</f>
        <v>0</v>
      </c>
      <c r="AF11" s="83"/>
      <c r="AG11" s="83"/>
      <c r="AH11" s="83"/>
      <c r="AI11" s="83"/>
      <c r="AJ11" s="83"/>
      <c r="AK11" s="83"/>
      <c r="AL11" s="24">
        <f>+'Gen Rev'!AI11-'Gen Exp'!AE11+'Gen Exp'!AI11-AK11</f>
        <v>0</v>
      </c>
      <c r="AM11" s="44" t="str">
        <f>'Gen Rev'!A11</f>
        <v>Adena</v>
      </c>
      <c r="AN11" s="21" t="str">
        <f t="shared" si="0"/>
        <v>Adena</v>
      </c>
      <c r="AO11" s="21" t="b">
        <f t="shared" si="1"/>
        <v>1</v>
      </c>
    </row>
    <row r="12" spans="1:41" s="21" customFormat="1" ht="12.75">
      <c r="A12" s="1" t="s">
        <v>91</v>
      </c>
      <c r="B12" s="1"/>
      <c r="C12" s="1" t="s">
        <v>773</v>
      </c>
      <c r="D12" s="23"/>
      <c r="E12" s="36">
        <v>299287.78</v>
      </c>
      <c r="F12" s="36"/>
      <c r="G12" s="36">
        <v>0</v>
      </c>
      <c r="H12" s="36"/>
      <c r="I12" s="36">
        <v>34839.37</v>
      </c>
      <c r="J12" s="36"/>
      <c r="K12" s="36">
        <v>19380.91</v>
      </c>
      <c r="L12" s="36"/>
      <c r="M12" s="36">
        <v>24013.23</v>
      </c>
      <c r="N12" s="36"/>
      <c r="O12" s="36">
        <v>113488.77</v>
      </c>
      <c r="P12" s="36"/>
      <c r="Q12" s="36">
        <v>236835.08</v>
      </c>
      <c r="R12" s="36"/>
      <c r="S12" s="36">
        <v>0</v>
      </c>
      <c r="T12" s="36"/>
      <c r="U12" s="36">
        <v>14136.66</v>
      </c>
      <c r="V12" s="36"/>
      <c r="W12" s="36">
        <v>5800</v>
      </c>
      <c r="X12" s="36"/>
      <c r="Y12" s="36">
        <v>0</v>
      </c>
      <c r="Z12" s="36"/>
      <c r="AA12" s="36">
        <v>0</v>
      </c>
      <c r="AB12" s="36"/>
      <c r="AC12" s="36">
        <v>24191.11</v>
      </c>
      <c r="AD12" s="36"/>
      <c r="AE12" s="36">
        <f aca="true" t="shared" si="2" ref="AE12:AE16">SUM(E12:AC12)</f>
        <v>771972.91</v>
      </c>
      <c r="AF12" s="36"/>
      <c r="AG12" s="36">
        <v>-5579.91</v>
      </c>
      <c r="AH12" s="36"/>
      <c r="AI12" s="36">
        <v>5760.92</v>
      </c>
      <c r="AJ12" s="36"/>
      <c r="AK12" s="36">
        <v>181.01</v>
      </c>
      <c r="AL12" s="24">
        <f>+'Gen Rev'!AI12-'Gen Exp'!AE12+'Gen Exp'!AI12-AK12</f>
        <v>-3.2514435588382185E-11</v>
      </c>
      <c r="AM12" s="44" t="str">
        <f>'Gen Rev'!A12</f>
        <v>Addyston</v>
      </c>
      <c r="AN12" s="21" t="str">
        <f t="shared" si="0"/>
        <v>Addyston</v>
      </c>
      <c r="AO12" s="21" t="b">
        <f t="shared" si="1"/>
        <v>1</v>
      </c>
    </row>
    <row r="13" spans="1:41" ht="12.75">
      <c r="A13" s="1" t="s">
        <v>210</v>
      </c>
      <c r="C13" s="1" t="s">
        <v>810</v>
      </c>
      <c r="D13" s="23"/>
      <c r="E13" s="36">
        <v>14743.1</v>
      </c>
      <c r="F13" s="36"/>
      <c r="G13" s="36">
        <v>0</v>
      </c>
      <c r="H13" s="36"/>
      <c r="I13" s="36">
        <v>0</v>
      </c>
      <c r="J13" s="36"/>
      <c r="K13" s="36">
        <v>0</v>
      </c>
      <c r="L13" s="36"/>
      <c r="M13" s="36">
        <v>0</v>
      </c>
      <c r="N13" s="36"/>
      <c r="O13" s="36">
        <v>0</v>
      </c>
      <c r="P13" s="36"/>
      <c r="Q13" s="36">
        <v>59334.11</v>
      </c>
      <c r="R13" s="36"/>
      <c r="S13" s="36">
        <v>0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f t="shared" si="2"/>
        <v>74077.21</v>
      </c>
      <c r="AF13" s="36"/>
      <c r="AG13" s="36">
        <v>-5945.85</v>
      </c>
      <c r="AH13" s="36"/>
      <c r="AI13" s="36">
        <v>23349.44</v>
      </c>
      <c r="AJ13" s="36"/>
      <c r="AK13" s="36">
        <v>17403.59</v>
      </c>
      <c r="AL13" s="24">
        <f>+'Gen Rev'!AI13-'Gen Exp'!AE13+'Gen Exp'!AI13-AK13</f>
        <v>0</v>
      </c>
      <c r="AM13" s="44" t="str">
        <f>'Gen Rev'!A13</f>
        <v>Adelphi</v>
      </c>
      <c r="AN13" s="21" t="str">
        <f t="shared" si="0"/>
        <v>Adelphi</v>
      </c>
      <c r="AO13" s="21" t="b">
        <f t="shared" si="1"/>
        <v>1</v>
      </c>
    </row>
    <row r="14" spans="1:41" s="21" customFormat="1" ht="12.6" customHeight="1">
      <c r="A14" s="1" t="s">
        <v>270</v>
      </c>
      <c r="B14" s="1"/>
      <c r="C14" s="1" t="s">
        <v>271</v>
      </c>
      <c r="D14" s="1"/>
      <c r="E14" s="36">
        <v>128348.7</v>
      </c>
      <c r="F14" s="36"/>
      <c r="G14" s="36">
        <v>0</v>
      </c>
      <c r="H14" s="36"/>
      <c r="I14" s="36">
        <v>0</v>
      </c>
      <c r="J14" s="36"/>
      <c r="K14" s="36">
        <v>0</v>
      </c>
      <c r="L14" s="36"/>
      <c r="M14" s="36">
        <v>34459.37</v>
      </c>
      <c r="N14" s="36"/>
      <c r="O14" s="36">
        <v>0</v>
      </c>
      <c r="P14" s="36"/>
      <c r="Q14" s="36">
        <v>77281.45</v>
      </c>
      <c r="R14" s="36"/>
      <c r="S14" s="36">
        <v>0</v>
      </c>
      <c r="T14" s="36"/>
      <c r="U14" s="36">
        <v>0</v>
      </c>
      <c r="V14" s="36"/>
      <c r="W14" s="36">
        <v>0</v>
      </c>
      <c r="X14" s="36"/>
      <c r="Y14" s="36">
        <v>9969.9</v>
      </c>
      <c r="Z14" s="36"/>
      <c r="AA14" s="36">
        <v>22000</v>
      </c>
      <c r="AB14" s="36"/>
      <c r="AC14" s="36">
        <v>0</v>
      </c>
      <c r="AD14" s="36"/>
      <c r="AE14" s="36">
        <f t="shared" si="2"/>
        <v>272059.42000000004</v>
      </c>
      <c r="AF14" s="36"/>
      <c r="AG14" s="36">
        <v>74397.37</v>
      </c>
      <c r="AH14" s="36"/>
      <c r="AI14" s="36">
        <v>73487.57</v>
      </c>
      <c r="AJ14" s="36"/>
      <c r="AK14" s="36">
        <v>147884.94</v>
      </c>
      <c r="AL14" s="24">
        <f>+'Gen Rev'!AI14-'Gen Exp'!AE14+'Gen Exp'!AI14-AK14</f>
        <v>0</v>
      </c>
      <c r="AM14" s="44" t="str">
        <f>'Gen Rev'!A14</f>
        <v>Albany</v>
      </c>
      <c r="AN14" s="21" t="str">
        <f t="shared" si="0"/>
        <v>Albany</v>
      </c>
      <c r="AO14" s="21" t="b">
        <f t="shared" si="1"/>
        <v>1</v>
      </c>
    </row>
    <row r="15" spans="1:41" ht="12.75">
      <c r="A15" s="1" t="s">
        <v>129</v>
      </c>
      <c r="C15" s="1" t="s">
        <v>785</v>
      </c>
      <c r="D15" s="23"/>
      <c r="E15" s="36">
        <v>14414</v>
      </c>
      <c r="F15" s="36"/>
      <c r="G15" s="36">
        <v>0</v>
      </c>
      <c r="H15" s="36"/>
      <c r="I15" s="36">
        <v>0</v>
      </c>
      <c r="J15" s="36"/>
      <c r="K15" s="36">
        <v>475.15</v>
      </c>
      <c r="L15" s="36"/>
      <c r="M15" s="36">
        <v>0</v>
      </c>
      <c r="N15" s="36"/>
      <c r="O15" s="36">
        <v>0</v>
      </c>
      <c r="P15" s="36"/>
      <c r="Q15" s="36">
        <v>71292.09</v>
      </c>
      <c r="R15" s="36"/>
      <c r="S15" s="36">
        <v>2198.15</v>
      </c>
      <c r="T15" s="36"/>
      <c r="U15" s="36">
        <v>2818.43</v>
      </c>
      <c r="V15" s="36"/>
      <c r="W15" s="36">
        <v>2094.01</v>
      </c>
      <c r="X15" s="36"/>
      <c r="Y15" s="36">
        <v>0</v>
      </c>
      <c r="Z15" s="36"/>
      <c r="AA15" s="36">
        <v>0</v>
      </c>
      <c r="AB15" s="36"/>
      <c r="AC15" s="36">
        <v>136.26</v>
      </c>
      <c r="AD15" s="36"/>
      <c r="AE15" s="36">
        <f t="shared" si="2"/>
        <v>93428.08999999997</v>
      </c>
      <c r="AF15" s="36"/>
      <c r="AG15" s="36">
        <v>11718.09</v>
      </c>
      <c r="AH15" s="36"/>
      <c r="AI15" s="36">
        <v>11348.82</v>
      </c>
      <c r="AJ15" s="36"/>
      <c r="AK15" s="36">
        <v>23066.91</v>
      </c>
      <c r="AL15" s="24">
        <f>+'Gen Rev'!AI15-'Gen Exp'!AE15+'Gen Exp'!AI15-AK15</f>
        <v>5.4569682106375694E-11</v>
      </c>
      <c r="AM15" s="44" t="str">
        <f>'Gen Rev'!A15</f>
        <v>Alexandria</v>
      </c>
      <c r="AN15" s="21" t="str">
        <f t="shared" si="0"/>
        <v>Alexandria</v>
      </c>
      <c r="AO15" s="21" t="b">
        <f t="shared" si="1"/>
        <v>1</v>
      </c>
    </row>
    <row r="16" spans="1:41" s="21" customFormat="1" ht="12.75">
      <c r="A16" s="1" t="s">
        <v>710</v>
      </c>
      <c r="B16" s="1"/>
      <c r="C16" s="1" t="s">
        <v>396</v>
      </c>
      <c r="D16" s="1"/>
      <c r="E16" s="36">
        <v>0</v>
      </c>
      <c r="F16" s="36"/>
      <c r="G16" s="36">
        <v>3135.44</v>
      </c>
      <c r="H16" s="36"/>
      <c r="I16" s="36">
        <v>2717.49</v>
      </c>
      <c r="J16" s="36"/>
      <c r="K16" s="36">
        <v>0</v>
      </c>
      <c r="L16" s="36"/>
      <c r="M16" s="36">
        <v>0</v>
      </c>
      <c r="N16" s="36"/>
      <c r="O16" s="36">
        <v>0</v>
      </c>
      <c r="P16" s="36"/>
      <c r="Q16" s="36">
        <v>71327.57</v>
      </c>
      <c r="R16" s="36"/>
      <c r="S16" s="36">
        <v>0</v>
      </c>
      <c r="T16" s="36"/>
      <c r="U16" s="36">
        <v>0</v>
      </c>
      <c r="V16" s="36"/>
      <c r="W16" s="36">
        <v>0</v>
      </c>
      <c r="X16" s="36"/>
      <c r="Y16" s="36">
        <v>0</v>
      </c>
      <c r="Z16" s="36"/>
      <c r="AA16" s="36">
        <v>0</v>
      </c>
      <c r="AB16" s="36"/>
      <c r="AC16" s="36">
        <v>4743.62</v>
      </c>
      <c r="AD16" s="36"/>
      <c r="AE16" s="36">
        <f t="shared" si="2"/>
        <v>81924.12</v>
      </c>
      <c r="AF16" s="36"/>
      <c r="AG16" s="36">
        <v>5897.6</v>
      </c>
      <c r="AH16" s="36"/>
      <c r="AI16" s="36">
        <v>63126.73</v>
      </c>
      <c r="AJ16" s="36"/>
      <c r="AK16" s="36">
        <v>69024.33</v>
      </c>
      <c r="AL16" s="24">
        <f>+'Gen Rev'!AI16-'Gen Exp'!AE16+'Gen Exp'!AI16-AK16</f>
        <v>0</v>
      </c>
      <c r="AM16" s="44" t="str">
        <f>'Gen Rev'!A16</f>
        <v>Alger</v>
      </c>
      <c r="AN16" s="21" t="str">
        <f t="shared" si="0"/>
        <v>Alger</v>
      </c>
      <c r="AO16" s="21" t="b">
        <f t="shared" si="1"/>
        <v>1</v>
      </c>
    </row>
    <row r="17" spans="1:41" ht="12.75" hidden="1">
      <c r="A17" s="1" t="s">
        <v>251</v>
      </c>
      <c r="C17" s="1" t="s">
        <v>824</v>
      </c>
      <c r="D17" s="2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>
        <f>SUM(E17:AC17)</f>
        <v>0</v>
      </c>
      <c r="AF17" s="83"/>
      <c r="AG17" s="83"/>
      <c r="AH17" s="83"/>
      <c r="AI17" s="83"/>
      <c r="AJ17" s="83"/>
      <c r="AK17" s="83"/>
      <c r="AL17" s="24">
        <f>+'Gen Rev'!AI17-'Gen Exp'!AE17+'Gen Exp'!AI17-AK17</f>
        <v>0</v>
      </c>
      <c r="AM17" s="44" t="str">
        <f>'Gen Rev'!A17</f>
        <v>Alvordton</v>
      </c>
      <c r="AN17" s="21" t="str">
        <f t="shared" si="0"/>
        <v>Alvordton</v>
      </c>
      <c r="AO17" s="21" t="b">
        <f t="shared" si="1"/>
        <v>1</v>
      </c>
    </row>
    <row r="18" spans="1:41" s="21" customFormat="1" ht="12.6" customHeight="1">
      <c r="A18" s="1" t="s">
        <v>668</v>
      </c>
      <c r="B18" s="1"/>
      <c r="C18" s="1" t="s">
        <v>350</v>
      </c>
      <c r="D18" s="1"/>
      <c r="E18" s="36">
        <v>10780.63</v>
      </c>
      <c r="F18" s="36"/>
      <c r="G18" s="36">
        <v>0</v>
      </c>
      <c r="H18" s="36"/>
      <c r="I18" s="36">
        <v>3588.86</v>
      </c>
      <c r="J18" s="36"/>
      <c r="K18" s="36">
        <v>0</v>
      </c>
      <c r="L18" s="36"/>
      <c r="M18" s="36">
        <v>56094</v>
      </c>
      <c r="N18" s="36"/>
      <c r="O18" s="36">
        <v>0</v>
      </c>
      <c r="P18" s="36"/>
      <c r="Q18" s="36">
        <v>53318.89</v>
      </c>
      <c r="R18" s="36"/>
      <c r="S18" s="36">
        <v>0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f aca="true" t="shared" si="3" ref="AE18">SUM(E18:AC18)</f>
        <v>123782.38</v>
      </c>
      <c r="AF18" s="36"/>
      <c r="AG18" s="36">
        <v>-6380.82</v>
      </c>
      <c r="AH18" s="36"/>
      <c r="AI18" s="36">
        <v>28081.2</v>
      </c>
      <c r="AJ18" s="36"/>
      <c r="AK18" s="36">
        <v>21700.38</v>
      </c>
      <c r="AL18" s="24">
        <f>+'Gen Rev'!AI18-'Gen Exp'!AE18+'Gen Exp'!AI18-AK18</f>
        <v>0</v>
      </c>
      <c r="AM18" s="44" t="str">
        <f>'Gen Rev'!A18</f>
        <v>Amanda</v>
      </c>
      <c r="AN18" s="21" t="str">
        <f t="shared" si="0"/>
        <v>Amanda</v>
      </c>
      <c r="AO18" s="21" t="b">
        <f t="shared" si="1"/>
        <v>1</v>
      </c>
    </row>
    <row r="19" spans="1:41" s="21" customFormat="1" ht="12.75">
      <c r="A19" s="1" t="s">
        <v>377</v>
      </c>
      <c r="B19" s="1"/>
      <c r="C19" s="1" t="s">
        <v>378</v>
      </c>
      <c r="D19" s="1"/>
      <c r="E19" s="83">
        <v>2753677</v>
      </c>
      <c r="F19" s="83"/>
      <c r="G19" s="83">
        <v>120470</v>
      </c>
      <c r="H19" s="83"/>
      <c r="I19" s="83">
        <v>4044</v>
      </c>
      <c r="J19" s="83"/>
      <c r="K19" s="83">
        <v>19546</v>
      </c>
      <c r="L19" s="83"/>
      <c r="M19" s="83">
        <v>211397</v>
      </c>
      <c r="N19" s="83"/>
      <c r="O19" s="83">
        <v>782052</v>
      </c>
      <c r="P19" s="83"/>
      <c r="Q19" s="83">
        <v>1040166</v>
      </c>
      <c r="R19" s="83"/>
      <c r="S19" s="83">
        <v>24509</v>
      </c>
      <c r="T19" s="83"/>
      <c r="U19" s="83">
        <v>0</v>
      </c>
      <c r="V19" s="83"/>
      <c r="W19" s="83">
        <v>0</v>
      </c>
      <c r="X19" s="83"/>
      <c r="Y19" s="83">
        <v>196000</v>
      </c>
      <c r="Z19" s="83"/>
      <c r="AA19" s="83">
        <v>0</v>
      </c>
      <c r="AB19" s="83"/>
      <c r="AC19" s="83">
        <v>0</v>
      </c>
      <c r="AD19" s="83"/>
      <c r="AE19" s="83">
        <f>SUM(E19:AC19)</f>
        <v>5151861</v>
      </c>
      <c r="AF19" s="83"/>
      <c r="AG19" s="83">
        <v>-701803</v>
      </c>
      <c r="AH19" s="83"/>
      <c r="AI19" s="83">
        <v>3905147</v>
      </c>
      <c r="AJ19" s="83"/>
      <c r="AK19" s="83">
        <v>3203344</v>
      </c>
      <c r="AL19" s="24">
        <f>+'Gen Rev'!AI19-'Gen Exp'!AE19+'Gen Exp'!AI19-AK19</f>
        <v>0</v>
      </c>
      <c r="AM19" s="44" t="str">
        <f>'Gen Rev'!A19</f>
        <v>Amberley</v>
      </c>
      <c r="AN19" s="21" t="str">
        <f t="shared" si="0"/>
        <v>Amberley</v>
      </c>
      <c r="AO19" s="21" t="b">
        <f t="shared" si="1"/>
        <v>1</v>
      </c>
    </row>
    <row r="20" spans="1:41" s="21" customFormat="1" ht="12.75">
      <c r="A20" s="1" t="s">
        <v>36</v>
      </c>
      <c r="B20" s="1"/>
      <c r="C20" s="1" t="s">
        <v>756</v>
      </c>
      <c r="D20" s="23"/>
      <c r="E20" s="36">
        <v>45263.79</v>
      </c>
      <c r="F20" s="36"/>
      <c r="G20" s="36">
        <v>13537.53</v>
      </c>
      <c r="H20" s="36"/>
      <c r="I20" s="36">
        <v>0</v>
      </c>
      <c r="J20" s="36"/>
      <c r="K20" s="36">
        <v>4909.12</v>
      </c>
      <c r="L20" s="36"/>
      <c r="M20" s="36">
        <v>0</v>
      </c>
      <c r="N20" s="36"/>
      <c r="O20" s="36">
        <v>0</v>
      </c>
      <c r="P20" s="36"/>
      <c r="Q20" s="36">
        <v>270101.62</v>
      </c>
      <c r="R20" s="36"/>
      <c r="S20" s="36">
        <v>0</v>
      </c>
      <c r="T20" s="36"/>
      <c r="U20" s="36">
        <v>0</v>
      </c>
      <c r="V20" s="36"/>
      <c r="W20" s="36">
        <v>0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f aca="true" t="shared" si="4" ref="AE20:AE21">SUM(E20:AC20)</f>
        <v>333812.06</v>
      </c>
      <c r="AF20" s="36"/>
      <c r="AG20" s="36">
        <v>31420.59</v>
      </c>
      <c r="AH20" s="36"/>
      <c r="AI20" s="36">
        <v>58932.3</v>
      </c>
      <c r="AJ20" s="36"/>
      <c r="AK20" s="36">
        <v>90352.89</v>
      </c>
      <c r="AL20" s="24">
        <f>+'Gen Rev'!AI20-'Gen Exp'!AE20+'Gen Exp'!AI20-AK20</f>
        <v>0</v>
      </c>
      <c r="AM20" s="44" t="str">
        <f>'Gen Rev'!A20</f>
        <v>Amelia</v>
      </c>
      <c r="AN20" s="21" t="str">
        <f t="shared" si="0"/>
        <v>Amelia</v>
      </c>
      <c r="AO20" s="21" t="b">
        <f t="shared" si="1"/>
        <v>1</v>
      </c>
    </row>
    <row r="21" spans="1:41" s="21" customFormat="1" ht="12.75">
      <c r="A21" s="1" t="s">
        <v>9</v>
      </c>
      <c r="B21" s="1"/>
      <c r="C21" s="1" t="s">
        <v>748</v>
      </c>
      <c r="D21" s="23"/>
      <c r="E21" s="36">
        <v>3287.93</v>
      </c>
      <c r="F21" s="36"/>
      <c r="G21" s="36">
        <v>0</v>
      </c>
      <c r="H21" s="36"/>
      <c r="I21" s="36">
        <v>0</v>
      </c>
      <c r="J21" s="36"/>
      <c r="K21" s="36">
        <v>0</v>
      </c>
      <c r="L21" s="36"/>
      <c r="M21" s="36">
        <v>0</v>
      </c>
      <c r="N21" s="36"/>
      <c r="O21" s="36">
        <v>0</v>
      </c>
      <c r="P21" s="36"/>
      <c r="Q21" s="36">
        <v>23097.05</v>
      </c>
      <c r="R21" s="36"/>
      <c r="S21" s="36">
        <v>0</v>
      </c>
      <c r="T21" s="36"/>
      <c r="U21" s="36">
        <v>0</v>
      </c>
      <c r="V21" s="36"/>
      <c r="W21" s="36">
        <v>0</v>
      </c>
      <c r="X21" s="36"/>
      <c r="Y21" s="36">
        <v>12100</v>
      </c>
      <c r="Z21" s="36"/>
      <c r="AA21" s="36">
        <v>0</v>
      </c>
      <c r="AB21" s="36"/>
      <c r="AC21" s="36">
        <v>0</v>
      </c>
      <c r="AD21" s="36"/>
      <c r="AE21" s="36">
        <f t="shared" si="4"/>
        <v>38484.979999999996</v>
      </c>
      <c r="AF21" s="36"/>
      <c r="AG21" s="36">
        <v>-5989.06</v>
      </c>
      <c r="AH21" s="36"/>
      <c r="AI21" s="36">
        <v>36369.75</v>
      </c>
      <c r="AJ21" s="36"/>
      <c r="AK21" s="36">
        <v>30380.69</v>
      </c>
      <c r="AL21" s="24">
        <f>+'Gen Rev'!AI21-'Gen Exp'!AE21+'Gen Exp'!AI21-AK21</f>
        <v>0</v>
      </c>
      <c r="AM21" s="44" t="str">
        <f>'Gen Rev'!A21</f>
        <v>Amesville</v>
      </c>
      <c r="AN21" s="21" t="str">
        <f t="shared" si="0"/>
        <v>Amesville</v>
      </c>
      <c r="AO21" s="21" t="b">
        <f t="shared" si="1"/>
        <v>1</v>
      </c>
    </row>
    <row r="22" spans="1:41" ht="12.75">
      <c r="A22" s="1" t="s">
        <v>421</v>
      </c>
      <c r="C22" s="1" t="s">
        <v>420</v>
      </c>
      <c r="E22" s="83">
        <v>20443</v>
      </c>
      <c r="F22" s="83"/>
      <c r="G22" s="83">
        <v>507</v>
      </c>
      <c r="H22" s="83"/>
      <c r="I22" s="83">
        <v>0</v>
      </c>
      <c r="J22" s="83"/>
      <c r="K22" s="83">
        <v>0</v>
      </c>
      <c r="L22" s="83"/>
      <c r="M22" s="83">
        <v>0</v>
      </c>
      <c r="N22" s="83"/>
      <c r="O22" s="83">
        <v>0</v>
      </c>
      <c r="P22" s="83"/>
      <c r="Q22" s="83">
        <v>26254</v>
      </c>
      <c r="R22" s="83"/>
      <c r="S22" s="83">
        <v>0</v>
      </c>
      <c r="T22" s="83"/>
      <c r="U22" s="83">
        <v>0</v>
      </c>
      <c r="V22" s="83"/>
      <c r="W22" s="83">
        <v>0</v>
      </c>
      <c r="X22" s="83"/>
      <c r="Y22" s="83">
        <v>500</v>
      </c>
      <c r="Z22" s="83"/>
      <c r="AA22" s="83">
        <v>0</v>
      </c>
      <c r="AB22" s="83"/>
      <c r="AC22" s="83">
        <v>1819</v>
      </c>
      <c r="AD22" s="83"/>
      <c r="AE22" s="83">
        <f>SUM(E22:AC22)</f>
        <v>49523</v>
      </c>
      <c r="AF22" s="83"/>
      <c r="AG22" s="83">
        <v>4997</v>
      </c>
      <c r="AH22" s="83"/>
      <c r="AI22" s="83">
        <v>69747</v>
      </c>
      <c r="AJ22" s="83"/>
      <c r="AK22" s="83">
        <v>78539</v>
      </c>
      <c r="AL22" s="24">
        <f>+'Gen Rev'!AI22-'Gen Exp'!AE22+'Gen Exp'!AI22-AK22</f>
        <v>-3795</v>
      </c>
      <c r="AM22" s="44" t="str">
        <f>'Gen Rev'!A22</f>
        <v>Amsterdam</v>
      </c>
      <c r="AN22" s="21" t="str">
        <f aca="true" t="shared" si="5" ref="AN22:AN86">A22</f>
        <v>Amsterdam</v>
      </c>
      <c r="AO22" s="21" t="b">
        <f aca="true" t="shared" si="6" ref="AO22:AO86">AM22=AN22</f>
        <v>1</v>
      </c>
    </row>
    <row r="23" spans="1:41" ht="12.75">
      <c r="A23" s="1" t="s">
        <v>934</v>
      </c>
      <c r="C23" s="1" t="s">
        <v>674</v>
      </c>
      <c r="E23" s="36">
        <v>239744.13</v>
      </c>
      <c r="F23" s="36"/>
      <c r="G23" s="36">
        <v>10183.08</v>
      </c>
      <c r="H23" s="36"/>
      <c r="I23" s="36">
        <v>16537.27</v>
      </c>
      <c r="J23" s="36"/>
      <c r="K23" s="36">
        <v>6412.2</v>
      </c>
      <c r="L23" s="36"/>
      <c r="M23" s="36">
        <v>4800</v>
      </c>
      <c r="N23" s="36"/>
      <c r="O23" s="36">
        <v>0</v>
      </c>
      <c r="P23" s="36"/>
      <c r="Q23" s="36">
        <v>212019.28</v>
      </c>
      <c r="R23" s="36"/>
      <c r="S23" s="36">
        <v>0</v>
      </c>
      <c r="T23" s="36"/>
      <c r="U23" s="36">
        <v>0</v>
      </c>
      <c r="V23" s="36"/>
      <c r="W23" s="36">
        <v>0</v>
      </c>
      <c r="X23" s="36"/>
      <c r="Y23" s="36">
        <v>93.76</v>
      </c>
      <c r="Z23" s="36"/>
      <c r="AA23" s="36">
        <v>4454.2</v>
      </c>
      <c r="AB23" s="36"/>
      <c r="AC23" s="36">
        <v>0</v>
      </c>
      <c r="AD23" s="36"/>
      <c r="AE23" s="36">
        <f aca="true" t="shared" si="7" ref="AE23:AE24">SUM(E23:AC23)</f>
        <v>494243.92</v>
      </c>
      <c r="AF23" s="36"/>
      <c r="AG23" s="36">
        <v>68857.73</v>
      </c>
      <c r="AH23" s="36"/>
      <c r="AI23" s="36">
        <v>52307.36</v>
      </c>
      <c r="AJ23" s="36"/>
      <c r="AK23" s="36">
        <v>121165.09</v>
      </c>
      <c r="AL23" s="24">
        <f>+'Gen Rev'!AI23-'Gen Exp'!AE23+'Gen Exp'!AI23-AK23</f>
        <v>0</v>
      </c>
      <c r="AM23" s="44" t="str">
        <f>'Gen Rev'!A23</f>
        <v>Andover</v>
      </c>
      <c r="AN23" s="21" t="str">
        <f t="shared" si="5"/>
        <v>Andover</v>
      </c>
      <c r="AO23" s="21" t="b">
        <f t="shared" si="6"/>
        <v>1</v>
      </c>
    </row>
    <row r="24" spans="1:41" ht="12.75">
      <c r="A24" s="1" t="s">
        <v>221</v>
      </c>
      <c r="C24" s="1" t="s">
        <v>814</v>
      </c>
      <c r="D24" s="23"/>
      <c r="E24" s="36">
        <v>144621.63</v>
      </c>
      <c r="F24" s="36"/>
      <c r="G24" s="36">
        <v>6314</v>
      </c>
      <c r="H24" s="36"/>
      <c r="I24" s="36">
        <v>1200</v>
      </c>
      <c r="J24" s="36"/>
      <c r="K24" s="36">
        <v>1011.98</v>
      </c>
      <c r="L24" s="36"/>
      <c r="M24" s="36">
        <v>0</v>
      </c>
      <c r="N24" s="36"/>
      <c r="O24" s="36">
        <v>81253.07</v>
      </c>
      <c r="P24" s="36"/>
      <c r="Q24" s="36">
        <v>116320.83</v>
      </c>
      <c r="R24" s="36"/>
      <c r="S24" s="36">
        <v>0</v>
      </c>
      <c r="T24" s="36"/>
      <c r="U24" s="36">
        <v>0</v>
      </c>
      <c r="V24" s="36"/>
      <c r="W24" s="36">
        <v>0</v>
      </c>
      <c r="X24" s="36"/>
      <c r="Y24" s="36">
        <v>327843.87</v>
      </c>
      <c r="Z24" s="36"/>
      <c r="AA24" s="36">
        <v>0</v>
      </c>
      <c r="AB24" s="36"/>
      <c r="AC24" s="36">
        <v>0</v>
      </c>
      <c r="AD24" s="36"/>
      <c r="AE24" s="36">
        <f t="shared" si="7"/>
        <v>678565.38</v>
      </c>
      <c r="AF24" s="36"/>
      <c r="AG24" s="36">
        <v>-23684.25</v>
      </c>
      <c r="AH24" s="36"/>
      <c r="AI24" s="36">
        <v>123023.46</v>
      </c>
      <c r="AJ24" s="36"/>
      <c r="AK24" s="36">
        <v>99339.21</v>
      </c>
      <c r="AL24" s="24">
        <f>+'Gen Rev'!AI24-'Gen Exp'!AE24+'Gen Exp'!AI24-AK24</f>
        <v>-1.1641532182693481E-10</v>
      </c>
      <c r="AM24" s="44" t="str">
        <f>'Gen Rev'!A24</f>
        <v>Anna</v>
      </c>
      <c r="AN24" s="21" t="str">
        <f t="shared" si="5"/>
        <v>Anna</v>
      </c>
      <c r="AO24" s="21" t="b">
        <f t="shared" si="6"/>
        <v>1</v>
      </c>
    </row>
    <row r="25" spans="1:41" ht="12.6" customHeight="1">
      <c r="A25" s="1" t="s">
        <v>328</v>
      </c>
      <c r="C25" s="1" t="s">
        <v>329</v>
      </c>
      <c r="E25" s="83">
        <v>110424.14</v>
      </c>
      <c r="F25" s="83"/>
      <c r="G25" s="83">
        <v>4942.6</v>
      </c>
      <c r="H25" s="83"/>
      <c r="I25" s="83">
        <v>8008.63</v>
      </c>
      <c r="J25" s="83"/>
      <c r="K25" s="83">
        <v>0</v>
      </c>
      <c r="L25" s="83"/>
      <c r="M25" s="83">
        <v>0</v>
      </c>
      <c r="N25" s="83"/>
      <c r="O25" s="83">
        <v>0</v>
      </c>
      <c r="P25" s="83"/>
      <c r="Q25" s="83">
        <v>134277.34</v>
      </c>
      <c r="R25" s="83"/>
      <c r="S25" s="83">
        <v>9859.04</v>
      </c>
      <c r="T25" s="83"/>
      <c r="U25" s="83">
        <v>0</v>
      </c>
      <c r="V25" s="83"/>
      <c r="W25" s="83">
        <v>0</v>
      </c>
      <c r="X25" s="83"/>
      <c r="Y25" s="83">
        <v>54050.14</v>
      </c>
      <c r="Z25" s="83"/>
      <c r="AA25" s="83">
        <v>0</v>
      </c>
      <c r="AB25" s="83"/>
      <c r="AC25" s="83">
        <v>0</v>
      </c>
      <c r="AD25" s="83"/>
      <c r="AE25" s="83">
        <f>SUM(E25:AC25)</f>
        <v>321561.89</v>
      </c>
      <c r="AF25" s="83"/>
      <c r="AG25" s="36">
        <v>21173.26</v>
      </c>
      <c r="AH25" s="36"/>
      <c r="AI25" s="36">
        <v>145560.77</v>
      </c>
      <c r="AJ25" s="36"/>
      <c r="AK25" s="36">
        <v>166734.03</v>
      </c>
      <c r="AL25" s="24">
        <f>+'Gen Rev'!AI25-'Gen Exp'!AE25+'Gen Exp'!AI25-AK25</f>
        <v>0</v>
      </c>
      <c r="AM25" s="44" t="str">
        <f>'Gen Rev'!A25</f>
        <v>Ansonia</v>
      </c>
      <c r="AN25" s="21" t="str">
        <f t="shared" si="5"/>
        <v>Ansonia</v>
      </c>
      <c r="AO25" s="21" t="b">
        <f t="shared" si="6"/>
        <v>1</v>
      </c>
    </row>
    <row r="26" spans="1:41" s="21" customFormat="1" ht="12.75">
      <c r="A26" s="1" t="s">
        <v>473</v>
      </c>
      <c r="B26" s="1"/>
      <c r="C26" s="1" t="s">
        <v>474</v>
      </c>
      <c r="D26" s="1"/>
      <c r="E26" s="83">
        <v>2108.68</v>
      </c>
      <c r="F26" s="83"/>
      <c r="G26" s="83">
        <v>1309.34</v>
      </c>
      <c r="H26" s="83"/>
      <c r="I26" s="83">
        <v>0</v>
      </c>
      <c r="J26" s="83"/>
      <c r="K26" s="83">
        <v>0</v>
      </c>
      <c r="L26" s="83"/>
      <c r="M26" s="83">
        <v>0</v>
      </c>
      <c r="N26" s="83"/>
      <c r="O26" s="83">
        <v>0</v>
      </c>
      <c r="P26" s="83"/>
      <c r="Q26" s="83">
        <v>7195.17</v>
      </c>
      <c r="R26" s="83"/>
      <c r="S26" s="83">
        <v>0</v>
      </c>
      <c r="T26" s="83"/>
      <c r="U26" s="83">
        <v>0</v>
      </c>
      <c r="V26" s="83"/>
      <c r="W26" s="83">
        <v>0</v>
      </c>
      <c r="X26" s="83"/>
      <c r="Y26" s="83">
        <v>0</v>
      </c>
      <c r="Z26" s="83"/>
      <c r="AA26" s="83">
        <v>0</v>
      </c>
      <c r="AB26" s="83"/>
      <c r="AC26" s="83">
        <v>0</v>
      </c>
      <c r="AD26" s="83"/>
      <c r="AE26" s="83">
        <f>SUM(E26:AC26)</f>
        <v>10613.189999999999</v>
      </c>
      <c r="AF26" s="83"/>
      <c r="AG26" s="83">
        <v>-2083.77</v>
      </c>
      <c r="AH26" s="83"/>
      <c r="AI26" s="83">
        <v>21090.15</v>
      </c>
      <c r="AJ26" s="83"/>
      <c r="AK26" s="83">
        <v>19006.38</v>
      </c>
      <c r="AL26" s="24">
        <f>+'Gen Rev'!AI26-'Gen Exp'!AE26+'Gen Exp'!AI26-AK26</f>
        <v>0</v>
      </c>
      <c r="AM26" s="44" t="str">
        <f>'Gen Rev'!A26</f>
        <v>Antioch</v>
      </c>
      <c r="AN26" s="21" t="str">
        <f t="shared" si="5"/>
        <v>Antioch</v>
      </c>
      <c r="AO26" s="21" t="b">
        <f t="shared" si="6"/>
        <v>1</v>
      </c>
    </row>
    <row r="27" spans="1:41" ht="12.75">
      <c r="A27" s="1" t="s">
        <v>496</v>
      </c>
      <c r="C27" s="1" t="s">
        <v>497</v>
      </c>
      <c r="E27" s="83">
        <v>691.58</v>
      </c>
      <c r="F27" s="83"/>
      <c r="G27" s="83">
        <v>0</v>
      </c>
      <c r="H27" s="83"/>
      <c r="I27" s="83">
        <v>28957.32</v>
      </c>
      <c r="J27" s="83"/>
      <c r="K27" s="83">
        <v>1245.1</v>
      </c>
      <c r="L27" s="83"/>
      <c r="M27" s="83">
        <v>0</v>
      </c>
      <c r="N27" s="83"/>
      <c r="O27" s="83">
        <v>0</v>
      </c>
      <c r="P27" s="83"/>
      <c r="Q27" s="83">
        <v>181279.27</v>
      </c>
      <c r="R27" s="83"/>
      <c r="S27" s="83">
        <v>7694.55</v>
      </c>
      <c r="T27" s="83"/>
      <c r="U27" s="83">
        <v>0</v>
      </c>
      <c r="V27" s="83"/>
      <c r="W27" s="83">
        <v>0</v>
      </c>
      <c r="X27" s="83"/>
      <c r="Y27" s="83">
        <v>172500</v>
      </c>
      <c r="Z27" s="83"/>
      <c r="AA27" s="83">
        <v>16823.63</v>
      </c>
      <c r="AB27" s="83"/>
      <c r="AC27" s="83">
        <v>0</v>
      </c>
      <c r="AD27" s="83"/>
      <c r="AE27" s="83">
        <f>SUM(E27:AC27)</f>
        <v>409191.44999999995</v>
      </c>
      <c r="AF27" s="83"/>
      <c r="AG27" s="83">
        <v>39424.86</v>
      </c>
      <c r="AH27" s="83"/>
      <c r="AI27" s="83">
        <v>186152.22</v>
      </c>
      <c r="AJ27" s="83"/>
      <c r="AK27" s="83">
        <v>225577.08</v>
      </c>
      <c r="AL27" s="24">
        <f>+'Gen Rev'!AI27-'Gen Exp'!AE27+'Gen Exp'!AI27-AK27</f>
        <v>0</v>
      </c>
      <c r="AM27" s="44" t="str">
        <f>'Gen Rev'!A27</f>
        <v>Antwerp</v>
      </c>
      <c r="AN27" s="21" t="str">
        <f t="shared" si="5"/>
        <v>Antwerp</v>
      </c>
      <c r="AO27" s="21" t="b">
        <f t="shared" si="6"/>
        <v>1</v>
      </c>
    </row>
    <row r="28" spans="1:41" s="21" customFormat="1" ht="12.75">
      <c r="A28" s="1" t="s">
        <v>589</v>
      </c>
      <c r="B28" s="1"/>
      <c r="C28" s="1" t="s">
        <v>590</v>
      </c>
      <c r="D28" s="1"/>
      <c r="E28" s="83">
        <v>136924.57</v>
      </c>
      <c r="F28" s="83"/>
      <c r="G28" s="83">
        <v>0</v>
      </c>
      <c r="H28" s="83"/>
      <c r="I28" s="83">
        <v>0</v>
      </c>
      <c r="J28" s="83"/>
      <c r="K28" s="83">
        <v>0</v>
      </c>
      <c r="L28" s="83"/>
      <c r="M28" s="83">
        <v>0</v>
      </c>
      <c r="N28" s="83"/>
      <c r="O28" s="83">
        <v>0</v>
      </c>
      <c r="P28" s="83"/>
      <c r="Q28" s="83">
        <v>108162.87</v>
      </c>
      <c r="R28" s="83"/>
      <c r="S28" s="83">
        <v>55663.27</v>
      </c>
      <c r="T28" s="83"/>
      <c r="U28" s="83">
        <v>0</v>
      </c>
      <c r="V28" s="83"/>
      <c r="W28" s="83">
        <v>0</v>
      </c>
      <c r="X28" s="83"/>
      <c r="Y28" s="83">
        <v>20000</v>
      </c>
      <c r="Z28" s="83"/>
      <c r="AA28" s="83">
        <v>0</v>
      </c>
      <c r="AB28" s="83"/>
      <c r="AC28" s="83">
        <v>780.8</v>
      </c>
      <c r="AD28" s="83"/>
      <c r="AE28" s="83">
        <f>SUM(E28:AC28)</f>
        <v>321531.51</v>
      </c>
      <c r="AF28" s="83"/>
      <c r="AG28" s="83">
        <v>-4561.47</v>
      </c>
      <c r="AH28" s="83"/>
      <c r="AI28" s="83">
        <v>518337.64</v>
      </c>
      <c r="AJ28" s="83"/>
      <c r="AK28" s="83">
        <v>513776.17</v>
      </c>
      <c r="AL28" s="24">
        <f>+'Gen Rev'!AI28-'Gen Exp'!AE28+'Gen Exp'!AI28-AK28</f>
        <v>0</v>
      </c>
      <c r="AM28" s="44" t="str">
        <f>'Gen Rev'!A28</f>
        <v>Apple Creek</v>
      </c>
      <c r="AN28" s="21" t="str">
        <f t="shared" si="5"/>
        <v>Apple Creek</v>
      </c>
      <c r="AO28" s="21" t="b">
        <f t="shared" si="6"/>
        <v>1</v>
      </c>
    </row>
    <row r="29" spans="1:41" s="21" customFormat="1" ht="12.75">
      <c r="A29" s="1" t="s">
        <v>711</v>
      </c>
      <c r="B29" s="1"/>
      <c r="C29" s="1" t="s">
        <v>368</v>
      </c>
      <c r="D29" s="23"/>
      <c r="E29" s="95">
        <v>7240.7</v>
      </c>
      <c r="F29" s="95"/>
      <c r="G29" s="95">
        <v>0</v>
      </c>
      <c r="H29" s="95"/>
      <c r="I29" s="95">
        <v>2162.12</v>
      </c>
      <c r="J29" s="95"/>
      <c r="K29" s="95">
        <v>0</v>
      </c>
      <c r="L29" s="95"/>
      <c r="M29" s="95">
        <v>1121.62</v>
      </c>
      <c r="N29" s="95"/>
      <c r="O29" s="95">
        <v>0</v>
      </c>
      <c r="P29" s="95"/>
      <c r="Q29" s="95">
        <v>26669.68</v>
      </c>
      <c r="R29" s="95"/>
      <c r="S29" s="95">
        <v>0</v>
      </c>
      <c r="T29" s="95"/>
      <c r="U29" s="95">
        <v>0</v>
      </c>
      <c r="V29" s="95"/>
      <c r="W29" s="95">
        <v>0</v>
      </c>
      <c r="X29" s="95"/>
      <c r="Y29" s="95">
        <v>0</v>
      </c>
      <c r="Z29" s="95"/>
      <c r="AA29" s="95">
        <v>0</v>
      </c>
      <c r="AB29" s="95"/>
      <c r="AC29" s="95">
        <v>0</v>
      </c>
      <c r="AD29" s="95"/>
      <c r="AE29" s="95">
        <f>SUM(E29:AC29)</f>
        <v>37194.119999999995</v>
      </c>
      <c r="AF29" s="95"/>
      <c r="AG29" s="95">
        <v>-9303.3</v>
      </c>
      <c r="AH29" s="95"/>
      <c r="AI29" s="95">
        <v>68062.1</v>
      </c>
      <c r="AJ29" s="95"/>
      <c r="AK29" s="95">
        <v>58758.8</v>
      </c>
      <c r="AL29" s="24">
        <f>+'Gen Rev'!AI29-'Gen Exp'!AE29+'Gen Exp'!AI29-AK29</f>
        <v>0</v>
      </c>
      <c r="AM29" s="44" t="str">
        <f>'Gen Rev'!A29</f>
        <v>Aquilla</v>
      </c>
      <c r="AN29" s="21" t="str">
        <f t="shared" si="5"/>
        <v>Aquilla</v>
      </c>
      <c r="AO29" s="21" t="b">
        <f t="shared" si="6"/>
        <v>1</v>
      </c>
    </row>
    <row r="30" spans="1:41" s="21" customFormat="1" ht="12.75">
      <c r="A30" s="1" t="s">
        <v>387</v>
      </c>
      <c r="B30" s="1"/>
      <c r="C30" s="1" t="s">
        <v>388</v>
      </c>
      <c r="D30" s="1"/>
      <c r="E30" s="36">
        <v>0</v>
      </c>
      <c r="F30" s="36"/>
      <c r="G30" s="36">
        <v>2888.71</v>
      </c>
      <c r="H30" s="36"/>
      <c r="I30" s="36">
        <v>715.11</v>
      </c>
      <c r="J30" s="36"/>
      <c r="K30" s="36">
        <v>9740.86</v>
      </c>
      <c r="L30" s="36"/>
      <c r="M30" s="36">
        <v>0</v>
      </c>
      <c r="N30" s="36"/>
      <c r="O30" s="36">
        <v>0</v>
      </c>
      <c r="P30" s="36"/>
      <c r="Q30" s="36">
        <v>69001.08</v>
      </c>
      <c r="R30" s="36"/>
      <c r="S30" s="36">
        <v>128.38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f aca="true" t="shared" si="8" ref="AE30">SUM(E30:AC30)</f>
        <v>82474.14000000001</v>
      </c>
      <c r="AF30" s="36"/>
      <c r="AG30" s="36">
        <v>11414.66</v>
      </c>
      <c r="AH30" s="36"/>
      <c r="AI30" s="36">
        <v>214158.23</v>
      </c>
      <c r="AJ30" s="36"/>
      <c r="AK30" s="36">
        <v>225572.89</v>
      </c>
      <c r="AL30" s="24">
        <f>+'Gen Rev'!AI30-'Gen Exp'!AE30+'Gen Exp'!AI30-AK30</f>
        <v>0</v>
      </c>
      <c r="AM30" s="44" t="str">
        <f>'Gen Rev'!A30</f>
        <v>Arcadia</v>
      </c>
      <c r="AN30" s="21" t="str">
        <f t="shared" si="5"/>
        <v>Arcadia</v>
      </c>
      <c r="AO30" s="21" t="b">
        <f t="shared" si="6"/>
        <v>1</v>
      </c>
    </row>
    <row r="31" spans="1:41" s="21" customFormat="1" ht="12.6" customHeight="1">
      <c r="A31" s="1" t="s">
        <v>330</v>
      </c>
      <c r="B31" s="1"/>
      <c r="C31" s="1" t="s">
        <v>329</v>
      </c>
      <c r="D31" s="1"/>
      <c r="E31" s="83">
        <v>253398</v>
      </c>
      <c r="F31" s="83"/>
      <c r="G31" s="83">
        <v>10923</v>
      </c>
      <c r="H31" s="83"/>
      <c r="I31" s="83">
        <v>4852</v>
      </c>
      <c r="J31" s="83"/>
      <c r="K31" s="83">
        <v>94185</v>
      </c>
      <c r="L31" s="83"/>
      <c r="M31" s="83">
        <v>0</v>
      </c>
      <c r="N31" s="83"/>
      <c r="O31" s="83">
        <v>0</v>
      </c>
      <c r="P31" s="83"/>
      <c r="Q31" s="83">
        <v>158234</v>
      </c>
      <c r="R31" s="83"/>
      <c r="S31" s="83">
        <v>10117</v>
      </c>
      <c r="T31" s="83"/>
      <c r="U31" s="83">
        <v>11321</v>
      </c>
      <c r="V31" s="83"/>
      <c r="W31" s="83">
        <v>0</v>
      </c>
      <c r="X31" s="83"/>
      <c r="Y31" s="83">
        <v>80470</v>
      </c>
      <c r="Z31" s="83"/>
      <c r="AA31" s="83">
        <v>0</v>
      </c>
      <c r="AB31" s="83"/>
      <c r="AC31" s="83">
        <v>0</v>
      </c>
      <c r="AD31" s="83"/>
      <c r="AE31" s="83">
        <f>SUM(E31:AC31)</f>
        <v>623500</v>
      </c>
      <c r="AF31" s="83"/>
      <c r="AG31" s="36">
        <v>153237</v>
      </c>
      <c r="AH31" s="36"/>
      <c r="AI31" s="36">
        <v>809997</v>
      </c>
      <c r="AJ31" s="36"/>
      <c r="AK31" s="36">
        <v>963234</v>
      </c>
      <c r="AL31" s="24">
        <f>+'Gen Rev'!AI31-'Gen Exp'!AE31+'Gen Exp'!AI31-AK31</f>
        <v>0</v>
      </c>
      <c r="AM31" s="44" t="str">
        <f>'Gen Rev'!A31</f>
        <v>Arcanum</v>
      </c>
      <c r="AN31" s="21" t="str">
        <f t="shared" si="5"/>
        <v>Arcanum</v>
      </c>
      <c r="AO31" s="21" t="b">
        <f t="shared" si="6"/>
        <v>1</v>
      </c>
    </row>
    <row r="32" spans="1:41" s="21" customFormat="1" ht="12.75">
      <c r="A32" s="1" t="s">
        <v>357</v>
      </c>
      <c r="B32" s="1"/>
      <c r="C32" s="1" t="s">
        <v>358</v>
      </c>
      <c r="D32" s="1"/>
      <c r="E32" s="83">
        <v>1296755</v>
      </c>
      <c r="F32" s="83"/>
      <c r="G32" s="83">
        <v>17884</v>
      </c>
      <c r="H32" s="83"/>
      <c r="I32" s="83">
        <v>0</v>
      </c>
      <c r="J32" s="83"/>
      <c r="K32" s="83">
        <v>18509</v>
      </c>
      <c r="L32" s="83"/>
      <c r="M32" s="83">
        <v>297387</v>
      </c>
      <c r="N32" s="83"/>
      <c r="O32" s="83">
        <v>0</v>
      </c>
      <c r="P32" s="83"/>
      <c r="Q32" s="83">
        <v>796606</v>
      </c>
      <c r="R32" s="83"/>
      <c r="S32" s="83">
        <v>0</v>
      </c>
      <c r="T32" s="83"/>
      <c r="U32" s="83">
        <v>0</v>
      </c>
      <c r="V32" s="83"/>
      <c r="W32" s="83">
        <v>0</v>
      </c>
      <c r="X32" s="83"/>
      <c r="Y32" s="83">
        <v>2790000</v>
      </c>
      <c r="Z32" s="83"/>
      <c r="AA32" s="83">
        <v>750</v>
      </c>
      <c r="AB32" s="83"/>
      <c r="AC32" s="83">
        <v>12949</v>
      </c>
      <c r="AD32" s="83"/>
      <c r="AE32" s="83">
        <f>SUM(E32:AC32)</f>
        <v>5230840</v>
      </c>
      <c r="AF32" s="83"/>
      <c r="AG32" s="83">
        <v>-47059</v>
      </c>
      <c r="AH32" s="83"/>
      <c r="AI32" s="83">
        <v>2297791</v>
      </c>
      <c r="AJ32" s="83"/>
      <c r="AK32" s="83">
        <v>2250732</v>
      </c>
      <c r="AL32" s="24">
        <f>+'Gen Rev'!AI32-'Gen Exp'!AE32+'Gen Exp'!AI32-AK32</f>
        <v>0</v>
      </c>
      <c r="AM32" s="44" t="str">
        <f>'Gen Rev'!A32</f>
        <v>Archbold</v>
      </c>
      <c r="AN32" s="21" t="str">
        <f t="shared" si="5"/>
        <v>Archbold</v>
      </c>
      <c r="AO32" s="21" t="b">
        <f t="shared" si="6"/>
        <v>1</v>
      </c>
    </row>
    <row r="33" spans="1:41" ht="13.5" customHeight="1">
      <c r="A33" s="1" t="s">
        <v>98</v>
      </c>
      <c r="C33" s="1" t="s">
        <v>774</v>
      </c>
      <c r="D33" s="23"/>
      <c r="E33" s="36">
        <v>31139.05</v>
      </c>
      <c r="F33" s="36"/>
      <c r="G33" s="36">
        <v>8519.4</v>
      </c>
      <c r="H33" s="36"/>
      <c r="I33" s="36">
        <v>0</v>
      </c>
      <c r="J33" s="36"/>
      <c r="K33" s="36">
        <v>0</v>
      </c>
      <c r="L33" s="36"/>
      <c r="M33" s="36">
        <v>0</v>
      </c>
      <c r="N33" s="36"/>
      <c r="O33" s="36">
        <v>5778.9</v>
      </c>
      <c r="P33" s="36"/>
      <c r="Q33" s="36">
        <v>111662.83</v>
      </c>
      <c r="R33" s="36"/>
      <c r="S33" s="36">
        <v>125</v>
      </c>
      <c r="T33" s="36"/>
      <c r="U33" s="36">
        <v>0</v>
      </c>
      <c r="V33" s="36"/>
      <c r="W33" s="36">
        <v>0</v>
      </c>
      <c r="X33" s="36"/>
      <c r="Y33" s="36">
        <v>188000</v>
      </c>
      <c r="Z33" s="36"/>
      <c r="AA33" s="36">
        <v>23000</v>
      </c>
      <c r="AB33" s="36"/>
      <c r="AC33" s="36">
        <v>8380.12</v>
      </c>
      <c r="AD33" s="36"/>
      <c r="AE33" s="36">
        <f aca="true" t="shared" si="9" ref="AE33">SUM(E33:AC33)</f>
        <v>376605.3</v>
      </c>
      <c r="AF33" s="36"/>
      <c r="AG33" s="36">
        <v>-18959.27</v>
      </c>
      <c r="AH33" s="36"/>
      <c r="AI33" s="36">
        <v>284757.28</v>
      </c>
      <c r="AJ33" s="36"/>
      <c r="AK33" s="36">
        <v>265798.01</v>
      </c>
      <c r="AL33" s="24">
        <f>+'Gen Rev'!AI33-'Gen Exp'!AE33+'Gen Exp'!AI33-AK33</f>
        <v>0</v>
      </c>
      <c r="AM33" s="44" t="str">
        <f>'Gen Rev'!A33</f>
        <v>Arlington</v>
      </c>
      <c r="AN33" s="21" t="str">
        <f t="shared" si="5"/>
        <v>Arlington</v>
      </c>
      <c r="AO33" s="21" t="b">
        <f t="shared" si="6"/>
        <v>1</v>
      </c>
    </row>
    <row r="34" spans="1:41" s="21" customFormat="1" ht="12.75">
      <c r="A34" s="1" t="s">
        <v>379</v>
      </c>
      <c r="B34" s="1"/>
      <c r="C34" s="1" t="s">
        <v>378</v>
      </c>
      <c r="D34" s="1"/>
      <c r="E34" s="83">
        <v>409873</v>
      </c>
      <c r="F34" s="83"/>
      <c r="G34" s="83">
        <v>0</v>
      </c>
      <c r="H34" s="83"/>
      <c r="I34" s="83">
        <v>16000</v>
      </c>
      <c r="J34" s="83"/>
      <c r="K34" s="83">
        <v>0</v>
      </c>
      <c r="L34" s="83"/>
      <c r="M34" s="83">
        <v>90662</v>
      </c>
      <c r="N34" s="83"/>
      <c r="O34" s="83">
        <v>63266</v>
      </c>
      <c r="P34" s="83"/>
      <c r="Q34" s="83">
        <v>532866</v>
      </c>
      <c r="R34" s="83"/>
      <c r="S34" s="83">
        <v>0</v>
      </c>
      <c r="T34" s="83"/>
      <c r="U34" s="83">
        <v>22166</v>
      </c>
      <c r="V34" s="83"/>
      <c r="W34" s="83">
        <v>0</v>
      </c>
      <c r="X34" s="83"/>
      <c r="Y34" s="83">
        <v>0</v>
      </c>
      <c r="Z34" s="83"/>
      <c r="AA34" s="83">
        <v>0</v>
      </c>
      <c r="AB34" s="83"/>
      <c r="AC34" s="83">
        <v>0</v>
      </c>
      <c r="AD34" s="83"/>
      <c r="AE34" s="83">
        <f>SUM(E34:AC34)</f>
        <v>1134833</v>
      </c>
      <c r="AF34" s="83"/>
      <c r="AG34" s="83">
        <v>12795</v>
      </c>
      <c r="AH34" s="83"/>
      <c r="AI34" s="83">
        <v>389684</v>
      </c>
      <c r="AJ34" s="83"/>
      <c r="AK34" s="83">
        <v>406479</v>
      </c>
      <c r="AL34" s="24">
        <f>+'Gen Rev'!AI34-'Gen Exp'!AE34+'Gen Exp'!AI34-AK34</f>
        <v>1</v>
      </c>
      <c r="AM34" s="44" t="str">
        <f>'Gen Rev'!A34</f>
        <v>Arlington Heights</v>
      </c>
      <c r="AN34" s="21" t="str">
        <f t="shared" si="5"/>
        <v>Arlington Heights</v>
      </c>
      <c r="AO34" s="21" t="b">
        <f t="shared" si="6"/>
        <v>1</v>
      </c>
    </row>
    <row r="35" spans="1:41" s="21" customFormat="1" ht="12.75">
      <c r="A35" s="1" t="s">
        <v>933</v>
      </c>
      <c r="B35" s="1"/>
      <c r="C35" s="1" t="s">
        <v>343</v>
      </c>
      <c r="D35" s="1"/>
      <c r="E35" s="36">
        <v>45113.3</v>
      </c>
      <c r="F35" s="36"/>
      <c r="G35" s="36">
        <v>0</v>
      </c>
      <c r="H35" s="36"/>
      <c r="I35" s="36">
        <v>0</v>
      </c>
      <c r="J35" s="36"/>
      <c r="K35" s="36">
        <v>0</v>
      </c>
      <c r="L35" s="36"/>
      <c r="M35" s="36">
        <v>71695.65</v>
      </c>
      <c r="N35" s="36"/>
      <c r="O35" s="36">
        <v>0</v>
      </c>
      <c r="P35" s="36"/>
      <c r="Q35" s="36">
        <v>128278.56</v>
      </c>
      <c r="R35" s="36"/>
      <c r="S35" s="36">
        <v>0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f aca="true" t="shared" si="10" ref="AE35:AE36">SUM(E35:AC35)</f>
        <v>245087.51</v>
      </c>
      <c r="AF35" s="36"/>
      <c r="AG35" s="36">
        <v>27853.57</v>
      </c>
      <c r="AH35" s="36"/>
      <c r="AI35" s="36">
        <v>52974.15</v>
      </c>
      <c r="AJ35" s="36"/>
      <c r="AK35" s="36">
        <v>80827.72</v>
      </c>
      <c r="AL35" s="24">
        <f>+'Gen Rev'!AI35-'Gen Exp'!AE35+'Gen Exp'!AI35-AK35</f>
        <v>0</v>
      </c>
      <c r="AM35" s="44" t="str">
        <f>'Gen Rev'!A35</f>
        <v>Ashley</v>
      </c>
      <c r="AN35" s="21" t="str">
        <f t="shared" si="5"/>
        <v>Ashley</v>
      </c>
      <c r="AO35" s="21" t="b">
        <f t="shared" si="6"/>
        <v>1</v>
      </c>
    </row>
    <row r="36" spans="1:41" ht="12.75">
      <c r="A36" s="1" t="s">
        <v>849</v>
      </c>
      <c r="C36" s="1" t="s">
        <v>804</v>
      </c>
      <c r="D36" s="23"/>
      <c r="E36" s="36">
        <v>703482.29</v>
      </c>
      <c r="F36" s="36"/>
      <c r="G36" s="36">
        <v>20409.43</v>
      </c>
      <c r="H36" s="36"/>
      <c r="I36" s="36">
        <v>37471.64</v>
      </c>
      <c r="J36" s="36"/>
      <c r="K36" s="36">
        <v>33838.66</v>
      </c>
      <c r="L36" s="36"/>
      <c r="M36" s="36">
        <v>312877</v>
      </c>
      <c r="N36" s="36"/>
      <c r="O36" s="36">
        <v>142879.34</v>
      </c>
      <c r="P36" s="36"/>
      <c r="Q36" s="36">
        <v>426862.92</v>
      </c>
      <c r="R36" s="36"/>
      <c r="S36" s="36">
        <v>0</v>
      </c>
      <c r="T36" s="36"/>
      <c r="U36" s="36">
        <v>23545</v>
      </c>
      <c r="V36" s="36"/>
      <c r="W36" s="36">
        <v>3750</v>
      </c>
      <c r="X36" s="36"/>
      <c r="Y36" s="36">
        <v>105023</v>
      </c>
      <c r="Z36" s="36"/>
      <c r="AA36" s="36">
        <v>0</v>
      </c>
      <c r="AB36" s="36"/>
      <c r="AC36" s="36">
        <v>37362.39</v>
      </c>
      <c r="AD36" s="36"/>
      <c r="AE36" s="36">
        <f t="shared" si="10"/>
        <v>1847501.67</v>
      </c>
      <c r="AF36" s="36"/>
      <c r="AG36" s="36">
        <v>-268847.3</v>
      </c>
      <c r="AH36" s="36"/>
      <c r="AI36" s="36">
        <v>770203.01</v>
      </c>
      <c r="AJ36" s="36"/>
      <c r="AK36" s="36">
        <v>501355.71</v>
      </c>
      <c r="AL36" s="24">
        <f>+'Gen Rev'!AI36-'Gen Exp'!AE36+'Gen Exp'!AI36-AK36</f>
        <v>0</v>
      </c>
      <c r="AM36" s="44" t="str">
        <f>'Gen Rev'!A36</f>
        <v>Ashville</v>
      </c>
      <c r="AN36" s="21" t="str">
        <f t="shared" si="5"/>
        <v>Ashville</v>
      </c>
      <c r="AO36" s="21" t="b">
        <f t="shared" si="6"/>
        <v>1</v>
      </c>
    </row>
    <row r="37" spans="1:41" s="15" customFormat="1" ht="12.75">
      <c r="A37" s="15" t="s">
        <v>891</v>
      </c>
      <c r="C37" s="15" t="s">
        <v>437</v>
      </c>
      <c r="D37" s="28"/>
      <c r="E37" s="85">
        <v>6899</v>
      </c>
      <c r="F37" s="85"/>
      <c r="G37" s="85">
        <v>0</v>
      </c>
      <c r="H37" s="85"/>
      <c r="I37" s="85">
        <v>0</v>
      </c>
      <c r="J37" s="85"/>
      <c r="K37" s="85">
        <v>511</v>
      </c>
      <c r="L37" s="85"/>
      <c r="M37" s="85">
        <v>7033</v>
      </c>
      <c r="N37" s="85"/>
      <c r="O37" s="85">
        <v>0</v>
      </c>
      <c r="P37" s="85"/>
      <c r="Q37" s="85">
        <v>6555</v>
      </c>
      <c r="R37" s="85"/>
      <c r="S37" s="85">
        <v>0</v>
      </c>
      <c r="T37" s="85"/>
      <c r="U37" s="85">
        <v>0</v>
      </c>
      <c r="V37" s="85"/>
      <c r="W37" s="85">
        <v>0</v>
      </c>
      <c r="X37" s="85"/>
      <c r="Y37" s="85">
        <v>0</v>
      </c>
      <c r="Z37" s="85"/>
      <c r="AA37" s="85">
        <v>0</v>
      </c>
      <c r="AB37" s="85"/>
      <c r="AC37" s="85">
        <v>1400</v>
      </c>
      <c r="AD37" s="85"/>
      <c r="AE37" s="83">
        <f>SUM(E37:AC37)</f>
        <v>22398</v>
      </c>
      <c r="AF37" s="85"/>
      <c r="AG37" s="85">
        <v>-3822</v>
      </c>
      <c r="AH37" s="85"/>
      <c r="AI37" s="85">
        <v>-5078</v>
      </c>
      <c r="AJ37" s="85"/>
      <c r="AK37" s="85"/>
      <c r="AL37" s="24">
        <f>+'Gen Rev'!AI37-'Gen Exp'!AE37+'Gen Exp'!AI37-AK37</f>
        <v>-6149</v>
      </c>
      <c r="AM37" s="44" t="str">
        <f>'Gen Rev'!A37</f>
        <v>Athalia</v>
      </c>
      <c r="AN37" s="21" t="str">
        <f t="shared" si="5"/>
        <v>Athalia</v>
      </c>
      <c r="AO37" s="21" t="b">
        <f t="shared" si="6"/>
        <v>1</v>
      </c>
    </row>
    <row r="38" spans="1:41" ht="12.75">
      <c r="A38" s="1" t="s">
        <v>218</v>
      </c>
      <c r="C38" s="1" t="s">
        <v>813</v>
      </c>
      <c r="D38" s="23"/>
      <c r="E38" s="36">
        <v>18049.24</v>
      </c>
      <c r="F38" s="36"/>
      <c r="G38" s="36">
        <v>1339.5</v>
      </c>
      <c r="H38" s="36"/>
      <c r="I38" s="36">
        <v>0</v>
      </c>
      <c r="J38" s="36"/>
      <c r="K38" s="36">
        <v>0</v>
      </c>
      <c r="L38" s="36"/>
      <c r="M38" s="36">
        <v>0</v>
      </c>
      <c r="N38" s="36"/>
      <c r="O38" s="36">
        <v>0</v>
      </c>
      <c r="P38" s="36"/>
      <c r="Q38" s="36">
        <v>59017.74</v>
      </c>
      <c r="R38" s="36"/>
      <c r="S38" s="36">
        <v>0</v>
      </c>
      <c r="T38" s="36"/>
      <c r="U38" s="36">
        <v>3841.85</v>
      </c>
      <c r="V38" s="36"/>
      <c r="W38" s="36">
        <v>4245.41</v>
      </c>
      <c r="X38" s="36"/>
      <c r="Y38" s="36">
        <v>0</v>
      </c>
      <c r="Z38" s="36"/>
      <c r="AA38" s="36">
        <v>15000</v>
      </c>
      <c r="AB38" s="36"/>
      <c r="AC38" s="36">
        <v>0</v>
      </c>
      <c r="AD38" s="36"/>
      <c r="AE38" s="36">
        <f aca="true" t="shared" si="11" ref="AE38">SUM(E38:AC38)</f>
        <v>101493.74</v>
      </c>
      <c r="AF38" s="36"/>
      <c r="AG38" s="36">
        <v>20113.08</v>
      </c>
      <c r="AH38" s="36"/>
      <c r="AI38" s="36">
        <v>103776.35</v>
      </c>
      <c r="AJ38" s="36"/>
      <c r="AK38" s="36">
        <v>123889.43</v>
      </c>
      <c r="AL38" s="24">
        <f>+'Gen Rev'!AI38-'Gen Exp'!AE38+'Gen Exp'!AI38-AK38</f>
        <v>0</v>
      </c>
      <c r="AM38" s="44" t="str">
        <f>'Gen Rev'!A38</f>
        <v>Attica</v>
      </c>
      <c r="AN38" s="21" t="str">
        <f t="shared" si="5"/>
        <v>Attica</v>
      </c>
      <c r="AO38" s="21" t="b">
        <f t="shared" si="6"/>
        <v>1</v>
      </c>
    </row>
    <row r="39" spans="1:41" s="21" customFormat="1" ht="12.75">
      <c r="A39" s="1" t="s">
        <v>670</v>
      </c>
      <c r="B39" s="1"/>
      <c r="C39" s="1" t="s">
        <v>669</v>
      </c>
      <c r="D39" s="23"/>
      <c r="E39" s="83">
        <v>3487</v>
      </c>
      <c r="F39" s="83"/>
      <c r="G39" s="83">
        <v>158</v>
      </c>
      <c r="H39" s="83"/>
      <c r="I39" s="83">
        <v>5307</v>
      </c>
      <c r="J39" s="83"/>
      <c r="K39" s="83">
        <v>2874</v>
      </c>
      <c r="L39" s="83"/>
      <c r="M39" s="83">
        <v>0</v>
      </c>
      <c r="N39" s="83"/>
      <c r="O39" s="83">
        <v>15958</v>
      </c>
      <c r="P39" s="83"/>
      <c r="Q39" s="83">
        <v>27534</v>
      </c>
      <c r="R39" s="83"/>
      <c r="S39" s="83">
        <v>0</v>
      </c>
      <c r="T39" s="83"/>
      <c r="U39" s="83">
        <v>0</v>
      </c>
      <c r="V39" s="83"/>
      <c r="W39" s="83">
        <v>0</v>
      </c>
      <c r="X39" s="83"/>
      <c r="Y39" s="83">
        <v>0</v>
      </c>
      <c r="Z39" s="83"/>
      <c r="AA39" s="83">
        <v>0</v>
      </c>
      <c r="AB39" s="83"/>
      <c r="AC39" s="83">
        <v>0</v>
      </c>
      <c r="AD39" s="83"/>
      <c r="AE39" s="83">
        <f>SUM(E39:AC39)</f>
        <v>55318</v>
      </c>
      <c r="AF39" s="83"/>
      <c r="AG39" s="36">
        <v>-3040</v>
      </c>
      <c r="AH39" s="36"/>
      <c r="AI39" s="36">
        <v>36295</v>
      </c>
      <c r="AJ39" s="36"/>
      <c r="AK39" s="36">
        <v>33255</v>
      </c>
      <c r="AL39" s="24">
        <f>+'Gen Rev'!AI39-'Gen Exp'!AE39+'Gen Exp'!AI39-AK39</f>
        <v>0</v>
      </c>
      <c r="AM39" s="44" t="str">
        <f>'Gen Rev'!A39</f>
        <v>Bailey Lakes</v>
      </c>
      <c r="AN39" s="21" t="str">
        <f t="shared" si="5"/>
        <v>Bailey Lakes</v>
      </c>
      <c r="AO39" s="21" t="b">
        <f t="shared" si="6"/>
        <v>1</v>
      </c>
    </row>
    <row r="40" spans="1:41" s="21" customFormat="1" ht="12.75">
      <c r="A40" s="1" t="s">
        <v>850</v>
      </c>
      <c r="B40" s="1"/>
      <c r="C40" s="1" t="s">
        <v>810</v>
      </c>
      <c r="D40" s="23"/>
      <c r="E40" s="36">
        <v>61741.69</v>
      </c>
      <c r="F40" s="36"/>
      <c r="G40" s="36">
        <v>0</v>
      </c>
      <c r="H40" s="36"/>
      <c r="I40" s="36">
        <v>1817.17</v>
      </c>
      <c r="J40" s="36"/>
      <c r="K40" s="36">
        <v>0</v>
      </c>
      <c r="L40" s="36"/>
      <c r="M40" s="36">
        <v>0</v>
      </c>
      <c r="N40" s="36"/>
      <c r="O40" s="36">
        <v>0</v>
      </c>
      <c r="P40" s="36"/>
      <c r="Q40" s="36">
        <v>57614.84</v>
      </c>
      <c r="R40" s="36"/>
      <c r="S40" s="36">
        <v>4727.46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f aca="true" t="shared" si="12" ref="AE40">SUM(E40:AC40)</f>
        <v>125901.16</v>
      </c>
      <c r="AF40" s="36"/>
      <c r="AG40" s="36">
        <v>22571.07</v>
      </c>
      <c r="AH40" s="36"/>
      <c r="AI40" s="36">
        <v>216953.92</v>
      </c>
      <c r="AJ40" s="36"/>
      <c r="AK40" s="36">
        <v>239524.99</v>
      </c>
      <c r="AL40" s="24">
        <f>+'Gen Rev'!AI40-'Gen Exp'!AE40+'Gen Exp'!AI40-AK40</f>
        <v>0</v>
      </c>
      <c r="AM40" s="44" t="str">
        <f>'Gen Rev'!A40</f>
        <v>Bainbridge</v>
      </c>
      <c r="AN40" s="21" t="str">
        <f t="shared" si="5"/>
        <v>Bainbridge</v>
      </c>
      <c r="AO40" s="21" t="b">
        <f t="shared" si="6"/>
        <v>1</v>
      </c>
    </row>
    <row r="41" spans="1:41" s="21" customFormat="1" ht="12.75">
      <c r="A41" s="1" t="s">
        <v>602</v>
      </c>
      <c r="B41" s="1"/>
      <c r="C41" s="1" t="s">
        <v>603</v>
      </c>
      <c r="D41" s="1"/>
      <c r="E41" s="95">
        <v>0</v>
      </c>
      <c r="F41" s="95"/>
      <c r="G41" s="95">
        <v>57.74</v>
      </c>
      <c r="H41" s="95"/>
      <c r="I41" s="95">
        <v>0</v>
      </c>
      <c r="J41" s="95"/>
      <c r="K41" s="95">
        <v>0</v>
      </c>
      <c r="L41" s="95"/>
      <c r="M41" s="95">
        <v>0</v>
      </c>
      <c r="N41" s="95"/>
      <c r="O41" s="95">
        <v>0</v>
      </c>
      <c r="P41" s="95"/>
      <c r="Q41" s="95">
        <v>8617.99</v>
      </c>
      <c r="R41" s="95"/>
      <c r="S41" s="95">
        <v>0</v>
      </c>
      <c r="T41" s="95"/>
      <c r="U41" s="95">
        <v>0</v>
      </c>
      <c r="V41" s="95"/>
      <c r="W41" s="95">
        <v>0</v>
      </c>
      <c r="X41" s="95"/>
      <c r="Y41" s="95">
        <v>0</v>
      </c>
      <c r="Z41" s="95"/>
      <c r="AA41" s="95">
        <v>0</v>
      </c>
      <c r="AB41" s="95"/>
      <c r="AC41" s="95">
        <v>0</v>
      </c>
      <c r="AD41" s="95"/>
      <c r="AE41" s="95">
        <f aca="true" t="shared" si="13" ref="AE41">SUM(E41:AC41)</f>
        <v>8675.73</v>
      </c>
      <c r="AF41" s="95"/>
      <c r="AG41" s="95">
        <v>3629</v>
      </c>
      <c r="AH41" s="95"/>
      <c r="AI41" s="95">
        <v>4014.88</v>
      </c>
      <c r="AJ41" s="95"/>
      <c r="AK41" s="95">
        <v>7643.88</v>
      </c>
      <c r="AL41" s="24">
        <f>+'Gen Rev'!AI41-'Gen Exp'!AE41+'Gen Exp'!AI41-AK41</f>
        <v>0</v>
      </c>
      <c r="AM41" s="44" t="str">
        <f>'Gen Rev'!A41</f>
        <v>Bairdstown</v>
      </c>
      <c r="AN41" s="21" t="str">
        <f t="shared" si="5"/>
        <v>Bairdstown</v>
      </c>
      <c r="AO41" s="21" t="b">
        <f t="shared" si="6"/>
        <v>1</v>
      </c>
    </row>
    <row r="42" spans="1:41" ht="12.75">
      <c r="A42" s="1" t="s">
        <v>561</v>
      </c>
      <c r="C42" s="1" t="s">
        <v>562</v>
      </c>
      <c r="E42" s="83">
        <v>26941.3</v>
      </c>
      <c r="F42" s="83"/>
      <c r="G42" s="83">
        <v>1671.75</v>
      </c>
      <c r="H42" s="83"/>
      <c r="I42" s="83">
        <v>7103.24</v>
      </c>
      <c r="J42" s="83"/>
      <c r="K42" s="83">
        <v>814.5</v>
      </c>
      <c r="L42" s="83"/>
      <c r="M42" s="83">
        <v>0</v>
      </c>
      <c r="N42" s="83"/>
      <c r="O42" s="83">
        <v>0</v>
      </c>
      <c r="P42" s="83"/>
      <c r="Q42" s="83">
        <v>128565.1</v>
      </c>
      <c r="R42" s="83"/>
      <c r="S42" s="83">
        <v>1610</v>
      </c>
      <c r="T42" s="83"/>
      <c r="U42" s="83">
        <v>0</v>
      </c>
      <c r="V42" s="83"/>
      <c r="W42" s="83">
        <v>0</v>
      </c>
      <c r="X42" s="83"/>
      <c r="Y42" s="83">
        <v>0</v>
      </c>
      <c r="Z42" s="83"/>
      <c r="AA42" s="83">
        <v>0</v>
      </c>
      <c r="AB42" s="83"/>
      <c r="AC42" s="83">
        <v>0</v>
      </c>
      <c r="AD42" s="83"/>
      <c r="AE42" s="83">
        <f>SUM(E42:AC42)</f>
        <v>166705.89</v>
      </c>
      <c r="AF42" s="83"/>
      <c r="AG42" s="83">
        <v>13336.56</v>
      </c>
      <c r="AH42" s="83"/>
      <c r="AI42" s="83">
        <v>54648.9</v>
      </c>
      <c r="AJ42" s="83"/>
      <c r="AK42" s="83">
        <v>67985.46</v>
      </c>
      <c r="AL42" s="24">
        <f>+'Gen Rev'!AI42-'Gen Exp'!AE42+'Gen Exp'!AI42-AK42</f>
        <v>0</v>
      </c>
      <c r="AM42" s="44" t="str">
        <f>'Gen Rev'!A42</f>
        <v>Baltic</v>
      </c>
      <c r="AN42" s="21" t="str">
        <f t="shared" si="5"/>
        <v>Baltic</v>
      </c>
      <c r="AO42" s="21" t="b">
        <f t="shared" si="6"/>
        <v>1</v>
      </c>
    </row>
    <row r="43" spans="1:41" s="21" customFormat="1" ht="12.6" customHeight="1">
      <c r="A43" s="1" t="s">
        <v>349</v>
      </c>
      <c r="B43" s="1"/>
      <c r="C43" s="1" t="s">
        <v>350</v>
      </c>
      <c r="D43" s="1"/>
      <c r="E43" s="83">
        <v>385249.31</v>
      </c>
      <c r="F43" s="83"/>
      <c r="G43" s="83">
        <v>17640.95</v>
      </c>
      <c r="H43" s="83"/>
      <c r="I43" s="83">
        <v>38040.16</v>
      </c>
      <c r="J43" s="83"/>
      <c r="K43" s="83">
        <v>25293.37</v>
      </c>
      <c r="L43" s="83"/>
      <c r="M43" s="83">
        <v>12355.71</v>
      </c>
      <c r="N43" s="83"/>
      <c r="O43" s="83">
        <v>0</v>
      </c>
      <c r="P43" s="83"/>
      <c r="Q43" s="83">
        <v>162025.87</v>
      </c>
      <c r="R43" s="83"/>
      <c r="S43" s="83">
        <v>78184.8</v>
      </c>
      <c r="T43" s="83"/>
      <c r="U43" s="83">
        <v>0</v>
      </c>
      <c r="V43" s="83"/>
      <c r="W43" s="83">
        <v>0</v>
      </c>
      <c r="X43" s="83"/>
      <c r="Y43" s="83">
        <v>0</v>
      </c>
      <c r="Z43" s="83"/>
      <c r="AA43" s="83">
        <v>0</v>
      </c>
      <c r="AB43" s="83"/>
      <c r="AC43" s="83">
        <v>0</v>
      </c>
      <c r="AD43" s="83"/>
      <c r="AE43" s="83">
        <f>SUM(E43:AC43)</f>
        <v>718790.1700000002</v>
      </c>
      <c r="AF43" s="83"/>
      <c r="AG43" s="83">
        <v>6541.32</v>
      </c>
      <c r="AH43" s="83"/>
      <c r="AI43" s="83">
        <v>22231.147</v>
      </c>
      <c r="AJ43" s="83"/>
      <c r="AK43" s="83">
        <v>28772.46</v>
      </c>
      <c r="AL43" s="24">
        <f>+'Gen Rev'!AI43-'Gen Exp'!AE43+'Gen Exp'!AI43-AK43</f>
        <v>0.0069999998340790626</v>
      </c>
      <c r="AM43" s="44" t="str">
        <f>'Gen Rev'!A43</f>
        <v>Baltimore</v>
      </c>
      <c r="AN43" s="21" t="str">
        <f t="shared" si="5"/>
        <v>Baltimore</v>
      </c>
      <c r="AO43" s="21" t="b">
        <f t="shared" si="6"/>
        <v>1</v>
      </c>
    </row>
    <row r="44" spans="1:41" s="21" customFormat="1" ht="12" customHeight="1">
      <c r="A44" s="1" t="s">
        <v>278</v>
      </c>
      <c r="B44" s="1"/>
      <c r="C44" s="1" t="s">
        <v>279</v>
      </c>
      <c r="D44" s="1"/>
      <c r="E44" s="83">
        <v>484447</v>
      </c>
      <c r="F44" s="83"/>
      <c r="G44" s="83">
        <v>16854</v>
      </c>
      <c r="H44" s="83"/>
      <c r="I44" s="83">
        <v>10583</v>
      </c>
      <c r="J44" s="83"/>
      <c r="K44" s="83">
        <v>0</v>
      </c>
      <c r="L44" s="83"/>
      <c r="M44" s="83">
        <v>0</v>
      </c>
      <c r="N44" s="83"/>
      <c r="O44" s="83">
        <v>45648</v>
      </c>
      <c r="P44" s="83"/>
      <c r="Q44" s="83">
        <v>144327</v>
      </c>
      <c r="R44" s="83"/>
      <c r="S44" s="83">
        <v>0</v>
      </c>
      <c r="T44" s="83"/>
      <c r="U44" s="83">
        <v>0</v>
      </c>
      <c r="V44" s="83"/>
      <c r="W44" s="83">
        <v>0</v>
      </c>
      <c r="X44" s="83"/>
      <c r="Y44" s="83">
        <v>0</v>
      </c>
      <c r="Z44" s="83"/>
      <c r="AA44" s="83">
        <v>0</v>
      </c>
      <c r="AB44" s="83"/>
      <c r="AC44" s="83">
        <v>0</v>
      </c>
      <c r="AD44" s="83"/>
      <c r="AE44" s="83">
        <f>SUM(E44:AC44)</f>
        <v>701859</v>
      </c>
      <c r="AF44" s="83"/>
      <c r="AG44" s="36">
        <v>-51326</v>
      </c>
      <c r="AH44" s="36"/>
      <c r="AI44" s="36">
        <v>237466</v>
      </c>
      <c r="AJ44" s="36"/>
      <c r="AK44" s="36">
        <v>186140</v>
      </c>
      <c r="AL44" s="24">
        <f>+'Gen Rev'!AI44-'Gen Exp'!AE44+'Gen Exp'!AI44-AK44</f>
        <v>0</v>
      </c>
      <c r="AM44" s="44" t="str">
        <f>'Gen Rev'!A44</f>
        <v>Barnesville</v>
      </c>
      <c r="AN44" s="21" t="str">
        <f t="shared" si="5"/>
        <v>Barnesville</v>
      </c>
      <c r="AO44" s="21" t="b">
        <f t="shared" si="6"/>
        <v>1</v>
      </c>
    </row>
    <row r="45" spans="1:41" s="21" customFormat="1" ht="12.75">
      <c r="A45" s="1" t="s">
        <v>563</v>
      </c>
      <c r="B45" s="1"/>
      <c r="C45" s="1" t="s">
        <v>562</v>
      </c>
      <c r="D45" s="1"/>
      <c r="E45" s="36">
        <v>383.6</v>
      </c>
      <c r="F45" s="36"/>
      <c r="G45" s="36">
        <v>96.97</v>
      </c>
      <c r="H45" s="36"/>
      <c r="I45" s="36">
        <v>91.34</v>
      </c>
      <c r="J45" s="36"/>
      <c r="K45" s="36">
        <v>0</v>
      </c>
      <c r="L45" s="36"/>
      <c r="M45" s="36">
        <v>6781.73</v>
      </c>
      <c r="N45" s="36"/>
      <c r="O45" s="36">
        <v>0</v>
      </c>
      <c r="P45" s="36"/>
      <c r="Q45" s="36">
        <v>15188.68</v>
      </c>
      <c r="R45" s="36"/>
      <c r="S45" s="36">
        <v>0</v>
      </c>
      <c r="T45" s="36"/>
      <c r="U45" s="36">
        <v>0</v>
      </c>
      <c r="V45" s="36"/>
      <c r="W45" s="36">
        <v>0</v>
      </c>
      <c r="X45" s="36"/>
      <c r="Y45" s="36">
        <v>0</v>
      </c>
      <c r="Z45" s="36"/>
      <c r="AA45" s="36">
        <v>0</v>
      </c>
      <c r="AB45" s="36"/>
      <c r="AC45" s="36">
        <v>0</v>
      </c>
      <c r="AD45" s="36"/>
      <c r="AE45" s="36">
        <f aca="true" t="shared" si="14" ref="AE45:AE46">SUM(E45:AC45)</f>
        <v>22542.32</v>
      </c>
      <c r="AF45" s="36"/>
      <c r="AG45" s="36">
        <v>5704.25</v>
      </c>
      <c r="AH45" s="36"/>
      <c r="AI45" s="36">
        <v>24265.28</v>
      </c>
      <c r="AJ45" s="36"/>
      <c r="AK45" s="36">
        <v>29969.53</v>
      </c>
      <c r="AL45" s="24">
        <f>+'Gen Rev'!AI45-'Gen Exp'!AE45+'Gen Exp'!AI45-AK45</f>
        <v>0</v>
      </c>
      <c r="AM45" s="44" t="str">
        <f>'Gen Rev'!A45</f>
        <v>Barnhill</v>
      </c>
      <c r="AN45" s="21" t="str">
        <f t="shared" si="5"/>
        <v>Barnhill</v>
      </c>
      <c r="AO45" s="21" t="b">
        <f t="shared" si="6"/>
        <v>1</v>
      </c>
    </row>
    <row r="46" spans="1:41" ht="12.6" customHeight="1">
      <c r="A46" s="1" t="s">
        <v>294</v>
      </c>
      <c r="C46" s="1" t="s">
        <v>295</v>
      </c>
      <c r="E46" s="36">
        <v>269119.4</v>
      </c>
      <c r="F46" s="36"/>
      <c r="G46" s="36">
        <v>6839.3</v>
      </c>
      <c r="H46" s="36"/>
      <c r="I46" s="36">
        <v>0</v>
      </c>
      <c r="J46" s="36"/>
      <c r="K46" s="36">
        <v>0</v>
      </c>
      <c r="L46" s="36"/>
      <c r="M46" s="36">
        <v>0</v>
      </c>
      <c r="N46" s="36"/>
      <c r="O46" s="36">
        <v>0</v>
      </c>
      <c r="P46" s="36"/>
      <c r="Q46" s="36">
        <v>139950.66</v>
      </c>
      <c r="R46" s="36"/>
      <c r="S46" s="36">
        <v>0</v>
      </c>
      <c r="T46" s="36"/>
      <c r="U46" s="36">
        <v>0</v>
      </c>
      <c r="V46" s="36"/>
      <c r="W46" s="36">
        <v>0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f t="shared" si="14"/>
        <v>415909.36</v>
      </c>
      <c r="AF46" s="36"/>
      <c r="AG46" s="36">
        <v>153581.29</v>
      </c>
      <c r="AH46" s="36"/>
      <c r="AI46" s="36">
        <v>292569.08</v>
      </c>
      <c r="AJ46" s="36"/>
      <c r="AK46" s="36">
        <v>446150.37</v>
      </c>
      <c r="AL46" s="24">
        <f>+'Gen Rev'!AI46-'Gen Exp'!AE46+'Gen Exp'!AI46-AK46</f>
        <v>0</v>
      </c>
      <c r="AM46" s="44" t="str">
        <f>'Gen Rev'!A46</f>
        <v>Batavia</v>
      </c>
      <c r="AN46" s="21" t="str">
        <f t="shared" si="5"/>
        <v>Batavia</v>
      </c>
      <c r="AO46" s="21" t="b">
        <f t="shared" si="6"/>
        <v>1</v>
      </c>
    </row>
    <row r="47" spans="1:41" ht="12.75">
      <c r="A47" s="1" t="s">
        <v>490</v>
      </c>
      <c r="C47" s="1" t="s">
        <v>491</v>
      </c>
      <c r="E47" s="83">
        <v>400</v>
      </c>
      <c r="F47" s="83"/>
      <c r="G47" s="83">
        <v>0</v>
      </c>
      <c r="H47" s="83"/>
      <c r="I47" s="83">
        <v>0</v>
      </c>
      <c r="J47" s="83"/>
      <c r="K47" s="83">
        <v>645</v>
      </c>
      <c r="L47" s="83"/>
      <c r="M47" s="83">
        <v>0</v>
      </c>
      <c r="N47" s="83"/>
      <c r="O47" s="83">
        <v>0</v>
      </c>
      <c r="P47" s="83"/>
      <c r="Q47" s="83">
        <v>0</v>
      </c>
      <c r="R47" s="83"/>
      <c r="S47" s="83">
        <v>14814</v>
      </c>
      <c r="T47" s="83"/>
      <c r="U47" s="83">
        <v>0</v>
      </c>
      <c r="V47" s="83"/>
      <c r="W47" s="83">
        <v>0</v>
      </c>
      <c r="X47" s="83"/>
      <c r="Y47" s="83">
        <v>0</v>
      </c>
      <c r="Z47" s="83"/>
      <c r="AA47" s="83">
        <v>0</v>
      </c>
      <c r="AB47" s="83"/>
      <c r="AC47" s="83">
        <v>0</v>
      </c>
      <c r="AD47" s="87"/>
      <c r="AE47" s="83">
        <f>SUM(E47:AC47)</f>
        <v>15859</v>
      </c>
      <c r="AF47" s="83"/>
      <c r="AG47" s="83"/>
      <c r="AH47" s="83"/>
      <c r="AI47" s="83">
        <v>-1781</v>
      </c>
      <c r="AJ47" s="83"/>
      <c r="AK47" s="83">
        <v>6066</v>
      </c>
      <c r="AL47" s="24">
        <f>+'Gen Rev'!AI47-'Gen Exp'!AE47+'Gen Exp'!AI47-AK47</f>
        <v>0</v>
      </c>
      <c r="AM47" s="44" t="str">
        <f>'Gen Rev'!A47</f>
        <v>Batesville</v>
      </c>
      <c r="AN47" s="21" t="str">
        <f t="shared" si="5"/>
        <v>Batesville</v>
      </c>
      <c r="AO47" s="21" t="b">
        <f t="shared" si="6"/>
        <v>1</v>
      </c>
    </row>
    <row r="48" spans="1:41" s="21" customFormat="1" ht="12.75">
      <c r="A48" s="1" t="s">
        <v>58</v>
      </c>
      <c r="B48" s="1"/>
      <c r="C48" s="1" t="s">
        <v>765</v>
      </c>
      <c r="D48" s="23"/>
      <c r="E48" s="36">
        <v>58213.3</v>
      </c>
      <c r="F48" s="36"/>
      <c r="G48" s="36">
        <v>0</v>
      </c>
      <c r="H48" s="36"/>
      <c r="I48" s="36">
        <v>3100</v>
      </c>
      <c r="J48" s="36"/>
      <c r="K48" s="36">
        <v>0</v>
      </c>
      <c r="L48" s="36"/>
      <c r="M48" s="36">
        <v>499.61</v>
      </c>
      <c r="N48" s="36"/>
      <c r="O48" s="36">
        <v>2706.33</v>
      </c>
      <c r="P48" s="36"/>
      <c r="Q48" s="36">
        <v>108570.34</v>
      </c>
      <c r="R48" s="36"/>
      <c r="S48" s="36">
        <v>290.8</v>
      </c>
      <c r="T48" s="36"/>
      <c r="U48" s="36">
        <v>4120</v>
      </c>
      <c r="V48" s="36"/>
      <c r="W48" s="36">
        <v>1000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f aca="true" t="shared" si="15" ref="AE48">SUM(E48:AC48)</f>
        <v>178500.38</v>
      </c>
      <c r="AF48" s="36"/>
      <c r="AG48" s="36">
        <v>8477.14</v>
      </c>
      <c r="AH48" s="36"/>
      <c r="AI48" s="36">
        <v>35066.54</v>
      </c>
      <c r="AJ48" s="36"/>
      <c r="AK48" s="36">
        <v>43543.68</v>
      </c>
      <c r="AL48" s="24">
        <f>+'Gen Rev'!AI48-'Gen Exp'!AE48+'Gen Exp'!AI48-AK48</f>
        <v>0</v>
      </c>
      <c r="AM48" s="44" t="str">
        <f>'Gen Rev'!A48</f>
        <v>Bay View</v>
      </c>
      <c r="AN48" s="21" t="str">
        <f t="shared" si="5"/>
        <v>Bay View</v>
      </c>
      <c r="AO48" s="21" t="b">
        <f t="shared" si="6"/>
        <v>1</v>
      </c>
    </row>
    <row r="49" spans="1:41" s="21" customFormat="1" ht="12.75">
      <c r="A49" s="1" t="s">
        <v>541</v>
      </c>
      <c r="B49" s="1"/>
      <c r="C49" s="1" t="s">
        <v>542</v>
      </c>
      <c r="D49" s="1"/>
      <c r="E49" s="83">
        <v>74879.03</v>
      </c>
      <c r="F49" s="83"/>
      <c r="G49" s="83">
        <v>296.38</v>
      </c>
      <c r="H49" s="83"/>
      <c r="I49" s="83">
        <v>16516.05</v>
      </c>
      <c r="J49" s="83"/>
      <c r="K49" s="83">
        <v>0</v>
      </c>
      <c r="L49" s="83"/>
      <c r="M49" s="83">
        <v>0</v>
      </c>
      <c r="N49" s="83"/>
      <c r="O49" s="83">
        <v>14183.73</v>
      </c>
      <c r="P49" s="83"/>
      <c r="Q49" s="83">
        <v>49385.79</v>
      </c>
      <c r="R49" s="83"/>
      <c r="S49" s="83">
        <v>0</v>
      </c>
      <c r="T49" s="83"/>
      <c r="U49" s="83">
        <v>0</v>
      </c>
      <c r="V49" s="83"/>
      <c r="W49" s="83">
        <v>0</v>
      </c>
      <c r="X49" s="83"/>
      <c r="Y49" s="83">
        <v>0</v>
      </c>
      <c r="Z49" s="83"/>
      <c r="AA49" s="83">
        <v>0</v>
      </c>
      <c r="AB49" s="83"/>
      <c r="AC49" s="83">
        <v>2227.24</v>
      </c>
      <c r="AD49" s="83"/>
      <c r="AE49" s="83">
        <f>SUM(E49:AC49)</f>
        <v>157488.22</v>
      </c>
      <c r="AF49" s="83"/>
      <c r="AG49" s="83">
        <v>-4210.6</v>
      </c>
      <c r="AH49" s="83"/>
      <c r="AI49" s="83">
        <v>14096.5</v>
      </c>
      <c r="AJ49" s="83"/>
      <c r="AK49" s="83">
        <v>9885.9</v>
      </c>
      <c r="AL49" s="24">
        <f>+'Gen Rev'!AI49-'Gen Exp'!AE49+'Gen Exp'!AI49-AK49</f>
        <v>0</v>
      </c>
      <c r="AM49" s="44" t="str">
        <f>'Gen Rev'!A49</f>
        <v>Beach</v>
      </c>
      <c r="AN49" s="21" t="str">
        <f t="shared" si="5"/>
        <v>Beach</v>
      </c>
      <c r="AO49" s="21" t="b">
        <f t="shared" si="6"/>
        <v>1</v>
      </c>
    </row>
    <row r="50" spans="1:41" ht="12.75">
      <c r="A50" s="1" t="s">
        <v>164</v>
      </c>
      <c r="C50" s="1" t="s">
        <v>796</v>
      </c>
      <c r="D50" s="23"/>
      <c r="E50" s="36">
        <v>5280</v>
      </c>
      <c r="F50" s="36"/>
      <c r="G50" s="36">
        <v>1863.79</v>
      </c>
      <c r="H50" s="36"/>
      <c r="I50" s="36">
        <v>263.01</v>
      </c>
      <c r="J50" s="36"/>
      <c r="K50" s="36">
        <v>0</v>
      </c>
      <c r="L50" s="36"/>
      <c r="M50" s="36">
        <v>96</v>
      </c>
      <c r="N50" s="36"/>
      <c r="O50" s="36">
        <v>44.22</v>
      </c>
      <c r="P50" s="36"/>
      <c r="Q50" s="36">
        <v>33170.95</v>
      </c>
      <c r="R50" s="36"/>
      <c r="S50" s="36">
        <v>0</v>
      </c>
      <c r="T50" s="36"/>
      <c r="U50" s="36">
        <v>0</v>
      </c>
      <c r="V50" s="36"/>
      <c r="W50" s="36">
        <v>0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f aca="true" t="shared" si="16" ref="AE50">SUM(E50:AC50)</f>
        <v>40717.97</v>
      </c>
      <c r="AF50" s="36"/>
      <c r="AG50" s="36">
        <v>1783.54</v>
      </c>
      <c r="AH50" s="36"/>
      <c r="AI50" s="36">
        <v>47068.31</v>
      </c>
      <c r="AJ50" s="36"/>
      <c r="AK50" s="36">
        <v>48851.85</v>
      </c>
      <c r="AL50" s="24">
        <f>+'Gen Rev'!AI50-'Gen Exp'!AE50+'Gen Exp'!AI50-AK50</f>
        <v>0</v>
      </c>
      <c r="AM50" s="44" t="str">
        <f>'Gen Rev'!A50</f>
        <v>Beallsville</v>
      </c>
      <c r="AN50" s="21" t="str">
        <f t="shared" si="5"/>
        <v>Beallsville</v>
      </c>
      <c r="AO50" s="21" t="b">
        <f t="shared" si="6"/>
        <v>1</v>
      </c>
    </row>
    <row r="51" spans="1:41" s="21" customFormat="1" ht="12.75">
      <c r="A51" s="1" t="s">
        <v>193</v>
      </c>
      <c r="B51" s="1"/>
      <c r="C51" s="1" t="s">
        <v>805</v>
      </c>
      <c r="D51" s="23"/>
      <c r="E51" s="95">
        <v>10810.21</v>
      </c>
      <c r="F51" s="95"/>
      <c r="G51" s="95">
        <v>0</v>
      </c>
      <c r="H51" s="95"/>
      <c r="I51" s="95">
        <v>0</v>
      </c>
      <c r="J51" s="95"/>
      <c r="K51" s="95">
        <v>0</v>
      </c>
      <c r="L51" s="95"/>
      <c r="M51" s="95">
        <v>0</v>
      </c>
      <c r="N51" s="95"/>
      <c r="O51" s="95">
        <v>0</v>
      </c>
      <c r="P51" s="95"/>
      <c r="Q51" s="95">
        <v>59177.03</v>
      </c>
      <c r="R51" s="95"/>
      <c r="S51" s="95">
        <v>0</v>
      </c>
      <c r="T51" s="95"/>
      <c r="U51" s="95">
        <v>0</v>
      </c>
      <c r="V51" s="95"/>
      <c r="W51" s="95">
        <v>0</v>
      </c>
      <c r="X51" s="95"/>
      <c r="Y51" s="95">
        <v>3000</v>
      </c>
      <c r="Z51" s="95"/>
      <c r="AA51" s="95">
        <v>17000</v>
      </c>
      <c r="AB51" s="95"/>
      <c r="AC51" s="95">
        <v>0</v>
      </c>
      <c r="AD51" s="95"/>
      <c r="AE51" s="95">
        <f aca="true" t="shared" si="17" ref="AE51">SUM(E51:AC51)</f>
        <v>89987.23999999999</v>
      </c>
      <c r="AF51" s="95"/>
      <c r="AG51" s="95">
        <v>20696.07</v>
      </c>
      <c r="AH51" s="95"/>
      <c r="AI51" s="95">
        <v>23914.53</v>
      </c>
      <c r="AJ51" s="95"/>
      <c r="AK51" s="95">
        <v>44610.6</v>
      </c>
      <c r="AL51" s="24">
        <f>+'Gen Rev'!AI51-'Gen Exp'!AE51+'Gen Exp'!AI51-AK51</f>
        <v>0</v>
      </c>
      <c r="AM51" s="44" t="str">
        <f>'Gen Rev'!A51</f>
        <v>Beaver</v>
      </c>
      <c r="AN51" s="21" t="str">
        <f t="shared" si="5"/>
        <v>Beaver</v>
      </c>
      <c r="AO51" s="21" t="b">
        <f t="shared" si="6"/>
        <v>1</v>
      </c>
    </row>
    <row r="52" spans="1:41" s="21" customFormat="1" ht="12.75">
      <c r="A52" s="1" t="s">
        <v>2</v>
      </c>
      <c r="B52" s="1"/>
      <c r="C52" s="1" t="s">
        <v>746</v>
      </c>
      <c r="D52" s="23"/>
      <c r="E52" s="36">
        <v>11153.68</v>
      </c>
      <c r="F52" s="36"/>
      <c r="G52" s="36">
        <v>0</v>
      </c>
      <c r="H52" s="36"/>
      <c r="I52" s="36">
        <v>428.48</v>
      </c>
      <c r="J52" s="36"/>
      <c r="K52" s="36">
        <v>0</v>
      </c>
      <c r="L52" s="36"/>
      <c r="M52" s="36">
        <v>0</v>
      </c>
      <c r="N52" s="36"/>
      <c r="O52" s="36">
        <v>0</v>
      </c>
      <c r="P52" s="36"/>
      <c r="Q52" s="36">
        <v>38533.49</v>
      </c>
      <c r="R52" s="36"/>
      <c r="S52" s="36">
        <v>5221.9</v>
      </c>
      <c r="T52" s="36"/>
      <c r="U52" s="36">
        <v>0</v>
      </c>
      <c r="V52" s="36"/>
      <c r="W52" s="36">
        <v>0</v>
      </c>
      <c r="X52" s="36"/>
      <c r="Y52" s="36">
        <v>500</v>
      </c>
      <c r="Z52" s="36"/>
      <c r="AA52" s="36">
        <v>0</v>
      </c>
      <c r="AB52" s="36"/>
      <c r="AC52" s="36">
        <v>145</v>
      </c>
      <c r="AD52" s="36"/>
      <c r="AE52" s="36">
        <f aca="true" t="shared" si="18" ref="AE52">SUM(E52:AC52)</f>
        <v>55982.549999999996</v>
      </c>
      <c r="AF52" s="36"/>
      <c r="AG52" s="36">
        <v>222777.03</v>
      </c>
      <c r="AH52" s="36"/>
      <c r="AI52" s="36">
        <v>91520.16</v>
      </c>
      <c r="AJ52" s="36"/>
      <c r="AK52" s="36">
        <v>314297.19</v>
      </c>
      <c r="AL52" s="24">
        <f>+'Gen Rev'!AI52-'Gen Exp'!AE52+'Gen Exp'!AI52-AK52</f>
        <v>0</v>
      </c>
      <c r="AM52" s="44" t="str">
        <f>'Gen Rev'!A52</f>
        <v>Beaverdam</v>
      </c>
      <c r="AN52" s="21" t="str">
        <f t="shared" si="5"/>
        <v>Beaverdam</v>
      </c>
      <c r="AO52" s="21" t="b">
        <f t="shared" si="6"/>
        <v>1</v>
      </c>
    </row>
    <row r="53" spans="1:41" ht="12.6" customHeight="1">
      <c r="A53" s="1" t="s">
        <v>280</v>
      </c>
      <c r="C53" s="1" t="s">
        <v>279</v>
      </c>
      <c r="E53" s="83">
        <v>756255</v>
      </c>
      <c r="F53" s="83"/>
      <c r="G53" s="83">
        <v>0</v>
      </c>
      <c r="H53" s="83"/>
      <c r="I53" s="83">
        <v>0</v>
      </c>
      <c r="J53" s="83"/>
      <c r="K53" s="83">
        <v>0</v>
      </c>
      <c r="L53" s="83"/>
      <c r="M53" s="83">
        <v>0</v>
      </c>
      <c r="N53" s="83"/>
      <c r="O53" s="83">
        <v>0</v>
      </c>
      <c r="P53" s="83"/>
      <c r="Q53" s="83">
        <v>497971</v>
      </c>
      <c r="R53" s="83"/>
      <c r="S53" s="83">
        <v>0</v>
      </c>
      <c r="T53" s="83"/>
      <c r="U53" s="83">
        <v>16036</v>
      </c>
      <c r="V53" s="83"/>
      <c r="W53" s="83">
        <v>562</v>
      </c>
      <c r="X53" s="83"/>
      <c r="Y53" s="83">
        <v>0</v>
      </c>
      <c r="Z53" s="83"/>
      <c r="AA53" s="83">
        <v>0</v>
      </c>
      <c r="AB53" s="83"/>
      <c r="AC53" s="83">
        <v>0</v>
      </c>
      <c r="AD53" s="83"/>
      <c r="AE53" s="83">
        <f>SUM(E53:AC53)</f>
        <v>1270824</v>
      </c>
      <c r="AF53" s="83"/>
      <c r="AG53" s="36">
        <v>109347</v>
      </c>
      <c r="AH53" s="36"/>
      <c r="AI53" s="36">
        <v>488169</v>
      </c>
      <c r="AJ53" s="36"/>
      <c r="AK53" s="36">
        <v>597516</v>
      </c>
      <c r="AL53" s="24">
        <f>+'Gen Rev'!AI53-'Gen Exp'!AE53+'Gen Exp'!AI53-AK53</f>
        <v>-404</v>
      </c>
      <c r="AM53" s="44" t="str">
        <f>'Gen Rev'!A53</f>
        <v>Bellaire</v>
      </c>
      <c r="AN53" s="21" t="str">
        <f t="shared" si="5"/>
        <v>Bellaire</v>
      </c>
      <c r="AO53" s="21" t="b">
        <f t="shared" si="6"/>
        <v>1</v>
      </c>
    </row>
    <row r="54" spans="1:41" ht="12.75">
      <c r="A54" s="1" t="s">
        <v>132</v>
      </c>
      <c r="C54" s="1" t="s">
        <v>786</v>
      </c>
      <c r="D54" s="23"/>
      <c r="E54" s="36">
        <v>14912.29</v>
      </c>
      <c r="F54" s="36"/>
      <c r="G54" s="36">
        <v>5081.83</v>
      </c>
      <c r="H54" s="36"/>
      <c r="I54" s="36">
        <v>8619.2</v>
      </c>
      <c r="J54" s="36"/>
      <c r="K54" s="36">
        <v>40</v>
      </c>
      <c r="L54" s="36"/>
      <c r="M54" s="36">
        <v>0</v>
      </c>
      <c r="N54" s="36"/>
      <c r="O54" s="36">
        <v>8133.89</v>
      </c>
      <c r="P54" s="36"/>
      <c r="Q54" s="36">
        <v>109540.54</v>
      </c>
      <c r="R54" s="36"/>
      <c r="S54" s="36">
        <v>2950</v>
      </c>
      <c r="T54" s="36"/>
      <c r="U54" s="36">
        <v>2400</v>
      </c>
      <c r="V54" s="36"/>
      <c r="W54" s="36">
        <v>611.7</v>
      </c>
      <c r="X54" s="36"/>
      <c r="Y54" s="36">
        <v>2091.67</v>
      </c>
      <c r="Z54" s="36"/>
      <c r="AA54" s="36">
        <v>0</v>
      </c>
      <c r="AB54" s="36"/>
      <c r="AC54" s="36">
        <v>0</v>
      </c>
      <c r="AD54" s="36"/>
      <c r="AE54" s="36">
        <f aca="true" t="shared" si="19" ref="AE54">SUM(E54:AC54)</f>
        <v>154381.12000000002</v>
      </c>
      <c r="AF54" s="36"/>
      <c r="AG54" s="36">
        <v>-1451.17</v>
      </c>
      <c r="AH54" s="36"/>
      <c r="AI54" s="36">
        <v>93395.62</v>
      </c>
      <c r="AJ54" s="36"/>
      <c r="AK54" s="36">
        <v>91944.45</v>
      </c>
      <c r="AL54" s="24">
        <f>+'Gen Rev'!AI54-'Gen Exp'!AE54+'Gen Exp'!AI54-AK54</f>
        <v>0</v>
      </c>
      <c r="AM54" s="44" t="str">
        <f>'Gen Rev'!A54</f>
        <v>Belle Center</v>
      </c>
      <c r="AN54" s="21" t="str">
        <f t="shared" si="5"/>
        <v>Belle Center</v>
      </c>
      <c r="AO54" s="21" t="b">
        <f t="shared" si="6"/>
        <v>1</v>
      </c>
    </row>
    <row r="55" spans="1:41" s="31" customFormat="1" ht="12.75">
      <c r="A55" s="15" t="s">
        <v>492</v>
      </c>
      <c r="B55" s="15"/>
      <c r="C55" s="15" t="s">
        <v>491</v>
      </c>
      <c r="D55" s="15"/>
      <c r="E55" s="85">
        <v>5181</v>
      </c>
      <c r="F55" s="85"/>
      <c r="G55" s="85">
        <v>0</v>
      </c>
      <c r="H55" s="85"/>
      <c r="I55" s="85">
        <v>0</v>
      </c>
      <c r="J55" s="85"/>
      <c r="K55" s="85">
        <v>395</v>
      </c>
      <c r="L55" s="85"/>
      <c r="M55" s="85">
        <v>4667</v>
      </c>
      <c r="N55" s="85"/>
      <c r="O55" s="85">
        <v>153</v>
      </c>
      <c r="P55" s="85"/>
      <c r="Q55" s="85">
        <v>9424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85"/>
      <c r="AE55" s="83">
        <f>SUM(E55:AC55)</f>
        <v>19820</v>
      </c>
      <c r="AF55" s="85"/>
      <c r="AG55" s="85">
        <v>10532</v>
      </c>
      <c r="AH55" s="85"/>
      <c r="AI55" s="85">
        <v>13979</v>
      </c>
      <c r="AJ55" s="85"/>
      <c r="AK55" s="85">
        <v>16581</v>
      </c>
      <c r="AL55" s="24">
        <f>+'Gen Rev'!AI55-'Gen Exp'!AE55+'Gen Exp'!AI55-AK55</f>
        <v>7930</v>
      </c>
      <c r="AM55" s="44" t="str">
        <f>'Gen Rev'!A55</f>
        <v>Belle Valley</v>
      </c>
      <c r="AN55" s="21" t="str">
        <f t="shared" si="5"/>
        <v>Belle Valley</v>
      </c>
      <c r="AO55" s="21" t="b">
        <f t="shared" si="6"/>
        <v>1</v>
      </c>
    </row>
    <row r="56" spans="1:41" ht="12.75">
      <c r="A56" s="1" t="s">
        <v>208</v>
      </c>
      <c r="C56" s="1" t="s">
        <v>809</v>
      </c>
      <c r="D56" s="23"/>
      <c r="E56" s="36">
        <v>326876.09</v>
      </c>
      <c r="F56" s="36"/>
      <c r="G56" s="36">
        <v>0</v>
      </c>
      <c r="H56" s="36"/>
      <c r="I56" s="36">
        <v>56984.06</v>
      </c>
      <c r="J56" s="36"/>
      <c r="K56" s="36">
        <v>5058.82</v>
      </c>
      <c r="L56" s="36"/>
      <c r="M56" s="36">
        <v>0</v>
      </c>
      <c r="N56" s="36"/>
      <c r="O56" s="36">
        <v>0</v>
      </c>
      <c r="P56" s="36"/>
      <c r="Q56" s="36">
        <v>212113.56</v>
      </c>
      <c r="R56" s="36"/>
      <c r="S56" s="36">
        <v>0</v>
      </c>
      <c r="T56" s="36"/>
      <c r="U56" s="36">
        <v>0</v>
      </c>
      <c r="V56" s="36"/>
      <c r="W56" s="36">
        <v>0</v>
      </c>
      <c r="X56" s="36"/>
      <c r="Y56" s="36">
        <v>100283.28</v>
      </c>
      <c r="Z56" s="36"/>
      <c r="AA56" s="36">
        <v>0</v>
      </c>
      <c r="AB56" s="36"/>
      <c r="AC56" s="36">
        <v>0</v>
      </c>
      <c r="AD56" s="36"/>
      <c r="AE56" s="36">
        <f aca="true" t="shared" si="20" ref="AE56:AE59">SUM(E56:AC56)</f>
        <v>701315.81</v>
      </c>
      <c r="AF56" s="36"/>
      <c r="AG56" s="36">
        <v>51538.79</v>
      </c>
      <c r="AH56" s="36"/>
      <c r="AI56" s="36">
        <v>173095.49</v>
      </c>
      <c r="AJ56" s="36"/>
      <c r="AK56" s="36">
        <v>224634.28</v>
      </c>
      <c r="AL56" s="24">
        <f>+'Gen Rev'!AI56-'Gen Exp'!AE56+'Gen Exp'!AI56-AK56</f>
        <v>0</v>
      </c>
      <c r="AM56" s="44" t="str">
        <f>'Gen Rev'!A56</f>
        <v>Bellville</v>
      </c>
      <c r="AN56" s="21" t="str">
        <f t="shared" si="5"/>
        <v>Bellville</v>
      </c>
      <c r="AO56" s="21" t="b">
        <f t="shared" si="6"/>
        <v>1</v>
      </c>
    </row>
    <row r="57" spans="1:41" ht="12.6" customHeight="1">
      <c r="A57" s="1" t="s">
        <v>279</v>
      </c>
      <c r="C57" s="1" t="s">
        <v>279</v>
      </c>
      <c r="E57" s="36">
        <v>4467.47</v>
      </c>
      <c r="F57" s="36"/>
      <c r="G57" s="36">
        <v>0</v>
      </c>
      <c r="H57" s="36"/>
      <c r="I57" s="36">
        <v>19198.03</v>
      </c>
      <c r="J57" s="36"/>
      <c r="K57" s="36">
        <v>0</v>
      </c>
      <c r="L57" s="36"/>
      <c r="M57" s="36">
        <v>1630.43</v>
      </c>
      <c r="N57" s="36"/>
      <c r="O57" s="36">
        <v>1600</v>
      </c>
      <c r="P57" s="36"/>
      <c r="Q57" s="36">
        <v>31815.67</v>
      </c>
      <c r="R57" s="36"/>
      <c r="S57" s="36">
        <v>0</v>
      </c>
      <c r="T57" s="36"/>
      <c r="U57" s="36">
        <v>0</v>
      </c>
      <c r="V57" s="36"/>
      <c r="W57" s="36">
        <v>0</v>
      </c>
      <c r="X57" s="36"/>
      <c r="Y57" s="36">
        <v>2155.31</v>
      </c>
      <c r="Z57" s="36"/>
      <c r="AA57" s="36">
        <v>0</v>
      </c>
      <c r="AB57" s="36"/>
      <c r="AC57" s="36">
        <v>0</v>
      </c>
      <c r="AD57" s="36"/>
      <c r="AE57" s="36">
        <f t="shared" si="20"/>
        <v>60866.909999999996</v>
      </c>
      <c r="AF57" s="36"/>
      <c r="AG57" s="36">
        <v>-1919.35</v>
      </c>
      <c r="AH57" s="36"/>
      <c r="AI57" s="36">
        <v>14345.82</v>
      </c>
      <c r="AJ57" s="36"/>
      <c r="AK57" s="36">
        <v>12426.47</v>
      </c>
      <c r="AL57" s="24">
        <f>+'Gen Rev'!AI57-'Gen Exp'!AE57+'Gen Exp'!AI57-AK57</f>
        <v>0</v>
      </c>
      <c r="AM57" s="44" t="str">
        <f>'Gen Rev'!A57</f>
        <v>Belmont</v>
      </c>
      <c r="AN57" s="21" t="str">
        <f t="shared" si="5"/>
        <v>Belmont</v>
      </c>
      <c r="AO57" s="21" t="b">
        <f t="shared" si="6"/>
        <v>1</v>
      </c>
    </row>
    <row r="58" spans="1:41" ht="12.6" customHeight="1">
      <c r="A58" s="1" t="s">
        <v>935</v>
      </c>
      <c r="C58" s="1" t="s">
        <v>514</v>
      </c>
      <c r="E58" s="36">
        <v>0</v>
      </c>
      <c r="F58" s="36"/>
      <c r="G58" s="36">
        <v>0</v>
      </c>
      <c r="H58" s="36"/>
      <c r="I58" s="36">
        <v>497.93</v>
      </c>
      <c r="J58" s="36"/>
      <c r="K58" s="36">
        <v>0</v>
      </c>
      <c r="L58" s="36"/>
      <c r="M58" s="36">
        <v>0</v>
      </c>
      <c r="N58" s="36"/>
      <c r="O58" s="36">
        <v>0</v>
      </c>
      <c r="P58" s="36"/>
      <c r="Q58" s="36">
        <v>22666.54</v>
      </c>
      <c r="R58" s="36"/>
      <c r="S58" s="36">
        <v>477.7</v>
      </c>
      <c r="T58" s="36"/>
      <c r="U58" s="36">
        <v>0</v>
      </c>
      <c r="V58" s="36"/>
      <c r="W58" s="36">
        <v>0</v>
      </c>
      <c r="X58" s="36"/>
      <c r="Y58" s="36">
        <v>10506.23</v>
      </c>
      <c r="Z58" s="36"/>
      <c r="AA58" s="36">
        <v>0</v>
      </c>
      <c r="AB58" s="36"/>
      <c r="AC58" s="36">
        <v>0</v>
      </c>
      <c r="AD58" s="36"/>
      <c r="AE58" s="36">
        <f t="shared" si="20"/>
        <v>34148.4</v>
      </c>
      <c r="AF58" s="36"/>
      <c r="AG58" s="36">
        <v>7865.6</v>
      </c>
      <c r="AH58" s="36"/>
      <c r="AI58" s="36">
        <v>38449.03</v>
      </c>
      <c r="AJ58" s="36"/>
      <c r="AK58" s="36">
        <v>46314.63</v>
      </c>
      <c r="AL58" s="24">
        <f>+'Gen Rev'!AI58-'Gen Exp'!AE58+'Gen Exp'!AI58-AK58</f>
        <v>0</v>
      </c>
      <c r="AM58" s="44" t="str">
        <f>'Gen Rev'!A58</f>
        <v>Belmore</v>
      </c>
      <c r="AN58" s="21" t="str">
        <f t="shared" si="5"/>
        <v>Belmore</v>
      </c>
      <c r="AO58" s="21" t="b">
        <f t="shared" si="6"/>
        <v>1</v>
      </c>
    </row>
    <row r="59" spans="1:41" ht="12.75">
      <c r="A59" s="1" t="s">
        <v>143</v>
      </c>
      <c r="C59" s="1" t="s">
        <v>790</v>
      </c>
      <c r="D59" s="23"/>
      <c r="E59" s="36">
        <v>6293.19</v>
      </c>
      <c r="F59" s="36"/>
      <c r="G59" s="36">
        <v>2433.96</v>
      </c>
      <c r="H59" s="36"/>
      <c r="I59" s="36">
        <v>0</v>
      </c>
      <c r="J59" s="36"/>
      <c r="K59" s="36">
        <v>0</v>
      </c>
      <c r="L59" s="36"/>
      <c r="M59" s="36">
        <v>0</v>
      </c>
      <c r="N59" s="36"/>
      <c r="O59" s="36">
        <v>0</v>
      </c>
      <c r="P59" s="36"/>
      <c r="Q59" s="36">
        <v>64175.81</v>
      </c>
      <c r="R59" s="36"/>
      <c r="S59" s="36">
        <v>0</v>
      </c>
      <c r="T59" s="36"/>
      <c r="U59" s="36">
        <v>12180</v>
      </c>
      <c r="V59" s="36"/>
      <c r="W59" s="36">
        <v>1800</v>
      </c>
      <c r="X59" s="36"/>
      <c r="Y59" s="36">
        <v>5000</v>
      </c>
      <c r="Z59" s="36"/>
      <c r="AA59" s="36">
        <v>0</v>
      </c>
      <c r="AB59" s="36"/>
      <c r="AC59" s="36">
        <v>0</v>
      </c>
      <c r="AD59" s="36"/>
      <c r="AE59" s="36">
        <f t="shared" si="20"/>
        <v>91882.95999999999</v>
      </c>
      <c r="AF59" s="36"/>
      <c r="AG59" s="36">
        <v>-38555.23</v>
      </c>
      <c r="AH59" s="36"/>
      <c r="AI59" s="36">
        <v>51736.91</v>
      </c>
      <c r="AJ59" s="36"/>
      <c r="AK59" s="36">
        <v>13181.68</v>
      </c>
      <c r="AL59" s="24">
        <f>+'Gen Rev'!AI59-'Gen Exp'!AE59+'Gen Exp'!AI59-AK59</f>
        <v>0</v>
      </c>
      <c r="AM59" s="44" t="str">
        <f>'Gen Rev'!A59</f>
        <v>Beloit</v>
      </c>
      <c r="AN59" s="21" t="str">
        <f t="shared" si="5"/>
        <v>Beloit</v>
      </c>
      <c r="AO59" s="21" t="b">
        <f t="shared" si="6"/>
        <v>1</v>
      </c>
    </row>
    <row r="60" spans="1:41" ht="12.6" customHeight="1" hidden="1">
      <c r="A60" s="1" t="s">
        <v>315</v>
      </c>
      <c r="C60" s="1" t="s">
        <v>316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>
        <f>SUM(E60:AC60)</f>
        <v>0</v>
      </c>
      <c r="AF60" s="83"/>
      <c r="AG60" s="36"/>
      <c r="AH60" s="36"/>
      <c r="AI60" s="36"/>
      <c r="AJ60" s="36"/>
      <c r="AK60" s="36"/>
      <c r="AL60" s="24">
        <f>+'Gen Rev'!AI60-'Gen Exp'!AE60+'Gen Exp'!AI60-AK60</f>
        <v>0</v>
      </c>
      <c r="AM60" s="44" t="str">
        <f>'Gen Rev'!A60</f>
        <v>Bentleyville</v>
      </c>
      <c r="AN60" s="21" t="str">
        <f t="shared" si="5"/>
        <v>Bentleyville</v>
      </c>
      <c r="AO60" s="21" t="b">
        <f t="shared" si="6"/>
        <v>1</v>
      </c>
    </row>
    <row r="61" spans="1:41" s="21" customFormat="1" ht="12.75" hidden="1">
      <c r="A61" s="1" t="s">
        <v>892</v>
      </c>
      <c r="B61" s="1"/>
      <c r="C61" s="1" t="s">
        <v>388</v>
      </c>
      <c r="D61" s="1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>
        <f>SUM(E61:AC61)</f>
        <v>0</v>
      </c>
      <c r="AF61" s="83"/>
      <c r="AG61" s="83"/>
      <c r="AH61" s="83"/>
      <c r="AI61" s="83"/>
      <c r="AJ61" s="83"/>
      <c r="AK61" s="83"/>
      <c r="AL61" s="24">
        <f>+'Gen Rev'!AI61-'Gen Exp'!AE61+'Gen Exp'!AI61-AK61</f>
        <v>0</v>
      </c>
      <c r="AM61" s="44" t="str">
        <f>'Gen Rev'!A61</f>
        <v>Benton Ridge</v>
      </c>
      <c r="AN61" s="21" t="str">
        <f t="shared" si="5"/>
        <v>Benton Ridge</v>
      </c>
      <c r="AO61" s="21" t="b">
        <f t="shared" si="6"/>
        <v>1</v>
      </c>
    </row>
    <row r="62" spans="1:41" s="21" customFormat="1" ht="12.75">
      <c r="A62" s="1" t="s">
        <v>422</v>
      </c>
      <c r="B62" s="1"/>
      <c r="C62" s="1" t="s">
        <v>420</v>
      </c>
      <c r="D62" s="1"/>
      <c r="E62" s="95">
        <v>18989.78</v>
      </c>
      <c r="F62" s="95"/>
      <c r="G62" s="95">
        <v>0</v>
      </c>
      <c r="H62" s="95"/>
      <c r="I62" s="95">
        <v>1655.1</v>
      </c>
      <c r="J62" s="95"/>
      <c r="K62" s="95">
        <v>5240.97</v>
      </c>
      <c r="L62" s="95"/>
      <c r="M62" s="95">
        <v>2388.73</v>
      </c>
      <c r="N62" s="95"/>
      <c r="O62" s="95">
        <v>0</v>
      </c>
      <c r="P62" s="95"/>
      <c r="Q62" s="95">
        <v>27665.48</v>
      </c>
      <c r="R62" s="95"/>
      <c r="S62" s="95">
        <v>0</v>
      </c>
      <c r="T62" s="95"/>
      <c r="U62" s="95">
        <v>0</v>
      </c>
      <c r="V62" s="95"/>
      <c r="W62" s="95">
        <v>0</v>
      </c>
      <c r="X62" s="95"/>
      <c r="Y62" s="95">
        <v>0</v>
      </c>
      <c r="Z62" s="95"/>
      <c r="AA62" s="95">
        <v>0</v>
      </c>
      <c r="AB62" s="95"/>
      <c r="AC62" s="95">
        <v>18996.94</v>
      </c>
      <c r="AD62" s="95"/>
      <c r="AE62" s="95">
        <f aca="true" t="shared" si="21" ref="AE62:AE63">SUM(E62:AC62)</f>
        <v>74937</v>
      </c>
      <c r="AF62" s="95"/>
      <c r="AG62" s="95">
        <v>-22737.22</v>
      </c>
      <c r="AH62" s="95"/>
      <c r="AI62" s="95">
        <v>82310.98</v>
      </c>
      <c r="AJ62" s="95"/>
      <c r="AK62" s="95">
        <v>59573.76</v>
      </c>
      <c r="AL62" s="24">
        <f>+'Gen Rev'!AI62-'Gen Exp'!AE62+'Gen Exp'!AI62-AK62</f>
        <v>0</v>
      </c>
      <c r="AM62" s="44" t="str">
        <f>'Gen Rev'!A62</f>
        <v>Bergholz</v>
      </c>
      <c r="AN62" s="21" t="str">
        <f t="shared" si="5"/>
        <v>Bergholz</v>
      </c>
      <c r="AO62" s="21" t="b">
        <f t="shared" si="6"/>
        <v>1</v>
      </c>
    </row>
    <row r="63" spans="1:41" s="21" customFormat="1" ht="12.75">
      <c r="A63" s="1" t="s">
        <v>139</v>
      </c>
      <c r="B63" s="1"/>
      <c r="C63" s="1" t="s">
        <v>788</v>
      </c>
      <c r="D63" s="23"/>
      <c r="E63" s="95">
        <v>32576.01</v>
      </c>
      <c r="F63" s="95"/>
      <c r="G63" s="95">
        <v>3450</v>
      </c>
      <c r="H63" s="95"/>
      <c r="I63" s="95">
        <v>13292.19</v>
      </c>
      <c r="J63" s="95"/>
      <c r="K63" s="95">
        <v>0</v>
      </c>
      <c r="L63" s="95"/>
      <c r="M63" s="95">
        <v>0</v>
      </c>
      <c r="N63" s="95"/>
      <c r="O63" s="95">
        <v>0</v>
      </c>
      <c r="P63" s="95"/>
      <c r="Q63" s="95">
        <v>37031.91</v>
      </c>
      <c r="R63" s="95"/>
      <c r="S63" s="95">
        <v>0</v>
      </c>
      <c r="T63" s="95"/>
      <c r="U63" s="95">
        <v>0</v>
      </c>
      <c r="V63" s="95"/>
      <c r="W63" s="95">
        <v>0</v>
      </c>
      <c r="X63" s="95"/>
      <c r="Y63" s="95">
        <v>0</v>
      </c>
      <c r="Z63" s="95"/>
      <c r="AA63" s="95">
        <v>0</v>
      </c>
      <c r="AB63" s="95"/>
      <c r="AC63" s="95">
        <v>0</v>
      </c>
      <c r="AD63" s="95"/>
      <c r="AE63" s="95">
        <f t="shared" si="21"/>
        <v>86350.11</v>
      </c>
      <c r="AF63" s="95"/>
      <c r="AG63" s="95">
        <v>53665.15</v>
      </c>
      <c r="AH63" s="95"/>
      <c r="AI63" s="95">
        <v>9178.51</v>
      </c>
      <c r="AJ63" s="95"/>
      <c r="AK63" s="95">
        <v>62843.66</v>
      </c>
      <c r="AL63" s="24">
        <f>+'Gen Rev'!AI63-'Gen Exp'!AE63+'Gen Exp'!AI63-AK63</f>
        <v>0</v>
      </c>
      <c r="AM63" s="44" t="str">
        <f>'Gen Rev'!A63</f>
        <v>Berkey</v>
      </c>
      <c r="AN63" s="21" t="str">
        <f t="shared" si="5"/>
        <v>Berkey</v>
      </c>
      <c r="AO63" s="21" t="b">
        <f t="shared" si="6"/>
        <v>1</v>
      </c>
    </row>
    <row r="64" spans="1:41" ht="12.75">
      <c r="A64" s="1" t="s">
        <v>59</v>
      </c>
      <c r="C64" s="1" t="s">
        <v>765</v>
      </c>
      <c r="D64" s="23"/>
      <c r="E64" s="36">
        <v>158864.9</v>
      </c>
      <c r="F64" s="36"/>
      <c r="G64" s="36">
        <v>11160</v>
      </c>
      <c r="H64" s="36"/>
      <c r="I64" s="36">
        <v>4820</v>
      </c>
      <c r="J64" s="36"/>
      <c r="K64" s="36">
        <v>217.41</v>
      </c>
      <c r="L64" s="36"/>
      <c r="M64" s="36">
        <v>364.52</v>
      </c>
      <c r="N64" s="36"/>
      <c r="O64" s="36">
        <v>1790</v>
      </c>
      <c r="P64" s="36"/>
      <c r="Q64" s="36">
        <v>77176.77</v>
      </c>
      <c r="R64" s="36"/>
      <c r="S64" s="36">
        <v>0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f aca="true" t="shared" si="22" ref="AE64:AE67">SUM(E64:AC64)</f>
        <v>254393.59999999998</v>
      </c>
      <c r="AF64" s="36"/>
      <c r="AG64" s="36">
        <v>-11397.8</v>
      </c>
      <c r="AH64" s="36"/>
      <c r="AI64" s="36">
        <v>216088.66</v>
      </c>
      <c r="AJ64" s="36"/>
      <c r="AK64" s="36">
        <v>204690.86</v>
      </c>
      <c r="AL64" s="24">
        <f>+'Gen Rev'!AI64-'Gen Exp'!AE64+'Gen Exp'!AI64-AK64</f>
        <v>0</v>
      </c>
      <c r="AM64" s="44" t="str">
        <f>'Gen Rev'!A64</f>
        <v>Berlin Heights</v>
      </c>
      <c r="AN64" s="21" t="str">
        <f t="shared" si="5"/>
        <v>Berlin Heights</v>
      </c>
      <c r="AO64" s="21" t="b">
        <f t="shared" si="6"/>
        <v>1</v>
      </c>
    </row>
    <row r="65" spans="1:41" s="21" customFormat="1" ht="12.6" customHeight="1">
      <c r="A65" s="1" t="s">
        <v>296</v>
      </c>
      <c r="B65" s="1"/>
      <c r="C65" s="1" t="s">
        <v>295</v>
      </c>
      <c r="D65" s="1"/>
      <c r="E65" s="36">
        <v>219350.91</v>
      </c>
      <c r="F65" s="36"/>
      <c r="G65" s="36">
        <v>6421.37</v>
      </c>
      <c r="H65" s="36"/>
      <c r="I65" s="36">
        <v>6130.41</v>
      </c>
      <c r="J65" s="36"/>
      <c r="K65" s="36">
        <v>3155.18</v>
      </c>
      <c r="L65" s="36"/>
      <c r="M65" s="36">
        <v>0</v>
      </c>
      <c r="N65" s="36"/>
      <c r="O65" s="36">
        <v>0</v>
      </c>
      <c r="P65" s="36"/>
      <c r="Q65" s="36">
        <v>112232.22</v>
      </c>
      <c r="R65" s="36"/>
      <c r="S65" s="36">
        <v>0</v>
      </c>
      <c r="T65" s="36"/>
      <c r="U65" s="36">
        <v>8614.45</v>
      </c>
      <c r="V65" s="36"/>
      <c r="W65" s="36">
        <v>0</v>
      </c>
      <c r="X65" s="36"/>
      <c r="Y65" s="36">
        <v>16362.01</v>
      </c>
      <c r="Z65" s="36"/>
      <c r="AA65" s="36">
        <v>0</v>
      </c>
      <c r="AB65" s="36"/>
      <c r="AC65" s="36">
        <v>0</v>
      </c>
      <c r="AD65" s="36"/>
      <c r="AE65" s="36">
        <f t="shared" si="22"/>
        <v>372266.55</v>
      </c>
      <c r="AF65" s="36"/>
      <c r="AG65" s="36">
        <v>173018.79</v>
      </c>
      <c r="AH65" s="36"/>
      <c r="AI65" s="36">
        <v>-169029.27</v>
      </c>
      <c r="AJ65" s="36"/>
      <c r="AK65" s="36">
        <v>3989.52</v>
      </c>
      <c r="AL65" s="24">
        <f>+'Gen Rev'!AI65-'Gen Exp'!AE65+'Gen Exp'!AI65-AK65</f>
        <v>-1.0459189070388675E-11</v>
      </c>
      <c r="AM65" s="44" t="str">
        <f>'Gen Rev'!A65</f>
        <v>Bethel</v>
      </c>
      <c r="AN65" s="21" t="str">
        <f t="shared" si="5"/>
        <v>Bethel</v>
      </c>
      <c r="AO65" s="21" t="b">
        <f t="shared" si="6"/>
        <v>1</v>
      </c>
    </row>
    <row r="66" spans="1:41" s="21" customFormat="1" ht="12.75">
      <c r="A66" s="1" t="s">
        <v>15</v>
      </c>
      <c r="B66" s="1"/>
      <c r="C66" s="1" t="s">
        <v>750</v>
      </c>
      <c r="D66" s="23"/>
      <c r="E66" s="36">
        <v>33256.77</v>
      </c>
      <c r="F66" s="36"/>
      <c r="G66" s="36">
        <v>0</v>
      </c>
      <c r="H66" s="36"/>
      <c r="I66" s="36">
        <v>0</v>
      </c>
      <c r="J66" s="36"/>
      <c r="K66" s="36">
        <v>0</v>
      </c>
      <c r="L66" s="36"/>
      <c r="M66" s="36">
        <v>0</v>
      </c>
      <c r="N66" s="36"/>
      <c r="O66" s="36">
        <v>0</v>
      </c>
      <c r="P66" s="36"/>
      <c r="Q66" s="36">
        <v>83166.69</v>
      </c>
      <c r="R66" s="36"/>
      <c r="S66" s="36">
        <v>0</v>
      </c>
      <c r="T66" s="36"/>
      <c r="U66" s="36">
        <v>5640</v>
      </c>
      <c r="V66" s="36"/>
      <c r="W66" s="36">
        <v>1664.61</v>
      </c>
      <c r="X66" s="36"/>
      <c r="Y66" s="36">
        <v>12850</v>
      </c>
      <c r="Z66" s="36"/>
      <c r="AA66" s="36">
        <v>10625</v>
      </c>
      <c r="AB66" s="36"/>
      <c r="AC66" s="36">
        <v>0</v>
      </c>
      <c r="AD66" s="36"/>
      <c r="AE66" s="36">
        <f t="shared" si="22"/>
        <v>147203.07</v>
      </c>
      <c r="AF66" s="36"/>
      <c r="AG66" s="36">
        <v>8295.58</v>
      </c>
      <c r="AH66" s="36"/>
      <c r="AI66" s="36">
        <v>392.64</v>
      </c>
      <c r="AJ66" s="36"/>
      <c r="AK66" s="36">
        <v>8688.22</v>
      </c>
      <c r="AL66" s="24">
        <f>+'Gen Rev'!AI66-'Gen Exp'!AE66+'Gen Exp'!AI66-AK66</f>
        <v>0</v>
      </c>
      <c r="AM66" s="44" t="str">
        <f>'Gen Rev'!A66</f>
        <v>Bethesda</v>
      </c>
      <c r="AN66" s="21" t="str">
        <f t="shared" si="5"/>
        <v>Bethesda</v>
      </c>
      <c r="AO66" s="21" t="b">
        <f t="shared" si="6"/>
        <v>1</v>
      </c>
    </row>
    <row r="67" spans="1:41" s="31" customFormat="1" ht="12.75">
      <c r="A67" s="15" t="s">
        <v>533</v>
      </c>
      <c r="B67" s="15"/>
      <c r="C67" s="15" t="s">
        <v>534</v>
      </c>
      <c r="D67" s="15"/>
      <c r="E67" s="36">
        <v>103009.16</v>
      </c>
      <c r="F67" s="36"/>
      <c r="G67" s="36">
        <v>1463</v>
      </c>
      <c r="H67" s="36"/>
      <c r="I67" s="36">
        <v>0</v>
      </c>
      <c r="J67" s="36"/>
      <c r="K67" s="36">
        <v>975</v>
      </c>
      <c r="L67" s="36"/>
      <c r="M67" s="36">
        <v>0</v>
      </c>
      <c r="N67" s="36"/>
      <c r="O67" s="36">
        <v>0</v>
      </c>
      <c r="P67" s="36"/>
      <c r="Q67" s="36">
        <v>118153.39</v>
      </c>
      <c r="R67" s="36"/>
      <c r="S67" s="36">
        <v>0</v>
      </c>
      <c r="T67" s="36"/>
      <c r="U67" s="36">
        <v>0</v>
      </c>
      <c r="V67" s="36"/>
      <c r="W67" s="36">
        <v>0</v>
      </c>
      <c r="X67" s="36"/>
      <c r="Y67" s="36">
        <v>8133</v>
      </c>
      <c r="Z67" s="36"/>
      <c r="AA67" s="36">
        <v>11867</v>
      </c>
      <c r="AB67" s="36"/>
      <c r="AC67" s="36">
        <v>7823.04</v>
      </c>
      <c r="AD67" s="36"/>
      <c r="AE67" s="36">
        <f t="shared" si="22"/>
        <v>251423.59</v>
      </c>
      <c r="AF67" s="36"/>
      <c r="AG67" s="36">
        <v>49827.94</v>
      </c>
      <c r="AH67" s="36"/>
      <c r="AI67" s="36">
        <v>377439.23</v>
      </c>
      <c r="AJ67" s="36"/>
      <c r="AK67" s="36">
        <v>427267.17</v>
      </c>
      <c r="AL67" s="24">
        <f>+'Gen Rev'!AI67-'Gen Exp'!AE67+'Gen Exp'!AI67-AK67</f>
        <v>0</v>
      </c>
      <c r="AM67" s="44" t="str">
        <f>'Gen Rev'!A67</f>
        <v>Bettsville</v>
      </c>
      <c r="AN67" s="21" t="str">
        <f t="shared" si="5"/>
        <v>Bettsville</v>
      </c>
      <c r="AO67" s="21" t="b">
        <f t="shared" si="6"/>
        <v>1</v>
      </c>
    </row>
    <row r="68" spans="1:41" ht="12.75">
      <c r="A68" s="1" t="s">
        <v>586</v>
      </c>
      <c r="C68" s="1" t="s">
        <v>587</v>
      </c>
      <c r="E68" s="95">
        <v>199187.15</v>
      </c>
      <c r="F68" s="95"/>
      <c r="G68" s="95">
        <v>17433.94</v>
      </c>
      <c r="H68" s="95"/>
      <c r="I68" s="95">
        <v>50794.93</v>
      </c>
      <c r="J68" s="95"/>
      <c r="K68" s="95">
        <v>4745</v>
      </c>
      <c r="L68" s="95"/>
      <c r="M68" s="95">
        <v>0</v>
      </c>
      <c r="N68" s="95"/>
      <c r="O68" s="95">
        <v>0</v>
      </c>
      <c r="P68" s="95"/>
      <c r="Q68" s="95">
        <v>185436.85</v>
      </c>
      <c r="R68" s="95"/>
      <c r="S68" s="95">
        <v>0</v>
      </c>
      <c r="T68" s="95"/>
      <c r="U68" s="95">
        <v>0</v>
      </c>
      <c r="V68" s="95"/>
      <c r="W68" s="95">
        <v>0</v>
      </c>
      <c r="X68" s="95"/>
      <c r="Y68" s="95">
        <v>49862.65</v>
      </c>
      <c r="Z68" s="95"/>
      <c r="AA68" s="95">
        <v>20000</v>
      </c>
      <c r="AB68" s="95"/>
      <c r="AC68" s="95">
        <v>0</v>
      </c>
      <c r="AD68" s="95"/>
      <c r="AE68" s="95">
        <f aca="true" t="shared" si="23" ref="AE68:AE69">SUM(E68:AC68)</f>
        <v>527460.52</v>
      </c>
      <c r="AF68" s="95"/>
      <c r="AG68" s="95">
        <v>30154.48</v>
      </c>
      <c r="AH68" s="95"/>
      <c r="AI68" s="95">
        <v>118596.82</v>
      </c>
      <c r="AJ68" s="95"/>
      <c r="AK68" s="95">
        <v>148751.3</v>
      </c>
      <c r="AL68" s="24">
        <f>+'Gen Rev'!AI68-'Gen Exp'!AE68+'Gen Exp'!AI68-AK68</f>
        <v>0</v>
      </c>
      <c r="AM68" s="44" t="str">
        <f>'Gen Rev'!A68</f>
        <v>Beverly</v>
      </c>
      <c r="AN68" s="21" t="str">
        <f t="shared" si="5"/>
        <v>Beverly</v>
      </c>
      <c r="AO68" s="21" t="b">
        <f t="shared" si="6"/>
        <v>1</v>
      </c>
    </row>
    <row r="69" spans="1:41" ht="12.75">
      <c r="A69" s="1" t="s">
        <v>252</v>
      </c>
      <c r="C69" s="1" t="s">
        <v>824</v>
      </c>
      <c r="D69" s="23"/>
      <c r="E69" s="95">
        <v>10641.87</v>
      </c>
      <c r="F69" s="95"/>
      <c r="G69" s="95">
        <v>0</v>
      </c>
      <c r="H69" s="95"/>
      <c r="I69" s="95">
        <v>0</v>
      </c>
      <c r="J69" s="95"/>
      <c r="K69" s="95">
        <v>0</v>
      </c>
      <c r="L69" s="95"/>
      <c r="M69" s="95">
        <v>2764.6</v>
      </c>
      <c r="N69" s="95"/>
      <c r="O69" s="95">
        <v>0</v>
      </c>
      <c r="P69" s="95"/>
      <c r="Q69" s="95">
        <v>17335.16</v>
      </c>
      <c r="R69" s="95"/>
      <c r="S69" s="95">
        <v>0</v>
      </c>
      <c r="T69" s="95"/>
      <c r="U69" s="95">
        <v>0</v>
      </c>
      <c r="V69" s="95"/>
      <c r="W69" s="95">
        <v>0</v>
      </c>
      <c r="X69" s="95"/>
      <c r="Y69" s="95">
        <v>0</v>
      </c>
      <c r="Z69" s="95"/>
      <c r="AA69" s="95">
        <v>0</v>
      </c>
      <c r="AB69" s="95"/>
      <c r="AC69" s="95">
        <v>0</v>
      </c>
      <c r="AD69" s="95"/>
      <c r="AE69" s="95">
        <f t="shared" si="23"/>
        <v>30741.63</v>
      </c>
      <c r="AF69" s="95"/>
      <c r="AG69" s="95">
        <v>-21632.18</v>
      </c>
      <c r="AH69" s="95"/>
      <c r="AI69" s="95">
        <v>108001.25</v>
      </c>
      <c r="AJ69" s="95"/>
      <c r="AK69" s="95">
        <v>86369.07</v>
      </c>
      <c r="AL69" s="24">
        <f>+'Gen Rev'!AI69-'Gen Exp'!AE69+'Gen Exp'!AI69-AK69</f>
        <v>0</v>
      </c>
      <c r="AM69" s="44" t="str">
        <f>'Gen Rev'!A69</f>
        <v>Blakeslee</v>
      </c>
      <c r="AN69" s="21" t="str">
        <f t="shared" si="5"/>
        <v>Blakeslee</v>
      </c>
      <c r="AO69" s="21" t="b">
        <f t="shared" si="6"/>
        <v>1</v>
      </c>
    </row>
    <row r="70" spans="1:41" ht="12.75" hidden="1">
      <c r="A70" s="1" t="s">
        <v>928</v>
      </c>
      <c r="C70" s="1" t="s">
        <v>299</v>
      </c>
      <c r="D70" s="2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>
        <f>SUM(E70:AC70)</f>
        <v>0</v>
      </c>
      <c r="AF70" s="83"/>
      <c r="AG70" s="83"/>
      <c r="AH70" s="83"/>
      <c r="AI70" s="83"/>
      <c r="AJ70" s="83"/>
      <c r="AK70" s="83"/>
      <c r="AL70" s="24">
        <f>+'Gen Rev'!AI70-'Gen Exp'!AE70+'Gen Exp'!AI70-AK70</f>
        <v>0</v>
      </c>
      <c r="AM70" s="44" t="str">
        <f>'Gen Rev'!A70</f>
        <v>Blanchester</v>
      </c>
      <c r="AN70" s="21" t="str">
        <f t="shared" si="5"/>
        <v>Blanchester</v>
      </c>
      <c r="AO70" s="21" t="b">
        <f t="shared" si="6"/>
        <v>1</v>
      </c>
    </row>
    <row r="71" spans="1:41" s="19" customFormat="1" ht="12.75">
      <c r="A71" s="10" t="s">
        <v>604</v>
      </c>
      <c r="B71" s="10"/>
      <c r="C71" s="10" t="s">
        <v>603</v>
      </c>
      <c r="D71" s="10"/>
      <c r="E71" s="83">
        <v>77935.19</v>
      </c>
      <c r="F71" s="83"/>
      <c r="G71" s="83">
        <v>362</v>
      </c>
      <c r="H71" s="83"/>
      <c r="I71" s="83">
        <v>22080.43</v>
      </c>
      <c r="J71" s="83"/>
      <c r="K71" s="83">
        <v>0</v>
      </c>
      <c r="L71" s="83"/>
      <c r="M71" s="83">
        <v>0</v>
      </c>
      <c r="N71" s="83"/>
      <c r="O71" s="83">
        <v>0</v>
      </c>
      <c r="P71" s="83"/>
      <c r="Q71" s="83">
        <v>80995.53</v>
      </c>
      <c r="R71" s="83"/>
      <c r="S71" s="83">
        <v>0</v>
      </c>
      <c r="T71" s="83"/>
      <c r="U71" s="83">
        <v>0</v>
      </c>
      <c r="V71" s="83"/>
      <c r="W71" s="83">
        <v>0</v>
      </c>
      <c r="X71" s="83"/>
      <c r="Y71" s="83">
        <v>0</v>
      </c>
      <c r="Z71" s="83"/>
      <c r="AA71" s="83">
        <v>41266.21</v>
      </c>
      <c r="AB71" s="83"/>
      <c r="AC71" s="83">
        <v>0</v>
      </c>
      <c r="AD71" s="83"/>
      <c r="AE71" s="83">
        <f>SUM(E71:AC71)</f>
        <v>222639.36</v>
      </c>
      <c r="AF71" s="83"/>
      <c r="AG71" s="83">
        <v>-5657.85</v>
      </c>
      <c r="AH71" s="83"/>
      <c r="AI71" s="83">
        <v>5893.73</v>
      </c>
      <c r="AJ71" s="83"/>
      <c r="AK71" s="83">
        <v>235.98</v>
      </c>
      <c r="AL71" s="24">
        <f>+'Gen Rev'!AI71-'Gen Exp'!AE71+'Gen Exp'!AI71-AK71</f>
        <v>-0.10000000000624709</v>
      </c>
      <c r="AM71" s="44" t="str">
        <f>'Gen Rev'!A71</f>
        <v>Bloomdale</v>
      </c>
      <c r="AN71" s="21" t="str">
        <f t="shared" si="5"/>
        <v>Bloomdale</v>
      </c>
      <c r="AO71" s="21" t="b">
        <f t="shared" si="6"/>
        <v>1</v>
      </c>
    </row>
    <row r="72" spans="1:41" s="21" customFormat="1" ht="12.75">
      <c r="A72" s="1" t="s">
        <v>68</v>
      </c>
      <c r="B72" s="1"/>
      <c r="C72" s="1" t="s">
        <v>767</v>
      </c>
      <c r="D72" s="23"/>
      <c r="E72" s="36">
        <v>40950.15</v>
      </c>
      <c r="F72" s="36"/>
      <c r="G72" s="36">
        <v>1968.51</v>
      </c>
      <c r="H72" s="36"/>
      <c r="I72" s="36">
        <v>800</v>
      </c>
      <c r="J72" s="36"/>
      <c r="K72" s="36">
        <v>0</v>
      </c>
      <c r="L72" s="36"/>
      <c r="M72" s="36">
        <v>11646.36</v>
      </c>
      <c r="N72" s="36"/>
      <c r="O72" s="36">
        <v>0</v>
      </c>
      <c r="P72" s="36"/>
      <c r="Q72" s="36">
        <v>40861.14</v>
      </c>
      <c r="R72" s="36"/>
      <c r="S72" s="36">
        <v>0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f aca="true" t="shared" si="24" ref="AE72">SUM(E72:AC72)</f>
        <v>96226.16</v>
      </c>
      <c r="AF72" s="36"/>
      <c r="AG72" s="36">
        <v>46621.75</v>
      </c>
      <c r="AH72" s="36"/>
      <c r="AI72" s="36">
        <v>21846.12</v>
      </c>
      <c r="AJ72" s="36"/>
      <c r="AK72" s="36">
        <v>68467.87</v>
      </c>
      <c r="AL72" s="24">
        <f>+'Gen Rev'!AI72-'Gen Exp'!AE72+'Gen Exp'!AI72-AK72</f>
        <v>0</v>
      </c>
      <c r="AM72" s="44" t="str">
        <f>'Gen Rev'!A72</f>
        <v>Bloomingburg</v>
      </c>
      <c r="AN72" s="21" t="str">
        <f t="shared" si="5"/>
        <v>Bloomingburg</v>
      </c>
      <c r="AO72" s="21" t="b">
        <f t="shared" si="6"/>
        <v>1</v>
      </c>
    </row>
    <row r="73" spans="1:39" s="21" customFormat="1" ht="12.75">
      <c r="A73" s="1"/>
      <c r="B73" s="1"/>
      <c r="C73" s="1"/>
      <c r="D73" s="2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 t="s">
        <v>864</v>
      </c>
      <c r="AF73" s="83"/>
      <c r="AG73" s="83"/>
      <c r="AH73" s="83"/>
      <c r="AI73" s="83"/>
      <c r="AJ73" s="83"/>
      <c r="AK73" s="83"/>
      <c r="AL73" s="24"/>
      <c r="AM73" s="44"/>
    </row>
    <row r="74" spans="1:41" s="21" customFormat="1" ht="12.75">
      <c r="A74" s="1" t="s">
        <v>115</v>
      </c>
      <c r="B74" s="1"/>
      <c r="C74" s="1" t="s">
        <v>781</v>
      </c>
      <c r="D74" s="23"/>
      <c r="E74" s="102">
        <v>8399.62</v>
      </c>
      <c r="F74" s="102"/>
      <c r="G74" s="102">
        <v>642.74</v>
      </c>
      <c r="H74" s="102"/>
      <c r="I74" s="102">
        <v>9496.58</v>
      </c>
      <c r="J74" s="102"/>
      <c r="K74" s="102">
        <v>0</v>
      </c>
      <c r="L74" s="102"/>
      <c r="M74" s="102">
        <v>600</v>
      </c>
      <c r="N74" s="102"/>
      <c r="O74" s="102">
        <v>0</v>
      </c>
      <c r="P74" s="102"/>
      <c r="Q74" s="102">
        <v>5977.21</v>
      </c>
      <c r="R74" s="102"/>
      <c r="S74" s="102">
        <v>0</v>
      </c>
      <c r="T74" s="102"/>
      <c r="U74" s="102">
        <v>0</v>
      </c>
      <c r="V74" s="102"/>
      <c r="W74" s="102">
        <v>1200</v>
      </c>
      <c r="X74" s="102"/>
      <c r="Y74" s="102">
        <v>0</v>
      </c>
      <c r="Z74" s="102"/>
      <c r="AA74" s="102">
        <v>0</v>
      </c>
      <c r="AB74" s="102"/>
      <c r="AC74" s="102">
        <v>0</v>
      </c>
      <c r="AD74" s="102"/>
      <c r="AE74" s="102">
        <f aca="true" t="shared" si="25" ref="AE74">SUM(E74:AC74)</f>
        <v>26316.15</v>
      </c>
      <c r="AF74" s="95"/>
      <c r="AG74" s="95">
        <v>12976.11</v>
      </c>
      <c r="AH74" s="95"/>
      <c r="AI74" s="95">
        <v>24229.98</v>
      </c>
      <c r="AJ74" s="95"/>
      <c r="AK74" s="95">
        <v>37206.09</v>
      </c>
      <c r="AL74" s="24">
        <f>+'Gen Rev'!AI73-'Gen Exp'!AE74+'Gen Exp'!AI74-AK74</f>
        <v>0</v>
      </c>
      <c r="AM74" s="44" t="str">
        <f>'Gen Rev'!A73</f>
        <v>Bloomingdale</v>
      </c>
      <c r="AN74" s="21" t="str">
        <f t="shared" si="5"/>
        <v>Bloomingdale</v>
      </c>
      <c r="AO74" s="21" t="b">
        <f t="shared" si="6"/>
        <v>1</v>
      </c>
    </row>
    <row r="75" spans="1:41" ht="12.75">
      <c r="A75" s="1" t="s">
        <v>535</v>
      </c>
      <c r="C75" s="1" t="s">
        <v>534</v>
      </c>
      <c r="E75" s="83">
        <v>11770</v>
      </c>
      <c r="F75" s="83"/>
      <c r="G75" s="83">
        <v>1653</v>
      </c>
      <c r="H75" s="83"/>
      <c r="I75" s="83">
        <v>0</v>
      </c>
      <c r="J75" s="83"/>
      <c r="K75" s="83">
        <v>0</v>
      </c>
      <c r="L75" s="83"/>
      <c r="M75" s="83">
        <v>7242</v>
      </c>
      <c r="N75" s="83"/>
      <c r="O75" s="83">
        <v>22204</v>
      </c>
      <c r="P75" s="83"/>
      <c r="Q75" s="83">
        <v>76211</v>
      </c>
      <c r="R75" s="83"/>
      <c r="S75" s="83">
        <v>0</v>
      </c>
      <c r="T75" s="83"/>
      <c r="U75" s="83">
        <v>0</v>
      </c>
      <c r="V75" s="83"/>
      <c r="W75" s="83">
        <v>0</v>
      </c>
      <c r="X75" s="83"/>
      <c r="Y75" s="83">
        <v>56283</v>
      </c>
      <c r="Z75" s="83"/>
      <c r="AA75" s="83">
        <v>0</v>
      </c>
      <c r="AB75" s="83"/>
      <c r="AC75" s="83">
        <v>0</v>
      </c>
      <c r="AD75" s="83"/>
      <c r="AE75" s="83">
        <f aca="true" t="shared" si="26" ref="AE75:AE135">SUM(E75:AC75)</f>
        <v>175363</v>
      </c>
      <c r="AF75" s="83"/>
      <c r="AG75" s="83">
        <v>-25152</v>
      </c>
      <c r="AH75" s="83"/>
      <c r="AI75" s="83">
        <v>179488</v>
      </c>
      <c r="AJ75" s="83"/>
      <c r="AK75" s="83">
        <v>154336</v>
      </c>
      <c r="AL75" s="24">
        <f>+'Gen Rev'!AI74-'Gen Exp'!AE75+'Gen Exp'!AI75-AK75</f>
        <v>0</v>
      </c>
      <c r="AM75" s="44" t="str">
        <f>'Gen Rev'!A74</f>
        <v>Bloomville</v>
      </c>
      <c r="AN75" s="21" t="str">
        <f t="shared" si="5"/>
        <v>Bloomville</v>
      </c>
      <c r="AO75" s="21" t="b">
        <f t="shared" si="6"/>
        <v>1</v>
      </c>
    </row>
    <row r="76" spans="1:41" s="21" customFormat="1" ht="12.6" customHeight="1">
      <c r="A76" s="1" t="s">
        <v>685</v>
      </c>
      <c r="B76" s="1"/>
      <c r="C76" s="1" t="s">
        <v>686</v>
      </c>
      <c r="D76" s="1"/>
      <c r="E76" s="83">
        <v>729930</v>
      </c>
      <c r="F76" s="83"/>
      <c r="G76" s="83">
        <v>24021</v>
      </c>
      <c r="H76" s="83"/>
      <c r="I76" s="83">
        <v>104184</v>
      </c>
      <c r="J76" s="83"/>
      <c r="K76" s="83">
        <v>0</v>
      </c>
      <c r="L76" s="83"/>
      <c r="M76" s="83">
        <v>10750</v>
      </c>
      <c r="N76" s="83"/>
      <c r="O76" s="83">
        <v>93990</v>
      </c>
      <c r="P76" s="83"/>
      <c r="Q76" s="83">
        <v>509143</v>
      </c>
      <c r="R76" s="83"/>
      <c r="S76" s="83">
        <v>92912</v>
      </c>
      <c r="T76" s="83"/>
      <c r="U76" s="83">
        <v>0</v>
      </c>
      <c r="V76" s="83"/>
      <c r="W76" s="83">
        <v>0</v>
      </c>
      <c r="X76" s="83"/>
      <c r="Y76" s="83">
        <v>1049750</v>
      </c>
      <c r="Z76" s="83"/>
      <c r="AA76" s="83">
        <v>0</v>
      </c>
      <c r="AB76" s="83"/>
      <c r="AC76" s="83">
        <v>0</v>
      </c>
      <c r="AD76" s="83"/>
      <c r="AE76" s="83">
        <f t="shared" si="26"/>
        <v>2614680</v>
      </c>
      <c r="AF76" s="83"/>
      <c r="AG76" s="83">
        <v>-410430</v>
      </c>
      <c r="AH76" s="83"/>
      <c r="AI76" s="83">
        <v>2247406</v>
      </c>
      <c r="AJ76" s="83"/>
      <c r="AK76" s="83">
        <v>1836976</v>
      </c>
      <c r="AL76" s="24">
        <f>+'Gen Rev'!AI75-'Gen Exp'!AE76+'Gen Exp'!AI76-AK76</f>
        <v>-2</v>
      </c>
      <c r="AM76" s="44" t="str">
        <f>'Gen Rev'!A75</f>
        <v>Bluffton</v>
      </c>
      <c r="AN76" s="21" t="str">
        <f t="shared" si="5"/>
        <v>Bluffton</v>
      </c>
      <c r="AO76" s="21" t="b">
        <f t="shared" si="6"/>
        <v>1</v>
      </c>
    </row>
    <row r="77" spans="1:41" s="21" customFormat="1" ht="12.75">
      <c r="A77" s="1" t="s">
        <v>564</v>
      </c>
      <c r="B77" s="1"/>
      <c r="C77" s="1" t="s">
        <v>562</v>
      </c>
      <c r="D77" s="1"/>
      <c r="E77" s="83">
        <v>69398</v>
      </c>
      <c r="F77" s="83"/>
      <c r="G77" s="83">
        <v>174</v>
      </c>
      <c r="H77" s="83"/>
      <c r="I77" s="83">
        <v>11597</v>
      </c>
      <c r="J77" s="83"/>
      <c r="K77" s="83">
        <v>3289</v>
      </c>
      <c r="L77" s="83"/>
      <c r="M77" s="83">
        <v>38366</v>
      </c>
      <c r="N77" s="83"/>
      <c r="O77" s="83">
        <v>1200</v>
      </c>
      <c r="P77" s="83"/>
      <c r="Q77" s="83">
        <v>73486</v>
      </c>
      <c r="R77" s="83"/>
      <c r="S77" s="83">
        <v>0</v>
      </c>
      <c r="T77" s="83"/>
      <c r="U77" s="83">
        <v>0</v>
      </c>
      <c r="V77" s="83"/>
      <c r="W77" s="83">
        <v>0</v>
      </c>
      <c r="X77" s="83"/>
      <c r="Y77" s="83">
        <v>0</v>
      </c>
      <c r="Z77" s="83"/>
      <c r="AA77" s="83">
        <v>0</v>
      </c>
      <c r="AB77" s="83"/>
      <c r="AC77" s="83">
        <v>20000</v>
      </c>
      <c r="AD77" s="83"/>
      <c r="AE77" s="83">
        <f>SUM(E77:AC77)</f>
        <v>217510</v>
      </c>
      <c r="AF77" s="83"/>
      <c r="AG77" s="83">
        <v>18226</v>
      </c>
      <c r="AH77" s="83"/>
      <c r="AI77" s="83">
        <v>17876</v>
      </c>
      <c r="AJ77" s="83"/>
      <c r="AK77" s="83">
        <v>36102</v>
      </c>
      <c r="AL77" s="24">
        <f>+'Gen Rev'!AI76-'Gen Exp'!AE77+'Gen Exp'!AI77-AK77</f>
        <v>0</v>
      </c>
      <c r="AM77" s="44" t="str">
        <f>'Gen Rev'!A76</f>
        <v>Bolivar</v>
      </c>
      <c r="AN77" s="21" t="str">
        <f t="shared" si="5"/>
        <v>Bolivar</v>
      </c>
      <c r="AO77" s="21" t="b">
        <f t="shared" si="6"/>
        <v>1</v>
      </c>
    </row>
    <row r="78" spans="1:41" ht="12.75">
      <c r="A78" s="1" t="s">
        <v>550</v>
      </c>
      <c r="C78" s="1" t="s">
        <v>551</v>
      </c>
      <c r="E78" s="83">
        <v>799871</v>
      </c>
      <c r="F78" s="83"/>
      <c r="G78" s="83">
        <v>24202.74</v>
      </c>
      <c r="H78" s="83"/>
      <c r="I78" s="83">
        <v>0</v>
      </c>
      <c r="J78" s="83"/>
      <c r="K78" s="83">
        <v>33254.99</v>
      </c>
      <c r="L78" s="83"/>
      <c r="M78" s="83">
        <v>8350.04</v>
      </c>
      <c r="N78" s="83"/>
      <c r="O78" s="83">
        <v>270685.48</v>
      </c>
      <c r="P78" s="83"/>
      <c r="Q78" s="83">
        <v>448584.02</v>
      </c>
      <c r="R78" s="83"/>
      <c r="S78" s="83">
        <v>16120</v>
      </c>
      <c r="T78" s="83"/>
      <c r="U78" s="83">
        <v>0</v>
      </c>
      <c r="V78" s="83"/>
      <c r="W78" s="83">
        <v>0</v>
      </c>
      <c r="X78" s="83"/>
      <c r="Y78" s="83">
        <v>15000</v>
      </c>
      <c r="Z78" s="83"/>
      <c r="AA78" s="83">
        <v>0</v>
      </c>
      <c r="AB78" s="83"/>
      <c r="AC78" s="83">
        <v>29004.5</v>
      </c>
      <c r="AD78" s="83"/>
      <c r="AE78" s="83">
        <f>SUM(E78:AC78)</f>
        <v>1645072.77</v>
      </c>
      <c r="AF78" s="83"/>
      <c r="AG78" s="83">
        <v>-88072.7</v>
      </c>
      <c r="AH78" s="83"/>
      <c r="AI78" s="83">
        <v>960715.26</v>
      </c>
      <c r="AJ78" s="83"/>
      <c r="AK78" s="83">
        <v>872642.56</v>
      </c>
      <c r="AL78" s="24">
        <f>+'Gen Rev'!AI77-'Gen Exp'!AE78+'Gen Exp'!AI78-AK78</f>
        <v>0</v>
      </c>
      <c r="AM78" s="44" t="str">
        <f>'Gen Rev'!A77</f>
        <v>Boston Heights</v>
      </c>
      <c r="AN78" s="21" t="str">
        <f t="shared" si="5"/>
        <v>Boston Heights</v>
      </c>
      <c r="AO78" s="21" t="b">
        <f t="shared" si="6"/>
        <v>1</v>
      </c>
    </row>
    <row r="79" spans="1:41" s="19" customFormat="1" ht="12.75">
      <c r="A79" s="10" t="s">
        <v>537</v>
      </c>
      <c r="B79" s="10"/>
      <c r="C79" s="10" t="s">
        <v>538</v>
      </c>
      <c r="D79" s="10"/>
      <c r="E79" s="83">
        <v>209852</v>
      </c>
      <c r="F79" s="83"/>
      <c r="G79" s="83">
        <v>5797</v>
      </c>
      <c r="H79" s="83"/>
      <c r="I79" s="83">
        <v>37151</v>
      </c>
      <c r="J79" s="83"/>
      <c r="K79" s="83">
        <v>748</v>
      </c>
      <c r="L79" s="83"/>
      <c r="M79" s="83">
        <v>0</v>
      </c>
      <c r="N79" s="83"/>
      <c r="O79" s="83">
        <v>0</v>
      </c>
      <c r="P79" s="83"/>
      <c r="Q79" s="83">
        <v>286538</v>
      </c>
      <c r="R79" s="83"/>
      <c r="S79" s="83">
        <v>49889</v>
      </c>
      <c r="T79" s="83"/>
      <c r="U79" s="83">
        <v>0</v>
      </c>
      <c r="V79" s="83"/>
      <c r="W79" s="83">
        <v>0</v>
      </c>
      <c r="X79" s="83"/>
      <c r="Y79" s="83">
        <v>0</v>
      </c>
      <c r="Z79" s="83"/>
      <c r="AA79" s="83">
        <v>0</v>
      </c>
      <c r="AB79" s="83"/>
      <c r="AC79" s="83">
        <v>0</v>
      </c>
      <c r="AD79" s="83"/>
      <c r="AE79" s="83">
        <f t="shared" si="26"/>
        <v>589975</v>
      </c>
      <c r="AF79" s="83"/>
      <c r="AG79" s="83">
        <v>9734</v>
      </c>
      <c r="AH79" s="83"/>
      <c r="AI79" s="83">
        <v>277815</v>
      </c>
      <c r="AJ79" s="83"/>
      <c r="AK79" s="83">
        <v>287549</v>
      </c>
      <c r="AL79" s="24">
        <f>+'Gen Rev'!AI78-'Gen Exp'!AE79+'Gen Exp'!AI79-AK79</f>
        <v>0</v>
      </c>
      <c r="AM79" s="44" t="str">
        <f>'Gen Rev'!A78</f>
        <v>Botkins</v>
      </c>
      <c r="AN79" s="21" t="str">
        <f t="shared" si="5"/>
        <v>Botkins</v>
      </c>
      <c r="AO79" s="21" t="b">
        <f t="shared" si="6"/>
        <v>1</v>
      </c>
    </row>
    <row r="80" spans="1:41" s="21" customFormat="1" ht="12.75">
      <c r="A80" s="1" t="s">
        <v>402</v>
      </c>
      <c r="B80" s="1"/>
      <c r="C80" s="1" t="s">
        <v>403</v>
      </c>
      <c r="D80" s="1"/>
      <c r="E80" s="36">
        <v>13590.34</v>
      </c>
      <c r="F80" s="36"/>
      <c r="G80" s="36">
        <v>0</v>
      </c>
      <c r="H80" s="36"/>
      <c r="I80" s="36">
        <v>0</v>
      </c>
      <c r="J80" s="36"/>
      <c r="K80" s="36">
        <v>325</v>
      </c>
      <c r="L80" s="36"/>
      <c r="M80" s="36">
        <v>4864.93</v>
      </c>
      <c r="N80" s="36"/>
      <c r="O80" s="36">
        <v>0</v>
      </c>
      <c r="P80" s="36"/>
      <c r="Q80" s="36">
        <v>64790.54</v>
      </c>
      <c r="R80" s="36"/>
      <c r="S80" s="36">
        <v>0</v>
      </c>
      <c r="T80" s="36"/>
      <c r="U80" s="36">
        <v>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10384.45</v>
      </c>
      <c r="AD80" s="36"/>
      <c r="AE80" s="36">
        <f aca="true" t="shared" si="27" ref="AE80:AE81">SUM(E80:AC80)</f>
        <v>93955.26</v>
      </c>
      <c r="AF80" s="36"/>
      <c r="AG80" s="36">
        <v>-7473.39</v>
      </c>
      <c r="AH80" s="36"/>
      <c r="AI80" s="36">
        <v>100838.21</v>
      </c>
      <c r="AJ80" s="36"/>
      <c r="AK80" s="36">
        <v>93364.82</v>
      </c>
      <c r="AL80" s="24">
        <f>+'Gen Rev'!AI79-'Gen Exp'!AE80+'Gen Exp'!AI80-AK80</f>
        <v>0</v>
      </c>
      <c r="AM80" s="44" t="str">
        <f>'Gen Rev'!A79</f>
        <v>Bowerston</v>
      </c>
      <c r="AN80" s="21" t="str">
        <f t="shared" si="5"/>
        <v>Bowerston</v>
      </c>
      <c r="AO80" s="21" t="b">
        <f t="shared" si="6"/>
        <v>1</v>
      </c>
    </row>
    <row r="81" spans="1:41" s="21" customFormat="1" ht="12.75">
      <c r="A81" s="1" t="s">
        <v>83</v>
      </c>
      <c r="B81" s="1"/>
      <c r="C81" s="1" t="s">
        <v>771</v>
      </c>
      <c r="D81" s="23"/>
      <c r="E81" s="36">
        <v>4762.3</v>
      </c>
      <c r="F81" s="36"/>
      <c r="G81" s="36">
        <v>0</v>
      </c>
      <c r="H81" s="36"/>
      <c r="I81" s="36">
        <v>1000</v>
      </c>
      <c r="J81" s="36"/>
      <c r="K81" s="36">
        <v>0</v>
      </c>
      <c r="L81" s="36"/>
      <c r="M81" s="36">
        <v>0</v>
      </c>
      <c r="N81" s="36"/>
      <c r="O81" s="36">
        <v>0</v>
      </c>
      <c r="P81" s="36"/>
      <c r="Q81" s="36">
        <v>29073.42</v>
      </c>
      <c r="R81" s="36"/>
      <c r="S81" s="36">
        <v>0</v>
      </c>
      <c r="T81" s="36"/>
      <c r="U81" s="36">
        <v>0</v>
      </c>
      <c r="V81" s="36"/>
      <c r="W81" s="36">
        <v>0</v>
      </c>
      <c r="X81" s="36"/>
      <c r="Y81" s="36">
        <v>0</v>
      </c>
      <c r="Z81" s="36"/>
      <c r="AA81" s="36">
        <v>0</v>
      </c>
      <c r="AB81" s="36"/>
      <c r="AC81" s="36">
        <v>0</v>
      </c>
      <c r="AD81" s="36"/>
      <c r="AE81" s="36">
        <f t="shared" si="27"/>
        <v>34835.72</v>
      </c>
      <c r="AF81" s="36"/>
      <c r="AG81" s="36">
        <v>2201.86</v>
      </c>
      <c r="AH81" s="36"/>
      <c r="AI81" s="36">
        <v>35167.73</v>
      </c>
      <c r="AJ81" s="36"/>
      <c r="AK81" s="36">
        <v>37369.59</v>
      </c>
      <c r="AL81" s="24">
        <f>+'Gen Rev'!AI80-'Gen Exp'!AE81+'Gen Exp'!AI81-AK81</f>
        <v>0</v>
      </c>
      <c r="AM81" s="44" t="str">
        <f>'Gen Rev'!A80</f>
        <v>Bowersville</v>
      </c>
      <c r="AN81" s="21" t="str">
        <f t="shared" si="5"/>
        <v>Bowersville</v>
      </c>
      <c r="AO81" s="21" t="b">
        <f t="shared" si="6"/>
        <v>1</v>
      </c>
    </row>
    <row r="82" spans="1:41" ht="12.75">
      <c r="A82" s="1" t="s">
        <v>469</v>
      </c>
      <c r="C82" s="1" t="s">
        <v>919</v>
      </c>
      <c r="E82" s="83">
        <v>137664.56</v>
      </c>
      <c r="F82" s="83"/>
      <c r="G82" s="83">
        <v>0</v>
      </c>
      <c r="H82" s="83"/>
      <c r="I82" s="83">
        <v>10243.01</v>
      </c>
      <c r="J82" s="83"/>
      <c r="K82" s="83">
        <v>0</v>
      </c>
      <c r="L82" s="83"/>
      <c r="M82" s="83">
        <v>0</v>
      </c>
      <c r="N82" s="83"/>
      <c r="O82" s="83">
        <v>0</v>
      </c>
      <c r="P82" s="83"/>
      <c r="Q82" s="83">
        <v>153906.56</v>
      </c>
      <c r="R82" s="83"/>
      <c r="S82" s="83">
        <v>0</v>
      </c>
      <c r="T82" s="83"/>
      <c r="U82" s="83">
        <v>0</v>
      </c>
      <c r="V82" s="83"/>
      <c r="W82" s="83">
        <v>0</v>
      </c>
      <c r="X82" s="83"/>
      <c r="Y82" s="83">
        <v>0</v>
      </c>
      <c r="Z82" s="83"/>
      <c r="AA82" s="83">
        <v>0</v>
      </c>
      <c r="AB82" s="83"/>
      <c r="AC82" s="83">
        <v>0</v>
      </c>
      <c r="AD82" s="83"/>
      <c r="AE82" s="83">
        <f t="shared" si="26"/>
        <v>301814.13</v>
      </c>
      <c r="AF82" s="83"/>
      <c r="AG82" s="83">
        <v>-6701.07</v>
      </c>
      <c r="AH82" s="83"/>
      <c r="AI82" s="83">
        <v>111781.47</v>
      </c>
      <c r="AJ82" s="83"/>
      <c r="AK82" s="83">
        <v>105080.4</v>
      </c>
      <c r="AL82" s="24">
        <f>+'Gen Rev'!AI81-'Gen Exp'!AE82+'Gen Exp'!AI82-AK82</f>
        <v>0</v>
      </c>
      <c r="AM82" s="44" t="str">
        <f>'Gen Rev'!A81</f>
        <v>Bradford</v>
      </c>
      <c r="AN82" s="21" t="str">
        <f t="shared" si="5"/>
        <v>Bradford</v>
      </c>
      <c r="AO82" s="21" t="b">
        <f t="shared" si="6"/>
        <v>1</v>
      </c>
    </row>
    <row r="83" spans="1:41" s="21" customFormat="1" ht="12.75" hidden="1">
      <c r="A83" s="1" t="s">
        <v>605</v>
      </c>
      <c r="B83" s="1"/>
      <c r="C83" s="1" t="s">
        <v>603</v>
      </c>
      <c r="D83" s="1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>
        <f t="shared" si="26"/>
        <v>0</v>
      </c>
      <c r="AF83" s="83"/>
      <c r="AG83" s="83"/>
      <c r="AH83" s="83"/>
      <c r="AI83" s="83"/>
      <c r="AJ83" s="83"/>
      <c r="AK83" s="83"/>
      <c r="AL83" s="24">
        <f>+'Gen Rev'!AI82-'Gen Exp'!AE83+'Gen Exp'!AI83-AK83</f>
        <v>0</v>
      </c>
      <c r="AM83" s="44" t="str">
        <f>'Gen Rev'!A82</f>
        <v>Bradner</v>
      </c>
      <c r="AN83" s="21" t="str">
        <f t="shared" si="5"/>
        <v>Bradner</v>
      </c>
      <c r="AO83" s="21" t="b">
        <f t="shared" si="6"/>
        <v>1</v>
      </c>
    </row>
    <row r="84" spans="1:41" s="21" customFormat="1" ht="12.6" customHeight="1" hidden="1">
      <c r="A84" s="1" t="s">
        <v>895</v>
      </c>
      <c r="B84" s="1"/>
      <c r="C84" s="1" t="s">
        <v>259</v>
      </c>
      <c r="D84" s="1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>
        <f t="shared" si="26"/>
        <v>0</v>
      </c>
      <c r="AF84" s="83"/>
      <c r="AG84" s="36"/>
      <c r="AH84" s="36"/>
      <c r="AI84" s="36"/>
      <c r="AJ84" s="36"/>
      <c r="AK84" s="36"/>
      <c r="AL84" s="24">
        <f>+'Gen Rev'!AI83-'Gen Exp'!AE84+'Gen Exp'!AI84-AK84</f>
        <v>0</v>
      </c>
      <c r="AM84" s="44" t="str">
        <f>'Gen Rev'!A83</f>
        <v>Brady Lake</v>
      </c>
      <c r="AN84" s="21" t="str">
        <f t="shared" si="5"/>
        <v>Brady Lake</v>
      </c>
      <c r="AO84" s="21" t="b">
        <f t="shared" si="6"/>
        <v>1</v>
      </c>
    </row>
    <row r="85" spans="1:41" s="21" customFormat="1" ht="12.6" customHeight="1">
      <c r="A85" s="1" t="s">
        <v>317</v>
      </c>
      <c r="B85" s="1"/>
      <c r="C85" s="1" t="s">
        <v>316</v>
      </c>
      <c r="D85" s="1"/>
      <c r="E85" s="36">
        <v>1641061.99</v>
      </c>
      <c r="F85" s="36"/>
      <c r="G85" s="36">
        <v>6795.28</v>
      </c>
      <c r="H85" s="36"/>
      <c r="I85" s="36">
        <v>1541.36</v>
      </c>
      <c r="J85" s="36"/>
      <c r="K85" s="36">
        <v>90042.85</v>
      </c>
      <c r="L85" s="36"/>
      <c r="M85" s="36">
        <v>0</v>
      </c>
      <c r="N85" s="36"/>
      <c r="O85" s="36">
        <v>405750.9</v>
      </c>
      <c r="P85" s="36"/>
      <c r="Q85" s="36">
        <v>701495.63</v>
      </c>
      <c r="R85" s="36"/>
      <c r="S85" s="36">
        <v>17833.23</v>
      </c>
      <c r="T85" s="36"/>
      <c r="U85" s="36">
        <v>0</v>
      </c>
      <c r="V85" s="36"/>
      <c r="W85" s="36">
        <v>0</v>
      </c>
      <c r="X85" s="36"/>
      <c r="Y85" s="36">
        <v>151333.18</v>
      </c>
      <c r="Z85" s="36"/>
      <c r="AA85" s="36">
        <v>0</v>
      </c>
      <c r="AB85" s="36"/>
      <c r="AC85" s="36">
        <v>100</v>
      </c>
      <c r="AD85" s="36"/>
      <c r="AE85" s="36">
        <f aca="true" t="shared" si="28" ref="AE85:AE86">SUM(E85:AC85)</f>
        <v>3015954.4200000004</v>
      </c>
      <c r="AF85" s="36"/>
      <c r="AG85" s="36">
        <v>4466.31</v>
      </c>
      <c r="AH85" s="36"/>
      <c r="AI85" s="36">
        <v>633909.4</v>
      </c>
      <c r="AJ85" s="36"/>
      <c r="AK85" s="36">
        <v>638375.71</v>
      </c>
      <c r="AL85" s="24">
        <f>+'Gen Rev'!AI84-'Gen Exp'!AE85+'Gen Exp'!AI85-AK85</f>
        <v>0</v>
      </c>
      <c r="AM85" s="44" t="str">
        <f>'Gen Rev'!A84</f>
        <v>Bratenahl</v>
      </c>
      <c r="AN85" s="21" t="str">
        <f t="shared" si="5"/>
        <v>Bratenahl</v>
      </c>
      <c r="AO85" s="21" t="b">
        <f t="shared" si="6"/>
        <v>1</v>
      </c>
    </row>
    <row r="86" spans="1:41" s="10" customFormat="1" ht="12.6" customHeight="1">
      <c r="A86" s="10" t="s">
        <v>61</v>
      </c>
      <c r="C86" s="10" t="s">
        <v>766</v>
      </c>
      <c r="D86" s="52"/>
      <c r="E86" s="36">
        <v>94053.66</v>
      </c>
      <c r="F86" s="36"/>
      <c r="G86" s="36">
        <v>0</v>
      </c>
      <c r="H86" s="36"/>
      <c r="I86" s="36">
        <v>35850.64</v>
      </c>
      <c r="J86" s="36"/>
      <c r="K86" s="36">
        <v>517.21</v>
      </c>
      <c r="L86" s="36"/>
      <c r="M86" s="36">
        <v>0</v>
      </c>
      <c r="N86" s="36"/>
      <c r="O86" s="36">
        <v>53713</v>
      </c>
      <c r="P86" s="36"/>
      <c r="Q86" s="36">
        <v>126720.13</v>
      </c>
      <c r="R86" s="36"/>
      <c r="S86" s="36">
        <v>0</v>
      </c>
      <c r="T86" s="36"/>
      <c r="U86" s="36">
        <v>0</v>
      </c>
      <c r="V86" s="36"/>
      <c r="W86" s="36">
        <v>0</v>
      </c>
      <c r="X86" s="36"/>
      <c r="Y86" s="36">
        <v>98500</v>
      </c>
      <c r="Z86" s="36"/>
      <c r="AA86" s="36">
        <v>0</v>
      </c>
      <c r="AB86" s="36"/>
      <c r="AC86" s="36">
        <v>0</v>
      </c>
      <c r="AD86" s="36"/>
      <c r="AE86" s="36">
        <f t="shared" si="28"/>
        <v>409354.64</v>
      </c>
      <c r="AF86" s="36"/>
      <c r="AG86" s="36">
        <v>-78342.81</v>
      </c>
      <c r="AH86" s="36"/>
      <c r="AI86" s="36">
        <v>251801.52</v>
      </c>
      <c r="AJ86" s="36"/>
      <c r="AK86" s="36">
        <v>173458.71</v>
      </c>
      <c r="AL86" s="24">
        <f>+'Gen Rev'!AI85-'Gen Exp'!AE86+'Gen Exp'!AI86-AK86</f>
        <v>0</v>
      </c>
      <c r="AM86" s="44" t="str">
        <f>'Gen Rev'!A85</f>
        <v>Bremen</v>
      </c>
      <c r="AN86" s="21" t="str">
        <f t="shared" si="5"/>
        <v>Bremen</v>
      </c>
      <c r="AO86" s="21" t="b">
        <f t="shared" si="6"/>
        <v>1</v>
      </c>
    </row>
    <row r="87" spans="1:41" s="21" customFormat="1" ht="12.75">
      <c r="A87" s="1" t="s">
        <v>543</v>
      </c>
      <c r="B87" s="1"/>
      <c r="C87" s="1" t="s">
        <v>542</v>
      </c>
      <c r="D87" s="1"/>
      <c r="E87" s="83">
        <v>438277.78</v>
      </c>
      <c r="F87" s="83"/>
      <c r="G87" s="83">
        <v>8328</v>
      </c>
      <c r="H87" s="83"/>
      <c r="I87" s="83">
        <v>17673.12</v>
      </c>
      <c r="J87" s="83"/>
      <c r="K87" s="83">
        <v>3729.62</v>
      </c>
      <c r="L87" s="83"/>
      <c r="M87" s="83">
        <v>6390</v>
      </c>
      <c r="N87" s="83"/>
      <c r="O87" s="83">
        <v>29835.81</v>
      </c>
      <c r="P87" s="83"/>
      <c r="Q87" s="83">
        <v>177203.86</v>
      </c>
      <c r="R87" s="83"/>
      <c r="S87" s="83">
        <v>20630.99</v>
      </c>
      <c r="T87" s="83"/>
      <c r="U87" s="83">
        <v>0</v>
      </c>
      <c r="V87" s="83"/>
      <c r="W87" s="83">
        <v>0</v>
      </c>
      <c r="X87" s="83"/>
      <c r="Y87" s="83">
        <v>586572.43</v>
      </c>
      <c r="Z87" s="83"/>
      <c r="AA87" s="83">
        <v>0</v>
      </c>
      <c r="AB87" s="83"/>
      <c r="AC87" s="83">
        <v>14411.04</v>
      </c>
      <c r="AD87" s="83"/>
      <c r="AE87" s="83">
        <f t="shared" si="26"/>
        <v>1303052.65</v>
      </c>
      <c r="AF87" s="83"/>
      <c r="AG87" s="83">
        <v>85431.68</v>
      </c>
      <c r="AH87" s="83"/>
      <c r="AI87" s="83">
        <v>366628.44</v>
      </c>
      <c r="AJ87" s="83"/>
      <c r="AK87" s="83">
        <v>452060.12</v>
      </c>
      <c r="AL87" s="24">
        <f>+'Gen Rev'!AI86-'Gen Exp'!AE87+'Gen Exp'!AI87-AK87</f>
        <v>0</v>
      </c>
      <c r="AM87" s="44" t="str">
        <f>'Gen Rev'!A86</f>
        <v>Brewster</v>
      </c>
      <c r="AN87" s="21" t="str">
        <f aca="true" t="shared" si="29" ref="AN87:AN152">A87</f>
        <v>Brewster</v>
      </c>
      <c r="AO87" s="21" t="b">
        <f aca="true" t="shared" si="30" ref="AO87:AO152">AM87=AN87</f>
        <v>1</v>
      </c>
    </row>
    <row r="88" spans="1:41" ht="12.75">
      <c r="A88" s="1" t="s">
        <v>72</v>
      </c>
      <c r="C88" s="1" t="s">
        <v>768</v>
      </c>
      <c r="D88" s="23"/>
      <c r="E88" s="36">
        <v>33287.86</v>
      </c>
      <c r="F88" s="36"/>
      <c r="G88" s="36">
        <v>0</v>
      </c>
      <c r="H88" s="36"/>
      <c r="I88" s="36">
        <v>0</v>
      </c>
      <c r="J88" s="36"/>
      <c r="K88" s="36">
        <v>0</v>
      </c>
      <c r="L88" s="36"/>
      <c r="M88" s="36">
        <v>865.05</v>
      </c>
      <c r="N88" s="36"/>
      <c r="O88" s="36">
        <v>0</v>
      </c>
      <c r="P88" s="36"/>
      <c r="Q88" s="36">
        <v>47674.31</v>
      </c>
      <c r="R88" s="36"/>
      <c r="S88" s="36">
        <v>0</v>
      </c>
      <c r="T88" s="36"/>
      <c r="U88" s="36">
        <v>1240</v>
      </c>
      <c r="V88" s="36"/>
      <c r="W88" s="36">
        <v>1240.54</v>
      </c>
      <c r="X88" s="36"/>
      <c r="Y88" s="36">
        <v>0</v>
      </c>
      <c r="Z88" s="36"/>
      <c r="AA88" s="36">
        <v>0</v>
      </c>
      <c r="AB88" s="36"/>
      <c r="AC88" s="36">
        <v>0</v>
      </c>
      <c r="AD88" s="36"/>
      <c r="AE88" s="36">
        <f aca="true" t="shared" si="31" ref="AE88:AE89">SUM(E88:AC88)</f>
        <v>84307.76</v>
      </c>
      <c r="AF88" s="36"/>
      <c r="AG88" s="36">
        <v>48412.15</v>
      </c>
      <c r="AH88" s="36"/>
      <c r="AI88" s="36">
        <v>-18412.39</v>
      </c>
      <c r="AJ88" s="36"/>
      <c r="AK88" s="36">
        <v>29999.76</v>
      </c>
      <c r="AL88" s="24">
        <f>+'Gen Rev'!AI87-'Gen Exp'!AE88+'Gen Exp'!AI88-AK88</f>
        <v>0</v>
      </c>
      <c r="AM88" s="44" t="str">
        <f>'Gen Rev'!A87</f>
        <v>Brice</v>
      </c>
      <c r="AN88" s="21" t="str">
        <f t="shared" si="29"/>
        <v>Brice</v>
      </c>
      <c r="AO88" s="21" t="b">
        <f t="shared" si="30"/>
        <v>1</v>
      </c>
    </row>
    <row r="89" spans="1:41" s="21" customFormat="1" ht="12.6" customHeight="1">
      <c r="A89" s="1" t="s">
        <v>281</v>
      </c>
      <c r="B89" s="1"/>
      <c r="C89" s="1" t="s">
        <v>279</v>
      </c>
      <c r="D89" s="1"/>
      <c r="E89" s="36">
        <v>303752.02</v>
      </c>
      <c r="F89" s="36"/>
      <c r="G89" s="36">
        <v>5746.18</v>
      </c>
      <c r="H89" s="36"/>
      <c r="I89" s="36">
        <v>1500</v>
      </c>
      <c r="J89" s="36"/>
      <c r="K89" s="36">
        <v>0</v>
      </c>
      <c r="L89" s="36"/>
      <c r="M89" s="36">
        <v>99140.51</v>
      </c>
      <c r="N89" s="36"/>
      <c r="O89" s="36">
        <v>0</v>
      </c>
      <c r="P89" s="36"/>
      <c r="Q89" s="36">
        <v>109499.31</v>
      </c>
      <c r="R89" s="36"/>
      <c r="S89" s="36">
        <v>22218</v>
      </c>
      <c r="T89" s="36"/>
      <c r="U89" s="36">
        <v>17238.2</v>
      </c>
      <c r="V89" s="36"/>
      <c r="W89" s="36">
        <v>2451.45</v>
      </c>
      <c r="X89" s="36"/>
      <c r="Y89" s="36">
        <v>0</v>
      </c>
      <c r="Z89" s="36"/>
      <c r="AA89" s="36">
        <v>40000</v>
      </c>
      <c r="AB89" s="36"/>
      <c r="AC89" s="36">
        <v>0</v>
      </c>
      <c r="AD89" s="36"/>
      <c r="AE89" s="36">
        <f t="shared" si="31"/>
        <v>601545.6699999999</v>
      </c>
      <c r="AF89" s="36"/>
      <c r="AG89" s="36">
        <v>37628.47</v>
      </c>
      <c r="AH89" s="36"/>
      <c r="AI89" s="36">
        <v>92977.4</v>
      </c>
      <c r="AJ89" s="36"/>
      <c r="AK89" s="36">
        <v>130605.87</v>
      </c>
      <c r="AL89" s="24">
        <f>+'Gen Rev'!AI88-'Gen Exp'!AE89+'Gen Exp'!AI89-AK89</f>
        <v>0</v>
      </c>
      <c r="AM89" s="44" t="str">
        <f>'Gen Rev'!A88</f>
        <v>Bridgeport</v>
      </c>
      <c r="AN89" s="21" t="str">
        <f t="shared" si="29"/>
        <v>Bridgeport</v>
      </c>
      <c r="AO89" s="21" t="b">
        <f t="shared" si="30"/>
        <v>1</v>
      </c>
    </row>
    <row r="90" spans="1:41" ht="12.6" customHeight="1">
      <c r="A90" s="1" t="s">
        <v>318</v>
      </c>
      <c r="C90" s="1" t="s">
        <v>316</v>
      </c>
      <c r="E90" s="83">
        <v>2639435</v>
      </c>
      <c r="F90" s="83"/>
      <c r="G90" s="83">
        <v>150548</v>
      </c>
      <c r="H90" s="83"/>
      <c r="I90" s="83">
        <v>61218</v>
      </c>
      <c r="J90" s="83"/>
      <c r="K90" s="83">
        <v>79812</v>
      </c>
      <c r="L90" s="83"/>
      <c r="M90" s="83">
        <v>88275</v>
      </c>
      <c r="N90" s="83"/>
      <c r="O90" s="83">
        <v>504077</v>
      </c>
      <c r="P90" s="83"/>
      <c r="Q90" s="83">
        <v>1247507</v>
      </c>
      <c r="R90" s="83"/>
      <c r="S90" s="83">
        <v>0</v>
      </c>
      <c r="T90" s="83"/>
      <c r="U90" s="83">
        <v>0</v>
      </c>
      <c r="V90" s="83"/>
      <c r="W90" s="83">
        <v>0</v>
      </c>
      <c r="X90" s="83"/>
      <c r="Y90" s="83">
        <v>12524</v>
      </c>
      <c r="Z90" s="83"/>
      <c r="AA90" s="83">
        <v>0</v>
      </c>
      <c r="AB90" s="83"/>
      <c r="AC90" s="83">
        <v>0</v>
      </c>
      <c r="AD90" s="83"/>
      <c r="AE90" s="83">
        <f t="shared" si="26"/>
        <v>4783396</v>
      </c>
      <c r="AF90" s="83"/>
      <c r="AG90" s="36">
        <v>75212</v>
      </c>
      <c r="AH90" s="36"/>
      <c r="AI90" s="36">
        <v>1633398</v>
      </c>
      <c r="AJ90" s="36"/>
      <c r="AK90" s="36">
        <v>1708610</v>
      </c>
      <c r="AL90" s="24">
        <f>+'Gen Rev'!AI90-'Gen Exp'!AE90+'Gen Exp'!AI90-AK90</f>
        <v>-1</v>
      </c>
      <c r="AM90" s="44" t="str">
        <f>'Gen Rev'!A90</f>
        <v>Brooklyn Heights</v>
      </c>
      <c r="AN90" s="21" t="str">
        <f t="shared" si="29"/>
        <v>Brooklyn Heights</v>
      </c>
      <c r="AO90" s="21" t="b">
        <f t="shared" si="30"/>
        <v>1</v>
      </c>
    </row>
    <row r="91" spans="1:41" s="21" customFormat="1" ht="12.75">
      <c r="A91" s="1" t="s">
        <v>16</v>
      </c>
      <c r="B91" s="1"/>
      <c r="C91" s="1" t="s">
        <v>750</v>
      </c>
      <c r="D91" s="23"/>
      <c r="E91" s="95">
        <v>32750.16</v>
      </c>
      <c r="F91" s="95"/>
      <c r="G91" s="95">
        <v>3736.11</v>
      </c>
      <c r="H91" s="95"/>
      <c r="I91" s="95">
        <v>3033.11</v>
      </c>
      <c r="J91" s="95"/>
      <c r="K91" s="95">
        <v>0</v>
      </c>
      <c r="L91" s="95"/>
      <c r="M91" s="95">
        <v>2469.47</v>
      </c>
      <c r="N91" s="95"/>
      <c r="O91" s="95">
        <v>7033.21</v>
      </c>
      <c r="P91" s="95"/>
      <c r="Q91" s="95">
        <v>49700.76</v>
      </c>
      <c r="R91" s="95"/>
      <c r="S91" s="95">
        <v>0</v>
      </c>
      <c r="T91" s="95"/>
      <c r="U91" s="95">
        <v>0</v>
      </c>
      <c r="V91" s="95"/>
      <c r="W91" s="95">
        <v>4058.33</v>
      </c>
      <c r="X91" s="95"/>
      <c r="Y91" s="95">
        <v>56538.78</v>
      </c>
      <c r="Z91" s="95"/>
      <c r="AA91" s="95">
        <v>0</v>
      </c>
      <c r="AB91" s="95"/>
      <c r="AC91" s="95">
        <v>0</v>
      </c>
      <c r="AD91" s="95"/>
      <c r="AE91" s="95">
        <f aca="true" t="shared" si="32" ref="AE91">SUM(E91:AC91)</f>
        <v>159319.93</v>
      </c>
      <c r="AF91" s="95"/>
      <c r="AG91" s="95">
        <v>-48620.2</v>
      </c>
      <c r="AH91" s="95"/>
      <c r="AI91" s="95">
        <v>60690.5</v>
      </c>
      <c r="AJ91" s="95"/>
      <c r="AK91" s="95">
        <v>12070.3</v>
      </c>
      <c r="AL91" s="24">
        <f>+'Gen Rev'!AI91-'Gen Exp'!AE91+'Gen Exp'!AI91-AK91</f>
        <v>0</v>
      </c>
      <c r="AM91" s="44" t="str">
        <f>'Gen Rev'!A91</f>
        <v>Brookside</v>
      </c>
      <c r="AN91" s="21" t="str">
        <f t="shared" si="29"/>
        <v>Brookside</v>
      </c>
      <c r="AO91" s="21" t="b">
        <f t="shared" si="30"/>
        <v>1</v>
      </c>
    </row>
    <row r="92" spans="1:41" s="10" customFormat="1" ht="12.75">
      <c r="A92" s="10" t="s">
        <v>498</v>
      </c>
      <c r="C92" s="10" t="s">
        <v>497</v>
      </c>
      <c r="E92" s="36">
        <v>0</v>
      </c>
      <c r="F92" s="36"/>
      <c r="G92" s="36">
        <v>18.4</v>
      </c>
      <c r="H92" s="36"/>
      <c r="I92" s="36">
        <v>0</v>
      </c>
      <c r="J92" s="36"/>
      <c r="K92" s="36">
        <v>0</v>
      </c>
      <c r="L92" s="36"/>
      <c r="M92" s="36">
        <v>703.66</v>
      </c>
      <c r="N92" s="36"/>
      <c r="O92" s="36">
        <v>600</v>
      </c>
      <c r="P92" s="36"/>
      <c r="Q92" s="36">
        <v>5291.68</v>
      </c>
      <c r="R92" s="36"/>
      <c r="S92" s="36">
        <v>0</v>
      </c>
      <c r="T92" s="36"/>
      <c r="U92" s="36">
        <v>1598.26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40</v>
      </c>
      <c r="AD92" s="36"/>
      <c r="AE92" s="36">
        <f aca="true" t="shared" si="33" ref="AE92">SUM(E92:AC92)</f>
        <v>8252</v>
      </c>
      <c r="AF92" s="36"/>
      <c r="AG92" s="36">
        <v>3833.85</v>
      </c>
      <c r="AH92" s="36"/>
      <c r="AI92" s="36">
        <v>15524.47</v>
      </c>
      <c r="AJ92" s="36"/>
      <c r="AK92" s="36">
        <v>19358.32</v>
      </c>
      <c r="AL92" s="24">
        <f>+'Gen Rev'!AI92-'Gen Exp'!AE92+'Gen Exp'!AI92-AK92</f>
        <v>0</v>
      </c>
      <c r="AM92" s="44" t="str">
        <f>'Gen Rev'!A92</f>
        <v>Broughton</v>
      </c>
      <c r="AN92" s="21" t="str">
        <f t="shared" si="29"/>
        <v>Broughton</v>
      </c>
      <c r="AO92" s="21" t="b">
        <f t="shared" si="30"/>
        <v>1</v>
      </c>
    </row>
    <row r="93" spans="1:41" s="21" customFormat="1" ht="12.6" customHeight="1">
      <c r="A93" s="1" t="s">
        <v>272</v>
      </c>
      <c r="B93" s="1"/>
      <c r="C93" s="1" t="s">
        <v>271</v>
      </c>
      <c r="D93" s="1"/>
      <c r="E93" s="83">
        <v>48813.61</v>
      </c>
      <c r="F93" s="83"/>
      <c r="G93" s="83">
        <v>0</v>
      </c>
      <c r="H93" s="83"/>
      <c r="I93" s="83">
        <v>0</v>
      </c>
      <c r="J93" s="83"/>
      <c r="K93" s="83">
        <v>0</v>
      </c>
      <c r="L93" s="83"/>
      <c r="M93" s="83">
        <v>6888.72</v>
      </c>
      <c r="N93" s="83"/>
      <c r="O93" s="83">
        <v>0</v>
      </c>
      <c r="P93" s="83"/>
      <c r="Q93" s="83">
        <v>66460.96</v>
      </c>
      <c r="R93" s="83"/>
      <c r="S93" s="83">
        <v>18500</v>
      </c>
      <c r="T93" s="83"/>
      <c r="U93" s="83">
        <v>0</v>
      </c>
      <c r="V93" s="83"/>
      <c r="W93" s="83">
        <v>0</v>
      </c>
      <c r="X93" s="83"/>
      <c r="Y93" s="83">
        <v>0</v>
      </c>
      <c r="Z93" s="83"/>
      <c r="AA93" s="83">
        <v>0</v>
      </c>
      <c r="AB93" s="83"/>
      <c r="AC93" s="83">
        <v>0</v>
      </c>
      <c r="AD93" s="83"/>
      <c r="AE93" s="83">
        <f t="shared" si="26"/>
        <v>140663.29</v>
      </c>
      <c r="AF93" s="83"/>
      <c r="AG93" s="36">
        <v>-36001.64</v>
      </c>
      <c r="AH93" s="36"/>
      <c r="AI93" s="36">
        <v>70552.75</v>
      </c>
      <c r="AJ93" s="36"/>
      <c r="AK93" s="36">
        <v>34551.11</v>
      </c>
      <c r="AL93" s="24">
        <f>+'Gen Rev'!AI93-'Gen Exp'!AE93+'Gen Exp'!AI93-AK93</f>
        <v>0.06999999997788109</v>
      </c>
      <c r="AM93" s="44" t="str">
        <f>'Gen Rev'!A93</f>
        <v>Buchtel</v>
      </c>
      <c r="AN93" s="21" t="str">
        <f t="shared" si="29"/>
        <v>Buchtel</v>
      </c>
      <c r="AO93" s="21" t="b">
        <f t="shared" si="30"/>
        <v>1</v>
      </c>
    </row>
    <row r="94" spans="1:41" ht="12.75">
      <c r="A94" s="1" t="s">
        <v>130</v>
      </c>
      <c r="C94" s="1" t="s">
        <v>785</v>
      </c>
      <c r="D94" s="23"/>
      <c r="E94" s="36">
        <v>0</v>
      </c>
      <c r="F94" s="36"/>
      <c r="G94" s="36">
        <v>8553.42</v>
      </c>
      <c r="H94" s="36"/>
      <c r="I94" s="36">
        <v>3246.95</v>
      </c>
      <c r="J94" s="36"/>
      <c r="K94" s="36">
        <v>33832.9</v>
      </c>
      <c r="L94" s="36"/>
      <c r="M94" s="36">
        <v>0</v>
      </c>
      <c r="N94" s="36"/>
      <c r="O94" s="36">
        <v>1496</v>
      </c>
      <c r="P94" s="36"/>
      <c r="Q94" s="36">
        <v>118095.82</v>
      </c>
      <c r="R94" s="36"/>
      <c r="S94" s="36">
        <v>0</v>
      </c>
      <c r="T94" s="36"/>
      <c r="U94" s="36">
        <v>0</v>
      </c>
      <c r="V94" s="36"/>
      <c r="W94" s="36">
        <v>0</v>
      </c>
      <c r="X94" s="36"/>
      <c r="Y94" s="36">
        <v>91000</v>
      </c>
      <c r="Z94" s="36"/>
      <c r="AA94" s="36">
        <v>0</v>
      </c>
      <c r="AB94" s="36"/>
      <c r="AC94" s="36">
        <v>0</v>
      </c>
      <c r="AD94" s="36"/>
      <c r="AE94" s="36">
        <f aca="true" t="shared" si="34" ref="AE94:AE97">SUM(E94:AC94)</f>
        <v>256225.09000000003</v>
      </c>
      <c r="AF94" s="36"/>
      <c r="AG94" s="36">
        <v>16244.33</v>
      </c>
      <c r="AH94" s="36"/>
      <c r="AI94" s="36">
        <v>147052.97</v>
      </c>
      <c r="AJ94" s="36"/>
      <c r="AK94" s="36">
        <v>163297.3</v>
      </c>
      <c r="AL94" s="24">
        <f>+'Gen Rev'!AI94-'Gen Exp'!AE94+'Gen Exp'!AI94-AK94</f>
        <v>0</v>
      </c>
      <c r="AM94" s="44" t="str">
        <f>'Gen Rev'!A94</f>
        <v>Buckeye Lake</v>
      </c>
      <c r="AN94" s="21" t="str">
        <f t="shared" si="29"/>
        <v>Buckeye Lake</v>
      </c>
      <c r="AO94" s="21" t="b">
        <f t="shared" si="30"/>
        <v>1</v>
      </c>
    </row>
    <row r="95" spans="1:41" s="21" customFormat="1" ht="12.75">
      <c r="A95" s="1" t="s">
        <v>11</v>
      </c>
      <c r="B95" s="1"/>
      <c r="C95" s="1" t="s">
        <v>749</v>
      </c>
      <c r="D95" s="23"/>
      <c r="E95" s="36">
        <v>15327.58</v>
      </c>
      <c r="F95" s="36"/>
      <c r="G95" s="36">
        <v>0</v>
      </c>
      <c r="H95" s="36"/>
      <c r="I95" s="36">
        <v>4725.05</v>
      </c>
      <c r="J95" s="36"/>
      <c r="K95" s="36">
        <v>0</v>
      </c>
      <c r="L95" s="36"/>
      <c r="M95" s="36">
        <v>0</v>
      </c>
      <c r="N95" s="36"/>
      <c r="O95" s="36">
        <v>910</v>
      </c>
      <c r="P95" s="36"/>
      <c r="Q95" s="36">
        <v>30603.37</v>
      </c>
      <c r="R95" s="36"/>
      <c r="S95" s="36">
        <v>0</v>
      </c>
      <c r="T95" s="36"/>
      <c r="U95" s="36">
        <v>0</v>
      </c>
      <c r="V95" s="36"/>
      <c r="W95" s="36">
        <v>0</v>
      </c>
      <c r="X95" s="36"/>
      <c r="Y95" s="36">
        <v>27332.14</v>
      </c>
      <c r="Z95" s="36"/>
      <c r="AA95" s="36">
        <v>0</v>
      </c>
      <c r="AB95" s="36"/>
      <c r="AC95" s="36">
        <v>0</v>
      </c>
      <c r="AD95" s="36"/>
      <c r="AE95" s="36">
        <f t="shared" si="34"/>
        <v>78898.14</v>
      </c>
      <c r="AF95" s="36"/>
      <c r="AG95" s="36">
        <v>-7873.52</v>
      </c>
      <c r="AH95" s="36"/>
      <c r="AI95" s="36">
        <v>46682.81</v>
      </c>
      <c r="AJ95" s="36"/>
      <c r="AK95" s="36">
        <v>38809.29</v>
      </c>
      <c r="AL95" s="24">
        <f>+'Gen Rev'!AI95-'Gen Exp'!AE95+'Gen Exp'!AI95-AK95</f>
        <v>0</v>
      </c>
      <c r="AM95" s="44" t="str">
        <f>'Gen Rev'!A95</f>
        <v>Buckland</v>
      </c>
      <c r="AN95" s="21" t="str">
        <f t="shared" si="29"/>
        <v>Buckland</v>
      </c>
      <c r="AO95" s="21" t="b">
        <f t="shared" si="30"/>
        <v>1</v>
      </c>
    </row>
    <row r="96" spans="1:41" ht="12.75">
      <c r="A96" s="1" t="s">
        <v>248</v>
      </c>
      <c r="C96" s="1" t="s">
        <v>823</v>
      </c>
      <c r="D96" s="23"/>
      <c r="E96" s="36">
        <v>0</v>
      </c>
      <c r="F96" s="36"/>
      <c r="G96" s="36">
        <v>0</v>
      </c>
      <c r="H96" s="36"/>
      <c r="I96" s="36">
        <v>0</v>
      </c>
      <c r="J96" s="36"/>
      <c r="K96" s="36">
        <v>988.96</v>
      </c>
      <c r="L96" s="36"/>
      <c r="M96" s="36">
        <v>5230.8</v>
      </c>
      <c r="N96" s="36"/>
      <c r="O96" s="36">
        <v>0</v>
      </c>
      <c r="P96" s="36"/>
      <c r="Q96" s="36">
        <v>18971.51</v>
      </c>
      <c r="R96" s="36"/>
      <c r="S96" s="36">
        <v>0</v>
      </c>
      <c r="T96" s="36"/>
      <c r="U96" s="36">
        <v>15000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48</v>
      </c>
      <c r="AD96" s="36"/>
      <c r="AE96" s="36">
        <f t="shared" si="34"/>
        <v>40239.27</v>
      </c>
      <c r="AF96" s="36"/>
      <c r="AG96" s="36">
        <v>12886.49</v>
      </c>
      <c r="AH96" s="36"/>
      <c r="AI96" s="36">
        <v>26775.18</v>
      </c>
      <c r="AJ96" s="36"/>
      <c r="AK96" s="36">
        <v>39661.67</v>
      </c>
      <c r="AL96" s="24">
        <f>+'Gen Rev'!AI96-'Gen Exp'!AE96+'Gen Exp'!AI96-AK96</f>
        <v>0</v>
      </c>
      <c r="AM96" s="44" t="str">
        <f>'Gen Rev'!A96</f>
        <v>Burbank</v>
      </c>
      <c r="AN96" s="21" t="str">
        <f t="shared" si="29"/>
        <v>Burbank</v>
      </c>
      <c r="AO96" s="21" t="b">
        <f t="shared" si="30"/>
        <v>1</v>
      </c>
    </row>
    <row r="97" spans="1:41" s="15" customFormat="1" ht="12.75">
      <c r="A97" s="15" t="s">
        <v>526</v>
      </c>
      <c r="C97" s="15" t="s">
        <v>527</v>
      </c>
      <c r="E97" s="36">
        <v>3424.04</v>
      </c>
      <c r="F97" s="36"/>
      <c r="G97" s="36">
        <v>0</v>
      </c>
      <c r="H97" s="36"/>
      <c r="I97" s="36">
        <v>9358.9</v>
      </c>
      <c r="J97" s="36"/>
      <c r="K97" s="36">
        <v>0</v>
      </c>
      <c r="L97" s="36"/>
      <c r="M97" s="36">
        <v>6000</v>
      </c>
      <c r="N97" s="36"/>
      <c r="O97" s="36">
        <v>0</v>
      </c>
      <c r="P97" s="36"/>
      <c r="Q97" s="36">
        <v>20555.11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12.66</v>
      </c>
      <c r="AD97" s="36"/>
      <c r="AE97" s="36">
        <f t="shared" si="34"/>
        <v>39350.71000000001</v>
      </c>
      <c r="AF97" s="36"/>
      <c r="AG97" s="36">
        <v>2340.74</v>
      </c>
      <c r="AH97" s="36"/>
      <c r="AI97" s="36">
        <v>31426.19</v>
      </c>
      <c r="AJ97" s="36"/>
      <c r="AK97" s="36">
        <v>33766.93</v>
      </c>
      <c r="AL97" s="24">
        <f>+'Gen Rev'!AI97-'Gen Exp'!AE97+'Gen Exp'!AI97-AK97</f>
        <v>0</v>
      </c>
      <c r="AM97" s="44" t="str">
        <f>'Gen Rev'!A97</f>
        <v>Burgoon</v>
      </c>
      <c r="AN97" s="21" t="str">
        <f t="shared" si="29"/>
        <v>Burgoon</v>
      </c>
      <c r="AO97" s="21" t="b">
        <f t="shared" si="30"/>
        <v>1</v>
      </c>
    </row>
    <row r="98" spans="1:41" ht="12.75">
      <c r="A98" s="1" t="s">
        <v>465</v>
      </c>
      <c r="C98" s="1" t="s">
        <v>705</v>
      </c>
      <c r="E98" s="83">
        <v>7268</v>
      </c>
      <c r="F98" s="83"/>
      <c r="G98" s="83">
        <v>1478</v>
      </c>
      <c r="H98" s="83"/>
      <c r="I98" s="83">
        <v>1419</v>
      </c>
      <c r="J98" s="83"/>
      <c r="K98" s="83">
        <v>0</v>
      </c>
      <c r="L98" s="83"/>
      <c r="M98" s="83">
        <v>6222</v>
      </c>
      <c r="N98" s="83"/>
      <c r="O98" s="83">
        <v>0</v>
      </c>
      <c r="P98" s="83"/>
      <c r="Q98" s="83">
        <v>14025</v>
      </c>
      <c r="R98" s="83"/>
      <c r="S98" s="83">
        <v>0</v>
      </c>
      <c r="T98" s="83"/>
      <c r="U98" s="83">
        <v>26414</v>
      </c>
      <c r="V98" s="83"/>
      <c r="W98" s="83">
        <v>0</v>
      </c>
      <c r="X98" s="83"/>
      <c r="Y98" s="83">
        <v>0</v>
      </c>
      <c r="Z98" s="83"/>
      <c r="AA98" s="85">
        <v>0</v>
      </c>
      <c r="AB98" s="83"/>
      <c r="AC98" s="83">
        <v>0</v>
      </c>
      <c r="AD98" s="83"/>
      <c r="AE98" s="83">
        <f t="shared" si="26"/>
        <v>56826</v>
      </c>
      <c r="AF98" s="83"/>
      <c r="AG98" s="83">
        <v>5396</v>
      </c>
      <c r="AH98" s="83"/>
      <c r="AI98" s="83">
        <v>12125</v>
      </c>
      <c r="AJ98" s="83"/>
      <c r="AK98" s="83">
        <v>17521</v>
      </c>
      <c r="AL98" s="24">
        <f>+'Gen Rev'!AI98-'Gen Exp'!AE98+'Gen Exp'!AI98-AK98</f>
        <v>0</v>
      </c>
      <c r="AM98" s="44" t="str">
        <f>'Gen Rev'!A98</f>
        <v>Burkettsville</v>
      </c>
      <c r="AN98" s="21" t="str">
        <f t="shared" si="29"/>
        <v>Burkettsville</v>
      </c>
      <c r="AO98" s="21" t="b">
        <f t="shared" si="30"/>
        <v>1</v>
      </c>
    </row>
    <row r="99" spans="1:41" ht="12.75">
      <c r="A99" s="1" t="s">
        <v>687</v>
      </c>
      <c r="C99" s="1" t="s">
        <v>368</v>
      </c>
      <c r="E99" s="83">
        <v>0</v>
      </c>
      <c r="F99" s="83"/>
      <c r="G99" s="83">
        <v>0</v>
      </c>
      <c r="H99" s="83"/>
      <c r="I99" s="83">
        <v>29931.2</v>
      </c>
      <c r="J99" s="83"/>
      <c r="K99" s="83">
        <v>12217.02</v>
      </c>
      <c r="L99" s="83"/>
      <c r="M99" s="83">
        <v>0</v>
      </c>
      <c r="N99" s="83"/>
      <c r="O99" s="83">
        <v>0</v>
      </c>
      <c r="P99" s="83"/>
      <c r="Q99" s="83">
        <v>171842.11</v>
      </c>
      <c r="R99" s="83"/>
      <c r="S99" s="83">
        <v>0</v>
      </c>
      <c r="T99" s="83"/>
      <c r="U99" s="83">
        <v>0</v>
      </c>
      <c r="V99" s="83"/>
      <c r="W99" s="83">
        <v>0</v>
      </c>
      <c r="X99" s="83"/>
      <c r="Y99" s="83">
        <v>308980</v>
      </c>
      <c r="Z99" s="83"/>
      <c r="AA99" s="85">
        <v>66500</v>
      </c>
      <c r="AB99" s="83"/>
      <c r="AC99" s="83">
        <v>12089.94</v>
      </c>
      <c r="AD99" s="83"/>
      <c r="AE99" s="83">
        <f t="shared" si="26"/>
        <v>601560.2699999999</v>
      </c>
      <c r="AF99" s="83"/>
      <c r="AG99" s="83">
        <v>896824</v>
      </c>
      <c r="AH99" s="83"/>
      <c r="AI99" s="83">
        <v>287342.64</v>
      </c>
      <c r="AJ99" s="83"/>
      <c r="AK99" s="83">
        <v>1184166.64</v>
      </c>
      <c r="AL99" s="24">
        <f>+'Gen Rev'!AI99-'Gen Exp'!AE99+'Gen Exp'!AI99-AK99</f>
        <v>0.40000000037252903</v>
      </c>
      <c r="AM99" s="44" t="str">
        <f>'Gen Rev'!A99</f>
        <v>Burton</v>
      </c>
      <c r="AN99" s="21" t="str">
        <f t="shared" si="29"/>
        <v>Burton</v>
      </c>
      <c r="AO99" s="21" t="b">
        <f t="shared" si="30"/>
        <v>1</v>
      </c>
    </row>
    <row r="100" spans="1:41" s="15" customFormat="1" ht="12.75">
      <c r="A100" s="15" t="s">
        <v>519</v>
      </c>
      <c r="C100" s="15" t="s">
        <v>520</v>
      </c>
      <c r="E100" s="85">
        <v>87848.4</v>
      </c>
      <c r="F100" s="85"/>
      <c r="G100" s="85">
        <v>0</v>
      </c>
      <c r="H100" s="85"/>
      <c r="I100" s="85">
        <v>495</v>
      </c>
      <c r="J100" s="85"/>
      <c r="K100" s="85">
        <v>3416.62</v>
      </c>
      <c r="L100" s="85"/>
      <c r="M100" s="85">
        <v>358732.42</v>
      </c>
      <c r="N100" s="85"/>
      <c r="O100" s="85">
        <v>86157.29</v>
      </c>
      <c r="P100" s="85"/>
      <c r="Q100" s="85">
        <v>43456.2</v>
      </c>
      <c r="R100" s="85"/>
      <c r="S100" s="85">
        <v>0</v>
      </c>
      <c r="T100" s="85"/>
      <c r="U100" s="85">
        <v>0</v>
      </c>
      <c r="V100" s="85"/>
      <c r="W100" s="85">
        <v>0</v>
      </c>
      <c r="X100" s="85"/>
      <c r="Y100" s="85">
        <v>0</v>
      </c>
      <c r="Z100" s="85"/>
      <c r="AA100" s="85">
        <v>0</v>
      </c>
      <c r="AB100" s="85"/>
      <c r="AC100" s="83">
        <v>0</v>
      </c>
      <c r="AD100" s="85"/>
      <c r="AE100" s="83">
        <f t="shared" si="26"/>
        <v>580105.9299999999</v>
      </c>
      <c r="AF100" s="85"/>
      <c r="AG100" s="85"/>
      <c r="AH100" s="85"/>
      <c r="AI100" s="85">
        <v>314756.81</v>
      </c>
      <c r="AJ100" s="85"/>
      <c r="AK100" s="85">
        <v>335864.95</v>
      </c>
      <c r="AL100" s="24">
        <f>+'Gen Rev'!AI100-'Gen Exp'!AE100+'Gen Exp'!AI100-AK100</f>
        <v>0</v>
      </c>
      <c r="AM100" s="44" t="str">
        <f>'Gen Rev'!A100</f>
        <v>Butler</v>
      </c>
      <c r="AN100" s="21" t="str">
        <f t="shared" si="29"/>
        <v>Butler</v>
      </c>
      <c r="AO100" s="21" t="b">
        <f t="shared" si="30"/>
        <v>1</v>
      </c>
    </row>
    <row r="101" spans="1:41" ht="12.75">
      <c r="A101" s="1" t="s">
        <v>241</v>
      </c>
      <c r="C101" s="1" t="s">
        <v>821</v>
      </c>
      <c r="D101" s="23"/>
      <c r="E101" s="36">
        <v>2425.51</v>
      </c>
      <c r="F101" s="36"/>
      <c r="G101" s="36">
        <v>0</v>
      </c>
      <c r="H101" s="36"/>
      <c r="I101" s="36">
        <v>0</v>
      </c>
      <c r="J101" s="36"/>
      <c r="K101" s="36">
        <v>0</v>
      </c>
      <c r="L101" s="36"/>
      <c r="M101" s="36">
        <v>0</v>
      </c>
      <c r="N101" s="36"/>
      <c r="O101" s="36">
        <v>0</v>
      </c>
      <c r="P101" s="36"/>
      <c r="Q101" s="36">
        <v>5584.05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f aca="true" t="shared" si="35" ref="AE101:AE107">SUM(E101:AC101)</f>
        <v>8009.56</v>
      </c>
      <c r="AF101" s="36"/>
      <c r="AG101" s="36">
        <v>4716.94</v>
      </c>
      <c r="AH101" s="36"/>
      <c r="AI101" s="36">
        <v>6670.63</v>
      </c>
      <c r="AJ101" s="36"/>
      <c r="AK101" s="36">
        <v>11387.57</v>
      </c>
      <c r="AL101" s="24">
        <f>+'Gen Rev'!AI101-'Gen Exp'!AE101+'Gen Exp'!AI101-AK101</f>
        <v>0</v>
      </c>
      <c r="AM101" s="44" t="str">
        <f>'Gen Rev'!A101</f>
        <v>Butlerville</v>
      </c>
      <c r="AN101" s="21" t="str">
        <f t="shared" si="29"/>
        <v>Butlerville</v>
      </c>
      <c r="AO101" s="21" t="b">
        <f t="shared" si="30"/>
        <v>1</v>
      </c>
    </row>
    <row r="102" spans="1:41" s="21" customFormat="1" ht="12.75">
      <c r="A102" s="1" t="s">
        <v>86</v>
      </c>
      <c r="B102" s="1"/>
      <c r="C102" s="1" t="s">
        <v>772</v>
      </c>
      <c r="D102" s="23"/>
      <c r="E102" s="36">
        <v>74737.43</v>
      </c>
      <c r="F102" s="36"/>
      <c r="G102" s="36">
        <v>0</v>
      </c>
      <c r="H102" s="36"/>
      <c r="I102" s="36">
        <v>0</v>
      </c>
      <c r="J102" s="36"/>
      <c r="K102" s="36">
        <v>0</v>
      </c>
      <c r="L102" s="36"/>
      <c r="M102" s="36">
        <v>56671.28</v>
      </c>
      <c r="N102" s="36"/>
      <c r="O102" s="36">
        <v>0</v>
      </c>
      <c r="P102" s="36"/>
      <c r="Q102" s="36">
        <v>200941.89</v>
      </c>
      <c r="R102" s="36"/>
      <c r="S102" s="36">
        <v>62325.55</v>
      </c>
      <c r="T102" s="36"/>
      <c r="U102" s="36">
        <v>0</v>
      </c>
      <c r="V102" s="36"/>
      <c r="W102" s="36">
        <v>0</v>
      </c>
      <c r="X102" s="36"/>
      <c r="Y102" s="36">
        <v>177295.34</v>
      </c>
      <c r="Z102" s="36"/>
      <c r="AA102" s="36">
        <v>0</v>
      </c>
      <c r="AB102" s="36"/>
      <c r="AC102" s="36">
        <v>0</v>
      </c>
      <c r="AD102" s="36"/>
      <c r="AE102" s="36">
        <f t="shared" si="35"/>
        <v>571971.49</v>
      </c>
      <c r="AF102" s="36"/>
      <c r="AG102" s="36">
        <v>43469.58</v>
      </c>
      <c r="AH102" s="36"/>
      <c r="AI102" s="36">
        <v>116147.38</v>
      </c>
      <c r="AJ102" s="36"/>
      <c r="AK102" s="36">
        <v>159616.96</v>
      </c>
      <c r="AL102" s="24">
        <f>+'Gen Rev'!AI102-'Gen Exp'!AE102+'Gen Exp'!AI102-AK102</f>
        <v>0</v>
      </c>
      <c r="AM102" s="44" t="str">
        <f>'Gen Rev'!A102</f>
        <v>Byesville</v>
      </c>
      <c r="AN102" s="21" t="str">
        <f t="shared" si="29"/>
        <v>Byesville</v>
      </c>
      <c r="AO102" s="21" t="b">
        <f t="shared" si="30"/>
        <v>1</v>
      </c>
    </row>
    <row r="103" spans="1:41" s="21" customFormat="1" ht="12.6" customHeight="1">
      <c r="A103" s="1" t="s">
        <v>100</v>
      </c>
      <c r="B103" s="1"/>
      <c r="C103" s="1" t="s">
        <v>403</v>
      </c>
      <c r="D103" s="1"/>
      <c r="E103" s="36">
        <v>429657.87</v>
      </c>
      <c r="F103" s="36"/>
      <c r="G103" s="36">
        <v>19777.72</v>
      </c>
      <c r="H103" s="36"/>
      <c r="I103" s="36">
        <v>247122.61</v>
      </c>
      <c r="J103" s="36"/>
      <c r="K103" s="36">
        <v>1439.81</v>
      </c>
      <c r="L103" s="36"/>
      <c r="M103" s="36">
        <v>0</v>
      </c>
      <c r="N103" s="36"/>
      <c r="O103" s="36">
        <v>187430.42</v>
      </c>
      <c r="P103" s="36"/>
      <c r="Q103" s="36">
        <v>329671.96</v>
      </c>
      <c r="R103" s="36"/>
      <c r="S103" s="36">
        <v>17423.27</v>
      </c>
      <c r="T103" s="36"/>
      <c r="U103" s="36">
        <v>5958.5</v>
      </c>
      <c r="V103" s="36"/>
      <c r="W103" s="36">
        <v>0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f t="shared" si="35"/>
        <v>1238482.1600000001</v>
      </c>
      <c r="AF103" s="36"/>
      <c r="AG103" s="36">
        <v>-174593.49</v>
      </c>
      <c r="AH103" s="36"/>
      <c r="AI103" s="36">
        <v>427981.35</v>
      </c>
      <c r="AJ103" s="36"/>
      <c r="AK103" s="36">
        <v>253387.86</v>
      </c>
      <c r="AL103" s="24">
        <f>+'Gen Rev'!AI103-'Gen Exp'!AE103+'Gen Exp'!AI103-AK103</f>
        <v>-2.3283064365386963E-10</v>
      </c>
      <c r="AM103" s="44" t="str">
        <f>'Gen Rev'!A103</f>
        <v>Cadiz</v>
      </c>
      <c r="AN103" s="21" t="str">
        <f t="shared" si="29"/>
        <v>Cadiz</v>
      </c>
      <c r="AO103" s="21" t="b">
        <f t="shared" si="30"/>
        <v>1</v>
      </c>
    </row>
    <row r="104" spans="1:41" s="21" customFormat="1" ht="12.6" customHeight="1">
      <c r="A104" s="1" t="s">
        <v>708</v>
      </c>
      <c r="B104" s="1"/>
      <c r="C104" s="1" t="s">
        <v>709</v>
      </c>
      <c r="D104" s="1"/>
      <c r="E104" s="36">
        <v>14760.11</v>
      </c>
      <c r="F104" s="36"/>
      <c r="G104" s="36">
        <v>1454.13</v>
      </c>
      <c r="H104" s="36"/>
      <c r="I104" s="36">
        <v>9888.5</v>
      </c>
      <c r="J104" s="36"/>
      <c r="K104" s="36">
        <v>731.6</v>
      </c>
      <c r="L104" s="36"/>
      <c r="M104" s="36">
        <v>0</v>
      </c>
      <c r="N104" s="36"/>
      <c r="O104" s="36">
        <v>0</v>
      </c>
      <c r="P104" s="36"/>
      <c r="Q104" s="36">
        <v>60628.74</v>
      </c>
      <c r="R104" s="36"/>
      <c r="S104" s="36">
        <v>9969.15</v>
      </c>
      <c r="T104" s="36"/>
      <c r="U104" s="36">
        <v>0</v>
      </c>
      <c r="V104" s="36"/>
      <c r="W104" s="36">
        <v>0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f t="shared" si="35"/>
        <v>97432.23</v>
      </c>
      <c r="AF104" s="36"/>
      <c r="AG104" s="36">
        <v>4075.6</v>
      </c>
      <c r="AH104" s="36"/>
      <c r="AI104" s="36">
        <v>107332.51</v>
      </c>
      <c r="AJ104" s="36"/>
      <c r="AK104" s="36">
        <v>111408.11</v>
      </c>
      <c r="AL104" s="24">
        <f>+'Gen Rev'!AI104-'Gen Exp'!AE104+'Gen Exp'!AI104-AK104</f>
        <v>0</v>
      </c>
      <c r="AM104" s="44" t="str">
        <f>'Gen Rev'!A104</f>
        <v>Cairo</v>
      </c>
      <c r="AN104" s="21" t="str">
        <f t="shared" si="29"/>
        <v>Cairo</v>
      </c>
      <c r="AO104" s="21" t="b">
        <f t="shared" si="30"/>
        <v>1</v>
      </c>
    </row>
    <row r="105" spans="1:41" ht="12.75">
      <c r="A105" s="1" t="s">
        <v>177</v>
      </c>
      <c r="C105" s="1" t="s">
        <v>801</v>
      </c>
      <c r="D105" s="23"/>
      <c r="E105" s="36">
        <v>126670.83</v>
      </c>
      <c r="F105" s="36"/>
      <c r="G105" s="36">
        <v>0</v>
      </c>
      <c r="H105" s="36"/>
      <c r="I105" s="36">
        <v>704</v>
      </c>
      <c r="J105" s="36"/>
      <c r="K105" s="36">
        <v>1000</v>
      </c>
      <c r="L105" s="36"/>
      <c r="M105" s="36">
        <v>0</v>
      </c>
      <c r="N105" s="36"/>
      <c r="O105" s="36">
        <v>104355.31</v>
      </c>
      <c r="P105" s="36"/>
      <c r="Q105" s="36">
        <v>80550.48</v>
      </c>
      <c r="R105" s="36"/>
      <c r="S105" s="36">
        <v>0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f t="shared" si="35"/>
        <v>313280.62</v>
      </c>
      <c r="AF105" s="36"/>
      <c r="AG105" s="36">
        <v>-28441.96</v>
      </c>
      <c r="AH105" s="36"/>
      <c r="AI105" s="36">
        <v>1615978.63</v>
      </c>
      <c r="AJ105" s="36"/>
      <c r="AK105" s="36">
        <v>1587536.67</v>
      </c>
      <c r="AL105" s="24">
        <f>+'Gen Rev'!AI105-'Gen Exp'!AE105+'Gen Exp'!AI105-AK105</f>
        <v>0</v>
      </c>
      <c r="AM105" s="44" t="str">
        <f>'Gen Rev'!A105</f>
        <v>Caldwell</v>
      </c>
      <c r="AN105" s="21" t="str">
        <f t="shared" si="29"/>
        <v>Caldwell</v>
      </c>
      <c r="AO105" s="21" t="b">
        <f t="shared" si="30"/>
        <v>1</v>
      </c>
    </row>
    <row r="106" spans="1:41" ht="12.75">
      <c r="A106" s="1" t="s">
        <v>147</v>
      </c>
      <c r="C106" s="1" t="s">
        <v>791</v>
      </c>
      <c r="D106" s="23"/>
      <c r="E106" s="36">
        <v>27480.45</v>
      </c>
      <c r="F106" s="36"/>
      <c r="G106" s="36">
        <v>1807.5</v>
      </c>
      <c r="H106" s="36"/>
      <c r="I106" s="36">
        <v>4299.91</v>
      </c>
      <c r="J106" s="36"/>
      <c r="K106" s="36">
        <v>2695.87</v>
      </c>
      <c r="L106" s="36"/>
      <c r="M106" s="36">
        <v>2134.26</v>
      </c>
      <c r="N106" s="36"/>
      <c r="O106" s="36">
        <v>17316.46</v>
      </c>
      <c r="P106" s="36"/>
      <c r="Q106" s="36">
        <v>40507.53</v>
      </c>
      <c r="R106" s="36"/>
      <c r="S106" s="36">
        <v>4050.68</v>
      </c>
      <c r="T106" s="36"/>
      <c r="U106" s="36">
        <v>417.34</v>
      </c>
      <c r="V106" s="36"/>
      <c r="W106" s="36">
        <v>0</v>
      </c>
      <c r="X106" s="36"/>
      <c r="Y106" s="36">
        <v>253.92</v>
      </c>
      <c r="Z106" s="36"/>
      <c r="AA106" s="36">
        <v>0</v>
      </c>
      <c r="AB106" s="36"/>
      <c r="AC106" s="36">
        <v>0</v>
      </c>
      <c r="AD106" s="36"/>
      <c r="AE106" s="36">
        <f t="shared" si="35"/>
        <v>100963.92</v>
      </c>
      <c r="AF106" s="36"/>
      <c r="AG106" s="36">
        <v>-5422.25</v>
      </c>
      <c r="AH106" s="36"/>
      <c r="AI106" s="36">
        <v>172437.51</v>
      </c>
      <c r="AJ106" s="36"/>
      <c r="AK106" s="36">
        <v>167015.26</v>
      </c>
      <c r="AL106" s="24">
        <f>+'Gen Rev'!AI106-'Gen Exp'!AE106+'Gen Exp'!AI106-AK106</f>
        <v>0</v>
      </c>
      <c r="AM106" s="44" t="str">
        <f>'Gen Rev'!A106</f>
        <v>Caledonia</v>
      </c>
      <c r="AN106" s="21" t="str">
        <f t="shared" si="29"/>
        <v>Caledonia</v>
      </c>
      <c r="AO106" s="21" t="b">
        <f t="shared" si="30"/>
        <v>1</v>
      </c>
    </row>
    <row r="107" spans="1:41" ht="12.75">
      <c r="A107" s="1" t="s">
        <v>198</v>
      </c>
      <c r="C107" s="1" t="s">
        <v>807</v>
      </c>
      <c r="D107" s="23"/>
      <c r="E107" s="36">
        <v>180264.43</v>
      </c>
      <c r="F107" s="36"/>
      <c r="G107" s="36">
        <v>0</v>
      </c>
      <c r="H107" s="36"/>
      <c r="I107" s="36">
        <v>0</v>
      </c>
      <c r="J107" s="36"/>
      <c r="K107" s="36">
        <v>0</v>
      </c>
      <c r="L107" s="36"/>
      <c r="M107" s="36">
        <v>11938.97</v>
      </c>
      <c r="N107" s="36"/>
      <c r="O107" s="36">
        <v>0</v>
      </c>
      <c r="P107" s="36"/>
      <c r="Q107" s="36">
        <v>161229.37</v>
      </c>
      <c r="R107" s="36"/>
      <c r="S107" s="36">
        <v>0</v>
      </c>
      <c r="T107" s="36"/>
      <c r="U107" s="36">
        <v>0</v>
      </c>
      <c r="V107" s="36"/>
      <c r="W107" s="36">
        <v>0</v>
      </c>
      <c r="X107" s="36"/>
      <c r="Y107" s="36">
        <v>16196.52</v>
      </c>
      <c r="Z107" s="36"/>
      <c r="AA107" s="36">
        <v>0</v>
      </c>
      <c r="AB107" s="36"/>
      <c r="AC107" s="36">
        <v>0</v>
      </c>
      <c r="AD107" s="36"/>
      <c r="AE107" s="36">
        <f t="shared" si="35"/>
        <v>369629.29000000004</v>
      </c>
      <c r="AF107" s="36"/>
      <c r="AG107" s="36">
        <v>-32966.08</v>
      </c>
      <c r="AH107" s="36"/>
      <c r="AI107" s="36">
        <v>155297.16</v>
      </c>
      <c r="AJ107" s="36"/>
      <c r="AK107" s="36">
        <v>122331.08</v>
      </c>
      <c r="AL107" s="24">
        <f>+'Gen Rev'!AI107-'Gen Exp'!AE107+'Gen Exp'!AI107-AK107</f>
        <v>0</v>
      </c>
      <c r="AM107" s="44" t="str">
        <f>'Gen Rev'!A107</f>
        <v>Camden</v>
      </c>
      <c r="AN107" s="21" t="str">
        <f t="shared" si="29"/>
        <v>Camden</v>
      </c>
      <c r="AO107" s="21" t="b">
        <f t="shared" si="30"/>
        <v>1</v>
      </c>
    </row>
    <row r="108" spans="1:41" s="21" customFormat="1" ht="12.6" customHeight="1" hidden="1">
      <c r="A108" s="1" t="s">
        <v>352</v>
      </c>
      <c r="B108" s="1"/>
      <c r="C108" s="1" t="s">
        <v>353</v>
      </c>
      <c r="D108" s="1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5"/>
      <c r="AB108" s="83"/>
      <c r="AC108" s="83"/>
      <c r="AD108" s="83"/>
      <c r="AE108" s="83">
        <f t="shared" si="26"/>
        <v>0</v>
      </c>
      <c r="AF108" s="83"/>
      <c r="AG108" s="36"/>
      <c r="AH108" s="36"/>
      <c r="AI108" s="36"/>
      <c r="AJ108" s="36"/>
      <c r="AK108" s="36"/>
      <c r="AL108" s="24">
        <f>+'Gen Rev'!AI108-'Gen Exp'!AE108+'Gen Exp'!AI108-AK108</f>
        <v>0</v>
      </c>
      <c r="AM108" s="44" t="str">
        <f>'Gen Rev'!A108</f>
        <v>Canal Winchester</v>
      </c>
      <c r="AN108" s="21" t="str">
        <f t="shared" si="29"/>
        <v>Canal Winchester</v>
      </c>
      <c r="AO108" s="21" t="b">
        <f t="shared" si="30"/>
        <v>1</v>
      </c>
    </row>
    <row r="109" spans="1:41" ht="12.75">
      <c r="A109" s="1" t="s">
        <v>170</v>
      </c>
      <c r="C109" s="1" t="s">
        <v>799</v>
      </c>
      <c r="D109" s="23"/>
      <c r="E109" s="83">
        <v>311672</v>
      </c>
      <c r="F109" s="83"/>
      <c r="G109" s="83">
        <v>1417</v>
      </c>
      <c r="H109" s="83"/>
      <c r="I109" s="83">
        <v>0</v>
      </c>
      <c r="J109" s="83"/>
      <c r="K109" s="83">
        <v>6427</v>
      </c>
      <c r="L109" s="83"/>
      <c r="M109" s="83">
        <v>10472</v>
      </c>
      <c r="N109" s="83"/>
      <c r="O109" s="83">
        <v>0</v>
      </c>
      <c r="P109" s="83"/>
      <c r="Q109" s="83">
        <v>249072</v>
      </c>
      <c r="R109" s="83"/>
      <c r="S109" s="83">
        <v>0</v>
      </c>
      <c r="T109" s="83"/>
      <c r="U109" s="83">
        <v>0</v>
      </c>
      <c r="V109" s="83"/>
      <c r="W109" s="83">
        <v>0</v>
      </c>
      <c r="X109" s="83"/>
      <c r="Y109" s="83">
        <v>3183</v>
      </c>
      <c r="Z109" s="83"/>
      <c r="AA109" s="85">
        <v>0</v>
      </c>
      <c r="AB109" s="83"/>
      <c r="AC109" s="83">
        <v>0</v>
      </c>
      <c r="AD109" s="83"/>
      <c r="AE109" s="83">
        <f t="shared" si="26"/>
        <v>582243</v>
      </c>
      <c r="AF109" s="83"/>
      <c r="AG109" s="83">
        <v>77524</v>
      </c>
      <c r="AH109" s="83"/>
      <c r="AI109" s="83">
        <v>76952</v>
      </c>
      <c r="AJ109" s="83"/>
      <c r="AK109" s="83">
        <v>154476</v>
      </c>
      <c r="AL109" s="24">
        <f>+'Gen Rev'!AI109-'Gen Exp'!AE109+'Gen Exp'!AI109-AK109</f>
        <v>0</v>
      </c>
      <c r="AM109" s="44" t="str">
        <f>'Gen Rev'!A109</f>
        <v>Cardington</v>
      </c>
      <c r="AN109" s="21" t="str">
        <f t="shared" si="29"/>
        <v>Cardington</v>
      </c>
      <c r="AO109" s="21" t="b">
        <f t="shared" si="30"/>
        <v>1</v>
      </c>
    </row>
    <row r="110" spans="1:41" ht="12.75">
      <c r="A110" s="1" t="s">
        <v>610</v>
      </c>
      <c r="C110" s="1" t="s">
        <v>611</v>
      </c>
      <c r="E110" s="83">
        <v>801567</v>
      </c>
      <c r="F110" s="83"/>
      <c r="G110" s="83">
        <v>9993</v>
      </c>
      <c r="H110" s="83"/>
      <c r="I110" s="83">
        <v>0</v>
      </c>
      <c r="J110" s="83"/>
      <c r="K110" s="83">
        <v>6624</v>
      </c>
      <c r="L110" s="83"/>
      <c r="M110" s="83">
        <v>2940</v>
      </c>
      <c r="N110" s="83"/>
      <c r="O110" s="83">
        <v>0</v>
      </c>
      <c r="P110" s="83"/>
      <c r="Q110" s="83">
        <v>218743</v>
      </c>
      <c r="R110" s="83"/>
      <c r="S110" s="83">
        <v>0</v>
      </c>
      <c r="T110" s="83"/>
      <c r="U110" s="83">
        <v>50000</v>
      </c>
      <c r="V110" s="83"/>
      <c r="W110" s="83">
        <v>14731</v>
      </c>
      <c r="X110" s="83"/>
      <c r="Y110" s="83">
        <v>0</v>
      </c>
      <c r="Z110" s="83"/>
      <c r="AA110" s="85">
        <v>0</v>
      </c>
      <c r="AB110" s="83"/>
      <c r="AC110" s="83">
        <v>0</v>
      </c>
      <c r="AD110" s="83"/>
      <c r="AE110" s="83">
        <f t="shared" si="26"/>
        <v>1104598</v>
      </c>
      <c r="AF110" s="83"/>
      <c r="AG110" s="83">
        <v>153950</v>
      </c>
      <c r="AH110" s="83"/>
      <c r="AI110" s="83">
        <v>348195</v>
      </c>
      <c r="AJ110" s="83"/>
      <c r="AK110" s="83">
        <v>502145</v>
      </c>
      <c r="AL110" s="24">
        <f>+'Gen Rev'!AI110-'Gen Exp'!AE110+'Gen Exp'!AI110-AK110</f>
        <v>0</v>
      </c>
      <c r="AM110" s="44" t="str">
        <f>'Gen Rev'!A110</f>
        <v>Carey</v>
      </c>
      <c r="AN110" s="21" t="str">
        <f t="shared" si="29"/>
        <v>Carey</v>
      </c>
      <c r="AO110" s="21" t="b">
        <f t="shared" si="30"/>
        <v>1</v>
      </c>
    </row>
    <row r="111" spans="1:41" ht="12.75">
      <c r="A111" s="1" t="s">
        <v>963</v>
      </c>
      <c r="C111" s="1" t="s">
        <v>821</v>
      </c>
      <c r="E111" s="83">
        <v>359691</v>
      </c>
      <c r="F111" s="83"/>
      <c r="G111" s="83">
        <v>0</v>
      </c>
      <c r="H111" s="83"/>
      <c r="I111" s="83">
        <v>6608</v>
      </c>
      <c r="J111" s="83"/>
      <c r="K111" s="83">
        <v>82858</v>
      </c>
      <c r="L111" s="83"/>
      <c r="M111" s="83">
        <v>0</v>
      </c>
      <c r="N111" s="83"/>
      <c r="O111" s="83">
        <v>0</v>
      </c>
      <c r="P111" s="83"/>
      <c r="Q111" s="83">
        <v>411884</v>
      </c>
      <c r="R111" s="83"/>
      <c r="S111" s="83">
        <v>0</v>
      </c>
      <c r="T111" s="83"/>
      <c r="U111" s="83">
        <v>0</v>
      </c>
      <c r="V111" s="83"/>
      <c r="W111" s="83">
        <v>0</v>
      </c>
      <c r="X111" s="83"/>
      <c r="Y111" s="83">
        <v>191500</v>
      </c>
      <c r="Z111" s="83"/>
      <c r="AA111" s="85">
        <v>0</v>
      </c>
      <c r="AB111" s="83"/>
      <c r="AC111" s="83">
        <v>0</v>
      </c>
      <c r="AD111" s="83"/>
      <c r="AE111" s="83">
        <f t="shared" si="26"/>
        <v>1052541</v>
      </c>
      <c r="AF111" s="83"/>
      <c r="AG111" s="83">
        <v>-98123</v>
      </c>
      <c r="AH111" s="83"/>
      <c r="AI111" s="83">
        <v>660241</v>
      </c>
      <c r="AJ111" s="83"/>
      <c r="AK111" s="83">
        <v>562118</v>
      </c>
      <c r="AL111" s="24">
        <f>+'Gen Rev'!AI111-'Gen Exp'!AE111+'Gen Exp'!AI111-AK111</f>
        <v>-20092</v>
      </c>
      <c r="AM111" s="44" t="str">
        <f>'Gen Rev'!A111</f>
        <v>Carlisle</v>
      </c>
      <c r="AN111" s="21" t="str">
        <f t="shared" si="29"/>
        <v>Carlisle</v>
      </c>
      <c r="AO111" s="21" t="b">
        <f t="shared" si="30"/>
        <v>1</v>
      </c>
    </row>
    <row r="112" spans="1:41" ht="12.75">
      <c r="A112" s="1" t="s">
        <v>62</v>
      </c>
      <c r="C112" s="1" t="s">
        <v>766</v>
      </c>
      <c r="D112" s="23"/>
      <c r="E112" s="36">
        <v>85713.86</v>
      </c>
      <c r="F112" s="36"/>
      <c r="G112" s="36">
        <v>1989.2</v>
      </c>
      <c r="H112" s="36"/>
      <c r="I112" s="36">
        <v>5264.31</v>
      </c>
      <c r="J112" s="36"/>
      <c r="K112" s="36">
        <v>7972.86</v>
      </c>
      <c r="L112" s="36"/>
      <c r="M112" s="36">
        <v>0</v>
      </c>
      <c r="N112" s="36"/>
      <c r="O112" s="36">
        <v>40844.39</v>
      </c>
      <c r="P112" s="36"/>
      <c r="Q112" s="36">
        <v>75166.78</v>
      </c>
      <c r="R112" s="36"/>
      <c r="S112" s="36">
        <v>0</v>
      </c>
      <c r="T112" s="36"/>
      <c r="U112" s="36">
        <v>7798.85</v>
      </c>
      <c r="V112" s="36"/>
      <c r="W112" s="36">
        <v>164.2</v>
      </c>
      <c r="X112" s="36"/>
      <c r="Y112" s="36">
        <v>500</v>
      </c>
      <c r="Z112" s="36"/>
      <c r="AA112" s="36">
        <v>0</v>
      </c>
      <c r="AB112" s="36"/>
      <c r="AC112" s="36">
        <v>0</v>
      </c>
      <c r="AD112" s="36"/>
      <c r="AE112" s="36">
        <f aca="true" t="shared" si="36" ref="AE112">SUM(E112:AC112)</f>
        <v>225414.45</v>
      </c>
      <c r="AF112" s="36"/>
      <c r="AG112" s="36">
        <v>8169.03</v>
      </c>
      <c r="AH112" s="36"/>
      <c r="AI112" s="36">
        <v>168396.97</v>
      </c>
      <c r="AJ112" s="36"/>
      <c r="AK112" s="36">
        <v>176566</v>
      </c>
      <c r="AL112" s="24">
        <f>+'Gen Rev'!AI112-'Gen Exp'!AE112+'Gen Exp'!AI112-AK112</f>
        <v>0</v>
      </c>
      <c r="AM112" s="44" t="str">
        <f>'Gen Rev'!A112</f>
        <v>Carroll</v>
      </c>
      <c r="AN112" s="21" t="str">
        <f t="shared" si="29"/>
        <v>Carroll</v>
      </c>
      <c r="AO112" s="21" t="b">
        <f t="shared" si="30"/>
        <v>1</v>
      </c>
    </row>
    <row r="113" spans="1:41" s="21" customFormat="1" ht="12.6" customHeight="1">
      <c r="A113" s="1" t="s">
        <v>285</v>
      </c>
      <c r="B113" s="1"/>
      <c r="C113" s="1" t="s">
        <v>62</v>
      </c>
      <c r="D113" s="1"/>
      <c r="E113" s="83">
        <v>513263</v>
      </c>
      <c r="F113" s="83"/>
      <c r="G113" s="83">
        <v>21952</v>
      </c>
      <c r="H113" s="83"/>
      <c r="I113" s="83">
        <v>1788</v>
      </c>
      <c r="J113" s="83"/>
      <c r="K113" s="83">
        <f>4867+12898</f>
        <v>17765</v>
      </c>
      <c r="L113" s="83"/>
      <c r="M113" s="83">
        <v>0</v>
      </c>
      <c r="N113" s="83"/>
      <c r="O113" s="83">
        <v>126114</v>
      </c>
      <c r="P113" s="83"/>
      <c r="Q113" s="83">
        <v>281665</v>
      </c>
      <c r="R113" s="83"/>
      <c r="S113" s="83">
        <v>217452</v>
      </c>
      <c r="T113" s="83"/>
      <c r="U113" s="83">
        <v>41943</v>
      </c>
      <c r="V113" s="83"/>
      <c r="W113" s="83">
        <v>3017</v>
      </c>
      <c r="X113" s="83"/>
      <c r="Y113" s="83">
        <v>9200</v>
      </c>
      <c r="Z113" s="83"/>
      <c r="AA113" s="85">
        <v>0</v>
      </c>
      <c r="AB113" s="83"/>
      <c r="AC113" s="83">
        <v>0</v>
      </c>
      <c r="AD113" s="83"/>
      <c r="AE113" s="83">
        <f t="shared" si="26"/>
        <v>1234159</v>
      </c>
      <c r="AF113" s="83"/>
      <c r="AG113" s="36">
        <v>1037</v>
      </c>
      <c r="AH113" s="36"/>
      <c r="AI113" s="36">
        <v>117606</v>
      </c>
      <c r="AJ113" s="36"/>
      <c r="AK113" s="36">
        <v>118643</v>
      </c>
      <c r="AL113" s="24">
        <f>+'Gen Rev'!AI113-'Gen Exp'!AE113+'Gen Exp'!AI113-AK113</f>
        <v>0</v>
      </c>
      <c r="AM113" s="44" t="str">
        <f>'Gen Rev'!A113</f>
        <v>Carrollton</v>
      </c>
      <c r="AN113" s="21" t="str">
        <f t="shared" si="29"/>
        <v>Carrollton</v>
      </c>
      <c r="AO113" s="21" t="b">
        <f t="shared" si="30"/>
        <v>1</v>
      </c>
    </row>
    <row r="114" spans="1:41" s="21" customFormat="1" ht="12.6" customHeight="1">
      <c r="A114" s="1" t="s">
        <v>936</v>
      </c>
      <c r="B114" s="1"/>
      <c r="C114" s="1" t="s">
        <v>470</v>
      </c>
      <c r="D114" s="1"/>
      <c r="E114" s="36">
        <v>12562.77</v>
      </c>
      <c r="F114" s="36"/>
      <c r="G114" s="36">
        <v>0</v>
      </c>
      <c r="H114" s="36"/>
      <c r="I114" s="36">
        <v>543.46</v>
      </c>
      <c r="J114" s="36"/>
      <c r="K114" s="36">
        <v>0</v>
      </c>
      <c r="L114" s="36"/>
      <c r="M114" s="36">
        <v>0</v>
      </c>
      <c r="N114" s="36"/>
      <c r="O114" s="36">
        <v>6022.72</v>
      </c>
      <c r="P114" s="36"/>
      <c r="Q114" s="36">
        <v>16740.33</v>
      </c>
      <c r="R114" s="36"/>
      <c r="S114" s="36">
        <v>0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0</v>
      </c>
      <c r="AD114" s="36"/>
      <c r="AE114" s="36">
        <f aca="true" t="shared" si="37" ref="AE114:AE115">SUM(E114:AC114)</f>
        <v>35869.28</v>
      </c>
      <c r="AF114" s="36"/>
      <c r="AG114" s="36">
        <v>4410.37</v>
      </c>
      <c r="AH114" s="36"/>
      <c r="AI114" s="36">
        <v>206938.21</v>
      </c>
      <c r="AJ114" s="36"/>
      <c r="AK114" s="36">
        <v>211348.58</v>
      </c>
      <c r="AL114" s="24">
        <f>+'Gen Rev'!AI114-'Gen Exp'!AE114+'Gen Exp'!AI114-AK114</f>
        <v>0</v>
      </c>
      <c r="AM114" s="44" t="str">
        <f>'Gen Rev'!A114</f>
        <v>Casstown</v>
      </c>
      <c r="AN114" s="21" t="str">
        <f t="shared" si="29"/>
        <v>Casstown</v>
      </c>
      <c r="AO114" s="21" t="b">
        <f t="shared" si="30"/>
        <v>1</v>
      </c>
    </row>
    <row r="115" spans="1:41" s="21" customFormat="1" ht="12.75">
      <c r="A115" s="1" t="s">
        <v>60</v>
      </c>
      <c r="B115" s="1"/>
      <c r="C115" s="1" t="s">
        <v>765</v>
      </c>
      <c r="D115" s="23"/>
      <c r="E115" s="36">
        <v>180227.29</v>
      </c>
      <c r="F115" s="36"/>
      <c r="G115" s="36">
        <v>720</v>
      </c>
      <c r="H115" s="36"/>
      <c r="I115" s="36">
        <v>4978.91</v>
      </c>
      <c r="J115" s="36"/>
      <c r="K115" s="36">
        <v>686.2</v>
      </c>
      <c r="L115" s="36"/>
      <c r="M115" s="36">
        <v>1217.02</v>
      </c>
      <c r="N115" s="36"/>
      <c r="O115" s="36">
        <v>404.85</v>
      </c>
      <c r="P115" s="36"/>
      <c r="Q115" s="36">
        <v>77306.49</v>
      </c>
      <c r="R115" s="36"/>
      <c r="S115" s="36">
        <v>0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f t="shared" si="37"/>
        <v>265540.76</v>
      </c>
      <c r="AF115" s="36"/>
      <c r="AG115" s="36">
        <v>228682.08</v>
      </c>
      <c r="AH115" s="36"/>
      <c r="AI115" s="36">
        <v>79653.69</v>
      </c>
      <c r="AJ115" s="36"/>
      <c r="AK115" s="36">
        <v>308335.77</v>
      </c>
      <c r="AL115" s="24">
        <f>+'Gen Rev'!AI115-'Gen Exp'!AE115+'Gen Exp'!AI115-AK115</f>
        <v>0</v>
      </c>
      <c r="AM115" s="44" t="str">
        <f>'Gen Rev'!A115</f>
        <v>Castalia</v>
      </c>
      <c r="AN115" s="21" t="str">
        <f t="shared" si="29"/>
        <v>Castalia</v>
      </c>
      <c r="AO115" s="21" t="b">
        <f t="shared" si="30"/>
        <v>1</v>
      </c>
    </row>
    <row r="116" spans="1:41" s="21" customFormat="1" ht="12.75">
      <c r="A116" s="1" t="s">
        <v>51</v>
      </c>
      <c r="B116" s="1"/>
      <c r="C116" s="1" t="s">
        <v>762</v>
      </c>
      <c r="D116" s="23"/>
      <c r="E116" s="95">
        <v>2000</v>
      </c>
      <c r="F116" s="95"/>
      <c r="G116" s="95">
        <v>0</v>
      </c>
      <c r="H116" s="95"/>
      <c r="I116" s="95">
        <v>2812</v>
      </c>
      <c r="J116" s="95"/>
      <c r="K116" s="95">
        <v>2273.8</v>
      </c>
      <c r="L116" s="95"/>
      <c r="M116" s="95">
        <v>13855.21</v>
      </c>
      <c r="N116" s="95"/>
      <c r="O116" s="95">
        <v>0</v>
      </c>
      <c r="P116" s="95"/>
      <c r="Q116" s="95">
        <v>12939.6</v>
      </c>
      <c r="R116" s="95"/>
      <c r="S116" s="95">
        <v>0</v>
      </c>
      <c r="T116" s="95"/>
      <c r="U116" s="95">
        <v>0</v>
      </c>
      <c r="V116" s="95"/>
      <c r="W116" s="95">
        <v>0</v>
      </c>
      <c r="X116" s="95"/>
      <c r="Y116" s="95">
        <v>0</v>
      </c>
      <c r="Z116" s="95"/>
      <c r="AA116" s="95">
        <v>0</v>
      </c>
      <c r="AB116" s="95"/>
      <c r="AC116" s="95">
        <v>0</v>
      </c>
      <c r="AD116" s="95"/>
      <c r="AE116" s="95">
        <f aca="true" t="shared" si="38" ref="AE116:AE117">SUM(E116:AC116)</f>
        <v>33880.61</v>
      </c>
      <c r="AF116" s="95"/>
      <c r="AG116" s="95">
        <v>-8912.04</v>
      </c>
      <c r="AH116" s="95"/>
      <c r="AI116" s="95">
        <v>9888.61</v>
      </c>
      <c r="AJ116" s="95"/>
      <c r="AK116" s="95">
        <v>976.57</v>
      </c>
      <c r="AL116" s="24">
        <f>+'Gen Rev'!AI116-'Gen Exp'!AE116+'Gen Exp'!AI116-AK116</f>
        <v>0</v>
      </c>
      <c r="AM116" s="44" t="str">
        <f>'Gen Rev'!A116</f>
        <v>Castine</v>
      </c>
      <c r="AN116" s="21" t="str">
        <f t="shared" si="29"/>
        <v>Castine</v>
      </c>
      <c r="AO116" s="21" t="b">
        <f t="shared" si="30"/>
        <v>1</v>
      </c>
    </row>
    <row r="117" spans="1:41" ht="12.6" customHeight="1">
      <c r="A117" s="1" t="s">
        <v>34</v>
      </c>
      <c r="C117" s="1" t="s">
        <v>755</v>
      </c>
      <c r="D117" s="23"/>
      <c r="E117" s="95">
        <v>16572.8</v>
      </c>
      <c r="F117" s="95"/>
      <c r="G117" s="95">
        <v>0</v>
      </c>
      <c r="H117" s="95"/>
      <c r="I117" s="95">
        <v>150</v>
      </c>
      <c r="J117" s="95"/>
      <c r="K117" s="95">
        <v>0</v>
      </c>
      <c r="L117" s="95"/>
      <c r="M117" s="95">
        <v>0</v>
      </c>
      <c r="N117" s="95"/>
      <c r="O117" s="95">
        <v>0</v>
      </c>
      <c r="P117" s="95"/>
      <c r="Q117" s="95">
        <v>28637.15</v>
      </c>
      <c r="R117" s="95"/>
      <c r="S117" s="95">
        <v>0</v>
      </c>
      <c r="T117" s="95"/>
      <c r="U117" s="95">
        <v>0</v>
      </c>
      <c r="V117" s="95"/>
      <c r="W117" s="95">
        <v>0</v>
      </c>
      <c r="X117" s="95"/>
      <c r="Y117" s="95">
        <v>0</v>
      </c>
      <c r="Z117" s="95"/>
      <c r="AA117" s="95">
        <v>0</v>
      </c>
      <c r="AB117" s="95"/>
      <c r="AC117" s="95">
        <v>4935.3</v>
      </c>
      <c r="AD117" s="95"/>
      <c r="AE117" s="95">
        <f t="shared" si="38"/>
        <v>50295.25</v>
      </c>
      <c r="AF117" s="95"/>
      <c r="AG117" s="95">
        <v>2667.15</v>
      </c>
      <c r="AH117" s="95"/>
      <c r="AI117" s="95">
        <v>46957.28</v>
      </c>
      <c r="AJ117" s="95"/>
      <c r="AK117" s="95">
        <v>49624.43</v>
      </c>
      <c r="AL117" s="24">
        <f>+'Gen Rev'!AI117-'Gen Exp'!AE117+'Gen Exp'!AI117-AK117</f>
        <v>0</v>
      </c>
      <c r="AM117" s="44" t="str">
        <f>'Gen Rev'!A117</f>
        <v>Catawba</v>
      </c>
      <c r="AN117" s="21" t="str">
        <f t="shared" si="29"/>
        <v>Catawba</v>
      </c>
      <c r="AO117" s="21" t="b">
        <f t="shared" si="30"/>
        <v>1</v>
      </c>
    </row>
    <row r="118" spans="1:41" ht="12.75">
      <c r="A118" s="1" t="s">
        <v>182</v>
      </c>
      <c r="C118" s="1" t="s">
        <v>803</v>
      </c>
      <c r="D118" s="23"/>
      <c r="E118" s="36">
        <v>1396.46</v>
      </c>
      <c r="F118" s="36"/>
      <c r="G118" s="36">
        <v>69</v>
      </c>
      <c r="H118" s="36"/>
      <c r="I118" s="36">
        <v>331.18</v>
      </c>
      <c r="J118" s="36"/>
      <c r="K118" s="36">
        <v>0</v>
      </c>
      <c r="L118" s="36"/>
      <c r="M118" s="36">
        <v>0</v>
      </c>
      <c r="N118" s="36"/>
      <c r="O118" s="36">
        <v>0</v>
      </c>
      <c r="P118" s="36"/>
      <c r="Q118" s="36">
        <v>18219.55</v>
      </c>
      <c r="R118" s="36"/>
      <c r="S118" s="36">
        <v>0</v>
      </c>
      <c r="T118" s="36"/>
      <c r="U118" s="36">
        <v>4986.09</v>
      </c>
      <c r="V118" s="36"/>
      <c r="W118" s="36">
        <v>2212.51</v>
      </c>
      <c r="X118" s="36"/>
      <c r="Y118" s="36">
        <v>0</v>
      </c>
      <c r="Z118" s="36"/>
      <c r="AA118" s="36">
        <v>0</v>
      </c>
      <c r="AB118" s="36"/>
      <c r="AC118" s="36">
        <v>0</v>
      </c>
      <c r="AD118" s="36"/>
      <c r="AE118" s="36">
        <f aca="true" t="shared" si="39" ref="AE118">SUM(E118:AC118)</f>
        <v>27214.79</v>
      </c>
      <c r="AF118" s="36"/>
      <c r="AG118" s="36">
        <v>3250.96</v>
      </c>
      <c r="AH118" s="36"/>
      <c r="AI118" s="36">
        <v>27285.37</v>
      </c>
      <c r="AJ118" s="36"/>
      <c r="AK118" s="36">
        <v>30536.33</v>
      </c>
      <c r="AL118" s="24">
        <f>+'Gen Rev'!AI118-'Gen Exp'!AE118+'Gen Exp'!AI118-AK118</f>
        <v>0</v>
      </c>
      <c r="AM118" s="44" t="str">
        <f>'Gen Rev'!A118</f>
        <v>Cecil</v>
      </c>
      <c r="AN118" s="21" t="str">
        <f t="shared" si="29"/>
        <v>Cecil</v>
      </c>
      <c r="AO118" s="21" t="b">
        <f t="shared" si="30"/>
        <v>1</v>
      </c>
    </row>
    <row r="119" spans="1:41" s="21" customFormat="1" ht="12.75">
      <c r="A119" s="1" t="s">
        <v>370</v>
      </c>
      <c r="B119" s="1"/>
      <c r="C119" s="1" t="s">
        <v>371</v>
      </c>
      <c r="D119" s="1"/>
      <c r="E119" s="83">
        <v>35160</v>
      </c>
      <c r="F119" s="83"/>
      <c r="G119" s="83">
        <v>2647</v>
      </c>
      <c r="H119" s="83"/>
      <c r="I119" s="83">
        <v>15000</v>
      </c>
      <c r="J119" s="83"/>
      <c r="K119" s="83">
        <v>8011</v>
      </c>
      <c r="L119" s="83"/>
      <c r="M119" s="83">
        <v>322</v>
      </c>
      <c r="N119" s="83"/>
      <c r="O119" s="83">
        <v>30320</v>
      </c>
      <c r="P119" s="83"/>
      <c r="Q119" s="83">
        <v>339742</v>
      </c>
      <c r="R119" s="83"/>
      <c r="S119" s="83">
        <v>6054</v>
      </c>
      <c r="T119" s="83"/>
      <c r="U119" s="83">
        <v>0</v>
      </c>
      <c r="V119" s="83"/>
      <c r="W119" s="83">
        <v>0</v>
      </c>
      <c r="X119" s="83"/>
      <c r="Y119" s="83">
        <v>335000</v>
      </c>
      <c r="Z119" s="83"/>
      <c r="AA119" s="85">
        <v>0</v>
      </c>
      <c r="AB119" s="83"/>
      <c r="AC119" s="83">
        <v>0</v>
      </c>
      <c r="AD119" s="83"/>
      <c r="AE119" s="83">
        <f t="shared" si="26"/>
        <v>772256</v>
      </c>
      <c r="AF119" s="83"/>
      <c r="AG119" s="83">
        <v>85369</v>
      </c>
      <c r="AH119" s="83"/>
      <c r="AI119" s="83">
        <v>119068</v>
      </c>
      <c r="AJ119" s="83"/>
      <c r="AK119" s="83">
        <v>284437</v>
      </c>
      <c r="AL119" s="24">
        <f>+'Gen Rev'!AI119-'Gen Exp'!AE119+'Gen Exp'!AI119-AK119</f>
        <v>-80001</v>
      </c>
      <c r="AM119" s="44" t="str">
        <f>'Gen Rev'!A119</f>
        <v>Cedarville</v>
      </c>
      <c r="AN119" s="21" t="str">
        <f t="shared" si="29"/>
        <v>Cedarville</v>
      </c>
      <c r="AO119" s="21" t="b">
        <f t="shared" si="30"/>
        <v>1</v>
      </c>
    </row>
    <row r="120" spans="1:41" ht="12.75">
      <c r="A120" s="1" t="s">
        <v>121</v>
      </c>
      <c r="C120" s="1" t="s">
        <v>782</v>
      </c>
      <c r="D120" s="23"/>
      <c r="E120" s="36">
        <v>146682.93</v>
      </c>
      <c r="F120" s="36"/>
      <c r="G120" s="36">
        <v>0.86</v>
      </c>
      <c r="H120" s="36"/>
      <c r="I120" s="36">
        <v>0</v>
      </c>
      <c r="J120" s="36"/>
      <c r="K120" s="36">
        <v>19935</v>
      </c>
      <c r="L120" s="36"/>
      <c r="M120" s="36">
        <v>0</v>
      </c>
      <c r="N120" s="36"/>
      <c r="O120" s="36">
        <v>46100.58</v>
      </c>
      <c r="P120" s="36"/>
      <c r="Q120" s="36">
        <v>238103.1</v>
      </c>
      <c r="R120" s="36"/>
      <c r="S120" s="36">
        <v>0</v>
      </c>
      <c r="T120" s="36"/>
      <c r="U120" s="36">
        <v>11595.31</v>
      </c>
      <c r="V120" s="36"/>
      <c r="W120" s="36">
        <v>1787.88</v>
      </c>
      <c r="X120" s="36"/>
      <c r="Y120" s="36">
        <v>669.25</v>
      </c>
      <c r="Z120" s="36"/>
      <c r="AA120" s="36">
        <v>0</v>
      </c>
      <c r="AB120" s="36"/>
      <c r="AC120" s="36">
        <v>0</v>
      </c>
      <c r="AD120" s="36"/>
      <c r="AE120" s="36">
        <f aca="true" t="shared" si="40" ref="AE120:AE121">SUM(E120:AC120)</f>
        <v>464874.91</v>
      </c>
      <c r="AF120" s="36"/>
      <c r="AG120" s="36">
        <v>-1321.33</v>
      </c>
      <c r="AH120" s="36"/>
      <c r="AI120" s="36">
        <v>378934.17</v>
      </c>
      <c r="AJ120" s="36"/>
      <c r="AK120" s="36">
        <v>377612.84</v>
      </c>
      <c r="AL120" s="24">
        <f>+'Gen Rev'!AI120-'Gen Exp'!AE120+'Gen Exp'!AI120-AK120</f>
        <v>0</v>
      </c>
      <c r="AM120" s="44" t="str">
        <f>'Gen Rev'!A120</f>
        <v>Centerburg</v>
      </c>
      <c r="AN120" s="21" t="str">
        <f t="shared" si="29"/>
        <v>Centerburg</v>
      </c>
      <c r="AO120" s="21" t="b">
        <f t="shared" si="30"/>
        <v>1</v>
      </c>
    </row>
    <row r="121" spans="1:41" ht="12.75">
      <c r="A121" s="1" t="s">
        <v>839</v>
      </c>
      <c r="C121" s="1" t="s">
        <v>770</v>
      </c>
      <c r="D121" s="23"/>
      <c r="E121" s="36">
        <v>29630.4</v>
      </c>
      <c r="F121" s="36"/>
      <c r="G121" s="36">
        <v>0</v>
      </c>
      <c r="H121" s="36"/>
      <c r="I121" s="36">
        <v>0</v>
      </c>
      <c r="J121" s="36"/>
      <c r="K121" s="36">
        <v>9000</v>
      </c>
      <c r="L121" s="36"/>
      <c r="M121" s="36">
        <v>0</v>
      </c>
      <c r="N121" s="36"/>
      <c r="O121" s="36">
        <v>0</v>
      </c>
      <c r="P121" s="36"/>
      <c r="Q121" s="36">
        <v>33427.98</v>
      </c>
      <c r="R121" s="36"/>
      <c r="S121" s="36">
        <v>0</v>
      </c>
      <c r="T121" s="36"/>
      <c r="U121" s="36">
        <v>4040.85</v>
      </c>
      <c r="V121" s="36"/>
      <c r="W121" s="36">
        <v>1711.73</v>
      </c>
      <c r="X121" s="36"/>
      <c r="Y121" s="36">
        <v>0</v>
      </c>
      <c r="Z121" s="36"/>
      <c r="AA121" s="36">
        <v>6000</v>
      </c>
      <c r="AB121" s="36"/>
      <c r="AC121" s="36">
        <v>0</v>
      </c>
      <c r="AD121" s="36"/>
      <c r="AE121" s="36">
        <f t="shared" si="40"/>
        <v>83810.96</v>
      </c>
      <c r="AF121" s="36"/>
      <c r="AG121" s="36">
        <v>4911.98</v>
      </c>
      <c r="AH121" s="36"/>
      <c r="AI121" s="36">
        <v>4575.42</v>
      </c>
      <c r="AJ121" s="36"/>
      <c r="AK121" s="36">
        <v>9487.4</v>
      </c>
      <c r="AL121" s="24">
        <f>+'Gen Rev'!AI121-'Gen Exp'!AE121+'Gen Exp'!AI121-AK121</f>
        <v>0</v>
      </c>
      <c r="AM121" s="44" t="str">
        <f>'Gen Rev'!A121</f>
        <v>Centerville</v>
      </c>
      <c r="AN121" s="21" t="str">
        <f t="shared" si="29"/>
        <v>Centerville</v>
      </c>
      <c r="AO121" s="21" t="b">
        <f t="shared" si="30"/>
        <v>1</v>
      </c>
    </row>
    <row r="122" spans="1:41" s="21" customFormat="1" ht="12.6" customHeight="1">
      <c r="A122" s="1" t="s">
        <v>319</v>
      </c>
      <c r="B122" s="1"/>
      <c r="C122" s="1" t="s">
        <v>316</v>
      </c>
      <c r="D122" s="1"/>
      <c r="E122" s="83">
        <v>2425467</v>
      </c>
      <c r="F122" s="83"/>
      <c r="G122" s="83">
        <v>423327</v>
      </c>
      <c r="H122" s="83"/>
      <c r="I122" s="83">
        <v>70858</v>
      </c>
      <c r="J122" s="83"/>
      <c r="K122" s="83">
        <v>199241</v>
      </c>
      <c r="L122" s="83"/>
      <c r="M122" s="83">
        <v>369701</v>
      </c>
      <c r="N122" s="83"/>
      <c r="O122" s="83">
        <v>22495</v>
      </c>
      <c r="P122" s="83"/>
      <c r="Q122" s="83">
        <v>1141079</v>
      </c>
      <c r="R122" s="83"/>
      <c r="S122" s="83">
        <v>29689</v>
      </c>
      <c r="T122" s="83"/>
      <c r="U122" s="83">
        <v>0</v>
      </c>
      <c r="V122" s="83"/>
      <c r="W122" s="83">
        <v>0</v>
      </c>
      <c r="X122" s="83"/>
      <c r="Y122" s="83">
        <v>653059</v>
      </c>
      <c r="Z122" s="83"/>
      <c r="AA122" s="85">
        <v>75000</v>
      </c>
      <c r="AB122" s="83"/>
      <c r="AC122" s="83">
        <v>3580</v>
      </c>
      <c r="AD122" s="83"/>
      <c r="AE122" s="83">
        <f t="shared" si="26"/>
        <v>5413496</v>
      </c>
      <c r="AF122" s="83"/>
      <c r="AG122" s="36">
        <v>-5110</v>
      </c>
      <c r="AH122" s="36"/>
      <c r="AI122" s="36">
        <v>1714008</v>
      </c>
      <c r="AJ122" s="36"/>
      <c r="AK122" s="36">
        <v>1708898</v>
      </c>
      <c r="AL122" s="24">
        <f>+'Gen Rev'!AI122-'Gen Exp'!AE122+'Gen Exp'!AI122-AK122</f>
        <v>0</v>
      </c>
      <c r="AM122" s="44" t="str">
        <f>'Gen Rev'!A122</f>
        <v>Chagrin Falls</v>
      </c>
      <c r="AN122" s="21" t="str">
        <f t="shared" si="29"/>
        <v>Chagrin Falls</v>
      </c>
      <c r="AO122" s="21" t="b">
        <f t="shared" si="30"/>
        <v>1</v>
      </c>
    </row>
    <row r="123" spans="1:41" s="21" customFormat="1" ht="12.6" customHeight="1">
      <c r="A123" s="1" t="s">
        <v>311</v>
      </c>
      <c r="B123" s="1"/>
      <c r="C123" s="1" t="s">
        <v>312</v>
      </c>
      <c r="D123" s="1"/>
      <c r="E123" s="83">
        <v>0</v>
      </c>
      <c r="F123" s="83"/>
      <c r="G123" s="83">
        <v>705</v>
      </c>
      <c r="H123" s="83"/>
      <c r="I123" s="83">
        <v>0</v>
      </c>
      <c r="J123" s="83"/>
      <c r="K123" s="83">
        <v>0</v>
      </c>
      <c r="L123" s="83"/>
      <c r="M123" s="83">
        <v>2975</v>
      </c>
      <c r="N123" s="83"/>
      <c r="O123" s="83">
        <v>0</v>
      </c>
      <c r="P123" s="83"/>
      <c r="Q123" s="83">
        <v>11415</v>
      </c>
      <c r="R123" s="83"/>
      <c r="S123" s="83">
        <v>0</v>
      </c>
      <c r="T123" s="83"/>
      <c r="U123" s="83">
        <v>0</v>
      </c>
      <c r="V123" s="83"/>
      <c r="W123" s="83">
        <v>0</v>
      </c>
      <c r="X123" s="83"/>
      <c r="Y123" s="83">
        <v>0</v>
      </c>
      <c r="Z123" s="83"/>
      <c r="AA123" s="85">
        <v>0</v>
      </c>
      <c r="AB123" s="83"/>
      <c r="AC123" s="83">
        <v>0</v>
      </c>
      <c r="AD123" s="83"/>
      <c r="AE123" s="83">
        <f t="shared" si="26"/>
        <v>15095</v>
      </c>
      <c r="AF123" s="83"/>
      <c r="AG123" s="83"/>
      <c r="AH123" s="83"/>
      <c r="AI123" s="83">
        <v>28255</v>
      </c>
      <c r="AJ123" s="83"/>
      <c r="AK123" s="83">
        <v>26196</v>
      </c>
      <c r="AL123" s="24">
        <f>+'Gen Rev'!AI123-'Gen Exp'!AE123+'Gen Exp'!AI123-AK123</f>
        <v>0</v>
      </c>
      <c r="AM123" s="44" t="str">
        <f>'Gen Rev'!A123</f>
        <v>Chatfield</v>
      </c>
      <c r="AN123" s="21" t="str">
        <f t="shared" si="29"/>
        <v>Chatfield</v>
      </c>
      <c r="AO123" s="21" t="b">
        <f t="shared" si="30"/>
        <v>1</v>
      </c>
    </row>
    <row r="124" spans="1:41" s="21" customFormat="1" ht="12.6" customHeight="1">
      <c r="A124" s="1" t="s">
        <v>273</v>
      </c>
      <c r="B124" s="1"/>
      <c r="C124" s="1" t="s">
        <v>271</v>
      </c>
      <c r="D124" s="1"/>
      <c r="E124" s="36">
        <v>8281.65</v>
      </c>
      <c r="F124" s="36"/>
      <c r="G124" s="36">
        <v>0</v>
      </c>
      <c r="H124" s="36"/>
      <c r="I124" s="36">
        <v>0</v>
      </c>
      <c r="J124" s="36"/>
      <c r="K124" s="36">
        <v>0</v>
      </c>
      <c r="L124" s="36"/>
      <c r="M124" s="36">
        <v>0</v>
      </c>
      <c r="N124" s="36"/>
      <c r="O124" s="36">
        <v>0</v>
      </c>
      <c r="P124" s="36"/>
      <c r="Q124" s="36">
        <v>77976.51</v>
      </c>
      <c r="R124" s="36"/>
      <c r="S124" s="36">
        <v>0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f aca="true" t="shared" si="41" ref="AE124">SUM(E124:AC124)</f>
        <v>86258.15999999999</v>
      </c>
      <c r="AF124" s="36"/>
      <c r="AG124" s="36">
        <v>18625.77</v>
      </c>
      <c r="AH124" s="36"/>
      <c r="AI124" s="36">
        <v>-7987.17</v>
      </c>
      <c r="AJ124" s="36"/>
      <c r="AK124" s="36">
        <v>10638.6</v>
      </c>
      <c r="AL124" s="24">
        <f>+'Gen Rev'!AI124-'Gen Exp'!AE124+'Gen Exp'!AI124-AK124</f>
        <v>1.8189894035458565E-11</v>
      </c>
      <c r="AM124" s="44" t="str">
        <f>'Gen Rev'!A124</f>
        <v>Chauncey</v>
      </c>
      <c r="AN124" s="21" t="str">
        <f t="shared" si="29"/>
        <v>Chauncey</v>
      </c>
      <c r="AO124" s="21" t="b">
        <f t="shared" si="30"/>
        <v>1</v>
      </c>
    </row>
    <row r="125" spans="1:41" s="31" customFormat="1" ht="12.75">
      <c r="A125" s="15" t="s">
        <v>663</v>
      </c>
      <c r="B125" s="15"/>
      <c r="C125" s="15" t="s">
        <v>664</v>
      </c>
      <c r="D125" s="28"/>
      <c r="E125" s="85">
        <v>1456</v>
      </c>
      <c r="F125" s="85"/>
      <c r="G125" s="85">
        <v>0</v>
      </c>
      <c r="H125" s="85"/>
      <c r="I125" s="85">
        <v>0</v>
      </c>
      <c r="J125" s="85"/>
      <c r="K125" s="85">
        <v>400</v>
      </c>
      <c r="L125" s="85"/>
      <c r="M125" s="85">
        <v>2583</v>
      </c>
      <c r="N125" s="85"/>
      <c r="O125" s="85">
        <v>0</v>
      </c>
      <c r="P125" s="85"/>
      <c r="Q125" s="85">
        <v>20472</v>
      </c>
      <c r="R125" s="85"/>
      <c r="S125" s="85">
        <v>0</v>
      </c>
      <c r="T125" s="85"/>
      <c r="U125" s="85">
        <v>0</v>
      </c>
      <c r="V125" s="85"/>
      <c r="W125" s="85">
        <v>0</v>
      </c>
      <c r="X125" s="85"/>
      <c r="Y125" s="85">
        <v>0</v>
      </c>
      <c r="Z125" s="85"/>
      <c r="AA125" s="85">
        <v>0</v>
      </c>
      <c r="AB125" s="85"/>
      <c r="AC125" s="85">
        <v>0</v>
      </c>
      <c r="AD125" s="85"/>
      <c r="AE125" s="83">
        <f t="shared" si="26"/>
        <v>24911</v>
      </c>
      <c r="AF125" s="85"/>
      <c r="AG125" s="85"/>
      <c r="AH125" s="85"/>
      <c r="AI125" s="85">
        <v>22494</v>
      </c>
      <c r="AJ125" s="85"/>
      <c r="AK125" s="85">
        <v>5664</v>
      </c>
      <c r="AL125" s="24">
        <f>+'Gen Rev'!AI125-'Gen Exp'!AE125+'Gen Exp'!AI125-AK125</f>
        <v>2385</v>
      </c>
      <c r="AM125" s="44" t="str">
        <f>'Gen Rev'!A125</f>
        <v>Cherry Fork</v>
      </c>
      <c r="AN125" s="21" t="str">
        <f t="shared" si="29"/>
        <v>Cherry Fork</v>
      </c>
      <c r="AO125" s="21" t="b">
        <f t="shared" si="30"/>
        <v>1</v>
      </c>
    </row>
    <row r="126" spans="1:41" ht="12.75">
      <c r="A126" s="1" t="s">
        <v>436</v>
      </c>
      <c r="C126" s="1" t="s">
        <v>437</v>
      </c>
      <c r="E126" s="36">
        <v>112578.34</v>
      </c>
      <c r="F126" s="36"/>
      <c r="G126" s="36">
        <v>0</v>
      </c>
      <c r="H126" s="36"/>
      <c r="I126" s="36">
        <v>0</v>
      </c>
      <c r="J126" s="36"/>
      <c r="K126" s="36">
        <v>0</v>
      </c>
      <c r="L126" s="36"/>
      <c r="M126" s="36">
        <v>0</v>
      </c>
      <c r="N126" s="36"/>
      <c r="O126" s="36">
        <v>0</v>
      </c>
      <c r="P126" s="36"/>
      <c r="Q126" s="36">
        <v>94447.07</v>
      </c>
      <c r="R126" s="36"/>
      <c r="S126" s="36">
        <v>5993.31</v>
      </c>
      <c r="T126" s="36"/>
      <c r="U126" s="36">
        <v>7501.56</v>
      </c>
      <c r="V126" s="36"/>
      <c r="W126" s="36">
        <v>0</v>
      </c>
      <c r="X126" s="36"/>
      <c r="Y126" s="36">
        <v>10000</v>
      </c>
      <c r="Z126" s="36"/>
      <c r="AA126" s="36">
        <v>0</v>
      </c>
      <c r="AB126" s="36"/>
      <c r="AC126" s="36">
        <v>79.55</v>
      </c>
      <c r="AD126" s="36"/>
      <c r="AE126" s="36">
        <f aca="true" t="shared" si="42" ref="AE126:AE127">SUM(E126:AC126)</f>
        <v>230599.83</v>
      </c>
      <c r="AF126" s="36"/>
      <c r="AG126" s="36">
        <v>-14317.06</v>
      </c>
      <c r="AH126" s="36"/>
      <c r="AI126" s="36">
        <v>38472.37</v>
      </c>
      <c r="AJ126" s="36"/>
      <c r="AK126" s="36">
        <v>24155.31</v>
      </c>
      <c r="AL126" s="24">
        <f>+'Gen Rev'!AI126-'Gen Exp'!AE126+'Gen Exp'!AI126-AK126</f>
        <v>6.184563972055912E-11</v>
      </c>
      <c r="AM126" s="44" t="str">
        <f>'Gen Rev'!A126</f>
        <v>Chesapeake</v>
      </c>
      <c r="AN126" s="21" t="str">
        <f t="shared" si="29"/>
        <v>Chesapeake</v>
      </c>
      <c r="AO126" s="21" t="b">
        <f t="shared" si="30"/>
        <v>1</v>
      </c>
    </row>
    <row r="127" spans="1:41" s="21" customFormat="1" ht="12.75">
      <c r="A127" s="1" t="s">
        <v>79</v>
      </c>
      <c r="B127" s="1"/>
      <c r="C127" s="1" t="s">
        <v>770</v>
      </c>
      <c r="D127" s="23"/>
      <c r="E127" s="36">
        <v>12873.6</v>
      </c>
      <c r="F127" s="36"/>
      <c r="G127" s="36">
        <v>0</v>
      </c>
      <c r="H127" s="36"/>
      <c r="I127" s="36">
        <v>8800</v>
      </c>
      <c r="J127" s="36"/>
      <c r="K127" s="36">
        <v>400</v>
      </c>
      <c r="L127" s="36"/>
      <c r="M127" s="36">
        <v>0</v>
      </c>
      <c r="N127" s="36"/>
      <c r="O127" s="36">
        <v>0</v>
      </c>
      <c r="P127" s="36"/>
      <c r="Q127" s="36">
        <v>63403.94</v>
      </c>
      <c r="R127" s="36"/>
      <c r="S127" s="36">
        <v>0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f t="shared" si="42"/>
        <v>85477.54000000001</v>
      </c>
      <c r="AF127" s="36"/>
      <c r="AG127" s="36">
        <v>3036.07</v>
      </c>
      <c r="AH127" s="36"/>
      <c r="AI127" s="36">
        <v>98975.44</v>
      </c>
      <c r="AJ127" s="36"/>
      <c r="AK127" s="36">
        <v>102011.51</v>
      </c>
      <c r="AL127" s="24">
        <f>+'Gen Rev'!AI127-'Gen Exp'!AE127+'Gen Exp'!AI127-AK127</f>
        <v>0</v>
      </c>
      <c r="AM127" s="44" t="str">
        <f>'Gen Rev'!A127</f>
        <v>Cheshire</v>
      </c>
      <c r="AN127" s="21" t="str">
        <f t="shared" si="29"/>
        <v>Cheshire</v>
      </c>
      <c r="AO127" s="21" t="b">
        <f t="shared" si="30"/>
        <v>1</v>
      </c>
    </row>
    <row r="128" spans="1:41" s="15" customFormat="1" ht="12.75">
      <c r="A128" s="15" t="s">
        <v>896</v>
      </c>
      <c r="C128" s="15" t="s">
        <v>897</v>
      </c>
      <c r="D128" s="28"/>
      <c r="E128" s="85">
        <v>0</v>
      </c>
      <c r="F128" s="85"/>
      <c r="G128" s="85">
        <v>0</v>
      </c>
      <c r="H128" s="85"/>
      <c r="I128" s="85">
        <v>0</v>
      </c>
      <c r="J128" s="85"/>
      <c r="K128" s="85">
        <v>0</v>
      </c>
      <c r="L128" s="85"/>
      <c r="M128" s="85">
        <v>0</v>
      </c>
      <c r="N128" s="85"/>
      <c r="O128" s="85">
        <v>0</v>
      </c>
      <c r="P128" s="85"/>
      <c r="Q128" s="85">
        <v>0</v>
      </c>
      <c r="R128" s="85"/>
      <c r="S128" s="85">
        <v>0</v>
      </c>
      <c r="T128" s="85"/>
      <c r="U128" s="85">
        <v>0</v>
      </c>
      <c r="V128" s="85"/>
      <c r="W128" s="85">
        <v>0</v>
      </c>
      <c r="X128" s="85"/>
      <c r="Y128" s="85">
        <v>0</v>
      </c>
      <c r="Z128" s="85"/>
      <c r="AA128" s="85">
        <v>0</v>
      </c>
      <c r="AB128" s="85"/>
      <c r="AC128" s="85">
        <v>50221</v>
      </c>
      <c r="AD128" s="85"/>
      <c r="AE128" s="83">
        <f>SUM(E128:AC128)</f>
        <v>50221</v>
      </c>
      <c r="AF128" s="85"/>
      <c r="AG128" s="85"/>
      <c r="AH128" s="85"/>
      <c r="AI128" s="85"/>
      <c r="AJ128" s="85"/>
      <c r="AK128" s="85"/>
      <c r="AL128" s="24">
        <f>+'Gen Rev'!AI128-'Gen Exp'!AE128+'Gen Exp'!AI128-AK128</f>
        <v>1588</v>
      </c>
      <c r="AM128" s="44" t="str">
        <f>'Gen Rev'!A128</f>
        <v>Chesterhill</v>
      </c>
      <c r="AN128" s="21" t="str">
        <f t="shared" si="29"/>
        <v>Chesterhill</v>
      </c>
      <c r="AO128" s="21" t="b">
        <f t="shared" si="30"/>
        <v>1</v>
      </c>
    </row>
    <row r="129" spans="1:41" ht="12.75">
      <c r="A129" s="1" t="s">
        <v>171</v>
      </c>
      <c r="C129" s="1" t="s">
        <v>799</v>
      </c>
      <c r="D129" s="23"/>
      <c r="E129" s="95">
        <v>8204.35</v>
      </c>
      <c r="F129" s="95"/>
      <c r="G129" s="95">
        <v>794.87</v>
      </c>
      <c r="H129" s="95"/>
      <c r="I129" s="95">
        <v>320.4</v>
      </c>
      <c r="J129" s="95"/>
      <c r="K129" s="95">
        <v>2322.8</v>
      </c>
      <c r="L129" s="95"/>
      <c r="M129" s="95">
        <v>0</v>
      </c>
      <c r="N129" s="95"/>
      <c r="O129" s="95">
        <v>5.55</v>
      </c>
      <c r="P129" s="95"/>
      <c r="Q129" s="95">
        <v>36914.78</v>
      </c>
      <c r="R129" s="95"/>
      <c r="S129" s="95">
        <v>499.59</v>
      </c>
      <c r="T129" s="95"/>
      <c r="U129" s="95">
        <v>0</v>
      </c>
      <c r="V129" s="95"/>
      <c r="W129" s="95">
        <v>0</v>
      </c>
      <c r="X129" s="95"/>
      <c r="Y129" s="95">
        <v>8000</v>
      </c>
      <c r="Z129" s="95"/>
      <c r="AA129" s="95">
        <v>0</v>
      </c>
      <c r="AB129" s="95"/>
      <c r="AC129" s="95">
        <v>344</v>
      </c>
      <c r="AD129" s="95"/>
      <c r="AE129" s="95">
        <f aca="true" t="shared" si="43" ref="AE129">SUM(E129:AC129)</f>
        <v>57406.34</v>
      </c>
      <c r="AF129" s="95"/>
      <c r="AG129" s="95">
        <v>-7026.92</v>
      </c>
      <c r="AH129" s="95"/>
      <c r="AI129" s="95">
        <v>35571.27</v>
      </c>
      <c r="AJ129" s="95"/>
      <c r="AK129" s="95">
        <v>28544.35</v>
      </c>
      <c r="AL129" s="24">
        <f>+'Gen Rev'!AI129-'Gen Exp'!AE129+'Gen Exp'!AI129-AK129</f>
        <v>0</v>
      </c>
      <c r="AM129" s="44" t="str">
        <f>'Gen Rev'!A129</f>
        <v>Chesterville</v>
      </c>
      <c r="AN129" s="21" t="str">
        <f t="shared" si="29"/>
        <v>Chesterville</v>
      </c>
      <c r="AO129" s="21" t="b">
        <f t="shared" si="30"/>
        <v>1</v>
      </c>
    </row>
    <row r="130" spans="1:41" ht="12.75">
      <c r="A130" s="1" t="s">
        <v>851</v>
      </c>
      <c r="C130" s="1" t="s">
        <v>794</v>
      </c>
      <c r="D130" s="23"/>
      <c r="E130" s="36">
        <v>7738.32</v>
      </c>
      <c r="F130" s="36"/>
      <c r="G130" s="36">
        <v>2741.54</v>
      </c>
      <c r="H130" s="36"/>
      <c r="I130" s="36">
        <v>1527.04</v>
      </c>
      <c r="J130" s="36"/>
      <c r="K130" s="36">
        <v>516.4</v>
      </c>
      <c r="L130" s="36"/>
      <c r="M130" s="36">
        <v>4683.42</v>
      </c>
      <c r="N130" s="36"/>
      <c r="O130" s="36">
        <v>1435</v>
      </c>
      <c r="P130" s="36"/>
      <c r="Q130" s="36">
        <v>30465.3</v>
      </c>
      <c r="R130" s="36"/>
      <c r="S130" s="36">
        <v>1343.18</v>
      </c>
      <c r="T130" s="36"/>
      <c r="U130" s="36">
        <v>0</v>
      </c>
      <c r="V130" s="36"/>
      <c r="W130" s="36">
        <v>0</v>
      </c>
      <c r="X130" s="36"/>
      <c r="Y130" s="36">
        <v>0</v>
      </c>
      <c r="Z130" s="36"/>
      <c r="AA130" s="36">
        <v>0</v>
      </c>
      <c r="AB130" s="36"/>
      <c r="AC130" s="36">
        <v>24</v>
      </c>
      <c r="AD130" s="36"/>
      <c r="AE130" s="36">
        <f aca="true" t="shared" si="44" ref="AE130">SUM(E130:AC130)</f>
        <v>50474.200000000004</v>
      </c>
      <c r="AF130" s="36"/>
      <c r="AG130" s="36">
        <v>28742.43</v>
      </c>
      <c r="AH130" s="36"/>
      <c r="AI130" s="36">
        <v>56298.66</v>
      </c>
      <c r="AJ130" s="36"/>
      <c r="AK130" s="36">
        <v>85041.09</v>
      </c>
      <c r="AL130" s="24">
        <f>+'Gen Rev'!AI130-'Gen Exp'!AE130+'Gen Exp'!AI130-AK130</f>
        <v>0</v>
      </c>
      <c r="AM130" s="44" t="str">
        <f>'Gen Rev'!A130</f>
        <v>Chickasaw</v>
      </c>
      <c r="AN130" s="21" t="str">
        <f t="shared" si="29"/>
        <v>Chickasaw</v>
      </c>
      <c r="AO130" s="21" t="b">
        <f t="shared" si="30"/>
        <v>1</v>
      </c>
    </row>
    <row r="131" spans="1:41" ht="12.75">
      <c r="A131" s="1" t="s">
        <v>898</v>
      </c>
      <c r="C131" s="1" t="s">
        <v>295</v>
      </c>
      <c r="D131" s="23"/>
      <c r="E131" s="83">
        <v>4663</v>
      </c>
      <c r="F131" s="83"/>
      <c r="G131" s="83">
        <v>0</v>
      </c>
      <c r="H131" s="83"/>
      <c r="I131" s="83">
        <v>1520</v>
      </c>
      <c r="J131" s="83"/>
      <c r="K131" s="83">
        <v>0</v>
      </c>
      <c r="L131" s="83"/>
      <c r="M131" s="83">
        <v>3743</v>
      </c>
      <c r="N131" s="83"/>
      <c r="O131" s="83">
        <v>0</v>
      </c>
      <c r="P131" s="83"/>
      <c r="Q131" s="83">
        <v>8465</v>
      </c>
      <c r="R131" s="83"/>
      <c r="S131" s="83">
        <v>0</v>
      </c>
      <c r="T131" s="83"/>
      <c r="U131" s="83">
        <v>0</v>
      </c>
      <c r="V131" s="83"/>
      <c r="W131" s="83">
        <v>0</v>
      </c>
      <c r="X131" s="83"/>
      <c r="Y131" s="83">
        <v>0</v>
      </c>
      <c r="Z131" s="83"/>
      <c r="AA131" s="85">
        <v>0</v>
      </c>
      <c r="AB131" s="83"/>
      <c r="AC131" s="83">
        <v>0</v>
      </c>
      <c r="AD131" s="83"/>
      <c r="AE131" s="83">
        <f t="shared" si="26"/>
        <v>18391</v>
      </c>
      <c r="AF131" s="83"/>
      <c r="AG131" s="83"/>
      <c r="AH131" s="83"/>
      <c r="AI131" s="83">
        <v>6822</v>
      </c>
      <c r="AJ131" s="83"/>
      <c r="AK131" s="83">
        <v>11189</v>
      </c>
      <c r="AL131" s="24">
        <f>+'Gen Rev'!AI131-'Gen Exp'!AE131+'Gen Exp'!AI131-AK131</f>
        <v>-336</v>
      </c>
      <c r="AM131" s="44" t="str">
        <f>'Gen Rev'!A131</f>
        <v>Chilo</v>
      </c>
      <c r="AN131" s="21" t="str">
        <f t="shared" si="29"/>
        <v>Chilo</v>
      </c>
      <c r="AO131" s="21" t="b">
        <f t="shared" si="30"/>
        <v>1</v>
      </c>
    </row>
    <row r="132" spans="1:41" ht="12.75">
      <c r="A132" s="1" t="s">
        <v>152</v>
      </c>
      <c r="C132" s="1" t="s">
        <v>792</v>
      </c>
      <c r="D132" s="23"/>
      <c r="E132" s="95">
        <v>41740.67</v>
      </c>
      <c r="F132" s="95"/>
      <c r="G132" s="95">
        <v>0</v>
      </c>
      <c r="H132" s="95"/>
      <c r="I132" s="95">
        <v>25804.41</v>
      </c>
      <c r="J132" s="95"/>
      <c r="K132" s="95">
        <v>18688.93</v>
      </c>
      <c r="L132" s="95"/>
      <c r="M132" s="95">
        <v>20305</v>
      </c>
      <c r="N132" s="95"/>
      <c r="O132" s="95">
        <v>0</v>
      </c>
      <c r="P132" s="95"/>
      <c r="Q132" s="95">
        <v>62255.49</v>
      </c>
      <c r="R132" s="95"/>
      <c r="S132" s="95">
        <v>0</v>
      </c>
      <c r="T132" s="95"/>
      <c r="U132" s="95">
        <v>0</v>
      </c>
      <c r="V132" s="95"/>
      <c r="W132" s="95">
        <v>0</v>
      </c>
      <c r="X132" s="95"/>
      <c r="Y132" s="95">
        <v>0</v>
      </c>
      <c r="Z132" s="95"/>
      <c r="AA132" s="95">
        <v>0</v>
      </c>
      <c r="AB132" s="95"/>
      <c r="AC132" s="95">
        <v>0</v>
      </c>
      <c r="AD132" s="95"/>
      <c r="AE132" s="95">
        <f aca="true" t="shared" si="45" ref="AE132:AE133">SUM(E132:AC132)</f>
        <v>168794.5</v>
      </c>
      <c r="AF132" s="95"/>
      <c r="AG132" s="95">
        <v>2117.4</v>
      </c>
      <c r="AH132" s="95"/>
      <c r="AI132" s="95">
        <v>142074.51</v>
      </c>
      <c r="AJ132" s="95"/>
      <c r="AK132" s="95">
        <v>144191.91</v>
      </c>
      <c r="AL132" s="24">
        <f>+'Gen Rev'!AI132-'Gen Exp'!AE132+'Gen Exp'!AI132-AK132</f>
        <v>0</v>
      </c>
      <c r="AM132" s="44" t="str">
        <f>'Gen Rev'!A132</f>
        <v>Chippewa Lake</v>
      </c>
      <c r="AN132" s="21" t="str">
        <f t="shared" si="29"/>
        <v>Chippewa Lake</v>
      </c>
      <c r="AO132" s="21" t="b">
        <f t="shared" si="30"/>
        <v>1</v>
      </c>
    </row>
    <row r="133" spans="1:41" s="21" customFormat="1" ht="12.75">
      <c r="A133" s="1" t="s">
        <v>32</v>
      </c>
      <c r="B133" s="1"/>
      <c r="C133" s="1" t="s">
        <v>754</v>
      </c>
      <c r="D133" s="23"/>
      <c r="E133" s="95">
        <v>3962.71</v>
      </c>
      <c r="F133" s="95"/>
      <c r="G133" s="95">
        <v>0</v>
      </c>
      <c r="H133" s="95"/>
      <c r="I133" s="95">
        <v>3708.12</v>
      </c>
      <c r="J133" s="95"/>
      <c r="K133" s="95">
        <v>0</v>
      </c>
      <c r="L133" s="95"/>
      <c r="M133" s="95">
        <v>0</v>
      </c>
      <c r="N133" s="95"/>
      <c r="O133" s="95">
        <v>8962.76</v>
      </c>
      <c r="P133" s="95"/>
      <c r="Q133" s="95">
        <v>33184.95</v>
      </c>
      <c r="R133" s="95"/>
      <c r="S133" s="95">
        <v>0</v>
      </c>
      <c r="T133" s="95"/>
      <c r="U133" s="95">
        <v>0</v>
      </c>
      <c r="V133" s="95"/>
      <c r="W133" s="95">
        <v>0</v>
      </c>
      <c r="X133" s="95"/>
      <c r="Y133" s="95">
        <v>0</v>
      </c>
      <c r="Z133" s="95"/>
      <c r="AA133" s="95">
        <v>0</v>
      </c>
      <c r="AB133" s="95"/>
      <c r="AC133" s="95">
        <v>503.82</v>
      </c>
      <c r="AD133" s="95"/>
      <c r="AE133" s="95">
        <f t="shared" si="45"/>
        <v>50322.35999999999</v>
      </c>
      <c r="AF133" s="95"/>
      <c r="AG133" s="95">
        <v>-10117.18</v>
      </c>
      <c r="AH133" s="95"/>
      <c r="AI133" s="95">
        <v>91877.64</v>
      </c>
      <c r="AJ133" s="95"/>
      <c r="AK133" s="95">
        <v>81760.46</v>
      </c>
      <c r="AL133" s="24">
        <f>+'Gen Rev'!AI133-'Gen Exp'!AE133+'Gen Exp'!AI133-AK133</f>
        <v>0</v>
      </c>
      <c r="AM133" s="44" t="str">
        <f>'Gen Rev'!A133</f>
        <v>Christiansburg</v>
      </c>
      <c r="AN133" s="21" t="str">
        <f t="shared" si="29"/>
        <v>Christiansburg</v>
      </c>
      <c r="AO133" s="21" t="b">
        <f t="shared" si="30"/>
        <v>1</v>
      </c>
    </row>
    <row r="134" spans="1:41" ht="12.75">
      <c r="A134" s="1" t="s">
        <v>211</v>
      </c>
      <c r="C134" s="1" t="s">
        <v>810</v>
      </c>
      <c r="D134" s="23"/>
      <c r="E134" s="36">
        <v>4144</v>
      </c>
      <c r="F134" s="36"/>
      <c r="G134" s="36">
        <v>0</v>
      </c>
      <c r="H134" s="36"/>
      <c r="I134" s="36">
        <v>1343.41</v>
      </c>
      <c r="J134" s="36"/>
      <c r="K134" s="36">
        <v>0</v>
      </c>
      <c r="L134" s="36"/>
      <c r="M134" s="36">
        <v>0</v>
      </c>
      <c r="N134" s="36"/>
      <c r="O134" s="36">
        <v>0</v>
      </c>
      <c r="P134" s="36"/>
      <c r="Q134" s="36">
        <v>61562.89</v>
      </c>
      <c r="R134" s="36"/>
      <c r="S134" s="36">
        <v>0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f aca="true" t="shared" si="46" ref="AE134">SUM(E134:AC134)</f>
        <v>67050.3</v>
      </c>
      <c r="AF134" s="36"/>
      <c r="AG134" s="36">
        <v>-6071.39</v>
      </c>
      <c r="AH134" s="36"/>
      <c r="AI134" s="36">
        <v>31983.66</v>
      </c>
      <c r="AJ134" s="36"/>
      <c r="AK134" s="36">
        <v>25912.27</v>
      </c>
      <c r="AL134" s="24">
        <f>+'Gen Rev'!AI134-'Gen Exp'!AE134+'Gen Exp'!AI134-AK134</f>
        <v>0</v>
      </c>
      <c r="AM134" s="44" t="str">
        <f>'Gen Rev'!A134</f>
        <v>Clarksburg</v>
      </c>
      <c r="AN134" s="21" t="str">
        <f t="shared" si="29"/>
        <v>Clarksburg</v>
      </c>
      <c r="AO134" s="21" t="b">
        <f t="shared" si="30"/>
        <v>1</v>
      </c>
    </row>
    <row r="135" spans="1:41" s="21" customFormat="1" ht="12.6" customHeight="1" hidden="1">
      <c r="A135" s="1" t="s">
        <v>300</v>
      </c>
      <c r="B135" s="1"/>
      <c r="C135" s="1" t="s">
        <v>299</v>
      </c>
      <c r="D135" s="1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5"/>
      <c r="AB135" s="83"/>
      <c r="AC135" s="83"/>
      <c r="AD135" s="83"/>
      <c r="AE135" s="83">
        <f t="shared" si="26"/>
        <v>0</v>
      </c>
      <c r="AF135" s="83"/>
      <c r="AG135" s="83"/>
      <c r="AH135" s="83"/>
      <c r="AI135" s="83"/>
      <c r="AJ135" s="83"/>
      <c r="AK135" s="83"/>
      <c r="AL135" s="24">
        <f>+'Gen Rev'!AI135-'Gen Exp'!AE135+'Gen Exp'!AI135-AK135</f>
        <v>0</v>
      </c>
      <c r="AM135" s="44" t="str">
        <f>'Gen Rev'!A135</f>
        <v>Clarksville</v>
      </c>
      <c r="AN135" s="21" t="str">
        <f t="shared" si="29"/>
        <v>Clarksville</v>
      </c>
      <c r="AO135" s="21" t="b">
        <f t="shared" si="30"/>
        <v>1</v>
      </c>
    </row>
    <row r="136" spans="1:41" ht="12.75">
      <c r="A136" s="1" t="s">
        <v>179</v>
      </c>
      <c r="C136" s="1" t="s">
        <v>802</v>
      </c>
      <c r="D136" s="23"/>
      <c r="E136" s="36">
        <v>11256.1</v>
      </c>
      <c r="F136" s="36"/>
      <c r="G136" s="36">
        <v>0</v>
      </c>
      <c r="H136" s="36"/>
      <c r="I136" s="36">
        <v>8023.17</v>
      </c>
      <c r="J136" s="36"/>
      <c r="K136" s="36">
        <v>0</v>
      </c>
      <c r="L136" s="36"/>
      <c r="M136" s="36">
        <v>22150.58</v>
      </c>
      <c r="N136" s="36"/>
      <c r="O136" s="36">
        <v>8336.11</v>
      </c>
      <c r="P136" s="36"/>
      <c r="Q136" s="36">
        <v>34808.45</v>
      </c>
      <c r="R136" s="36"/>
      <c r="S136" s="36">
        <v>0</v>
      </c>
      <c r="T136" s="36"/>
      <c r="U136" s="36">
        <v>0</v>
      </c>
      <c r="V136" s="36"/>
      <c r="W136" s="36">
        <v>0</v>
      </c>
      <c r="X136" s="36"/>
      <c r="Y136" s="36">
        <v>0</v>
      </c>
      <c r="Z136" s="36"/>
      <c r="AA136" s="36">
        <v>0</v>
      </c>
      <c r="AB136" s="36"/>
      <c r="AC136" s="36">
        <v>0</v>
      </c>
      <c r="AD136" s="36"/>
      <c r="AE136" s="36">
        <f aca="true" t="shared" si="47" ref="AE136">SUM(E136:AC136)</f>
        <v>84574.41</v>
      </c>
      <c r="AF136" s="36"/>
      <c r="AG136" s="36">
        <v>-15996.11</v>
      </c>
      <c r="AH136" s="36"/>
      <c r="AI136" s="36">
        <v>138924.6</v>
      </c>
      <c r="AJ136" s="36"/>
      <c r="AK136" s="36">
        <v>122928.49</v>
      </c>
      <c r="AL136" s="24">
        <f>+'Gen Rev'!AI136-'Gen Exp'!AE136+'Gen Exp'!AI136-AK136</f>
        <v>0</v>
      </c>
      <c r="AM136" s="44" t="str">
        <f>'Gen Rev'!A136</f>
        <v>Clay Center</v>
      </c>
      <c r="AN136" s="21" t="str">
        <f t="shared" si="29"/>
        <v>Clay Center</v>
      </c>
      <c r="AO136" s="21" t="b">
        <f t="shared" si="30"/>
        <v>1</v>
      </c>
    </row>
    <row r="137" spans="1:41" ht="12.75">
      <c r="A137" s="1" t="s">
        <v>852</v>
      </c>
      <c r="C137" s="1" t="s">
        <v>773</v>
      </c>
      <c r="D137" s="23"/>
      <c r="E137" s="95">
        <v>379138.48</v>
      </c>
      <c r="F137" s="95"/>
      <c r="G137" s="95">
        <v>2909.44</v>
      </c>
      <c r="H137" s="95"/>
      <c r="I137" s="95">
        <v>1010</v>
      </c>
      <c r="J137" s="95"/>
      <c r="K137" s="95">
        <v>17509.59</v>
      </c>
      <c r="L137" s="95"/>
      <c r="M137" s="95">
        <v>0</v>
      </c>
      <c r="N137" s="95"/>
      <c r="O137" s="95">
        <v>134162.52</v>
      </c>
      <c r="P137" s="95"/>
      <c r="Q137" s="95">
        <v>258418.32</v>
      </c>
      <c r="R137" s="95"/>
      <c r="S137" s="95">
        <v>75024</v>
      </c>
      <c r="T137" s="95"/>
      <c r="U137" s="95">
        <v>29739.05</v>
      </c>
      <c r="V137" s="95"/>
      <c r="W137" s="95">
        <v>9510.05</v>
      </c>
      <c r="X137" s="95"/>
      <c r="Y137" s="95">
        <v>6000</v>
      </c>
      <c r="Z137" s="95"/>
      <c r="AA137" s="95">
        <v>0</v>
      </c>
      <c r="AB137" s="95"/>
      <c r="AC137" s="95">
        <v>0</v>
      </c>
      <c r="AD137" s="95"/>
      <c r="AE137" s="95">
        <f aca="true" t="shared" si="48" ref="AE137">SUM(E137:AC137)</f>
        <v>913421.4500000002</v>
      </c>
      <c r="AF137" s="95"/>
      <c r="AG137" s="95">
        <v>-405481.99</v>
      </c>
      <c r="AH137" s="95"/>
      <c r="AI137" s="95">
        <v>908118.88</v>
      </c>
      <c r="AJ137" s="95"/>
      <c r="AK137" s="95">
        <v>502636.89</v>
      </c>
      <c r="AL137" s="24">
        <f>+'Gen Rev'!AI137-'Gen Exp'!AE137+'Gen Exp'!AI137-AK137</f>
        <v>0</v>
      </c>
      <c r="AM137" s="44" t="str">
        <f>'Gen Rev'!A137</f>
        <v>Cleves</v>
      </c>
      <c r="AN137" s="21" t="str">
        <f t="shared" si="29"/>
        <v>Cleves</v>
      </c>
      <c r="AO137" s="21" t="b">
        <f t="shared" si="30"/>
        <v>1</v>
      </c>
    </row>
    <row r="138" spans="1:39" s="21" customFormat="1" ht="12.75">
      <c r="A138" s="1"/>
      <c r="B138" s="1"/>
      <c r="C138" s="1"/>
      <c r="D138" s="1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 t="s">
        <v>864</v>
      </c>
      <c r="AF138" s="83"/>
      <c r="AG138" s="83"/>
      <c r="AH138" s="83"/>
      <c r="AI138" s="83"/>
      <c r="AJ138" s="83"/>
      <c r="AK138" s="83"/>
      <c r="AL138" s="24"/>
      <c r="AM138" s="44"/>
    </row>
    <row r="139" spans="1:41" s="21" customFormat="1" ht="12.75">
      <c r="A139" s="1" t="s">
        <v>372</v>
      </c>
      <c r="B139" s="1"/>
      <c r="C139" s="1" t="s">
        <v>373</v>
      </c>
      <c r="D139" s="1"/>
      <c r="E139" s="102">
        <v>3901</v>
      </c>
      <c r="F139" s="102"/>
      <c r="G139" s="102">
        <v>171</v>
      </c>
      <c r="H139" s="102"/>
      <c r="I139" s="102">
        <v>57</v>
      </c>
      <c r="J139" s="102"/>
      <c r="K139" s="102">
        <v>25</v>
      </c>
      <c r="L139" s="102"/>
      <c r="M139" s="102">
        <v>0</v>
      </c>
      <c r="N139" s="102"/>
      <c r="O139" s="102">
        <v>0</v>
      </c>
      <c r="P139" s="102"/>
      <c r="Q139" s="102">
        <v>23057</v>
      </c>
      <c r="R139" s="102"/>
      <c r="S139" s="102">
        <v>0</v>
      </c>
      <c r="T139" s="102"/>
      <c r="U139" s="102">
        <v>0</v>
      </c>
      <c r="V139" s="102"/>
      <c r="W139" s="102">
        <v>0</v>
      </c>
      <c r="X139" s="102"/>
      <c r="Y139" s="102">
        <v>0</v>
      </c>
      <c r="Z139" s="102"/>
      <c r="AA139" s="102">
        <v>0</v>
      </c>
      <c r="AB139" s="102"/>
      <c r="AC139" s="102">
        <v>0</v>
      </c>
      <c r="AD139" s="102"/>
      <c r="AE139" s="102">
        <f aca="true" t="shared" si="49" ref="AE139">SUM(E139:AC139)</f>
        <v>27211</v>
      </c>
      <c r="AF139" s="83"/>
      <c r="AG139" s="83">
        <v>-1625</v>
      </c>
      <c r="AH139" s="83"/>
      <c r="AI139" s="83">
        <v>12350</v>
      </c>
      <c r="AJ139" s="83"/>
      <c r="AK139" s="83">
        <v>10725</v>
      </c>
      <c r="AL139" s="24">
        <f>+'Gen Rev'!AI138-'Gen Exp'!AE139+'Gen Exp'!AI139-AK139</f>
        <v>-1</v>
      </c>
      <c r="AM139" s="44" t="str">
        <f>'Gen Rev'!A138</f>
        <v>Clifton</v>
      </c>
      <c r="AN139" s="21" t="str">
        <f aca="true" t="shared" si="50" ref="AN139">A139</f>
        <v>Clifton</v>
      </c>
      <c r="AO139" s="21" t="b">
        <f aca="true" t="shared" si="51" ref="AO139">AM139=AN139</f>
        <v>1</v>
      </c>
    </row>
    <row r="140" spans="1:41" s="21" customFormat="1" ht="12.75">
      <c r="A140" s="1" t="s">
        <v>299</v>
      </c>
      <c r="B140" s="1"/>
      <c r="C140" s="1" t="s">
        <v>551</v>
      </c>
      <c r="D140" s="1"/>
      <c r="E140" s="96">
        <v>75729.74</v>
      </c>
      <c r="F140" s="96"/>
      <c r="G140" s="96">
        <v>9520.18</v>
      </c>
      <c r="H140" s="96"/>
      <c r="I140" s="96">
        <v>787</v>
      </c>
      <c r="J140" s="96"/>
      <c r="K140" s="96">
        <v>9979.28</v>
      </c>
      <c r="L140" s="96"/>
      <c r="M140" s="96">
        <v>0</v>
      </c>
      <c r="N140" s="96"/>
      <c r="O140" s="96">
        <v>34450.6</v>
      </c>
      <c r="P140" s="96"/>
      <c r="Q140" s="96">
        <v>42377.29</v>
      </c>
      <c r="R140" s="96"/>
      <c r="S140" s="96">
        <v>0</v>
      </c>
      <c r="T140" s="96"/>
      <c r="U140" s="96">
        <v>0</v>
      </c>
      <c r="V140" s="96"/>
      <c r="W140" s="96">
        <v>0</v>
      </c>
      <c r="X140" s="96"/>
      <c r="Y140" s="96">
        <v>0</v>
      </c>
      <c r="Z140" s="96"/>
      <c r="AA140" s="96">
        <v>0</v>
      </c>
      <c r="AB140" s="96"/>
      <c r="AC140" s="96">
        <v>15</v>
      </c>
      <c r="AD140" s="96"/>
      <c r="AE140" s="96">
        <f aca="true" t="shared" si="52" ref="AE140">SUM(E140:AC140)</f>
        <v>172859.09000000003</v>
      </c>
      <c r="AF140" s="36"/>
      <c r="AG140" s="36">
        <v>4654.03</v>
      </c>
      <c r="AH140" s="36"/>
      <c r="AI140" s="36">
        <v>75</v>
      </c>
      <c r="AJ140" s="36"/>
      <c r="AK140" s="36">
        <v>4729.03</v>
      </c>
      <c r="AL140" s="24">
        <f>+'Gen Rev'!AI139-'Gen Exp'!AE140+'Gen Exp'!AI140-AK140</f>
        <v>0</v>
      </c>
      <c r="AM140" s="44" t="str">
        <f>'Gen Rev'!A139</f>
        <v>Clinton</v>
      </c>
      <c r="AN140" s="21" t="str">
        <f t="shared" si="29"/>
        <v>Clinton</v>
      </c>
      <c r="AO140" s="21" t="b">
        <f t="shared" si="30"/>
        <v>1</v>
      </c>
    </row>
    <row r="141" spans="1:41" s="24" customFormat="1" ht="12.75">
      <c r="A141" s="24" t="s">
        <v>665</v>
      </c>
      <c r="C141" s="24" t="s">
        <v>514</v>
      </c>
      <c r="E141" s="85">
        <v>4273</v>
      </c>
      <c r="F141" s="85"/>
      <c r="G141" s="85">
        <v>0</v>
      </c>
      <c r="H141" s="85"/>
      <c r="I141" s="85">
        <v>3571</v>
      </c>
      <c r="J141" s="85"/>
      <c r="K141" s="85">
        <v>0</v>
      </c>
      <c r="L141" s="85"/>
      <c r="M141" s="85">
        <v>2769</v>
      </c>
      <c r="N141" s="85"/>
      <c r="O141" s="85">
        <v>3337</v>
      </c>
      <c r="P141" s="85"/>
      <c r="Q141" s="85">
        <v>38662</v>
      </c>
      <c r="R141" s="85"/>
      <c r="S141" s="85">
        <v>0</v>
      </c>
      <c r="T141" s="85"/>
      <c r="U141" s="85">
        <v>0</v>
      </c>
      <c r="V141" s="85"/>
      <c r="W141" s="85">
        <v>0</v>
      </c>
      <c r="X141" s="85"/>
      <c r="Y141" s="85">
        <v>0</v>
      </c>
      <c r="Z141" s="85"/>
      <c r="AA141" s="85">
        <v>0</v>
      </c>
      <c r="AB141" s="85"/>
      <c r="AC141" s="85">
        <v>2432</v>
      </c>
      <c r="AD141" s="85"/>
      <c r="AE141" s="83">
        <f>SUM(E141:AC141)</f>
        <v>55044</v>
      </c>
      <c r="AF141" s="85"/>
      <c r="AG141" s="85">
        <v>72879</v>
      </c>
      <c r="AH141" s="85"/>
      <c r="AI141" s="85">
        <v>0</v>
      </c>
      <c r="AJ141" s="85"/>
      <c r="AK141" s="85">
        <v>72879</v>
      </c>
      <c r="AL141" s="24">
        <f>+'Gen Rev'!AI140-'Gen Exp'!AE141+'Gen Exp'!AI141-AK141</f>
        <v>1</v>
      </c>
      <c r="AM141" s="44" t="str">
        <f>'Gen Rev'!A140</f>
        <v>Cloverdale</v>
      </c>
      <c r="AN141" s="21" t="str">
        <f t="shared" si="29"/>
        <v>Cloverdale</v>
      </c>
      <c r="AO141" s="21" t="b">
        <f t="shared" si="30"/>
        <v>1</v>
      </c>
    </row>
    <row r="142" spans="1:41" s="21" customFormat="1" ht="12.75">
      <c r="A142" s="1" t="s">
        <v>125</v>
      </c>
      <c r="B142" s="1"/>
      <c r="C142" s="1" t="s">
        <v>784</v>
      </c>
      <c r="D142" s="23"/>
      <c r="E142" s="36">
        <v>282615.86</v>
      </c>
      <c r="F142" s="36"/>
      <c r="G142" s="36">
        <v>0</v>
      </c>
      <c r="H142" s="36"/>
      <c r="I142" s="36">
        <v>14543.55</v>
      </c>
      <c r="J142" s="36"/>
      <c r="K142" s="36">
        <v>545.35</v>
      </c>
      <c r="L142" s="36"/>
      <c r="M142" s="36">
        <v>0</v>
      </c>
      <c r="N142" s="36"/>
      <c r="O142" s="36">
        <v>0</v>
      </c>
      <c r="P142" s="36"/>
      <c r="Q142" s="36">
        <v>208204.31</v>
      </c>
      <c r="R142" s="36"/>
      <c r="S142" s="36">
        <v>0</v>
      </c>
      <c r="T142" s="36"/>
      <c r="U142" s="36">
        <v>0</v>
      </c>
      <c r="V142" s="36"/>
      <c r="W142" s="36">
        <v>0</v>
      </c>
      <c r="X142" s="36"/>
      <c r="Y142" s="36">
        <v>1649.35</v>
      </c>
      <c r="Z142" s="36"/>
      <c r="AA142" s="36">
        <v>7517.59</v>
      </c>
      <c r="AB142" s="36"/>
      <c r="AC142" s="36">
        <v>51348.13</v>
      </c>
      <c r="AD142" s="36"/>
      <c r="AE142" s="36">
        <f aca="true" t="shared" si="53" ref="AE142:AE143">SUM(E142:AC142)</f>
        <v>566424.1399999999</v>
      </c>
      <c r="AF142" s="36"/>
      <c r="AG142" s="36">
        <v>3870.49</v>
      </c>
      <c r="AH142" s="36"/>
      <c r="AI142" s="36">
        <v>33103.76</v>
      </c>
      <c r="AJ142" s="36"/>
      <c r="AK142" s="36">
        <v>36974.25</v>
      </c>
      <c r="AL142" s="24">
        <f>+'Gen Rev'!AI141-'Gen Exp'!AE142+'Gen Exp'!AI142-AK142</f>
        <v>1.0913936421275139E-10</v>
      </c>
      <c r="AM142" s="44" t="str">
        <f>'Gen Rev'!A141</f>
        <v>Coal Grove</v>
      </c>
      <c r="AN142" s="21" t="str">
        <f t="shared" si="29"/>
        <v>Coal Grove</v>
      </c>
      <c r="AO142" s="21" t="b">
        <f t="shared" si="30"/>
        <v>1</v>
      </c>
    </row>
    <row r="143" spans="1:41" s="21" customFormat="1" ht="12.75">
      <c r="A143" s="1" t="s">
        <v>667</v>
      </c>
      <c r="B143" s="1"/>
      <c r="C143" s="1" t="s">
        <v>666</v>
      </c>
      <c r="D143" s="23"/>
      <c r="E143" s="36">
        <v>53196.42</v>
      </c>
      <c r="F143" s="36"/>
      <c r="G143" s="36">
        <v>0</v>
      </c>
      <c r="H143" s="36"/>
      <c r="I143" s="36">
        <v>0</v>
      </c>
      <c r="J143" s="36"/>
      <c r="K143" s="36">
        <v>0</v>
      </c>
      <c r="L143" s="36"/>
      <c r="M143" s="36">
        <v>0</v>
      </c>
      <c r="N143" s="36"/>
      <c r="O143" s="36">
        <v>0</v>
      </c>
      <c r="P143" s="36"/>
      <c r="Q143" s="36">
        <v>41835.64</v>
      </c>
      <c r="R143" s="36"/>
      <c r="S143" s="36">
        <v>0</v>
      </c>
      <c r="T143" s="36"/>
      <c r="U143" s="36">
        <v>0</v>
      </c>
      <c r="V143" s="36"/>
      <c r="W143" s="36">
        <v>0</v>
      </c>
      <c r="X143" s="36"/>
      <c r="Y143" s="36">
        <v>0</v>
      </c>
      <c r="Z143" s="36"/>
      <c r="AA143" s="36">
        <v>0</v>
      </c>
      <c r="AB143" s="36"/>
      <c r="AC143" s="36">
        <v>0</v>
      </c>
      <c r="AD143" s="36"/>
      <c r="AE143" s="36">
        <f t="shared" si="53"/>
        <v>95032.06</v>
      </c>
      <c r="AF143" s="36"/>
      <c r="AG143" s="36">
        <v>5893.08</v>
      </c>
      <c r="AH143" s="36"/>
      <c r="AI143" s="36">
        <v>108686.63</v>
      </c>
      <c r="AJ143" s="36"/>
      <c r="AK143" s="36">
        <v>114579.71</v>
      </c>
      <c r="AL143" s="24">
        <f>+'Gen Rev'!AI142-'Gen Exp'!AE143+'Gen Exp'!AI143-AK143</f>
        <v>-1.999999999985448</v>
      </c>
      <c r="AM143" s="44" t="str">
        <f>'Gen Rev'!A142</f>
        <v>Coalton</v>
      </c>
      <c r="AN143" s="21" t="str">
        <f t="shared" si="29"/>
        <v>Coalton</v>
      </c>
      <c r="AO143" s="21" t="b">
        <f t="shared" si="30"/>
        <v>1</v>
      </c>
    </row>
    <row r="144" spans="1:41" ht="12.75">
      <c r="A144" s="1" t="s">
        <v>899</v>
      </c>
      <c r="C144" s="1" t="s">
        <v>466</v>
      </c>
      <c r="D144" s="23"/>
      <c r="E144" s="83">
        <v>622852</v>
      </c>
      <c r="F144" s="83"/>
      <c r="G144" s="83">
        <v>22206</v>
      </c>
      <c r="H144" s="83"/>
      <c r="I144" s="83">
        <v>5000</v>
      </c>
      <c r="J144" s="83"/>
      <c r="K144" s="83">
        <v>0</v>
      </c>
      <c r="L144" s="83"/>
      <c r="M144" s="83">
        <v>0</v>
      </c>
      <c r="N144" s="83"/>
      <c r="O144" s="83">
        <v>0</v>
      </c>
      <c r="P144" s="83"/>
      <c r="Q144" s="83">
        <v>372401</v>
      </c>
      <c r="R144" s="83"/>
      <c r="S144" s="83">
        <v>239</v>
      </c>
      <c r="T144" s="83"/>
      <c r="U144" s="83">
        <v>0</v>
      </c>
      <c r="V144" s="83"/>
      <c r="W144" s="83">
        <v>0</v>
      </c>
      <c r="X144" s="83"/>
      <c r="Y144" s="83">
        <v>0</v>
      </c>
      <c r="Z144" s="83"/>
      <c r="AA144" s="83">
        <v>0</v>
      </c>
      <c r="AB144" s="83"/>
      <c r="AC144" s="83">
        <v>824400</v>
      </c>
      <c r="AD144" s="83"/>
      <c r="AE144" s="83">
        <f aca="true" t="shared" si="54" ref="AE144:AE202">SUM(E144:AC144)</f>
        <v>1847098</v>
      </c>
      <c r="AF144" s="83"/>
      <c r="AG144" s="83">
        <v>1659</v>
      </c>
      <c r="AH144" s="83"/>
      <c r="AI144" s="83">
        <v>193653</v>
      </c>
      <c r="AJ144" s="83"/>
      <c r="AK144" s="83">
        <v>195311</v>
      </c>
      <c r="AL144" s="24">
        <f>+'Gen Rev'!AI143-'Gen Exp'!AE144+'Gen Exp'!AI144-AK144</f>
        <v>1</v>
      </c>
      <c r="AM144" s="44" t="str">
        <f>'Gen Rev'!A143</f>
        <v>Coldwater</v>
      </c>
      <c r="AN144" s="21" t="str">
        <f t="shared" si="29"/>
        <v>Coldwater</v>
      </c>
      <c r="AO144" s="21" t="b">
        <f t="shared" si="30"/>
        <v>1</v>
      </c>
    </row>
    <row r="145" spans="1:41" ht="12.75">
      <c r="A145" s="1" t="s">
        <v>199</v>
      </c>
      <c r="C145" s="1" t="s">
        <v>807</v>
      </c>
      <c r="D145" s="23"/>
      <c r="E145" s="36">
        <v>23568.77</v>
      </c>
      <c r="F145" s="36"/>
      <c r="G145" s="36">
        <v>0</v>
      </c>
      <c r="H145" s="36"/>
      <c r="I145" s="36">
        <v>0</v>
      </c>
      <c r="J145" s="36"/>
      <c r="K145" s="36">
        <v>0</v>
      </c>
      <c r="L145" s="36"/>
      <c r="M145" s="36">
        <v>0</v>
      </c>
      <c r="N145" s="36"/>
      <c r="O145" s="36">
        <v>0</v>
      </c>
      <c r="P145" s="36"/>
      <c r="Q145" s="36">
        <v>23967.4</v>
      </c>
      <c r="R145" s="36"/>
      <c r="S145" s="36">
        <v>0</v>
      </c>
      <c r="T145" s="36"/>
      <c r="U145" s="36">
        <v>0</v>
      </c>
      <c r="V145" s="36"/>
      <c r="W145" s="36">
        <v>0</v>
      </c>
      <c r="X145" s="36"/>
      <c r="Y145" s="36">
        <v>0</v>
      </c>
      <c r="Z145" s="36"/>
      <c r="AA145" s="36">
        <v>0</v>
      </c>
      <c r="AB145" s="36"/>
      <c r="AC145" s="36">
        <v>1074.5</v>
      </c>
      <c r="AD145" s="36"/>
      <c r="AE145" s="36">
        <f aca="true" t="shared" si="55" ref="AE145">SUM(E145:AC145)</f>
        <v>48610.67</v>
      </c>
      <c r="AF145" s="36"/>
      <c r="AG145" s="36">
        <v>31251.69</v>
      </c>
      <c r="AH145" s="36"/>
      <c r="AI145" s="36">
        <v>22951.07</v>
      </c>
      <c r="AJ145" s="36"/>
      <c r="AK145" s="36">
        <v>54202.76</v>
      </c>
      <c r="AL145" s="24">
        <f>+'Gen Rev'!AI144-'Gen Exp'!AE145+'Gen Exp'!AI145-AK145</f>
        <v>0</v>
      </c>
      <c r="AM145" s="44" t="str">
        <f>'Gen Rev'!A144</f>
        <v>College Corner</v>
      </c>
      <c r="AN145" s="21" t="str">
        <f t="shared" si="29"/>
        <v>College Corner</v>
      </c>
      <c r="AO145" s="21" t="b">
        <f t="shared" si="30"/>
        <v>1</v>
      </c>
    </row>
    <row r="146" spans="1:41" ht="12.75">
      <c r="A146" s="1" t="s">
        <v>515</v>
      </c>
      <c r="C146" s="1" t="s">
        <v>514</v>
      </c>
      <c r="E146" s="83">
        <v>173036</v>
      </c>
      <c r="F146" s="83"/>
      <c r="G146" s="83">
        <v>0</v>
      </c>
      <c r="H146" s="83"/>
      <c r="I146" s="83">
        <v>123136</v>
      </c>
      <c r="J146" s="83"/>
      <c r="K146" s="83">
        <v>0</v>
      </c>
      <c r="L146" s="83"/>
      <c r="M146" s="83">
        <v>1832</v>
      </c>
      <c r="N146" s="83"/>
      <c r="O146" s="83">
        <v>5381</v>
      </c>
      <c r="P146" s="83"/>
      <c r="Q146" s="83">
        <v>165068</v>
      </c>
      <c r="R146" s="83"/>
      <c r="S146" s="83">
        <v>24784</v>
      </c>
      <c r="T146" s="83"/>
      <c r="U146" s="83">
        <v>0</v>
      </c>
      <c r="V146" s="83"/>
      <c r="W146" s="83">
        <v>0</v>
      </c>
      <c r="X146" s="83"/>
      <c r="Y146" s="83">
        <v>165488</v>
      </c>
      <c r="Z146" s="83"/>
      <c r="AA146" s="83">
        <v>0</v>
      </c>
      <c r="AB146" s="83"/>
      <c r="AC146" s="83">
        <v>0</v>
      </c>
      <c r="AD146" s="83"/>
      <c r="AE146" s="83">
        <f t="shared" si="54"/>
        <v>658725</v>
      </c>
      <c r="AF146" s="83"/>
      <c r="AG146" s="83">
        <v>70646</v>
      </c>
      <c r="AH146" s="83"/>
      <c r="AI146" s="83">
        <v>106712</v>
      </c>
      <c r="AJ146" s="83"/>
      <c r="AK146" s="83">
        <v>177358</v>
      </c>
      <c r="AL146" s="24">
        <f>+'Gen Rev'!AI145-'Gen Exp'!AE146+'Gen Exp'!AI146-AK146</f>
        <v>-422</v>
      </c>
      <c r="AM146" s="44" t="str">
        <f>'Gen Rev'!A145</f>
        <v>Columbus Grove</v>
      </c>
      <c r="AN146" s="21" t="str">
        <f t="shared" si="29"/>
        <v>Columbus Grove</v>
      </c>
      <c r="AO146" s="21" t="b">
        <f t="shared" si="30"/>
        <v>1</v>
      </c>
    </row>
    <row r="147" spans="1:41" ht="12.75">
      <c r="A147" s="1" t="s">
        <v>188</v>
      </c>
      <c r="C147" s="1" t="s">
        <v>804</v>
      </c>
      <c r="D147" s="23"/>
      <c r="E147" s="36">
        <v>108782.24</v>
      </c>
      <c r="F147" s="36"/>
      <c r="G147" s="36">
        <v>12162.66</v>
      </c>
      <c r="H147" s="36"/>
      <c r="I147" s="36">
        <v>0</v>
      </c>
      <c r="J147" s="36"/>
      <c r="K147" s="36">
        <v>14252.09</v>
      </c>
      <c r="L147" s="36"/>
      <c r="M147" s="36">
        <v>0</v>
      </c>
      <c r="N147" s="36"/>
      <c r="O147" s="36">
        <v>242061.22</v>
      </c>
      <c r="P147" s="36"/>
      <c r="Q147" s="36">
        <v>272035.62</v>
      </c>
      <c r="R147" s="36"/>
      <c r="S147" s="36">
        <v>0</v>
      </c>
      <c r="T147" s="36"/>
      <c r="U147" s="36">
        <v>0</v>
      </c>
      <c r="V147" s="36"/>
      <c r="W147" s="36">
        <v>0</v>
      </c>
      <c r="X147" s="36"/>
      <c r="Y147" s="36">
        <v>0</v>
      </c>
      <c r="Z147" s="36"/>
      <c r="AA147" s="36">
        <v>0</v>
      </c>
      <c r="AB147" s="36"/>
      <c r="AC147" s="36">
        <v>0</v>
      </c>
      <c r="AD147" s="36"/>
      <c r="AE147" s="36">
        <f aca="true" t="shared" si="56" ref="AE147">SUM(E147:AC147)</f>
        <v>649293.8300000001</v>
      </c>
      <c r="AF147" s="36"/>
      <c r="AG147" s="36">
        <v>-73922.06</v>
      </c>
      <c r="AH147" s="36"/>
      <c r="AI147" s="36">
        <v>665828.77</v>
      </c>
      <c r="AJ147" s="36"/>
      <c r="AK147" s="36">
        <v>591906.71</v>
      </c>
      <c r="AL147" s="24">
        <f>+'Gen Rev'!AI146-'Gen Exp'!AE147+'Gen Exp'!AI147-AK147</f>
        <v>0</v>
      </c>
      <c r="AM147" s="44" t="str">
        <f>'Gen Rev'!A146</f>
        <v>Commercial Poin</v>
      </c>
      <c r="AN147" s="21" t="str">
        <f t="shared" si="29"/>
        <v>Commercial Poin</v>
      </c>
      <c r="AO147" s="21" t="b">
        <f t="shared" si="30"/>
        <v>1</v>
      </c>
    </row>
    <row r="148" spans="1:41" s="21" customFormat="1" ht="12.6" customHeight="1" hidden="1">
      <c r="A148" s="1" t="s">
        <v>307</v>
      </c>
      <c r="B148" s="1"/>
      <c r="C148" s="1" t="s">
        <v>308</v>
      </c>
      <c r="D148" s="1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>
        <f t="shared" si="54"/>
        <v>0</v>
      </c>
      <c r="AF148" s="83"/>
      <c r="AG148" s="36"/>
      <c r="AH148" s="36"/>
      <c r="AI148" s="36"/>
      <c r="AJ148" s="36"/>
      <c r="AK148" s="36"/>
      <c r="AL148" s="24">
        <f>+'Gen Rev'!AI147-'Gen Exp'!AE148+'Gen Exp'!AI148-AK148</f>
        <v>0</v>
      </c>
      <c r="AM148" s="44" t="str">
        <f>'Gen Rev'!A147</f>
        <v>Conesville</v>
      </c>
      <c r="AN148" s="21" t="str">
        <f t="shared" si="29"/>
        <v>Conesville</v>
      </c>
      <c r="AO148" s="21" t="b">
        <f t="shared" si="30"/>
        <v>1</v>
      </c>
    </row>
    <row r="149" spans="1:41" s="21" customFormat="1" ht="12.6" customHeight="1">
      <c r="A149" s="1" t="s">
        <v>937</v>
      </c>
      <c r="B149" s="1"/>
      <c r="C149" s="1" t="s">
        <v>590</v>
      </c>
      <c r="D149" s="1"/>
      <c r="E149" s="95">
        <v>5115</v>
      </c>
      <c r="F149" s="95"/>
      <c r="G149" s="95">
        <v>1710.89</v>
      </c>
      <c r="H149" s="95"/>
      <c r="I149" s="95">
        <v>0</v>
      </c>
      <c r="J149" s="95"/>
      <c r="K149" s="95">
        <v>0</v>
      </c>
      <c r="L149" s="95"/>
      <c r="M149" s="95">
        <v>0</v>
      </c>
      <c r="N149" s="95"/>
      <c r="O149" s="95">
        <v>226.58</v>
      </c>
      <c r="P149" s="95"/>
      <c r="Q149" s="95">
        <v>14032.73</v>
      </c>
      <c r="R149" s="95"/>
      <c r="S149" s="95">
        <v>0</v>
      </c>
      <c r="T149" s="95"/>
      <c r="U149" s="95">
        <v>0</v>
      </c>
      <c r="V149" s="95"/>
      <c r="W149" s="95">
        <v>0</v>
      </c>
      <c r="X149" s="95"/>
      <c r="Y149" s="95">
        <v>0</v>
      </c>
      <c r="Z149" s="95"/>
      <c r="AA149" s="95">
        <v>0</v>
      </c>
      <c r="AB149" s="95"/>
      <c r="AC149" s="95">
        <v>0</v>
      </c>
      <c r="AD149" s="95"/>
      <c r="AE149" s="95">
        <f aca="true" t="shared" si="57" ref="AE149">SUM(E149:AC149)</f>
        <v>21085.2</v>
      </c>
      <c r="AF149" s="95"/>
      <c r="AG149" s="95">
        <v>10462.4</v>
      </c>
      <c r="AH149" s="95"/>
      <c r="AI149" s="95">
        <v>-6010.15</v>
      </c>
      <c r="AJ149" s="95"/>
      <c r="AK149" s="95">
        <v>4452.25</v>
      </c>
      <c r="AL149" s="24">
        <f>+'Gen Rev'!AI148-'Gen Exp'!AE149+'Gen Exp'!AI149-AK149</f>
        <v>0</v>
      </c>
      <c r="AM149" s="44" t="str">
        <f>'Gen Rev'!A148</f>
        <v>Congress</v>
      </c>
      <c r="AN149" s="21" t="str">
        <f t="shared" si="29"/>
        <v>Congress</v>
      </c>
      <c r="AO149" s="21" t="b">
        <f t="shared" si="30"/>
        <v>1</v>
      </c>
    </row>
    <row r="150" spans="1:41" ht="12.75">
      <c r="A150" s="1" t="s">
        <v>202</v>
      </c>
      <c r="C150" s="1" t="s">
        <v>808</v>
      </c>
      <c r="D150" s="23"/>
      <c r="E150" s="36">
        <v>124550.09</v>
      </c>
      <c r="F150" s="36"/>
      <c r="G150" s="36">
        <v>0</v>
      </c>
      <c r="H150" s="36"/>
      <c r="I150" s="36">
        <v>0</v>
      </c>
      <c r="J150" s="36"/>
      <c r="K150" s="36">
        <v>0</v>
      </c>
      <c r="L150" s="36"/>
      <c r="M150" s="36">
        <v>8190.73</v>
      </c>
      <c r="N150" s="36"/>
      <c r="O150" s="36">
        <v>0</v>
      </c>
      <c r="P150" s="36"/>
      <c r="Q150" s="36">
        <v>84162.7</v>
      </c>
      <c r="R150" s="36"/>
      <c r="S150" s="36">
        <v>208364.5</v>
      </c>
      <c r="T150" s="36"/>
      <c r="U150" s="36">
        <v>6500</v>
      </c>
      <c r="V150" s="36"/>
      <c r="W150" s="36">
        <v>186.2</v>
      </c>
      <c r="X150" s="36"/>
      <c r="Y150" s="36">
        <v>17000</v>
      </c>
      <c r="Z150" s="36"/>
      <c r="AA150" s="36">
        <v>0</v>
      </c>
      <c r="AB150" s="36"/>
      <c r="AC150" s="36">
        <v>171.36</v>
      </c>
      <c r="AD150" s="36"/>
      <c r="AE150" s="36">
        <f aca="true" t="shared" si="58" ref="AE150:AE154">SUM(E150:AC150)</f>
        <v>449125.58</v>
      </c>
      <c r="AF150" s="36"/>
      <c r="AG150" s="36">
        <v>57142.71</v>
      </c>
      <c r="AH150" s="36"/>
      <c r="AI150" s="36">
        <v>60545.23</v>
      </c>
      <c r="AJ150" s="36"/>
      <c r="AK150" s="36">
        <v>117687.94</v>
      </c>
      <c r="AL150" s="24">
        <f>+'Gen Rev'!AI149-'Gen Exp'!AE150+'Gen Exp'!AI150-AK150</f>
        <v>0</v>
      </c>
      <c r="AM150" s="44" t="str">
        <f>'Gen Rev'!A149</f>
        <v>Continental</v>
      </c>
      <c r="AN150" s="21" t="str">
        <f t="shared" si="29"/>
        <v>Continental</v>
      </c>
      <c r="AO150" s="21" t="b">
        <f t="shared" si="30"/>
        <v>1</v>
      </c>
    </row>
    <row r="151" spans="1:41" s="38" customFormat="1" ht="12.75">
      <c r="A151" s="38" t="s">
        <v>239</v>
      </c>
      <c r="C151" s="38" t="s">
        <v>820</v>
      </c>
      <c r="D151" s="51"/>
      <c r="E151" s="36">
        <v>110590.32</v>
      </c>
      <c r="F151" s="36"/>
      <c r="G151" s="36">
        <v>7871.2</v>
      </c>
      <c r="H151" s="36"/>
      <c r="I151" s="36">
        <v>0</v>
      </c>
      <c r="J151" s="36"/>
      <c r="K151" s="36">
        <v>2465.9</v>
      </c>
      <c r="L151" s="36"/>
      <c r="M151" s="36">
        <v>3581.68</v>
      </c>
      <c r="N151" s="36"/>
      <c r="O151" s="36">
        <v>60029.65</v>
      </c>
      <c r="P151" s="36"/>
      <c r="Q151" s="36">
        <v>115863.65</v>
      </c>
      <c r="R151" s="36"/>
      <c r="S151" s="36">
        <v>38218.81</v>
      </c>
      <c r="T151" s="36"/>
      <c r="U151" s="36">
        <v>14242.88</v>
      </c>
      <c r="V151" s="36"/>
      <c r="W151" s="36">
        <v>0</v>
      </c>
      <c r="X151" s="36"/>
      <c r="Y151" s="36">
        <v>2274.43</v>
      </c>
      <c r="Z151" s="36"/>
      <c r="AA151" s="36">
        <v>0</v>
      </c>
      <c r="AB151" s="36"/>
      <c r="AC151" s="36">
        <v>0</v>
      </c>
      <c r="AD151" s="36"/>
      <c r="AE151" s="36">
        <f t="shared" si="58"/>
        <v>355138.52</v>
      </c>
      <c r="AF151" s="36"/>
      <c r="AG151" s="36">
        <v>-16974.97</v>
      </c>
      <c r="AH151" s="36"/>
      <c r="AI151" s="36">
        <v>485554.53</v>
      </c>
      <c r="AJ151" s="36"/>
      <c r="AK151" s="36">
        <v>468579.56</v>
      </c>
      <c r="AL151" s="24">
        <f>+'Gen Rev'!AI150-'Gen Exp'!AE151+'Gen Exp'!AI151-AK151</f>
        <v>0</v>
      </c>
      <c r="AM151" s="44" t="str">
        <f>'Gen Rev'!A150</f>
        <v>Convoy</v>
      </c>
      <c r="AN151" s="21" t="str">
        <f t="shared" si="29"/>
        <v>Convoy</v>
      </c>
      <c r="AO151" s="21" t="b">
        <f t="shared" si="30"/>
        <v>1</v>
      </c>
    </row>
    <row r="152" spans="1:41" s="38" customFormat="1" ht="12.75">
      <c r="A152" s="38" t="s">
        <v>938</v>
      </c>
      <c r="C152" s="38" t="s">
        <v>271</v>
      </c>
      <c r="D152" s="51"/>
      <c r="E152" s="36">
        <v>20323.36</v>
      </c>
      <c r="F152" s="36"/>
      <c r="G152" s="36">
        <v>0</v>
      </c>
      <c r="H152" s="36"/>
      <c r="I152" s="36">
        <v>0</v>
      </c>
      <c r="J152" s="36"/>
      <c r="K152" s="36">
        <v>0</v>
      </c>
      <c r="L152" s="36"/>
      <c r="M152" s="36">
        <v>0</v>
      </c>
      <c r="N152" s="36"/>
      <c r="O152" s="36">
        <v>0</v>
      </c>
      <c r="P152" s="36"/>
      <c r="Q152" s="36">
        <v>21050.16</v>
      </c>
      <c r="R152" s="36"/>
      <c r="S152" s="36">
        <v>0</v>
      </c>
      <c r="T152" s="36"/>
      <c r="U152" s="36">
        <v>0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f t="shared" si="58"/>
        <v>41373.520000000004</v>
      </c>
      <c r="AF152" s="36"/>
      <c r="AG152" s="36">
        <v>8549.5</v>
      </c>
      <c r="AH152" s="36"/>
      <c r="AI152" s="36">
        <v>-5763.09</v>
      </c>
      <c r="AJ152" s="36"/>
      <c r="AK152" s="36">
        <v>2786.41</v>
      </c>
      <c r="AL152" s="24">
        <f>+'Gen Rev'!AI151-'Gen Exp'!AE152+'Gen Exp'!AI152-AK152</f>
        <v>-7.275957614183426E-12</v>
      </c>
      <c r="AM152" s="44" t="str">
        <f>'Gen Rev'!A151</f>
        <v>Coolville</v>
      </c>
      <c r="AN152" s="21" t="str">
        <f t="shared" si="29"/>
        <v>Coolville</v>
      </c>
      <c r="AO152" s="21" t="b">
        <f t="shared" si="30"/>
        <v>1</v>
      </c>
    </row>
    <row r="153" spans="1:41" ht="12.75">
      <c r="A153" s="1" t="s">
        <v>186</v>
      </c>
      <c r="C153" s="1" t="s">
        <v>433</v>
      </c>
      <c r="D153" s="23"/>
      <c r="E153" s="36">
        <v>19463.26</v>
      </c>
      <c r="F153" s="36"/>
      <c r="G153" s="36">
        <v>0</v>
      </c>
      <c r="H153" s="36"/>
      <c r="I153" s="36">
        <v>1876.66</v>
      </c>
      <c r="J153" s="36"/>
      <c r="K153" s="36">
        <v>0</v>
      </c>
      <c r="L153" s="36"/>
      <c r="M153" s="36">
        <v>0</v>
      </c>
      <c r="N153" s="36"/>
      <c r="O153" s="36">
        <v>0</v>
      </c>
      <c r="P153" s="36"/>
      <c r="Q153" s="36">
        <v>39101.21</v>
      </c>
      <c r="R153" s="36"/>
      <c r="S153" s="36">
        <v>0</v>
      </c>
      <c r="T153" s="36"/>
      <c r="U153" s="36">
        <v>0</v>
      </c>
      <c r="V153" s="36"/>
      <c r="W153" s="36">
        <v>0</v>
      </c>
      <c r="X153" s="36"/>
      <c r="Y153" s="36">
        <v>0</v>
      </c>
      <c r="Z153" s="36"/>
      <c r="AA153" s="36">
        <v>0</v>
      </c>
      <c r="AB153" s="36"/>
      <c r="AC153" s="36">
        <v>0</v>
      </c>
      <c r="AD153" s="36"/>
      <c r="AE153" s="36">
        <f t="shared" si="58"/>
        <v>60441.13</v>
      </c>
      <c r="AF153" s="36"/>
      <c r="AG153" s="36">
        <v>2645.93</v>
      </c>
      <c r="AH153" s="36"/>
      <c r="AI153" s="36">
        <v>92578.18</v>
      </c>
      <c r="AJ153" s="36"/>
      <c r="AK153" s="36">
        <v>95224.11</v>
      </c>
      <c r="AL153" s="24">
        <f>+'Gen Rev'!AI152-'Gen Exp'!AE153+'Gen Exp'!AI153-AK153</f>
        <v>0</v>
      </c>
      <c r="AM153" s="44" t="str">
        <f>'Gen Rev'!A152</f>
        <v>Corning</v>
      </c>
      <c r="AN153" s="21" t="str">
        <f aca="true" t="shared" si="59" ref="AN153:AN219">A153</f>
        <v>Corning</v>
      </c>
      <c r="AO153" s="21" t="b">
        <f aca="true" t="shared" si="60" ref="AO153:AO219">AM153=AN153</f>
        <v>1</v>
      </c>
    </row>
    <row r="154" spans="1:41" ht="12.75">
      <c r="A154" s="1" t="s">
        <v>939</v>
      </c>
      <c r="C154" s="1" t="s">
        <v>800</v>
      </c>
      <c r="D154" s="23"/>
      <c r="E154" s="36">
        <v>168686.81</v>
      </c>
      <c r="F154" s="36"/>
      <c r="G154" s="36">
        <v>0</v>
      </c>
      <c r="H154" s="36"/>
      <c r="I154" s="36">
        <v>31675.54</v>
      </c>
      <c r="J154" s="36"/>
      <c r="K154" s="36">
        <v>0</v>
      </c>
      <c r="L154" s="36"/>
      <c r="M154" s="36">
        <v>0</v>
      </c>
      <c r="N154" s="36"/>
      <c r="O154" s="36">
        <v>2500</v>
      </c>
      <c r="P154" s="36"/>
      <c r="Q154" s="36">
        <v>154779.63</v>
      </c>
      <c r="R154" s="36"/>
      <c r="S154" s="36">
        <v>14168.82</v>
      </c>
      <c r="T154" s="36"/>
      <c r="U154" s="36">
        <v>54533.02</v>
      </c>
      <c r="V154" s="36"/>
      <c r="W154" s="36">
        <v>16322.46</v>
      </c>
      <c r="X154" s="36"/>
      <c r="Y154" s="36">
        <v>84362.06</v>
      </c>
      <c r="Z154" s="36"/>
      <c r="AA154" s="36">
        <v>0</v>
      </c>
      <c r="AB154" s="36"/>
      <c r="AC154" s="36">
        <v>0</v>
      </c>
      <c r="AD154" s="36"/>
      <c r="AE154" s="36">
        <f t="shared" si="58"/>
        <v>527028.3400000001</v>
      </c>
      <c r="AF154" s="36"/>
      <c r="AG154" s="36">
        <v>3878.28</v>
      </c>
      <c r="AH154" s="36"/>
      <c r="AI154" s="36">
        <v>84729.61</v>
      </c>
      <c r="AJ154" s="36"/>
      <c r="AK154" s="36">
        <v>88607.89</v>
      </c>
      <c r="AL154" s="24">
        <f>+'Gen Rev'!AI153-'Gen Exp'!AE154+'Gen Exp'!AI154-AK154</f>
        <v>0</v>
      </c>
      <c r="AM154" s="44" t="str">
        <f>'Gen Rev'!A153</f>
        <v>Corp of South Zanesville</v>
      </c>
      <c r="AN154" s="21" t="str">
        <f t="shared" si="59"/>
        <v>Corp of South Zanesville</v>
      </c>
      <c r="AO154" s="21" t="b">
        <f t="shared" si="60"/>
        <v>1</v>
      </c>
    </row>
    <row r="155" spans="1:41" s="21" customFormat="1" ht="12.75">
      <c r="A155" s="1" t="s">
        <v>581</v>
      </c>
      <c r="B155" s="1"/>
      <c r="C155" s="1" t="s">
        <v>583</v>
      </c>
      <c r="D155" s="1"/>
      <c r="E155" s="83">
        <v>3836</v>
      </c>
      <c r="F155" s="83"/>
      <c r="G155" s="83">
        <v>0</v>
      </c>
      <c r="H155" s="83"/>
      <c r="I155" s="83">
        <v>0</v>
      </c>
      <c r="J155" s="83"/>
      <c r="K155" s="83">
        <v>1648</v>
      </c>
      <c r="L155" s="83"/>
      <c r="M155" s="83">
        <v>0</v>
      </c>
      <c r="N155" s="83"/>
      <c r="O155" s="83">
        <v>0</v>
      </c>
      <c r="P155" s="83"/>
      <c r="Q155" s="83">
        <v>26258</v>
      </c>
      <c r="R155" s="83"/>
      <c r="S155" s="83">
        <v>0</v>
      </c>
      <c r="T155" s="83"/>
      <c r="U155" s="83">
        <v>0</v>
      </c>
      <c r="V155" s="83"/>
      <c r="W155" s="83">
        <v>0</v>
      </c>
      <c r="X155" s="83"/>
      <c r="Y155" s="83">
        <v>0</v>
      </c>
      <c r="Z155" s="83"/>
      <c r="AA155" s="83">
        <v>0</v>
      </c>
      <c r="AB155" s="83"/>
      <c r="AC155" s="83">
        <v>0</v>
      </c>
      <c r="AD155" s="83"/>
      <c r="AE155" s="83">
        <f t="shared" si="54"/>
        <v>31742</v>
      </c>
      <c r="AF155" s="83"/>
      <c r="AG155" s="83"/>
      <c r="AH155" s="83"/>
      <c r="AI155" s="83">
        <v>226276</v>
      </c>
      <c r="AJ155" s="83"/>
      <c r="AK155" s="83">
        <v>238268</v>
      </c>
      <c r="AL155" s="24">
        <f>+'Gen Rev'!AI154-'Gen Exp'!AE155+'Gen Exp'!AI155-AK155</f>
        <v>50</v>
      </c>
      <c r="AM155" s="44" t="str">
        <f>'Gen Rev'!A154</f>
        <v>Corwin</v>
      </c>
      <c r="AN155" s="21" t="str">
        <f t="shared" si="59"/>
        <v>Corwin</v>
      </c>
      <c r="AO155" s="21" t="b">
        <f t="shared" si="60"/>
        <v>1</v>
      </c>
    </row>
    <row r="156" spans="1:41" ht="12.75">
      <c r="A156" s="1" t="s">
        <v>900</v>
      </c>
      <c r="C156" s="1" t="s">
        <v>470</v>
      </c>
      <c r="D156" s="23"/>
      <c r="E156" s="83">
        <v>587301</v>
      </c>
      <c r="F156" s="83"/>
      <c r="G156" s="83">
        <v>91801</v>
      </c>
      <c r="H156" s="83"/>
      <c r="I156" s="83">
        <v>8287</v>
      </c>
      <c r="J156" s="83"/>
      <c r="K156" s="83">
        <v>0</v>
      </c>
      <c r="L156" s="83"/>
      <c r="M156" s="83">
        <v>0</v>
      </c>
      <c r="N156" s="83"/>
      <c r="O156" s="83">
        <v>0</v>
      </c>
      <c r="P156" s="83"/>
      <c r="Q156" s="83">
        <v>242259</v>
      </c>
      <c r="R156" s="83"/>
      <c r="S156" s="83">
        <v>35933</v>
      </c>
      <c r="T156" s="83"/>
      <c r="U156" s="83">
        <v>90000</v>
      </c>
      <c r="V156" s="83"/>
      <c r="W156" s="83">
        <v>19125</v>
      </c>
      <c r="X156" s="83"/>
      <c r="Y156" s="83">
        <v>65000</v>
      </c>
      <c r="Z156" s="83"/>
      <c r="AA156" s="83">
        <v>20000</v>
      </c>
      <c r="AB156" s="83"/>
      <c r="AC156" s="83">
        <v>0</v>
      </c>
      <c r="AD156" s="83"/>
      <c r="AE156" s="83">
        <f t="shared" si="54"/>
        <v>1159706</v>
      </c>
      <c r="AF156" s="83"/>
      <c r="AG156" s="83">
        <v>-39152</v>
      </c>
      <c r="AH156" s="83"/>
      <c r="AI156" s="83">
        <v>288500</v>
      </c>
      <c r="AJ156" s="83"/>
      <c r="AK156" s="83">
        <v>249348</v>
      </c>
      <c r="AL156" s="24">
        <f>+'Gen Rev'!AI155-'Gen Exp'!AE156+'Gen Exp'!AI156-AK156</f>
        <v>0</v>
      </c>
      <c r="AM156" s="44" t="str">
        <f>'Gen Rev'!A155</f>
        <v>Covington</v>
      </c>
      <c r="AN156" s="21" t="str">
        <f t="shared" si="59"/>
        <v>Covington</v>
      </c>
      <c r="AO156" s="21" t="b">
        <f t="shared" si="60"/>
        <v>1</v>
      </c>
    </row>
    <row r="157" spans="1:41" ht="12.75">
      <c r="A157" s="1" t="s">
        <v>144</v>
      </c>
      <c r="C157" s="1" t="s">
        <v>790</v>
      </c>
      <c r="D157" s="23"/>
      <c r="E157" s="36">
        <v>51016.95</v>
      </c>
      <c r="F157" s="36"/>
      <c r="G157" s="36">
        <v>5498.21</v>
      </c>
      <c r="H157" s="36"/>
      <c r="I157" s="36">
        <v>0</v>
      </c>
      <c r="J157" s="36"/>
      <c r="K157" s="36">
        <v>1954.66</v>
      </c>
      <c r="L157" s="36"/>
      <c r="M157" s="36">
        <v>7425.26</v>
      </c>
      <c r="N157" s="36"/>
      <c r="O157" s="36">
        <v>0</v>
      </c>
      <c r="P157" s="36"/>
      <c r="Q157" s="36">
        <v>60086.86</v>
      </c>
      <c r="R157" s="36"/>
      <c r="S157" s="36">
        <v>0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0</v>
      </c>
      <c r="AB157" s="36"/>
      <c r="AC157" s="36">
        <v>0</v>
      </c>
      <c r="AD157" s="36"/>
      <c r="AE157" s="36">
        <f aca="true" t="shared" si="61" ref="AE157:AE159">SUM(E157:AC157)</f>
        <v>125981.94</v>
      </c>
      <c r="AF157" s="36"/>
      <c r="AG157" s="36">
        <v>15487.88</v>
      </c>
      <c r="AH157" s="36"/>
      <c r="AI157" s="36">
        <v>47296.04</v>
      </c>
      <c r="AJ157" s="36"/>
      <c r="AK157" s="36">
        <v>62783.92</v>
      </c>
      <c r="AL157" s="24">
        <f>+'Gen Rev'!AI156-'Gen Exp'!AE157+'Gen Exp'!AI157-AK157</f>
        <v>0</v>
      </c>
      <c r="AM157" s="44" t="str">
        <f>'Gen Rev'!A156</f>
        <v>Craig Beach</v>
      </c>
      <c r="AN157" s="21" t="str">
        <f t="shared" si="59"/>
        <v>Craig Beach</v>
      </c>
      <c r="AO157" s="21" t="b">
        <f t="shared" si="60"/>
        <v>1</v>
      </c>
    </row>
    <row r="158" spans="1:41" ht="12.75">
      <c r="A158" s="1" t="s">
        <v>973</v>
      </c>
      <c r="C158" s="1" t="s">
        <v>312</v>
      </c>
      <c r="D158" s="23"/>
      <c r="E158" s="36">
        <v>1250157</v>
      </c>
      <c r="F158" s="36"/>
      <c r="G158" s="36">
        <v>0</v>
      </c>
      <c r="H158" s="36"/>
      <c r="I158" s="36">
        <v>40608</v>
      </c>
      <c r="J158" s="36"/>
      <c r="K158" s="36">
        <v>250</v>
      </c>
      <c r="L158" s="36"/>
      <c r="M158" s="36">
        <v>0</v>
      </c>
      <c r="N158" s="36"/>
      <c r="O158" s="36">
        <v>0</v>
      </c>
      <c r="P158" s="36"/>
      <c r="Q158" s="36">
        <v>341785</v>
      </c>
      <c r="R158" s="36"/>
      <c r="S158" s="36">
        <v>0</v>
      </c>
      <c r="T158" s="36"/>
      <c r="U158" s="36">
        <v>1200</v>
      </c>
      <c r="V158" s="36"/>
      <c r="W158" s="36">
        <v>2155</v>
      </c>
      <c r="X158" s="36"/>
      <c r="Y158" s="36">
        <v>0</v>
      </c>
      <c r="Z158" s="36"/>
      <c r="AA158" s="36">
        <v>0</v>
      </c>
      <c r="AB158" s="36"/>
      <c r="AC158" s="36">
        <v>0</v>
      </c>
      <c r="AD158" s="36"/>
      <c r="AE158" s="36">
        <f>SUM(E158:AC158)</f>
        <v>1636155</v>
      </c>
      <c r="AF158" s="36"/>
      <c r="AG158" s="36">
        <v>12591</v>
      </c>
      <c r="AH158" s="36"/>
      <c r="AI158" s="36">
        <v>58148</v>
      </c>
      <c r="AJ158" s="36"/>
      <c r="AK158" s="36">
        <v>70739</v>
      </c>
      <c r="AL158" s="24">
        <f>+'Gen Rev'!AI157-'Gen Exp'!AE158+'Gen Exp'!AI158-AK158</f>
        <v>90</v>
      </c>
      <c r="AM158" s="44" t="str">
        <f>'Gen Rev'!A157</f>
        <v>Crestline</v>
      </c>
      <c r="AN158" s="21" t="str">
        <f t="shared" si="59"/>
        <v>Crestline</v>
      </c>
      <c r="AO158" s="21" t="b">
        <f t="shared" si="60"/>
        <v>1</v>
      </c>
    </row>
    <row r="159" spans="1:41" s="21" customFormat="1" ht="12.75">
      <c r="A159" s="1" t="s">
        <v>591</v>
      </c>
      <c r="B159" s="1"/>
      <c r="C159" s="1" t="s">
        <v>592</v>
      </c>
      <c r="D159" s="1"/>
      <c r="E159" s="36">
        <v>14997.34</v>
      </c>
      <c r="F159" s="36"/>
      <c r="G159" s="36">
        <v>7071.07</v>
      </c>
      <c r="H159" s="36"/>
      <c r="I159" s="36">
        <v>0</v>
      </c>
      <c r="J159" s="36"/>
      <c r="K159" s="36">
        <v>109.6</v>
      </c>
      <c r="L159" s="36"/>
      <c r="M159" s="36">
        <v>0</v>
      </c>
      <c r="N159" s="36"/>
      <c r="O159" s="36">
        <v>0</v>
      </c>
      <c r="P159" s="36"/>
      <c r="Q159" s="36">
        <v>216895.78</v>
      </c>
      <c r="R159" s="36"/>
      <c r="S159" s="36">
        <v>10838.73</v>
      </c>
      <c r="T159" s="36"/>
      <c r="U159" s="36">
        <v>3221.41</v>
      </c>
      <c r="V159" s="36"/>
      <c r="W159" s="36">
        <v>1169.25</v>
      </c>
      <c r="X159" s="36"/>
      <c r="Y159" s="36">
        <v>111000</v>
      </c>
      <c r="Z159" s="36"/>
      <c r="AA159" s="36">
        <v>0</v>
      </c>
      <c r="AB159" s="36"/>
      <c r="AC159" s="36">
        <v>0</v>
      </c>
      <c r="AD159" s="36"/>
      <c r="AE159" s="36">
        <f t="shared" si="61"/>
        <v>365303.18000000005</v>
      </c>
      <c r="AF159" s="36"/>
      <c r="AG159" s="36">
        <v>23395.91</v>
      </c>
      <c r="AH159" s="36"/>
      <c r="AI159" s="36">
        <v>486060.48</v>
      </c>
      <c r="AJ159" s="36"/>
      <c r="AK159" s="36">
        <v>509456.39</v>
      </c>
      <c r="AL159" s="24">
        <f>+'Gen Rev'!AI158-'Gen Exp'!AE159+'Gen Exp'!AI159-AK159</f>
        <v>0</v>
      </c>
      <c r="AM159" s="44" t="str">
        <f>'Gen Rev'!A158</f>
        <v>Creston</v>
      </c>
      <c r="AN159" s="21" t="str">
        <f t="shared" si="59"/>
        <v>Creston</v>
      </c>
      <c r="AO159" s="21" t="b">
        <f t="shared" si="60"/>
        <v>1</v>
      </c>
    </row>
    <row r="160" spans="1:41" s="21" customFormat="1" ht="12.6" customHeight="1">
      <c r="A160" s="1" t="s">
        <v>274</v>
      </c>
      <c r="B160" s="1"/>
      <c r="C160" s="1" t="s">
        <v>275</v>
      </c>
      <c r="D160" s="1"/>
      <c r="E160" s="83">
        <v>401091</v>
      </c>
      <c r="F160" s="83"/>
      <c r="G160" s="83">
        <v>88</v>
      </c>
      <c r="H160" s="83"/>
      <c r="I160" s="83">
        <v>9279</v>
      </c>
      <c r="J160" s="83"/>
      <c r="K160" s="83">
        <v>4527</v>
      </c>
      <c r="L160" s="83"/>
      <c r="M160" s="83">
        <v>2388</v>
      </c>
      <c r="N160" s="83"/>
      <c r="O160" s="83">
        <v>23797</v>
      </c>
      <c r="P160" s="83"/>
      <c r="Q160" s="83">
        <v>170069</v>
      </c>
      <c r="R160" s="83"/>
      <c r="S160" s="83">
        <v>1491</v>
      </c>
      <c r="T160" s="83"/>
      <c r="U160" s="83">
        <v>0</v>
      </c>
      <c r="V160" s="83"/>
      <c r="W160" s="83">
        <v>0</v>
      </c>
      <c r="X160" s="83"/>
      <c r="Y160" s="83">
        <v>48699</v>
      </c>
      <c r="Z160" s="83"/>
      <c r="AA160" s="83">
        <v>0</v>
      </c>
      <c r="AB160" s="83"/>
      <c r="AC160" s="83">
        <v>0</v>
      </c>
      <c r="AD160" s="83"/>
      <c r="AE160" s="83">
        <f t="shared" si="54"/>
        <v>661429</v>
      </c>
      <c r="AF160" s="83"/>
      <c r="AG160" s="36">
        <v>-43683</v>
      </c>
      <c r="AH160" s="36"/>
      <c r="AI160" s="36">
        <v>184352</v>
      </c>
      <c r="AJ160" s="36"/>
      <c r="AK160" s="36">
        <v>140669</v>
      </c>
      <c r="AL160" s="24">
        <f>+'Gen Rev'!AI159-'Gen Exp'!AE160+'Gen Exp'!AI160-AK160</f>
        <v>0</v>
      </c>
      <c r="AM160" s="44" t="str">
        <f>'Gen Rev'!A159</f>
        <v>Cridersville</v>
      </c>
      <c r="AN160" s="21" t="str">
        <f t="shared" si="59"/>
        <v>Cridersville</v>
      </c>
      <c r="AO160" s="21" t="b">
        <f t="shared" si="60"/>
        <v>1</v>
      </c>
    </row>
    <row r="161" spans="1:41" s="21" customFormat="1" ht="12.75">
      <c r="A161" s="1" t="s">
        <v>500</v>
      </c>
      <c r="B161" s="1"/>
      <c r="C161" s="1" t="s">
        <v>501</v>
      </c>
      <c r="D161" s="1"/>
      <c r="E161" s="83">
        <v>275105</v>
      </c>
      <c r="F161" s="83"/>
      <c r="G161" s="83">
        <v>0</v>
      </c>
      <c r="H161" s="83"/>
      <c r="I161" s="83">
        <v>0</v>
      </c>
      <c r="J161" s="83"/>
      <c r="K161" s="83">
        <v>0</v>
      </c>
      <c r="L161" s="83"/>
      <c r="M161" s="83">
        <v>0</v>
      </c>
      <c r="N161" s="83"/>
      <c r="O161" s="83">
        <v>0</v>
      </c>
      <c r="P161" s="83"/>
      <c r="Q161" s="83">
        <v>187066</v>
      </c>
      <c r="R161" s="83"/>
      <c r="S161" s="83">
        <v>0</v>
      </c>
      <c r="T161" s="83"/>
      <c r="U161" s="83">
        <v>0</v>
      </c>
      <c r="V161" s="83"/>
      <c r="W161" s="83">
        <v>0</v>
      </c>
      <c r="X161" s="83"/>
      <c r="Y161" s="83">
        <v>0</v>
      </c>
      <c r="Z161" s="83"/>
      <c r="AA161" s="83">
        <v>0</v>
      </c>
      <c r="AB161" s="83"/>
      <c r="AC161" s="83">
        <v>15140</v>
      </c>
      <c r="AD161" s="83"/>
      <c r="AE161" s="83">
        <f t="shared" si="54"/>
        <v>477311</v>
      </c>
      <c r="AF161" s="83"/>
      <c r="AG161" s="83">
        <v>-1200</v>
      </c>
      <c r="AH161" s="83"/>
      <c r="AI161" s="83">
        <v>40347</v>
      </c>
      <c r="AJ161" s="83"/>
      <c r="AK161" s="83">
        <v>39148</v>
      </c>
      <c r="AL161" s="24">
        <f>+'Gen Rev'!AI160-'Gen Exp'!AE161+'Gen Exp'!AI161-AK161</f>
        <v>-1</v>
      </c>
      <c r="AM161" s="44" t="str">
        <f>'Gen Rev'!A160</f>
        <v>Crooksville</v>
      </c>
      <c r="AN161" s="21" t="str">
        <f t="shared" si="59"/>
        <v>Crooksville</v>
      </c>
      <c r="AO161" s="21" t="b">
        <f t="shared" si="60"/>
        <v>1</v>
      </c>
    </row>
    <row r="162" spans="1:41" ht="12.75">
      <c r="A162" s="1" t="s">
        <v>80</v>
      </c>
      <c r="C162" s="1" t="s">
        <v>770</v>
      </c>
      <c r="D162" s="23"/>
      <c r="E162" s="36">
        <v>19535.12</v>
      </c>
      <c r="F162" s="36"/>
      <c r="G162" s="36">
        <v>420</v>
      </c>
      <c r="H162" s="36"/>
      <c r="I162" s="36">
        <v>0</v>
      </c>
      <c r="J162" s="36"/>
      <c r="K162" s="36">
        <v>0</v>
      </c>
      <c r="L162" s="36"/>
      <c r="M162" s="36">
        <v>0</v>
      </c>
      <c r="N162" s="36"/>
      <c r="O162" s="36">
        <v>0</v>
      </c>
      <c r="P162" s="36"/>
      <c r="Q162" s="36">
        <v>30643</v>
      </c>
      <c r="R162" s="36"/>
      <c r="S162" s="36">
        <v>0</v>
      </c>
      <c r="T162" s="36"/>
      <c r="U162" s="36">
        <v>0</v>
      </c>
      <c r="V162" s="36"/>
      <c r="W162" s="36">
        <v>7397</v>
      </c>
      <c r="X162" s="36"/>
      <c r="Y162" s="36">
        <v>440</v>
      </c>
      <c r="Z162" s="36"/>
      <c r="AA162" s="36">
        <v>0</v>
      </c>
      <c r="AB162" s="36"/>
      <c r="AC162" s="36">
        <v>0</v>
      </c>
      <c r="AD162" s="36"/>
      <c r="AE162" s="36">
        <f aca="true" t="shared" si="62" ref="AE162:AE164">SUM(E162:AC162)</f>
        <v>58435.119999999995</v>
      </c>
      <c r="AF162" s="36"/>
      <c r="AG162" s="36">
        <v>11823.13</v>
      </c>
      <c r="AH162" s="36"/>
      <c r="AI162" s="36">
        <v>9683.94</v>
      </c>
      <c r="AJ162" s="36"/>
      <c r="AK162" s="36">
        <v>21507.07</v>
      </c>
      <c r="AL162" s="24">
        <f>+'Gen Rev'!AI161-'Gen Exp'!AE162+'Gen Exp'!AI162-AK162</f>
        <v>0</v>
      </c>
      <c r="AM162" s="44" t="str">
        <f>'Gen Rev'!A161</f>
        <v>Crown City</v>
      </c>
      <c r="AN162" s="21" t="str">
        <f t="shared" si="59"/>
        <v>Crown City</v>
      </c>
      <c r="AO162" s="21" t="b">
        <f t="shared" si="60"/>
        <v>1</v>
      </c>
    </row>
    <row r="163" spans="1:41" s="21" customFormat="1" ht="12.75">
      <c r="A163" s="1" t="s">
        <v>87</v>
      </c>
      <c r="B163" s="1"/>
      <c r="C163" s="1" t="s">
        <v>772</v>
      </c>
      <c r="D163" s="23"/>
      <c r="E163" s="36">
        <v>0</v>
      </c>
      <c r="F163" s="36"/>
      <c r="G163" s="36">
        <v>0</v>
      </c>
      <c r="H163" s="36"/>
      <c r="I163" s="36">
        <v>0</v>
      </c>
      <c r="J163" s="36"/>
      <c r="K163" s="36">
        <v>0</v>
      </c>
      <c r="L163" s="36"/>
      <c r="M163" s="36">
        <v>0</v>
      </c>
      <c r="N163" s="36"/>
      <c r="O163" s="36">
        <v>0</v>
      </c>
      <c r="P163" s="36"/>
      <c r="Q163" s="36">
        <v>32960.77</v>
      </c>
      <c r="R163" s="36"/>
      <c r="S163" s="36">
        <v>0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f t="shared" si="62"/>
        <v>32960.77</v>
      </c>
      <c r="AF163" s="36"/>
      <c r="AG163" s="36">
        <v>1832.9</v>
      </c>
      <c r="AH163" s="36"/>
      <c r="AI163" s="36">
        <v>9163.25</v>
      </c>
      <c r="AJ163" s="36"/>
      <c r="AK163" s="36">
        <v>10996.15</v>
      </c>
      <c r="AL163" s="24">
        <f>+'Gen Rev'!AI162-'Gen Exp'!AE163+'Gen Exp'!AI163-AK163</f>
        <v>0</v>
      </c>
      <c r="AM163" s="44" t="str">
        <f>'Gen Rev'!A162</f>
        <v>Cumberland</v>
      </c>
      <c r="AN163" s="21" t="str">
        <f t="shared" si="59"/>
        <v>Cumberland</v>
      </c>
      <c r="AO163" s="21" t="b">
        <f t="shared" si="60"/>
        <v>1</v>
      </c>
    </row>
    <row r="164" spans="1:41" ht="12.75">
      <c r="A164" s="1" t="s">
        <v>254</v>
      </c>
      <c r="C164" s="1" t="s">
        <v>825</v>
      </c>
      <c r="D164" s="23"/>
      <c r="E164" s="36">
        <v>1253</v>
      </c>
      <c r="F164" s="36"/>
      <c r="G164" s="36">
        <v>0</v>
      </c>
      <c r="H164" s="36"/>
      <c r="I164" s="36">
        <v>2204.22</v>
      </c>
      <c r="J164" s="36"/>
      <c r="K164" s="36">
        <v>258.8</v>
      </c>
      <c r="L164" s="36"/>
      <c r="M164" s="36">
        <v>0</v>
      </c>
      <c r="N164" s="36"/>
      <c r="O164" s="36">
        <v>0</v>
      </c>
      <c r="P164" s="36"/>
      <c r="Q164" s="36">
        <v>18957.45</v>
      </c>
      <c r="R164" s="36"/>
      <c r="S164" s="36">
        <v>2485</v>
      </c>
      <c r="T164" s="36"/>
      <c r="U164" s="36">
        <v>0</v>
      </c>
      <c r="V164" s="36"/>
      <c r="W164" s="36">
        <v>0</v>
      </c>
      <c r="X164" s="36"/>
      <c r="Y164" s="36">
        <v>2194.26</v>
      </c>
      <c r="Z164" s="36"/>
      <c r="AA164" s="36">
        <v>0</v>
      </c>
      <c r="AB164" s="36"/>
      <c r="AC164" s="36">
        <v>87.22</v>
      </c>
      <c r="AD164" s="36"/>
      <c r="AE164" s="36">
        <f t="shared" si="62"/>
        <v>27439.950000000004</v>
      </c>
      <c r="AF164" s="36"/>
      <c r="AG164" s="36">
        <v>7340.52</v>
      </c>
      <c r="AH164" s="36"/>
      <c r="AI164" s="36">
        <v>47953.7</v>
      </c>
      <c r="AJ164" s="36"/>
      <c r="AK164" s="36">
        <v>55294.22</v>
      </c>
      <c r="AL164" s="24">
        <f>+'Gen Rev'!AI163-'Gen Exp'!AE164+'Gen Exp'!AI164-AK164</f>
        <v>0</v>
      </c>
      <c r="AM164" s="44" t="str">
        <f>'Gen Rev'!A163</f>
        <v>Custar</v>
      </c>
      <c r="AN164" s="21" t="str">
        <f t="shared" si="59"/>
        <v>Custar</v>
      </c>
      <c r="AO164" s="21" t="b">
        <f t="shared" si="60"/>
        <v>1</v>
      </c>
    </row>
    <row r="165" spans="1:41" ht="12.75">
      <c r="A165" s="1" t="s">
        <v>927</v>
      </c>
      <c r="C165" s="1" t="s">
        <v>316</v>
      </c>
      <c r="D165" s="23"/>
      <c r="E165" s="83">
        <v>4247982</v>
      </c>
      <c r="F165" s="83"/>
      <c r="G165" s="83">
        <v>18357</v>
      </c>
      <c r="H165" s="83"/>
      <c r="I165" s="83">
        <v>130107</v>
      </c>
      <c r="J165" s="83"/>
      <c r="K165" s="83">
        <v>64300</v>
      </c>
      <c r="L165" s="83"/>
      <c r="M165" s="83">
        <v>20092</v>
      </c>
      <c r="N165" s="83"/>
      <c r="O165" s="83">
        <v>49718</v>
      </c>
      <c r="P165" s="83"/>
      <c r="Q165" s="83">
        <v>3572363</v>
      </c>
      <c r="R165" s="83"/>
      <c r="S165" s="83">
        <v>0</v>
      </c>
      <c r="T165" s="83"/>
      <c r="U165" s="83">
        <v>0</v>
      </c>
      <c r="V165" s="83"/>
      <c r="W165" s="83">
        <v>0</v>
      </c>
      <c r="X165" s="83"/>
      <c r="Y165" s="83">
        <v>977500</v>
      </c>
      <c r="Z165" s="83"/>
      <c r="AA165" s="83">
        <v>0</v>
      </c>
      <c r="AB165" s="83"/>
      <c r="AC165" s="83">
        <v>0</v>
      </c>
      <c r="AD165" s="83"/>
      <c r="AE165" s="83">
        <f t="shared" si="54"/>
        <v>9080419</v>
      </c>
      <c r="AF165" s="83"/>
      <c r="AG165" s="83">
        <v>100389</v>
      </c>
      <c r="AH165" s="83"/>
      <c r="AI165" s="83">
        <v>2158768</v>
      </c>
      <c r="AJ165" s="83"/>
      <c r="AK165" s="83">
        <v>2259157</v>
      </c>
      <c r="AL165" s="24">
        <f>+'Gen Rev'!AI164-'Gen Exp'!AE165+'Gen Exp'!AI165-AK165</f>
        <v>0</v>
      </c>
      <c r="AM165" s="44" t="str">
        <f>'Gen Rev'!A164</f>
        <v>Cuyahoga Heights</v>
      </c>
      <c r="AN165" s="21" t="str">
        <f t="shared" si="59"/>
        <v>Cuyahoga Heights</v>
      </c>
      <c r="AO165" s="21" t="b">
        <f t="shared" si="60"/>
        <v>1</v>
      </c>
    </row>
    <row r="166" spans="1:41" ht="12.75">
      <c r="A166" s="1" t="s">
        <v>843</v>
      </c>
      <c r="C166" s="1" t="s">
        <v>825</v>
      </c>
      <c r="D166" s="23"/>
      <c r="E166" s="36">
        <v>17533.81</v>
      </c>
      <c r="F166" s="36"/>
      <c r="G166" s="36">
        <v>0</v>
      </c>
      <c r="H166" s="36"/>
      <c r="I166" s="36">
        <v>13513.61</v>
      </c>
      <c r="J166" s="36"/>
      <c r="K166" s="36">
        <v>412.97</v>
      </c>
      <c r="L166" s="36"/>
      <c r="M166" s="36">
        <v>0</v>
      </c>
      <c r="N166" s="36"/>
      <c r="O166" s="36">
        <v>0</v>
      </c>
      <c r="P166" s="36"/>
      <c r="Q166" s="36">
        <v>182288.63</v>
      </c>
      <c r="R166" s="36"/>
      <c r="S166" s="36">
        <v>0</v>
      </c>
      <c r="T166" s="36"/>
      <c r="U166" s="36">
        <v>0</v>
      </c>
      <c r="V166" s="36"/>
      <c r="W166" s="36">
        <v>0</v>
      </c>
      <c r="X166" s="36"/>
      <c r="Y166" s="36">
        <v>0</v>
      </c>
      <c r="Z166" s="36"/>
      <c r="AA166" s="36">
        <v>0</v>
      </c>
      <c r="AB166" s="36"/>
      <c r="AC166" s="36">
        <v>0</v>
      </c>
      <c r="AD166" s="36"/>
      <c r="AE166" s="36">
        <f aca="true" t="shared" si="63" ref="AE166">SUM(E166:AC166)</f>
        <v>213749.02000000002</v>
      </c>
      <c r="AF166" s="36"/>
      <c r="AG166" s="36">
        <v>76370.51</v>
      </c>
      <c r="AH166" s="36"/>
      <c r="AI166" s="36">
        <v>97123.42</v>
      </c>
      <c r="AJ166" s="36"/>
      <c r="AK166" s="36">
        <v>173493.93</v>
      </c>
      <c r="AL166" s="24">
        <f>+'Gen Rev'!AI165-'Gen Exp'!AE166+'Gen Exp'!AI166-AK166</f>
        <v>0</v>
      </c>
      <c r="AM166" s="44" t="str">
        <f>'Gen Rev'!A165</f>
        <v>Cygnet</v>
      </c>
      <c r="AN166" s="21" t="str">
        <f t="shared" si="59"/>
        <v>Cygnet</v>
      </c>
      <c r="AO166" s="21" t="b">
        <f t="shared" si="60"/>
        <v>1</v>
      </c>
    </row>
    <row r="167" spans="1:41" s="21" customFormat="1" ht="12.75">
      <c r="A167" s="1" t="s">
        <v>593</v>
      </c>
      <c r="B167" s="1"/>
      <c r="C167" s="1" t="s">
        <v>590</v>
      </c>
      <c r="D167" s="1"/>
      <c r="E167" s="83">
        <v>326102.67</v>
      </c>
      <c r="F167" s="83"/>
      <c r="G167" s="83">
        <v>8976.13</v>
      </c>
      <c r="H167" s="83"/>
      <c r="I167" s="83">
        <v>7579.38</v>
      </c>
      <c r="J167" s="83"/>
      <c r="K167" s="83">
        <v>0</v>
      </c>
      <c r="L167" s="83"/>
      <c r="M167" s="83">
        <v>2808.73</v>
      </c>
      <c r="N167" s="83"/>
      <c r="O167" s="83">
        <v>64561.97</v>
      </c>
      <c r="P167" s="83"/>
      <c r="Q167" s="83">
        <v>92069.67</v>
      </c>
      <c r="R167" s="83"/>
      <c r="S167" s="83">
        <v>1540</v>
      </c>
      <c r="T167" s="83"/>
      <c r="U167" s="83">
        <v>0</v>
      </c>
      <c r="V167" s="83"/>
      <c r="W167" s="83">
        <v>0</v>
      </c>
      <c r="X167" s="83"/>
      <c r="Y167" s="83">
        <v>158761.57</v>
      </c>
      <c r="Z167" s="83"/>
      <c r="AA167" s="83">
        <v>0</v>
      </c>
      <c r="AB167" s="83"/>
      <c r="AC167" s="83">
        <v>17621.67</v>
      </c>
      <c r="AD167" s="83"/>
      <c r="AE167" s="83">
        <f t="shared" si="54"/>
        <v>680021.79</v>
      </c>
      <c r="AF167" s="83"/>
      <c r="AG167" s="83">
        <v>-4331.6</v>
      </c>
      <c r="AH167" s="83"/>
      <c r="AI167" s="83">
        <v>151233.29</v>
      </c>
      <c r="AJ167" s="83"/>
      <c r="AK167" s="83">
        <v>146901.69</v>
      </c>
      <c r="AL167" s="24">
        <f>+'Gen Rev'!AI166-'Gen Exp'!AE167+'Gen Exp'!AI167-AK167</f>
        <v>0</v>
      </c>
      <c r="AM167" s="44" t="str">
        <f>'Gen Rev'!A166</f>
        <v>Dalton</v>
      </c>
      <c r="AN167" s="21" t="str">
        <f t="shared" si="59"/>
        <v>Dalton</v>
      </c>
      <c r="AO167" s="21" t="b">
        <f t="shared" si="60"/>
        <v>1</v>
      </c>
    </row>
    <row r="168" spans="1:41" s="21" customFormat="1" ht="12.75">
      <c r="A168" s="1" t="s">
        <v>426</v>
      </c>
      <c r="B168" s="1"/>
      <c r="C168" s="1" t="s">
        <v>427</v>
      </c>
      <c r="D168" s="1"/>
      <c r="E168" s="36">
        <v>14408.74</v>
      </c>
      <c r="F168" s="36"/>
      <c r="G168" s="36">
        <v>559.08</v>
      </c>
      <c r="H168" s="36"/>
      <c r="I168" s="36">
        <v>573.46</v>
      </c>
      <c r="J168" s="36"/>
      <c r="K168" s="36">
        <v>2630</v>
      </c>
      <c r="L168" s="36"/>
      <c r="M168" s="36">
        <v>0</v>
      </c>
      <c r="N168" s="36"/>
      <c r="O168" s="36">
        <v>0</v>
      </c>
      <c r="P168" s="36"/>
      <c r="Q168" s="36">
        <v>114101.16</v>
      </c>
      <c r="R168" s="36"/>
      <c r="S168" s="36">
        <v>0</v>
      </c>
      <c r="T168" s="36"/>
      <c r="U168" s="36">
        <v>0</v>
      </c>
      <c r="V168" s="36"/>
      <c r="W168" s="36">
        <v>0</v>
      </c>
      <c r="X168" s="36"/>
      <c r="Y168" s="36">
        <v>190400</v>
      </c>
      <c r="Z168" s="36"/>
      <c r="AA168" s="36">
        <v>0</v>
      </c>
      <c r="AB168" s="36"/>
      <c r="AC168" s="36">
        <v>5838.11</v>
      </c>
      <c r="AD168" s="36"/>
      <c r="AE168" s="36">
        <f aca="true" t="shared" si="64" ref="AE168">SUM(E168:AC168)</f>
        <v>328510.55</v>
      </c>
      <c r="AF168" s="36"/>
      <c r="AG168" s="36">
        <v>-67202.82</v>
      </c>
      <c r="AH168" s="36"/>
      <c r="AI168" s="36">
        <v>258946.98</v>
      </c>
      <c r="AJ168" s="36"/>
      <c r="AK168" s="36">
        <v>191744.16</v>
      </c>
      <c r="AL168" s="24">
        <f>+'Gen Rev'!AI167-'Gen Exp'!AE168+'Gen Exp'!AI168-AK168</f>
        <v>0</v>
      </c>
      <c r="AM168" s="44" t="str">
        <f>'Gen Rev'!A167</f>
        <v>Danville</v>
      </c>
      <c r="AN168" s="21" t="str">
        <f t="shared" si="59"/>
        <v>Danville</v>
      </c>
      <c r="AO168" s="21" t="b">
        <f t="shared" si="60"/>
        <v>1</v>
      </c>
    </row>
    <row r="169" spans="1:41" s="31" customFormat="1" ht="12.75">
      <c r="A169" s="15" t="s">
        <v>404</v>
      </c>
      <c r="B169" s="15"/>
      <c r="C169" s="15" t="s">
        <v>403</v>
      </c>
      <c r="D169" s="15"/>
      <c r="E169" s="85">
        <v>1200</v>
      </c>
      <c r="F169" s="85"/>
      <c r="G169" s="85">
        <v>0</v>
      </c>
      <c r="H169" s="85"/>
      <c r="I169" s="85">
        <v>0</v>
      </c>
      <c r="J169" s="85"/>
      <c r="K169" s="85">
        <v>0</v>
      </c>
      <c r="L169" s="85"/>
      <c r="M169" s="85">
        <v>1058</v>
      </c>
      <c r="N169" s="85"/>
      <c r="O169" s="85">
        <v>0</v>
      </c>
      <c r="P169" s="85"/>
      <c r="Q169" s="85">
        <v>10549</v>
      </c>
      <c r="R169" s="85"/>
      <c r="S169" s="85">
        <v>0</v>
      </c>
      <c r="T169" s="85"/>
      <c r="U169" s="85">
        <v>0</v>
      </c>
      <c r="V169" s="85"/>
      <c r="W169" s="85">
        <v>0</v>
      </c>
      <c r="X169" s="85"/>
      <c r="Y169" s="85">
        <v>7</v>
      </c>
      <c r="Z169" s="85"/>
      <c r="AA169" s="83">
        <v>0</v>
      </c>
      <c r="AB169" s="85"/>
      <c r="AC169" s="85">
        <v>0</v>
      </c>
      <c r="AD169" s="85"/>
      <c r="AE169" s="83">
        <f t="shared" si="54"/>
        <v>12814</v>
      </c>
      <c r="AF169" s="85"/>
      <c r="AG169" s="85">
        <v>2579</v>
      </c>
      <c r="AH169" s="85"/>
      <c r="AI169" s="85">
        <v>16978</v>
      </c>
      <c r="AJ169" s="85"/>
      <c r="AK169" s="85">
        <v>19557</v>
      </c>
      <c r="AL169" s="24">
        <f>+'Gen Rev'!AI169-'Gen Exp'!AE169+'Gen Exp'!AI169-AK169</f>
        <v>-14</v>
      </c>
      <c r="AM169" s="44" t="str">
        <f>'Gen Rev'!A169</f>
        <v>Deersville</v>
      </c>
      <c r="AN169" s="21" t="str">
        <f t="shared" si="59"/>
        <v>Deersville</v>
      </c>
      <c r="AO169" s="21" t="b">
        <f t="shared" si="60"/>
        <v>1</v>
      </c>
    </row>
    <row r="170" spans="1:41" s="19" customFormat="1" ht="12.75">
      <c r="A170" s="10" t="s">
        <v>445</v>
      </c>
      <c r="B170" s="10"/>
      <c r="C170" s="10" t="s">
        <v>446</v>
      </c>
      <c r="D170" s="10"/>
      <c r="E170" s="36">
        <v>69300.72</v>
      </c>
      <c r="F170" s="36"/>
      <c r="G170" s="36">
        <v>0</v>
      </c>
      <c r="H170" s="36"/>
      <c r="I170" s="36">
        <v>3783.46</v>
      </c>
      <c r="J170" s="36"/>
      <c r="K170" s="36">
        <v>3963.99</v>
      </c>
      <c r="L170" s="36"/>
      <c r="M170" s="36">
        <v>0</v>
      </c>
      <c r="N170" s="36"/>
      <c r="O170" s="36">
        <v>45478.18</v>
      </c>
      <c r="P170" s="36"/>
      <c r="Q170" s="36">
        <v>103949.25</v>
      </c>
      <c r="R170" s="36"/>
      <c r="S170" s="36">
        <v>0</v>
      </c>
      <c r="T170" s="36"/>
      <c r="U170" s="36">
        <v>1333.33</v>
      </c>
      <c r="V170" s="36"/>
      <c r="W170" s="36">
        <v>1041.38</v>
      </c>
      <c r="X170" s="36"/>
      <c r="Y170" s="36">
        <v>561</v>
      </c>
      <c r="Z170" s="36"/>
      <c r="AA170" s="36">
        <v>0</v>
      </c>
      <c r="AB170" s="36"/>
      <c r="AC170" s="36">
        <v>0</v>
      </c>
      <c r="AD170" s="36"/>
      <c r="AE170" s="36">
        <f aca="true" t="shared" si="65" ref="AE170:AE171">SUM(E170:AC170)</f>
        <v>229411.31</v>
      </c>
      <c r="AF170" s="36"/>
      <c r="AG170" s="36">
        <v>2587.59</v>
      </c>
      <c r="AH170" s="36"/>
      <c r="AI170" s="36">
        <v>2403.3</v>
      </c>
      <c r="AJ170" s="36"/>
      <c r="AK170" s="36">
        <v>4990.89</v>
      </c>
      <c r="AL170" s="24">
        <f>+'Gen Rev'!AI170-'Gen Exp'!AE170+'Gen Exp'!AI170-AK170</f>
        <v>5.4569682106375694E-11</v>
      </c>
      <c r="AM170" s="44" t="str">
        <f>'Gen Rev'!A170</f>
        <v>DeGraff</v>
      </c>
      <c r="AN170" s="21" t="str">
        <f t="shared" si="59"/>
        <v>DeGraff</v>
      </c>
      <c r="AO170" s="21" t="b">
        <f t="shared" si="60"/>
        <v>1</v>
      </c>
    </row>
    <row r="171" spans="1:41" ht="12.75">
      <c r="A171" s="1" t="s">
        <v>28</v>
      </c>
      <c r="C171" s="1" t="s">
        <v>753</v>
      </c>
      <c r="D171" s="23"/>
      <c r="E171" s="36">
        <v>14762.9</v>
      </c>
      <c r="F171" s="36"/>
      <c r="G171" s="36">
        <v>1756.04</v>
      </c>
      <c r="H171" s="36"/>
      <c r="I171" s="36">
        <v>0</v>
      </c>
      <c r="J171" s="36"/>
      <c r="K171" s="36">
        <v>328.1</v>
      </c>
      <c r="L171" s="36"/>
      <c r="M171" s="36">
        <v>0</v>
      </c>
      <c r="N171" s="36"/>
      <c r="O171" s="36">
        <v>95</v>
      </c>
      <c r="P171" s="36"/>
      <c r="Q171" s="36">
        <v>39957.43</v>
      </c>
      <c r="R171" s="36"/>
      <c r="S171" s="36">
        <v>14904.47</v>
      </c>
      <c r="T171" s="36"/>
      <c r="U171" s="36">
        <v>0</v>
      </c>
      <c r="V171" s="36"/>
      <c r="W171" s="36">
        <v>0</v>
      </c>
      <c r="X171" s="36"/>
      <c r="Y171" s="36">
        <v>1500</v>
      </c>
      <c r="Z171" s="36"/>
      <c r="AA171" s="36">
        <v>0</v>
      </c>
      <c r="AB171" s="36"/>
      <c r="AC171" s="36">
        <v>0</v>
      </c>
      <c r="AD171" s="36"/>
      <c r="AE171" s="36">
        <f t="shared" si="65"/>
        <v>73303.94</v>
      </c>
      <c r="AF171" s="36"/>
      <c r="AG171" s="36">
        <v>4666.66</v>
      </c>
      <c r="AH171" s="36"/>
      <c r="AI171" s="36">
        <v>57560.07</v>
      </c>
      <c r="AJ171" s="36"/>
      <c r="AK171" s="36">
        <v>62226.73</v>
      </c>
      <c r="AL171" s="24">
        <f>+'Gen Rev'!AI171-'Gen Exp'!AE171+'Gen Exp'!AI171-AK171</f>
        <v>0</v>
      </c>
      <c r="AM171" s="44" t="str">
        <f>'Gen Rev'!A171</f>
        <v>Dellroy</v>
      </c>
      <c r="AN171" s="21" t="str">
        <f t="shared" si="59"/>
        <v>Dellroy</v>
      </c>
      <c r="AO171" s="21" t="b">
        <f t="shared" si="60"/>
        <v>1</v>
      </c>
    </row>
    <row r="172" spans="1:41" s="31" customFormat="1" ht="12.75">
      <c r="A172" s="15" t="s">
        <v>359</v>
      </c>
      <c r="B172" s="15"/>
      <c r="C172" s="15" t="s">
        <v>358</v>
      </c>
      <c r="D172" s="15"/>
      <c r="E172" s="85">
        <v>563344.18</v>
      </c>
      <c r="F172" s="85"/>
      <c r="G172" s="85">
        <v>25622.28</v>
      </c>
      <c r="H172" s="85"/>
      <c r="I172" s="85">
        <v>926.3</v>
      </c>
      <c r="J172" s="85"/>
      <c r="K172" s="85">
        <v>4820.84</v>
      </c>
      <c r="L172" s="85"/>
      <c r="M172" s="85">
        <v>74037.05</v>
      </c>
      <c r="N172" s="85"/>
      <c r="O172" s="85">
        <v>38157.12</v>
      </c>
      <c r="P172" s="85"/>
      <c r="Q172" s="85">
        <v>186553.98</v>
      </c>
      <c r="R172" s="85"/>
      <c r="S172" s="85">
        <v>0</v>
      </c>
      <c r="T172" s="85"/>
      <c r="U172" s="85">
        <v>0</v>
      </c>
      <c r="V172" s="85"/>
      <c r="W172" s="85">
        <v>0</v>
      </c>
      <c r="X172" s="85"/>
      <c r="Y172" s="85">
        <v>0</v>
      </c>
      <c r="Z172" s="85"/>
      <c r="AA172" s="83">
        <v>0</v>
      </c>
      <c r="AB172" s="85"/>
      <c r="AC172" s="85">
        <v>0</v>
      </c>
      <c r="AD172" s="85"/>
      <c r="AE172" s="83">
        <f t="shared" si="54"/>
        <v>893461.7500000001</v>
      </c>
      <c r="AF172" s="85"/>
      <c r="AG172" s="85">
        <v>-23380.59</v>
      </c>
      <c r="AH172" s="85"/>
      <c r="AI172" s="85">
        <v>292392.64</v>
      </c>
      <c r="AJ172" s="85"/>
      <c r="AK172" s="85">
        <v>269012.05</v>
      </c>
      <c r="AL172" s="24">
        <f>+'Gen Rev'!AI172-'Gen Exp'!AE172+'Gen Exp'!AI172-AK172</f>
        <v>0</v>
      </c>
      <c r="AM172" s="44" t="str">
        <f>'Gen Rev'!A172</f>
        <v>Delta</v>
      </c>
      <c r="AN172" s="21" t="str">
        <f t="shared" si="59"/>
        <v>Delta</v>
      </c>
      <c r="AO172" s="21" t="b">
        <f t="shared" si="60"/>
        <v>1</v>
      </c>
    </row>
    <row r="173" spans="1:41" ht="12.75">
      <c r="A173" s="1" t="s">
        <v>232</v>
      </c>
      <c r="C173" s="1" t="s">
        <v>818</v>
      </c>
      <c r="D173" s="23"/>
      <c r="E173" s="36">
        <v>541119.87</v>
      </c>
      <c r="F173" s="36"/>
      <c r="G173" s="36">
        <v>0</v>
      </c>
      <c r="H173" s="36"/>
      <c r="I173" s="36">
        <v>49533.72</v>
      </c>
      <c r="J173" s="36"/>
      <c r="K173" s="36">
        <v>12708.15</v>
      </c>
      <c r="L173" s="36"/>
      <c r="M173" s="36">
        <v>22139.65</v>
      </c>
      <c r="N173" s="36"/>
      <c r="O173" s="36">
        <v>0</v>
      </c>
      <c r="P173" s="36"/>
      <c r="Q173" s="36">
        <v>228534.93</v>
      </c>
      <c r="R173" s="36"/>
      <c r="S173" s="36">
        <v>10000</v>
      </c>
      <c r="T173" s="36"/>
      <c r="U173" s="36">
        <v>316164.26</v>
      </c>
      <c r="V173" s="36"/>
      <c r="W173" s="36">
        <v>17875.05</v>
      </c>
      <c r="X173" s="36"/>
      <c r="Y173" s="36">
        <v>52000</v>
      </c>
      <c r="Z173" s="36"/>
      <c r="AA173" s="36">
        <v>0</v>
      </c>
      <c r="AB173" s="36"/>
      <c r="AC173" s="36">
        <v>0</v>
      </c>
      <c r="AD173" s="36"/>
      <c r="AE173" s="36">
        <f aca="true" t="shared" si="66" ref="AE173:AE174">SUM(E173:AC173)</f>
        <v>1250075.6300000001</v>
      </c>
      <c r="AF173" s="36"/>
      <c r="AG173" s="36">
        <v>-17974.46</v>
      </c>
      <c r="AH173" s="36"/>
      <c r="AI173" s="36">
        <v>387256.33</v>
      </c>
      <c r="AJ173" s="36"/>
      <c r="AK173" s="36">
        <v>369281.87</v>
      </c>
      <c r="AL173" s="24">
        <f>+'Gen Rev'!AI173-'Gen Exp'!AE173+'Gen Exp'!AI173-AK173</f>
        <v>0</v>
      </c>
      <c r="AM173" s="44" t="str">
        <f>'Gen Rev'!A173</f>
        <v>Dennison</v>
      </c>
      <c r="AN173" s="21" t="str">
        <f t="shared" si="59"/>
        <v>Dennison</v>
      </c>
      <c r="AO173" s="21" t="b">
        <f t="shared" si="60"/>
        <v>1</v>
      </c>
    </row>
    <row r="174" spans="1:41" ht="12.75">
      <c r="A174" s="1" t="s">
        <v>104</v>
      </c>
      <c r="C174" s="1" t="s">
        <v>777</v>
      </c>
      <c r="D174" s="23"/>
      <c r="E174" s="36">
        <v>140464.76</v>
      </c>
      <c r="F174" s="36"/>
      <c r="G174" s="36">
        <v>6000</v>
      </c>
      <c r="H174" s="36"/>
      <c r="I174" s="36">
        <v>7068.15</v>
      </c>
      <c r="J174" s="36"/>
      <c r="K174" s="36">
        <v>7373.32</v>
      </c>
      <c r="L174" s="36"/>
      <c r="M174" s="36">
        <v>1500</v>
      </c>
      <c r="N174" s="36"/>
      <c r="O174" s="36">
        <v>0</v>
      </c>
      <c r="P174" s="36"/>
      <c r="Q174" s="36">
        <v>78550.73</v>
      </c>
      <c r="R174" s="36"/>
      <c r="S174" s="36">
        <v>14755.5</v>
      </c>
      <c r="T174" s="36"/>
      <c r="U174" s="36">
        <v>0</v>
      </c>
      <c r="V174" s="36"/>
      <c r="W174" s="36">
        <v>0</v>
      </c>
      <c r="X174" s="36"/>
      <c r="Y174" s="36">
        <v>70112.77</v>
      </c>
      <c r="Z174" s="36"/>
      <c r="AA174" s="36">
        <v>0</v>
      </c>
      <c r="AB174" s="36"/>
      <c r="AC174" s="36">
        <v>0</v>
      </c>
      <c r="AD174" s="36"/>
      <c r="AE174" s="36">
        <f t="shared" si="66"/>
        <v>325825.23000000004</v>
      </c>
      <c r="AF174" s="36"/>
      <c r="AG174" s="36">
        <v>2660.74</v>
      </c>
      <c r="AH174" s="36"/>
      <c r="AI174" s="36">
        <v>399.07</v>
      </c>
      <c r="AJ174" s="36"/>
      <c r="AK174" s="36">
        <v>3059.81</v>
      </c>
      <c r="AL174" s="24">
        <f>+'Gen Rev'!AI174-'Gen Exp'!AE174+'Gen Exp'!AI174-AK174</f>
        <v>-6.730260793119669E-11</v>
      </c>
      <c r="AM174" s="44" t="str">
        <f>'Gen Rev'!A174</f>
        <v>Deshler</v>
      </c>
      <c r="AN174" s="21" t="str">
        <f t="shared" si="59"/>
        <v>Deshler</v>
      </c>
      <c r="AO174" s="21" t="b">
        <f t="shared" si="60"/>
        <v>1</v>
      </c>
    </row>
    <row r="175" spans="1:41" s="21" customFormat="1" ht="12.75" hidden="1">
      <c r="A175" s="1" t="s">
        <v>493</v>
      </c>
      <c r="B175" s="1"/>
      <c r="C175" s="1" t="s">
        <v>491</v>
      </c>
      <c r="D175" s="2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>
        <f t="shared" si="54"/>
        <v>0</v>
      </c>
      <c r="AF175" s="83"/>
      <c r="AG175" s="83"/>
      <c r="AH175" s="83"/>
      <c r="AI175" s="83"/>
      <c r="AJ175" s="83"/>
      <c r="AK175" s="83"/>
      <c r="AL175" s="24">
        <f>+'Gen Rev'!AI175-'Gen Exp'!AE175+'Gen Exp'!AI175-AK175</f>
        <v>0</v>
      </c>
      <c r="AM175" s="44" t="str">
        <f>'Gen Rev'!A175</f>
        <v>Dexter City</v>
      </c>
      <c r="AN175" s="21" t="str">
        <f t="shared" si="59"/>
        <v>Dexter City</v>
      </c>
      <c r="AO175" s="21" t="b">
        <f t="shared" si="60"/>
        <v>1</v>
      </c>
    </row>
    <row r="176" spans="1:41" s="21" customFormat="1" ht="12.75">
      <c r="A176" s="1" t="s">
        <v>116</v>
      </c>
      <c r="B176" s="1"/>
      <c r="C176" s="1" t="s">
        <v>781</v>
      </c>
      <c r="D176" s="23"/>
      <c r="E176" s="36">
        <v>43782.04</v>
      </c>
      <c r="F176" s="36"/>
      <c r="G176" s="36">
        <v>1000</v>
      </c>
      <c r="H176" s="36"/>
      <c r="I176" s="36">
        <v>10155.35</v>
      </c>
      <c r="J176" s="36"/>
      <c r="K176" s="36">
        <v>0</v>
      </c>
      <c r="L176" s="36"/>
      <c r="M176" s="36">
        <v>0</v>
      </c>
      <c r="N176" s="36"/>
      <c r="O176" s="36">
        <v>821.17</v>
      </c>
      <c r="P176" s="36"/>
      <c r="Q176" s="36">
        <v>47654.87</v>
      </c>
      <c r="R176" s="36"/>
      <c r="S176" s="36">
        <v>0</v>
      </c>
      <c r="T176" s="36"/>
      <c r="U176" s="36">
        <v>0</v>
      </c>
      <c r="V176" s="36"/>
      <c r="W176" s="36">
        <v>0</v>
      </c>
      <c r="X176" s="36"/>
      <c r="Y176" s="36">
        <v>1442.88</v>
      </c>
      <c r="Z176" s="36"/>
      <c r="AA176" s="36">
        <v>0</v>
      </c>
      <c r="AB176" s="36"/>
      <c r="AC176" s="36">
        <v>0</v>
      </c>
      <c r="AD176" s="36"/>
      <c r="AE176" s="36">
        <f aca="true" t="shared" si="67" ref="AE176:AE182">SUM(E176:AC176)</f>
        <v>104856.31</v>
      </c>
      <c r="AF176" s="36"/>
      <c r="AG176" s="36">
        <v>3389.69</v>
      </c>
      <c r="AH176" s="36"/>
      <c r="AI176" s="36">
        <v>15706.42</v>
      </c>
      <c r="AJ176" s="36"/>
      <c r="AK176" s="36">
        <v>19096.11</v>
      </c>
      <c r="AL176" s="24">
        <f>+'Gen Rev'!AI176-'Gen Exp'!AE176+'Gen Exp'!AI176-AK176</f>
        <v>0</v>
      </c>
      <c r="AM176" s="44" t="str">
        <f>'Gen Rev'!A176</f>
        <v>Dillonvale</v>
      </c>
      <c r="AN176" s="21" t="str">
        <f t="shared" si="59"/>
        <v>Dillonvale</v>
      </c>
      <c r="AO176" s="21" t="b">
        <f t="shared" si="60"/>
        <v>1</v>
      </c>
    </row>
    <row r="177" spans="1:41" s="21" customFormat="1" ht="12.6" customHeight="1">
      <c r="A177" s="1" t="s">
        <v>829</v>
      </c>
      <c r="B177" s="1"/>
      <c r="C177" s="1" t="s">
        <v>292</v>
      </c>
      <c r="D177" s="1"/>
      <c r="E177" s="36">
        <v>19064.38</v>
      </c>
      <c r="F177" s="36"/>
      <c r="G177" s="36">
        <v>0</v>
      </c>
      <c r="H177" s="36"/>
      <c r="I177" s="36">
        <v>0</v>
      </c>
      <c r="J177" s="36"/>
      <c r="K177" s="36">
        <v>0</v>
      </c>
      <c r="L177" s="36"/>
      <c r="M177" s="36">
        <v>0</v>
      </c>
      <c r="N177" s="36"/>
      <c r="O177" s="36">
        <v>0</v>
      </c>
      <c r="P177" s="36"/>
      <c r="Q177" s="36">
        <v>27411.01</v>
      </c>
      <c r="R177" s="36"/>
      <c r="S177" s="36">
        <v>0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f t="shared" si="67"/>
        <v>46475.39</v>
      </c>
      <c r="AF177" s="36"/>
      <c r="AG177" s="36">
        <v>19901.2</v>
      </c>
      <c r="AH177" s="36"/>
      <c r="AI177" s="36">
        <v>127265</v>
      </c>
      <c r="AJ177" s="36"/>
      <c r="AK177" s="36">
        <v>147166.2</v>
      </c>
      <c r="AL177" s="24">
        <f>+'Gen Rev'!AI177-'Gen Exp'!AE177+'Gen Exp'!AI177-AK177</f>
        <v>0</v>
      </c>
      <c r="AM177" s="44" t="str">
        <f>'Gen Rev'!A177</f>
        <v>Donnelsville</v>
      </c>
      <c r="AN177" s="21" t="str">
        <f t="shared" si="59"/>
        <v>Donnelsville</v>
      </c>
      <c r="AO177" s="21" t="b">
        <f t="shared" si="60"/>
        <v>1</v>
      </c>
    </row>
    <row r="178" spans="1:41" s="21" customFormat="1" ht="12.75">
      <c r="A178" s="1" t="s">
        <v>594</v>
      </c>
      <c r="B178" s="1"/>
      <c r="C178" s="1" t="s">
        <v>590</v>
      </c>
      <c r="D178" s="1"/>
      <c r="E178" s="36">
        <v>540683.03</v>
      </c>
      <c r="F178" s="36"/>
      <c r="G178" s="36">
        <v>0</v>
      </c>
      <c r="H178" s="36"/>
      <c r="I178" s="36">
        <v>59395.27</v>
      </c>
      <c r="J178" s="36"/>
      <c r="K178" s="36">
        <v>36263.29</v>
      </c>
      <c r="L178" s="36"/>
      <c r="M178" s="36">
        <v>0</v>
      </c>
      <c r="N178" s="36"/>
      <c r="O178" s="36">
        <v>0</v>
      </c>
      <c r="P178" s="36"/>
      <c r="Q178" s="36">
        <v>285243.06</v>
      </c>
      <c r="R178" s="36"/>
      <c r="S178" s="36">
        <v>0</v>
      </c>
      <c r="T178" s="36"/>
      <c r="U178" s="36">
        <v>0</v>
      </c>
      <c r="V178" s="36"/>
      <c r="W178" s="36">
        <v>0</v>
      </c>
      <c r="X178" s="36"/>
      <c r="Y178" s="36">
        <v>198500</v>
      </c>
      <c r="Z178" s="36"/>
      <c r="AA178" s="36">
        <v>0</v>
      </c>
      <c r="AB178" s="36"/>
      <c r="AC178" s="36">
        <v>0</v>
      </c>
      <c r="AD178" s="36"/>
      <c r="AE178" s="36">
        <f t="shared" si="67"/>
        <v>1120084.6500000001</v>
      </c>
      <c r="AF178" s="36"/>
      <c r="AG178" s="36">
        <v>-17388.74</v>
      </c>
      <c r="AH178" s="36"/>
      <c r="AI178" s="36">
        <v>433556.64</v>
      </c>
      <c r="AJ178" s="36"/>
      <c r="AK178" s="36">
        <v>416167.9</v>
      </c>
      <c r="AL178" s="24">
        <f>+'Gen Rev'!AI178-'Gen Exp'!AE178+'Gen Exp'!AI178-AK178</f>
        <v>0</v>
      </c>
      <c r="AM178" s="44" t="str">
        <f>'Gen Rev'!A178</f>
        <v>Doylestown</v>
      </c>
      <c r="AN178" s="21" t="str">
        <f t="shared" si="59"/>
        <v>Doylestown</v>
      </c>
      <c r="AO178" s="21" t="b">
        <f t="shared" si="60"/>
        <v>1</v>
      </c>
    </row>
    <row r="179" spans="1:41" ht="12.75">
      <c r="A179" s="1" t="s">
        <v>174</v>
      </c>
      <c r="C179" s="1" t="s">
        <v>800</v>
      </c>
      <c r="D179" s="23"/>
      <c r="E179" s="36">
        <v>237703.74</v>
      </c>
      <c r="F179" s="36"/>
      <c r="G179" s="36">
        <v>0</v>
      </c>
      <c r="H179" s="36"/>
      <c r="I179" s="36">
        <v>0</v>
      </c>
      <c r="J179" s="36"/>
      <c r="K179" s="36">
        <v>0</v>
      </c>
      <c r="L179" s="36"/>
      <c r="M179" s="36">
        <v>0</v>
      </c>
      <c r="N179" s="36"/>
      <c r="O179" s="36">
        <v>0</v>
      </c>
      <c r="P179" s="36"/>
      <c r="Q179" s="36">
        <v>107277.4</v>
      </c>
      <c r="R179" s="36"/>
      <c r="S179" s="36">
        <v>0</v>
      </c>
      <c r="T179" s="36"/>
      <c r="U179" s="36">
        <v>0</v>
      </c>
      <c r="V179" s="36"/>
      <c r="W179" s="36">
        <v>0</v>
      </c>
      <c r="X179" s="36"/>
      <c r="Y179" s="36">
        <v>0</v>
      </c>
      <c r="Z179" s="36"/>
      <c r="AA179" s="36">
        <v>42218</v>
      </c>
      <c r="AB179" s="36"/>
      <c r="AC179" s="36">
        <v>1224</v>
      </c>
      <c r="AD179" s="36"/>
      <c r="AE179" s="36">
        <f t="shared" si="67"/>
        <v>388423.14</v>
      </c>
      <c r="AF179" s="36"/>
      <c r="AG179" s="36">
        <v>-18932.11</v>
      </c>
      <c r="AH179" s="36"/>
      <c r="AI179" s="36">
        <v>21411.35</v>
      </c>
      <c r="AJ179" s="36"/>
      <c r="AK179" s="36">
        <v>2479.24</v>
      </c>
      <c r="AL179" s="24">
        <f>+'Gen Rev'!AI179-'Gen Exp'!AE179+'Gen Exp'!AI179-AK179</f>
        <v>-4.547473508864641E-11</v>
      </c>
      <c r="AM179" s="44" t="str">
        <f>'Gen Rev'!A179</f>
        <v>Dresden</v>
      </c>
      <c r="AN179" s="21" t="str">
        <f t="shared" si="59"/>
        <v>Dresden</v>
      </c>
      <c r="AO179" s="21" t="b">
        <f t="shared" si="60"/>
        <v>1</v>
      </c>
    </row>
    <row r="180" spans="1:41" s="21" customFormat="1" ht="12.75">
      <c r="A180" s="1" t="s">
        <v>397</v>
      </c>
      <c r="B180" s="1"/>
      <c r="C180" s="1" t="s">
        <v>396</v>
      </c>
      <c r="D180" s="1"/>
      <c r="E180" s="36">
        <v>10300</v>
      </c>
      <c r="F180" s="36"/>
      <c r="G180" s="36">
        <v>7160</v>
      </c>
      <c r="H180" s="36"/>
      <c r="I180" s="36">
        <v>39783.42</v>
      </c>
      <c r="J180" s="36"/>
      <c r="K180" s="36">
        <v>5844.65</v>
      </c>
      <c r="L180" s="36"/>
      <c r="M180" s="36">
        <v>1156</v>
      </c>
      <c r="N180" s="36"/>
      <c r="O180" s="36">
        <v>9532.5</v>
      </c>
      <c r="P180" s="36"/>
      <c r="Q180" s="36">
        <v>63436.93</v>
      </c>
      <c r="R180" s="36"/>
      <c r="S180" s="36">
        <v>0</v>
      </c>
      <c r="T180" s="36"/>
      <c r="U180" s="36">
        <v>0</v>
      </c>
      <c r="V180" s="36"/>
      <c r="W180" s="36">
        <v>0</v>
      </c>
      <c r="X180" s="36"/>
      <c r="Y180" s="36">
        <v>1911.42</v>
      </c>
      <c r="Z180" s="36"/>
      <c r="AA180" s="36">
        <v>0</v>
      </c>
      <c r="AB180" s="36"/>
      <c r="AC180" s="36">
        <v>664</v>
      </c>
      <c r="AD180" s="36"/>
      <c r="AE180" s="36">
        <f t="shared" si="67"/>
        <v>139788.92</v>
      </c>
      <c r="AF180" s="36"/>
      <c r="AG180" s="36">
        <v>15414.34</v>
      </c>
      <c r="AH180" s="36"/>
      <c r="AI180" s="36">
        <v>125643.66</v>
      </c>
      <c r="AJ180" s="36"/>
      <c r="AK180" s="36">
        <v>141058</v>
      </c>
      <c r="AL180" s="24">
        <f>+'Gen Rev'!AI180-'Gen Exp'!AE180+'Gen Exp'!AI180-AK180</f>
        <v>0</v>
      </c>
      <c r="AM180" s="44" t="str">
        <f>'Gen Rev'!A180</f>
        <v>Dunkirk</v>
      </c>
      <c r="AN180" s="21" t="str">
        <f t="shared" si="59"/>
        <v>Dunkirk</v>
      </c>
      <c r="AO180" s="21" t="b">
        <f t="shared" si="60"/>
        <v>1</v>
      </c>
    </row>
    <row r="181" spans="1:41" ht="12.75">
      <c r="A181" s="1" t="s">
        <v>203</v>
      </c>
      <c r="C181" s="1" t="s">
        <v>808</v>
      </c>
      <c r="D181" s="23"/>
      <c r="E181" s="36">
        <v>4911.52</v>
      </c>
      <c r="F181" s="36"/>
      <c r="G181" s="36">
        <v>512.75</v>
      </c>
      <c r="H181" s="36"/>
      <c r="I181" s="36">
        <v>975.92</v>
      </c>
      <c r="J181" s="36"/>
      <c r="K181" s="36">
        <v>0</v>
      </c>
      <c r="L181" s="36"/>
      <c r="M181" s="36">
        <v>256.02</v>
      </c>
      <c r="N181" s="36"/>
      <c r="O181" s="36">
        <v>0</v>
      </c>
      <c r="P181" s="36"/>
      <c r="Q181" s="36">
        <v>38863.62</v>
      </c>
      <c r="R181" s="36"/>
      <c r="S181" s="36">
        <v>0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f t="shared" si="67"/>
        <v>45519.83</v>
      </c>
      <c r="AF181" s="36"/>
      <c r="AG181" s="36">
        <v>2209.78</v>
      </c>
      <c r="AH181" s="36"/>
      <c r="AI181" s="36">
        <v>25124.12</v>
      </c>
      <c r="AJ181" s="36"/>
      <c r="AK181" s="36">
        <v>27333.9</v>
      </c>
      <c r="AL181" s="24">
        <f>+'Gen Rev'!AI181-'Gen Exp'!AE181+'Gen Exp'!AI181-AK181</f>
        <v>0</v>
      </c>
      <c r="AM181" s="44" t="str">
        <f>'Gen Rev'!A181</f>
        <v>Dupont</v>
      </c>
      <c r="AN181" s="21" t="str">
        <f t="shared" si="59"/>
        <v>Dupont</v>
      </c>
      <c r="AO181" s="21" t="b">
        <f t="shared" si="60"/>
        <v>1</v>
      </c>
    </row>
    <row r="182" spans="1:41" s="19" customFormat="1" ht="12.75">
      <c r="A182" s="10" t="s">
        <v>544</v>
      </c>
      <c r="B182" s="10"/>
      <c r="C182" s="10" t="s">
        <v>542</v>
      </c>
      <c r="D182" s="10"/>
      <c r="E182" s="36">
        <v>271149.86</v>
      </c>
      <c r="F182" s="36"/>
      <c r="G182" s="36">
        <v>6316.32</v>
      </c>
      <c r="H182" s="36"/>
      <c r="I182" s="36">
        <v>1197.04</v>
      </c>
      <c r="J182" s="36"/>
      <c r="K182" s="36">
        <v>3502.79</v>
      </c>
      <c r="L182" s="36"/>
      <c r="M182" s="36">
        <v>0</v>
      </c>
      <c r="N182" s="36"/>
      <c r="O182" s="36">
        <v>0</v>
      </c>
      <c r="P182" s="36"/>
      <c r="Q182" s="36">
        <v>186035.37</v>
      </c>
      <c r="R182" s="36"/>
      <c r="S182" s="36">
        <v>0</v>
      </c>
      <c r="T182" s="36"/>
      <c r="U182" s="36">
        <v>0</v>
      </c>
      <c r="V182" s="36"/>
      <c r="W182" s="36">
        <v>0</v>
      </c>
      <c r="X182" s="36"/>
      <c r="Y182" s="36">
        <v>10000</v>
      </c>
      <c r="Z182" s="36"/>
      <c r="AA182" s="36">
        <v>0</v>
      </c>
      <c r="AB182" s="36"/>
      <c r="AC182" s="36">
        <v>0</v>
      </c>
      <c r="AD182" s="36"/>
      <c r="AE182" s="36">
        <f t="shared" si="67"/>
        <v>478201.37999999995</v>
      </c>
      <c r="AF182" s="36"/>
      <c r="AG182" s="36">
        <v>-7549.36</v>
      </c>
      <c r="AH182" s="36"/>
      <c r="AI182" s="36">
        <v>399572.47</v>
      </c>
      <c r="AJ182" s="36"/>
      <c r="AK182" s="36">
        <v>392023.11</v>
      </c>
      <c r="AL182" s="24">
        <f>+'Gen Rev'!AI182-'Gen Exp'!AE182+'Gen Exp'!AI182-AK182</f>
        <v>0</v>
      </c>
      <c r="AM182" s="44" t="str">
        <f>'Gen Rev'!A182</f>
        <v>East Canton</v>
      </c>
      <c r="AN182" s="21" t="str">
        <f t="shared" si="59"/>
        <v>East Canton</v>
      </c>
      <c r="AO182" s="21" t="b">
        <f t="shared" si="60"/>
        <v>1</v>
      </c>
    </row>
    <row r="183" spans="1:41" s="19" customFormat="1" ht="12.75">
      <c r="A183" s="10" t="s">
        <v>965</v>
      </c>
      <c r="B183" s="10"/>
      <c r="C183" s="10" t="s">
        <v>305</v>
      </c>
      <c r="D183" s="10"/>
      <c r="E183" s="83">
        <v>884720</v>
      </c>
      <c r="F183" s="83"/>
      <c r="G183" s="83">
        <v>13488</v>
      </c>
      <c r="H183" s="83"/>
      <c r="I183" s="83">
        <v>0</v>
      </c>
      <c r="J183" s="83"/>
      <c r="K183" s="83">
        <v>0</v>
      </c>
      <c r="L183" s="83"/>
      <c r="M183" s="83">
        <v>0</v>
      </c>
      <c r="N183" s="83"/>
      <c r="O183" s="83">
        <v>0</v>
      </c>
      <c r="P183" s="83"/>
      <c r="Q183" s="83">
        <v>453441</v>
      </c>
      <c r="R183" s="83"/>
      <c r="S183" s="83">
        <v>0</v>
      </c>
      <c r="T183" s="83"/>
      <c r="U183" s="83">
        <v>11611</v>
      </c>
      <c r="V183" s="83"/>
      <c r="W183" s="83">
        <v>2585</v>
      </c>
      <c r="X183" s="83"/>
      <c r="Y183" s="83">
        <v>104972</v>
      </c>
      <c r="Z183" s="83"/>
      <c r="AA183" s="83">
        <v>0</v>
      </c>
      <c r="AB183" s="83"/>
      <c r="AC183" s="83">
        <v>0</v>
      </c>
      <c r="AD183" s="83"/>
      <c r="AE183" s="83">
        <f t="shared" si="54"/>
        <v>1470817</v>
      </c>
      <c r="AF183" s="83"/>
      <c r="AG183" s="83">
        <v>36323</v>
      </c>
      <c r="AH183" s="83"/>
      <c r="AI183" s="83">
        <v>2609680</v>
      </c>
      <c r="AJ183" s="83"/>
      <c r="AK183" s="83">
        <v>2646003</v>
      </c>
      <c r="AL183" s="24">
        <f>+'Gen Rev'!AI183-'Gen Exp'!AE183+'Gen Exp'!AI183-AK183</f>
        <v>0</v>
      </c>
      <c r="AM183" s="44" t="str">
        <f>'Gen Rev'!A183</f>
        <v>East Palestine</v>
      </c>
      <c r="AN183" s="21" t="str">
        <f t="shared" si="59"/>
        <v>East Palestine</v>
      </c>
      <c r="AO183" s="21" t="b">
        <f t="shared" si="60"/>
        <v>1</v>
      </c>
    </row>
    <row r="184" spans="1:41" ht="12.75">
      <c r="A184" s="1" t="s">
        <v>224</v>
      </c>
      <c r="C184" s="1" t="s">
        <v>815</v>
      </c>
      <c r="D184" s="23"/>
      <c r="E184" s="36">
        <v>96514.42</v>
      </c>
      <c r="F184" s="36"/>
      <c r="G184" s="36">
        <v>4900</v>
      </c>
      <c r="H184" s="36"/>
      <c r="I184" s="36">
        <v>0</v>
      </c>
      <c r="J184" s="36"/>
      <c r="K184" s="36">
        <v>0</v>
      </c>
      <c r="L184" s="36"/>
      <c r="M184" s="36">
        <v>0</v>
      </c>
      <c r="N184" s="36"/>
      <c r="O184" s="36">
        <v>30861.19</v>
      </c>
      <c r="P184" s="36"/>
      <c r="Q184" s="36">
        <v>100649.96</v>
      </c>
      <c r="R184" s="36"/>
      <c r="S184" s="36">
        <v>912.82</v>
      </c>
      <c r="T184" s="36"/>
      <c r="U184" s="36">
        <v>7493.76</v>
      </c>
      <c r="V184" s="36"/>
      <c r="W184" s="36">
        <v>480.48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f aca="true" t="shared" si="68" ref="AE184">SUM(E184:AC184)</f>
        <v>241812.63000000003</v>
      </c>
      <c r="AF184" s="36"/>
      <c r="AG184" s="36">
        <v>-84296.81</v>
      </c>
      <c r="AH184" s="36"/>
      <c r="AI184" s="36">
        <v>178645.07</v>
      </c>
      <c r="AJ184" s="36"/>
      <c r="AK184" s="36">
        <v>94348.26</v>
      </c>
      <c r="AL184" s="24">
        <f>+'Gen Rev'!AI184-'Gen Exp'!AE184+'Gen Exp'!AI184-AK184</f>
        <v>0</v>
      </c>
      <c r="AM184" s="44" t="str">
        <f>'Gen Rev'!A184</f>
        <v>East Sparta</v>
      </c>
      <c r="AN184" s="21" t="str">
        <f t="shared" si="59"/>
        <v>East Sparta</v>
      </c>
      <c r="AO184" s="21" t="b">
        <f t="shared" si="60"/>
        <v>1</v>
      </c>
    </row>
    <row r="185" spans="1:41" s="21" customFormat="1" ht="12.75">
      <c r="A185" s="1" t="s">
        <v>597</v>
      </c>
      <c r="B185" s="1"/>
      <c r="C185" s="1" t="s">
        <v>598</v>
      </c>
      <c r="D185" s="1"/>
      <c r="E185" s="83">
        <v>433470.26</v>
      </c>
      <c r="F185" s="83"/>
      <c r="G185" s="83">
        <v>5884</v>
      </c>
      <c r="H185" s="83"/>
      <c r="I185" s="83">
        <v>29630.95</v>
      </c>
      <c r="J185" s="83"/>
      <c r="K185" s="83">
        <v>7147.59</v>
      </c>
      <c r="L185" s="83"/>
      <c r="M185" s="83">
        <v>0</v>
      </c>
      <c r="N185" s="83"/>
      <c r="O185" s="83">
        <v>72349.47</v>
      </c>
      <c r="P185" s="83"/>
      <c r="Q185" s="83">
        <v>200573.2</v>
      </c>
      <c r="R185" s="83"/>
      <c r="S185" s="83">
        <v>0</v>
      </c>
      <c r="T185" s="83"/>
      <c r="U185" s="83">
        <v>0</v>
      </c>
      <c r="V185" s="83"/>
      <c r="W185" s="83">
        <v>0</v>
      </c>
      <c r="X185" s="83"/>
      <c r="Y185" s="83">
        <v>0</v>
      </c>
      <c r="Z185" s="83"/>
      <c r="AA185" s="83">
        <v>0</v>
      </c>
      <c r="AB185" s="83"/>
      <c r="AC185" s="83">
        <v>28102</v>
      </c>
      <c r="AD185" s="83"/>
      <c r="AE185" s="83">
        <f t="shared" si="54"/>
        <v>777157.47</v>
      </c>
      <c r="AF185" s="83"/>
      <c r="AG185" s="83">
        <v>-73336.72</v>
      </c>
      <c r="AH185" s="83"/>
      <c r="AI185" s="83">
        <v>92399.61</v>
      </c>
      <c r="AJ185" s="83"/>
      <c r="AK185" s="83">
        <v>19062.89</v>
      </c>
      <c r="AL185" s="24">
        <f>+'Gen Rev'!AI185-'Gen Exp'!AE185+'Gen Exp'!AI185-AK185</f>
        <v>2.9103830456733704E-11</v>
      </c>
      <c r="AM185" s="44" t="str">
        <f>'Gen Rev'!A185</f>
        <v>Edgerton</v>
      </c>
      <c r="AN185" s="21" t="str">
        <f t="shared" si="59"/>
        <v>Edgerton</v>
      </c>
      <c r="AO185" s="21" t="b">
        <f t="shared" si="60"/>
        <v>1</v>
      </c>
    </row>
    <row r="186" spans="1:41" ht="12.75">
      <c r="A186" s="1" t="s">
        <v>172</v>
      </c>
      <c r="C186" s="1" t="s">
        <v>799</v>
      </c>
      <c r="D186" s="23"/>
      <c r="E186" s="36">
        <v>17067.8</v>
      </c>
      <c r="F186" s="36"/>
      <c r="G186" s="36">
        <v>0</v>
      </c>
      <c r="H186" s="36"/>
      <c r="I186" s="36">
        <v>0</v>
      </c>
      <c r="J186" s="36"/>
      <c r="K186" s="36">
        <v>0</v>
      </c>
      <c r="L186" s="36"/>
      <c r="M186" s="36">
        <v>0</v>
      </c>
      <c r="N186" s="36"/>
      <c r="O186" s="36">
        <v>0</v>
      </c>
      <c r="P186" s="36"/>
      <c r="Q186" s="36">
        <v>52626</v>
      </c>
      <c r="R186" s="36"/>
      <c r="S186" s="36">
        <v>0</v>
      </c>
      <c r="T186" s="36"/>
      <c r="U186" s="36">
        <v>6400</v>
      </c>
      <c r="V186" s="36"/>
      <c r="W186" s="36">
        <v>1459.26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f aca="true" t="shared" si="69" ref="AE186:AE188">SUM(E186:AC186)</f>
        <v>77553.06</v>
      </c>
      <c r="AF186" s="36"/>
      <c r="AG186" s="36">
        <v>-4721.46</v>
      </c>
      <c r="AH186" s="36"/>
      <c r="AI186" s="36">
        <v>8394.2</v>
      </c>
      <c r="AJ186" s="36"/>
      <c r="AK186" s="36">
        <v>3672.74</v>
      </c>
      <c r="AL186" s="24">
        <f>+'Gen Rev'!AI186-'Gen Exp'!AE186+'Gen Exp'!AI186-AK186</f>
        <v>-5.4569682106375694E-12</v>
      </c>
      <c r="AM186" s="44" t="str">
        <f>'Gen Rev'!A186</f>
        <v>Edison</v>
      </c>
      <c r="AN186" s="21" t="str">
        <f t="shared" si="59"/>
        <v>Edison</v>
      </c>
      <c r="AO186" s="21" t="b">
        <f t="shared" si="60"/>
        <v>1</v>
      </c>
    </row>
    <row r="187" spans="1:41" ht="12.75">
      <c r="A187" s="1" t="s">
        <v>253</v>
      </c>
      <c r="C187" s="1" t="s">
        <v>824</v>
      </c>
      <c r="D187" s="23"/>
      <c r="E187" s="36">
        <v>183309.61</v>
      </c>
      <c r="F187" s="36"/>
      <c r="G187" s="36">
        <v>2846</v>
      </c>
      <c r="H187" s="36"/>
      <c r="I187" s="36">
        <v>18378.16</v>
      </c>
      <c r="J187" s="36"/>
      <c r="K187" s="36">
        <v>17370.92</v>
      </c>
      <c r="L187" s="36"/>
      <c r="M187" s="36">
        <v>0</v>
      </c>
      <c r="N187" s="36"/>
      <c r="O187" s="36">
        <v>48085.25</v>
      </c>
      <c r="P187" s="36"/>
      <c r="Q187" s="36">
        <v>111060.48</v>
      </c>
      <c r="R187" s="36"/>
      <c r="S187" s="36">
        <v>0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3186.56</v>
      </c>
      <c r="AD187" s="36"/>
      <c r="AE187" s="36">
        <f t="shared" si="69"/>
        <v>384236.98</v>
      </c>
      <c r="AF187" s="36"/>
      <c r="AG187" s="36">
        <v>27034.46</v>
      </c>
      <c r="AH187" s="36"/>
      <c r="AI187" s="36">
        <v>110214.82</v>
      </c>
      <c r="AJ187" s="36"/>
      <c r="AK187" s="36">
        <v>137249.28</v>
      </c>
      <c r="AL187" s="24">
        <f>+'Gen Rev'!AI187-'Gen Exp'!AE187+'Gen Exp'!AI187-AK187</f>
        <v>0</v>
      </c>
      <c r="AM187" s="44" t="str">
        <f>'Gen Rev'!A187</f>
        <v>Edon</v>
      </c>
      <c r="AN187" s="21" t="str">
        <f t="shared" si="59"/>
        <v>Edon</v>
      </c>
      <c r="AO187" s="21" t="b">
        <f t="shared" si="60"/>
        <v>1</v>
      </c>
    </row>
    <row r="188" spans="1:41" ht="12.75">
      <c r="A188" s="1" t="s">
        <v>200</v>
      </c>
      <c r="C188" s="1" t="s">
        <v>807</v>
      </c>
      <c r="D188" s="23"/>
      <c r="E188" s="36">
        <v>100.69</v>
      </c>
      <c r="F188" s="36"/>
      <c r="G188" s="36">
        <v>0</v>
      </c>
      <c r="H188" s="36"/>
      <c r="I188" s="36">
        <v>2759.74</v>
      </c>
      <c r="J188" s="36"/>
      <c r="K188" s="36">
        <v>0</v>
      </c>
      <c r="L188" s="36"/>
      <c r="M188" s="36">
        <v>35736.94</v>
      </c>
      <c r="N188" s="36"/>
      <c r="O188" s="36">
        <v>0</v>
      </c>
      <c r="P188" s="36"/>
      <c r="Q188" s="36">
        <v>58127.83</v>
      </c>
      <c r="R188" s="36"/>
      <c r="S188" s="36">
        <v>70053.64</v>
      </c>
      <c r="T188" s="36"/>
      <c r="U188" s="36">
        <v>0</v>
      </c>
      <c r="V188" s="36"/>
      <c r="W188" s="36">
        <v>0</v>
      </c>
      <c r="X188" s="36"/>
      <c r="Y188" s="36">
        <v>0</v>
      </c>
      <c r="Z188" s="36"/>
      <c r="AA188" s="36">
        <v>0</v>
      </c>
      <c r="AB188" s="36"/>
      <c r="AC188" s="36">
        <v>160.76</v>
      </c>
      <c r="AD188" s="36"/>
      <c r="AE188" s="36">
        <f t="shared" si="69"/>
        <v>166939.60000000003</v>
      </c>
      <c r="AF188" s="36"/>
      <c r="AG188" s="36">
        <v>-39696.44</v>
      </c>
      <c r="AH188" s="36"/>
      <c r="AI188" s="36">
        <v>171156.15</v>
      </c>
      <c r="AJ188" s="36"/>
      <c r="AK188" s="36">
        <v>131459.71</v>
      </c>
      <c r="AL188" s="24">
        <f>+'Gen Rev'!AI188-'Gen Exp'!AE188+'Gen Exp'!AI188-AK188</f>
        <v>0</v>
      </c>
      <c r="AM188" s="44" t="str">
        <f>'Gen Rev'!A188</f>
        <v>Eldorado</v>
      </c>
      <c r="AN188" s="21" t="str">
        <f t="shared" si="59"/>
        <v>Eldorado</v>
      </c>
      <c r="AO188" s="21" t="b">
        <f t="shared" si="60"/>
        <v>1</v>
      </c>
    </row>
    <row r="189" spans="1:41" s="15" customFormat="1" ht="12.75" hidden="1">
      <c r="A189" s="15" t="s">
        <v>573</v>
      </c>
      <c r="C189" s="15" t="s">
        <v>574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3"/>
      <c r="AB189" s="85"/>
      <c r="AC189" s="85"/>
      <c r="AD189" s="85"/>
      <c r="AE189" s="83">
        <f t="shared" si="54"/>
        <v>0</v>
      </c>
      <c r="AF189" s="85"/>
      <c r="AG189" s="85"/>
      <c r="AH189" s="85"/>
      <c r="AI189" s="85"/>
      <c r="AJ189" s="85"/>
      <c r="AK189" s="85"/>
      <c r="AL189" s="24">
        <f>+'Gen Rev'!AI189-'Gen Exp'!AE189+'Gen Exp'!AI189-AK189</f>
        <v>0</v>
      </c>
      <c r="AM189" s="44" t="str">
        <f>'Gen Rev'!A189</f>
        <v>Elgin</v>
      </c>
      <c r="AN189" s="21" t="str">
        <f t="shared" si="59"/>
        <v>Elgin</v>
      </c>
      <c r="AO189" s="21" t="b">
        <f t="shared" si="60"/>
        <v>1</v>
      </c>
    </row>
    <row r="190" spans="1:41" s="21" customFormat="1" ht="12.75">
      <c r="A190" s="1" t="s">
        <v>3</v>
      </c>
      <c r="B190" s="1"/>
      <c r="C190" s="1" t="s">
        <v>746</v>
      </c>
      <c r="D190" s="23"/>
      <c r="E190" s="36">
        <v>162854.16</v>
      </c>
      <c r="F190" s="36"/>
      <c r="G190" s="36">
        <v>8801.53</v>
      </c>
      <c r="H190" s="36"/>
      <c r="I190" s="36">
        <v>0</v>
      </c>
      <c r="J190" s="36"/>
      <c r="K190" s="36">
        <v>2100</v>
      </c>
      <c r="L190" s="36"/>
      <c r="M190" s="36">
        <v>2006.03</v>
      </c>
      <c r="N190" s="36"/>
      <c r="O190" s="36">
        <v>7838.21</v>
      </c>
      <c r="P190" s="36"/>
      <c r="Q190" s="36">
        <v>121645.3</v>
      </c>
      <c r="R190" s="36"/>
      <c r="S190" s="36">
        <v>0</v>
      </c>
      <c r="T190" s="36"/>
      <c r="U190" s="36">
        <v>0</v>
      </c>
      <c r="V190" s="36"/>
      <c r="W190" s="36">
        <v>0</v>
      </c>
      <c r="X190" s="36"/>
      <c r="Y190" s="36">
        <v>90530.97</v>
      </c>
      <c r="Z190" s="36"/>
      <c r="AA190" s="36">
        <v>0</v>
      </c>
      <c r="AB190" s="36"/>
      <c r="AC190" s="36">
        <v>0</v>
      </c>
      <c r="AD190" s="36"/>
      <c r="AE190" s="36">
        <f aca="true" t="shared" si="70" ref="AE190:AE192">SUM(E190:AC190)</f>
        <v>395776.19999999995</v>
      </c>
      <c r="AF190" s="36"/>
      <c r="AG190" s="36">
        <v>6237.54</v>
      </c>
      <c r="AH190" s="36"/>
      <c r="AI190" s="36">
        <v>4316.28</v>
      </c>
      <c r="AJ190" s="36"/>
      <c r="AK190" s="36">
        <v>10553.82</v>
      </c>
      <c r="AL190" s="24">
        <f>+'Gen Rev'!AI190-'Gen Exp'!AE190+'Gen Exp'!AI190-AK190</f>
        <v>3.637978807091713E-11</v>
      </c>
      <c r="AM190" s="44" t="str">
        <f>'Gen Rev'!A190</f>
        <v>Elida</v>
      </c>
      <c r="AN190" s="21" t="str">
        <f t="shared" si="59"/>
        <v>Elida</v>
      </c>
      <c r="AO190" s="21" t="b">
        <f t="shared" si="60"/>
        <v>1</v>
      </c>
    </row>
    <row r="191" spans="1:41" ht="12.75">
      <c r="A191" s="1" t="s">
        <v>180</v>
      </c>
      <c r="C191" s="1" t="s">
        <v>802</v>
      </c>
      <c r="D191" s="23"/>
      <c r="E191" s="36">
        <v>317315.95</v>
      </c>
      <c r="F191" s="36"/>
      <c r="G191" s="36">
        <v>3808.68</v>
      </c>
      <c r="H191" s="36"/>
      <c r="I191" s="36">
        <v>14762.5</v>
      </c>
      <c r="J191" s="36"/>
      <c r="K191" s="36">
        <v>3804.93</v>
      </c>
      <c r="L191" s="36"/>
      <c r="M191" s="36">
        <v>53902.03</v>
      </c>
      <c r="N191" s="36"/>
      <c r="O191" s="36">
        <v>1025</v>
      </c>
      <c r="P191" s="36"/>
      <c r="Q191" s="36">
        <v>163021.59</v>
      </c>
      <c r="R191" s="36"/>
      <c r="S191" s="36">
        <v>0</v>
      </c>
      <c r="T191" s="36"/>
      <c r="U191" s="36">
        <v>0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1591.75</v>
      </c>
      <c r="AD191" s="36"/>
      <c r="AE191" s="36">
        <f t="shared" si="70"/>
        <v>559232.4299999999</v>
      </c>
      <c r="AF191" s="36"/>
      <c r="AG191" s="36">
        <v>-15443.09</v>
      </c>
      <c r="AH191" s="36"/>
      <c r="AI191" s="36">
        <v>740724.46</v>
      </c>
      <c r="AJ191" s="36"/>
      <c r="AK191" s="36">
        <v>725281.37</v>
      </c>
      <c r="AL191" s="24">
        <f>+'Gen Rev'!AI191-'Gen Exp'!AE191+'Gen Exp'!AI191-AK191</f>
        <v>0</v>
      </c>
      <c r="AM191" s="44" t="str">
        <f>'Gen Rev'!A191</f>
        <v>Elmore</v>
      </c>
      <c r="AN191" s="21" t="str">
        <f t="shared" si="59"/>
        <v>Elmore</v>
      </c>
      <c r="AO191" s="21" t="b">
        <f t="shared" si="60"/>
        <v>1</v>
      </c>
    </row>
    <row r="192" spans="1:41" s="21" customFormat="1" ht="12.75">
      <c r="A192" s="1" t="s">
        <v>92</v>
      </c>
      <c r="B192" s="1"/>
      <c r="C192" s="1" t="s">
        <v>378</v>
      </c>
      <c r="D192" s="1"/>
      <c r="E192" s="36">
        <v>943909.43</v>
      </c>
      <c r="F192" s="36"/>
      <c r="G192" s="36">
        <v>3324.75</v>
      </c>
      <c r="H192" s="36"/>
      <c r="I192" s="36">
        <v>58234.14</v>
      </c>
      <c r="J192" s="36"/>
      <c r="K192" s="36">
        <v>50303.58</v>
      </c>
      <c r="L192" s="36"/>
      <c r="M192" s="36">
        <v>168941.27</v>
      </c>
      <c r="N192" s="36"/>
      <c r="O192" s="36">
        <v>676408.03</v>
      </c>
      <c r="P192" s="36"/>
      <c r="Q192" s="36">
        <v>930320.97</v>
      </c>
      <c r="R192" s="36"/>
      <c r="S192" s="36">
        <v>0</v>
      </c>
      <c r="T192" s="36"/>
      <c r="U192" s="36">
        <v>0</v>
      </c>
      <c r="V192" s="36"/>
      <c r="W192" s="36">
        <v>0</v>
      </c>
      <c r="X192" s="36"/>
      <c r="Y192" s="36">
        <v>529607.23</v>
      </c>
      <c r="Z192" s="36"/>
      <c r="AA192" s="36">
        <v>0</v>
      </c>
      <c r="AB192" s="36"/>
      <c r="AC192" s="36">
        <v>0</v>
      </c>
      <c r="AD192" s="36"/>
      <c r="AE192" s="36">
        <f t="shared" si="70"/>
        <v>3361049.4</v>
      </c>
      <c r="AF192" s="36"/>
      <c r="AG192" s="36">
        <v>-268787.8</v>
      </c>
      <c r="AH192" s="36"/>
      <c r="AI192" s="36">
        <v>1327224.31</v>
      </c>
      <c r="AJ192" s="36"/>
      <c r="AK192" s="36">
        <v>1058436.51</v>
      </c>
      <c r="AL192" s="24">
        <f>+'Gen Rev'!AI196-'Gen Exp'!AE192+'Gen Exp'!AI192-AK192</f>
        <v>0</v>
      </c>
      <c r="AM192" s="44" t="str">
        <f>'Gen Rev'!A192</f>
        <v>Elmwood Place</v>
      </c>
      <c r="AN192" s="21" t="str">
        <f t="shared" si="59"/>
        <v>Elmwood Place</v>
      </c>
      <c r="AO192" s="21" t="b">
        <f t="shared" si="60"/>
        <v>1</v>
      </c>
    </row>
    <row r="193" spans="1:41" ht="12.75">
      <c r="A193" s="1" t="s">
        <v>117</v>
      </c>
      <c r="C193" s="1" t="s">
        <v>781</v>
      </c>
      <c r="D193" s="23"/>
      <c r="E193" s="95">
        <v>9234.18</v>
      </c>
      <c r="F193" s="95"/>
      <c r="G193" s="95">
        <v>1462.69</v>
      </c>
      <c r="H193" s="95"/>
      <c r="I193" s="95">
        <v>3166.03</v>
      </c>
      <c r="J193" s="95"/>
      <c r="K193" s="95">
        <v>0</v>
      </c>
      <c r="L193" s="95"/>
      <c r="M193" s="95">
        <v>0</v>
      </c>
      <c r="N193" s="95"/>
      <c r="O193" s="95">
        <v>0</v>
      </c>
      <c r="P193" s="95"/>
      <c r="Q193" s="95">
        <v>25695.15</v>
      </c>
      <c r="R193" s="95"/>
      <c r="S193" s="95">
        <v>0</v>
      </c>
      <c r="T193" s="95"/>
      <c r="U193" s="95">
        <v>0</v>
      </c>
      <c r="V193" s="95"/>
      <c r="W193" s="95">
        <v>0</v>
      </c>
      <c r="X193" s="95"/>
      <c r="Y193" s="95">
        <v>0</v>
      </c>
      <c r="Z193" s="95"/>
      <c r="AA193" s="95">
        <v>0</v>
      </c>
      <c r="AB193" s="95"/>
      <c r="AC193" s="95">
        <v>0</v>
      </c>
      <c r="AD193" s="95"/>
      <c r="AE193" s="95">
        <f aca="true" t="shared" si="71" ref="AE193">SUM(E193:AC193)</f>
        <v>39558.05</v>
      </c>
      <c r="AF193" s="95"/>
      <c r="AG193" s="95">
        <v>1420.26</v>
      </c>
      <c r="AH193" s="95"/>
      <c r="AI193" s="95">
        <v>32124.31</v>
      </c>
      <c r="AJ193" s="95"/>
      <c r="AK193" s="95">
        <v>33544.57</v>
      </c>
      <c r="AL193" s="24">
        <f>+'Gen Rev'!AI193-'Gen Exp'!AE193+'Gen Exp'!AI193-AK193</f>
        <v>0</v>
      </c>
      <c r="AM193" s="44" t="str">
        <f>'Gen Rev'!A193</f>
        <v>Empire</v>
      </c>
      <c r="AN193" s="21" t="str">
        <f t="shared" si="59"/>
        <v>Empire</v>
      </c>
      <c r="AO193" s="21" t="b">
        <f t="shared" si="60"/>
        <v>1</v>
      </c>
    </row>
    <row r="194" spans="1:41" s="21" customFormat="1" ht="12.6" customHeight="1">
      <c r="A194" s="1" t="s">
        <v>291</v>
      </c>
      <c r="B194" s="1"/>
      <c r="C194" s="1" t="s">
        <v>292</v>
      </c>
      <c r="D194" s="1"/>
      <c r="E194" s="83">
        <v>42768.67</v>
      </c>
      <c r="F194" s="83"/>
      <c r="G194" s="83">
        <v>0</v>
      </c>
      <c r="H194" s="83"/>
      <c r="I194" s="83">
        <v>3536.45</v>
      </c>
      <c r="J194" s="83"/>
      <c r="K194" s="83">
        <v>0</v>
      </c>
      <c r="L194" s="83"/>
      <c r="M194" s="83">
        <v>0</v>
      </c>
      <c r="N194" s="83"/>
      <c r="O194" s="83">
        <v>0</v>
      </c>
      <c r="P194" s="83"/>
      <c r="Q194" s="83">
        <v>70797.04</v>
      </c>
      <c r="R194" s="83"/>
      <c r="S194" s="83">
        <v>925</v>
      </c>
      <c r="T194" s="83"/>
      <c r="U194" s="83">
        <v>0</v>
      </c>
      <c r="V194" s="83"/>
      <c r="W194" s="83">
        <v>0</v>
      </c>
      <c r="X194" s="83"/>
      <c r="Y194" s="83">
        <v>154574.13</v>
      </c>
      <c r="Z194" s="83"/>
      <c r="AA194" s="83">
        <v>0</v>
      </c>
      <c r="AB194" s="83"/>
      <c r="AC194" s="83">
        <f>40543.26+6274.35+46647.68+88419.71</f>
        <v>181885</v>
      </c>
      <c r="AD194" s="83"/>
      <c r="AE194" s="83">
        <f>SUM(E194:AC194)</f>
        <v>454486.29</v>
      </c>
      <c r="AF194" s="83"/>
      <c r="AG194" s="36">
        <v>-33612.86</v>
      </c>
      <c r="AH194" s="36"/>
      <c r="AI194" s="36">
        <v>571828.49</v>
      </c>
      <c r="AJ194" s="36"/>
      <c r="AK194" s="36">
        <v>538215.63</v>
      </c>
      <c r="AL194" s="24">
        <f>+'Gen Rev'!AI194-'Gen Exp'!AE194+'Gen Exp'!AI194-AK194</f>
        <v>0</v>
      </c>
      <c r="AM194" s="44" t="str">
        <f>'Gen Rev'!A194</f>
        <v>Enon</v>
      </c>
      <c r="AN194" s="21" t="str">
        <f t="shared" si="59"/>
        <v>Enon</v>
      </c>
      <c r="AO194" s="21" t="b">
        <f t="shared" si="60"/>
        <v>1</v>
      </c>
    </row>
    <row r="195" spans="1:41" s="21" customFormat="1" ht="12.75">
      <c r="A195" s="1" t="s">
        <v>380</v>
      </c>
      <c r="B195" s="1"/>
      <c r="C195" s="1" t="s">
        <v>378</v>
      </c>
      <c r="D195" s="1"/>
      <c r="E195" s="83">
        <v>5457556</v>
      </c>
      <c r="F195" s="83"/>
      <c r="G195" s="83">
        <v>12152</v>
      </c>
      <c r="H195" s="83"/>
      <c r="I195" s="83">
        <v>1375259</v>
      </c>
      <c r="J195" s="83"/>
      <c r="K195" s="83">
        <v>267857</v>
      </c>
      <c r="L195" s="83"/>
      <c r="M195" s="83">
        <v>243996</v>
      </c>
      <c r="N195" s="83"/>
      <c r="O195" s="83">
        <v>0</v>
      </c>
      <c r="P195" s="83"/>
      <c r="Q195" s="83">
        <v>2295969</v>
      </c>
      <c r="R195" s="83"/>
      <c r="S195" s="83">
        <v>273201</v>
      </c>
      <c r="T195" s="83"/>
      <c r="U195" s="83">
        <v>0</v>
      </c>
      <c r="V195" s="83"/>
      <c r="W195" s="83">
        <v>0</v>
      </c>
      <c r="X195" s="83"/>
      <c r="Y195" s="83">
        <v>1879225</v>
      </c>
      <c r="Z195" s="83"/>
      <c r="AA195" s="83">
        <v>25000</v>
      </c>
      <c r="AB195" s="83"/>
      <c r="AC195" s="83">
        <v>0</v>
      </c>
      <c r="AD195" s="83"/>
      <c r="AE195" s="83">
        <f t="shared" si="54"/>
        <v>11830215</v>
      </c>
      <c r="AF195" s="83"/>
      <c r="AG195" s="83">
        <v>753053</v>
      </c>
      <c r="AH195" s="83"/>
      <c r="AI195" s="83">
        <v>13255871</v>
      </c>
      <c r="AJ195" s="83"/>
      <c r="AK195" s="83">
        <v>14008924</v>
      </c>
      <c r="AL195" s="24">
        <f>+'Gen Rev'!AI195-'Gen Exp'!AE195+'Gen Exp'!AI195-AK195</f>
        <v>1</v>
      </c>
      <c r="AM195" s="44" t="str">
        <f>'Gen Rev'!A195</f>
        <v>Evendale</v>
      </c>
      <c r="AN195" s="21" t="str">
        <f t="shared" si="59"/>
        <v>Evendale</v>
      </c>
      <c r="AO195" s="21" t="b">
        <f t="shared" si="60"/>
        <v>1</v>
      </c>
    </row>
    <row r="196" spans="1:41" s="21" customFormat="1" ht="12.75" hidden="1">
      <c r="A196" s="1" t="s">
        <v>93</v>
      </c>
      <c r="B196" s="1"/>
      <c r="C196" s="1" t="s">
        <v>773</v>
      </c>
      <c r="D196" s="2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>
        <f t="shared" si="54"/>
        <v>0</v>
      </c>
      <c r="AF196" s="83"/>
      <c r="AG196" s="83"/>
      <c r="AH196" s="83"/>
      <c r="AI196" s="83"/>
      <c r="AJ196" s="83"/>
      <c r="AK196" s="83"/>
      <c r="AL196" s="24" t="e">
        <f>+#REF!-'Gen Exp'!AE196+'Gen Exp'!AI196-AK196</f>
        <v>#REF!</v>
      </c>
      <c r="AM196" s="44" t="str">
        <f>'Gen Rev'!A196</f>
        <v>Fairfax</v>
      </c>
      <c r="AN196" s="21" t="str">
        <f t="shared" si="59"/>
        <v>Fairfax</v>
      </c>
      <c r="AO196" s="21" t="b">
        <f t="shared" si="60"/>
        <v>1</v>
      </c>
    </row>
    <row r="197" spans="1:41" s="19" customFormat="1" ht="12.75">
      <c r="A197" s="10" t="s">
        <v>429</v>
      </c>
      <c r="B197" s="10"/>
      <c r="C197" s="10" t="s">
        <v>430</v>
      </c>
      <c r="D197" s="10"/>
      <c r="E197" s="36">
        <v>1135710.66</v>
      </c>
      <c r="F197" s="36"/>
      <c r="G197" s="36">
        <v>20993</v>
      </c>
      <c r="H197" s="36"/>
      <c r="I197" s="36">
        <v>474.93</v>
      </c>
      <c r="J197" s="36"/>
      <c r="K197" s="36">
        <v>35695.8</v>
      </c>
      <c r="L197" s="36"/>
      <c r="M197" s="36">
        <v>0</v>
      </c>
      <c r="N197" s="36"/>
      <c r="O197" s="36">
        <v>162571.01</v>
      </c>
      <c r="P197" s="36"/>
      <c r="Q197" s="36">
        <v>517351.28</v>
      </c>
      <c r="R197" s="36"/>
      <c r="S197" s="36">
        <v>0</v>
      </c>
      <c r="T197" s="36"/>
      <c r="U197" s="36">
        <v>0</v>
      </c>
      <c r="V197" s="36"/>
      <c r="W197" s="36">
        <v>0</v>
      </c>
      <c r="X197" s="36"/>
      <c r="Y197" s="36">
        <v>61361.89</v>
      </c>
      <c r="Z197" s="36"/>
      <c r="AA197" s="36">
        <v>15000</v>
      </c>
      <c r="AB197" s="36"/>
      <c r="AC197" s="36">
        <v>0</v>
      </c>
      <c r="AD197" s="36"/>
      <c r="AE197" s="36">
        <f aca="true" t="shared" si="72" ref="AE197">SUM(E197:AC197)</f>
        <v>1949158.5699999998</v>
      </c>
      <c r="AF197" s="36"/>
      <c r="AG197" s="36">
        <v>55455.84</v>
      </c>
      <c r="AH197" s="36"/>
      <c r="AI197" s="36">
        <v>1014955.11</v>
      </c>
      <c r="AJ197" s="36"/>
      <c r="AK197" s="36">
        <v>1070410.95</v>
      </c>
      <c r="AL197" s="24">
        <f>+'Gen Rev'!AI197-'Gen Exp'!AE197+'Gen Exp'!AI197-AK197</f>
        <v>0</v>
      </c>
      <c r="AM197" s="44" t="str">
        <f>'Gen Rev'!A197</f>
        <v>Fairport Harbor</v>
      </c>
      <c r="AN197" s="21" t="str">
        <f t="shared" si="59"/>
        <v>Fairport Harbor</v>
      </c>
      <c r="AO197" s="21" t="b">
        <f t="shared" si="60"/>
        <v>1</v>
      </c>
    </row>
    <row r="198" spans="1:41" ht="12.75" hidden="1">
      <c r="A198" s="1" t="s">
        <v>901</v>
      </c>
      <c r="C198" s="1" t="s">
        <v>772</v>
      </c>
      <c r="D198" s="2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>
        <f t="shared" si="54"/>
        <v>0</v>
      </c>
      <c r="AF198" s="83"/>
      <c r="AG198" s="83"/>
      <c r="AH198" s="83"/>
      <c r="AI198" s="83"/>
      <c r="AJ198" s="83"/>
      <c r="AK198" s="83"/>
      <c r="AL198" s="24">
        <f>+'Gen Rev'!AI198-'Gen Exp'!AE198+'Gen Exp'!AI198-AK198</f>
        <v>0</v>
      </c>
      <c r="AM198" s="44" t="str">
        <f>'Gen Rev'!A198</f>
        <v>Fairview</v>
      </c>
      <c r="AN198" s="21" t="str">
        <f t="shared" si="59"/>
        <v>Fairview</v>
      </c>
      <c r="AO198" s="21" t="b">
        <f t="shared" si="60"/>
        <v>1</v>
      </c>
    </row>
    <row r="199" spans="1:41" ht="12.75">
      <c r="A199" s="1" t="s">
        <v>167</v>
      </c>
      <c r="C199" s="1" t="s">
        <v>797</v>
      </c>
      <c r="D199" s="23"/>
      <c r="E199" s="36">
        <v>41000</v>
      </c>
      <c r="F199" s="36"/>
      <c r="G199" s="36">
        <v>0</v>
      </c>
      <c r="H199" s="36"/>
      <c r="I199" s="36">
        <v>0</v>
      </c>
      <c r="J199" s="36"/>
      <c r="K199" s="36">
        <v>0</v>
      </c>
      <c r="L199" s="36"/>
      <c r="M199" s="36">
        <v>7829.2</v>
      </c>
      <c r="N199" s="36"/>
      <c r="O199" s="36">
        <v>0</v>
      </c>
      <c r="P199" s="36"/>
      <c r="Q199" s="36">
        <v>165512.02</v>
      </c>
      <c r="R199" s="36"/>
      <c r="S199" s="36">
        <v>10157.76</v>
      </c>
      <c r="T199" s="36"/>
      <c r="U199" s="36">
        <v>0</v>
      </c>
      <c r="V199" s="36"/>
      <c r="W199" s="36">
        <v>0</v>
      </c>
      <c r="X199" s="36"/>
      <c r="Y199" s="36">
        <v>112137.25</v>
      </c>
      <c r="Z199" s="36"/>
      <c r="AA199" s="36">
        <v>20000</v>
      </c>
      <c r="AB199" s="36"/>
      <c r="AC199" s="36">
        <v>0</v>
      </c>
      <c r="AD199" s="36"/>
      <c r="AE199" s="36">
        <f aca="true" t="shared" si="73" ref="AE199">SUM(E199:AC199)</f>
        <v>356636.23</v>
      </c>
      <c r="AF199" s="36"/>
      <c r="AG199" s="36">
        <v>-1322.69</v>
      </c>
      <c r="AH199" s="36"/>
      <c r="AI199" s="36">
        <v>126612.51</v>
      </c>
      <c r="AJ199" s="36"/>
      <c r="AK199" s="36">
        <v>125289.82</v>
      </c>
      <c r="AL199" s="24">
        <f>+'Gen Rev'!AI199-'Gen Exp'!AE199+'Gen Exp'!AI199-AK199</f>
        <v>0</v>
      </c>
      <c r="AM199" s="44" t="str">
        <f>'Gen Rev'!A199</f>
        <v>Farmersville</v>
      </c>
      <c r="AN199" s="21" t="str">
        <f t="shared" si="59"/>
        <v>Farmersville</v>
      </c>
      <c r="AO199" s="21" t="b">
        <f t="shared" si="60"/>
        <v>1</v>
      </c>
    </row>
    <row r="200" spans="1:41" s="21" customFormat="1" ht="12.75">
      <c r="A200" s="1" t="s">
        <v>360</v>
      </c>
      <c r="B200" s="1"/>
      <c r="C200" s="1" t="s">
        <v>358</v>
      </c>
      <c r="D200" s="1"/>
      <c r="E200" s="83">
        <v>207504.72</v>
      </c>
      <c r="F200" s="83"/>
      <c r="G200" s="83">
        <v>0</v>
      </c>
      <c r="H200" s="83"/>
      <c r="I200" s="83">
        <v>0</v>
      </c>
      <c r="J200" s="83"/>
      <c r="K200" s="83">
        <v>11981.64</v>
      </c>
      <c r="L200" s="83"/>
      <c r="M200" s="83">
        <v>0</v>
      </c>
      <c r="N200" s="83"/>
      <c r="O200" s="83">
        <v>23662.43</v>
      </c>
      <c r="P200" s="83"/>
      <c r="Q200" s="83">
        <v>118435.89</v>
      </c>
      <c r="R200" s="83"/>
      <c r="S200" s="83">
        <v>2371.58</v>
      </c>
      <c r="T200" s="83"/>
      <c r="U200" s="83">
        <v>0</v>
      </c>
      <c r="V200" s="83"/>
      <c r="W200" s="83">
        <v>0</v>
      </c>
      <c r="X200" s="83"/>
      <c r="Y200" s="83">
        <v>0</v>
      </c>
      <c r="Z200" s="83"/>
      <c r="AA200" s="83">
        <v>50000</v>
      </c>
      <c r="AB200" s="83"/>
      <c r="AC200" s="83">
        <v>0</v>
      </c>
      <c r="AD200" s="83"/>
      <c r="AE200" s="83">
        <f t="shared" si="54"/>
        <v>413956.26</v>
      </c>
      <c r="AF200" s="83"/>
      <c r="AG200" s="83">
        <v>22566.89</v>
      </c>
      <c r="AH200" s="83"/>
      <c r="AI200" s="83">
        <v>574111.39</v>
      </c>
      <c r="AJ200" s="83"/>
      <c r="AK200" s="83">
        <v>596678.28</v>
      </c>
      <c r="AL200" s="24">
        <f>+'Gen Rev'!AI200-'Gen Exp'!AE200+'Gen Exp'!AI200-AK200</f>
        <v>0</v>
      </c>
      <c r="AM200" s="44" t="str">
        <f>'Gen Rev'!A200</f>
        <v>Fayette</v>
      </c>
      <c r="AN200" s="21" t="str">
        <f t="shared" si="59"/>
        <v>Fayette</v>
      </c>
      <c r="AO200" s="21" t="b">
        <f t="shared" si="60"/>
        <v>1</v>
      </c>
    </row>
    <row r="201" spans="1:41" s="21" customFormat="1" ht="12.75">
      <c r="A201" s="1" t="s">
        <v>21</v>
      </c>
      <c r="B201" s="1"/>
      <c r="C201" s="1" t="s">
        <v>751</v>
      </c>
      <c r="D201" s="23"/>
      <c r="E201" s="36">
        <v>74226.38</v>
      </c>
      <c r="F201" s="36"/>
      <c r="G201" s="36">
        <v>327.82</v>
      </c>
      <c r="H201" s="36"/>
      <c r="I201" s="36">
        <v>2556.26</v>
      </c>
      <c r="J201" s="36"/>
      <c r="K201" s="36">
        <v>0</v>
      </c>
      <c r="L201" s="36"/>
      <c r="M201" s="36">
        <v>0</v>
      </c>
      <c r="N201" s="36"/>
      <c r="O201" s="36">
        <v>7111.9</v>
      </c>
      <c r="P201" s="36"/>
      <c r="Q201" s="36">
        <v>68233.15</v>
      </c>
      <c r="R201" s="36"/>
      <c r="S201" s="36">
        <v>0</v>
      </c>
      <c r="T201" s="36"/>
      <c r="U201" s="36">
        <v>2000</v>
      </c>
      <c r="V201" s="36"/>
      <c r="W201" s="36">
        <v>861.81</v>
      </c>
      <c r="X201" s="36"/>
      <c r="Y201" s="36">
        <v>0</v>
      </c>
      <c r="Z201" s="36"/>
      <c r="AA201" s="36">
        <v>0</v>
      </c>
      <c r="AB201" s="36"/>
      <c r="AC201" s="36">
        <v>16000</v>
      </c>
      <c r="AD201" s="36"/>
      <c r="AE201" s="36">
        <f aca="true" t="shared" si="74" ref="AE201">SUM(E201:AC201)</f>
        <v>171317.32</v>
      </c>
      <c r="AF201" s="36"/>
      <c r="AG201" s="36">
        <v>-2590.14</v>
      </c>
      <c r="AH201" s="36"/>
      <c r="AI201" s="36">
        <v>51164.94</v>
      </c>
      <c r="AJ201" s="36"/>
      <c r="AK201" s="36">
        <v>48574.8</v>
      </c>
      <c r="AL201" s="24">
        <f>+'Gen Rev'!AI201-'Gen Exp'!AE201+'Gen Exp'!AI201-AK201</f>
        <v>0</v>
      </c>
      <c r="AM201" s="44" t="str">
        <f>'Gen Rev'!A201</f>
        <v>Fayetteville</v>
      </c>
      <c r="AN201" s="21" t="str">
        <f t="shared" si="59"/>
        <v>Fayetteville</v>
      </c>
      <c r="AO201" s="21" t="b">
        <f t="shared" si="60"/>
        <v>1</v>
      </c>
    </row>
    <row r="202" spans="1:41" s="21" customFormat="1" ht="12.6" customHeight="1" hidden="1">
      <c r="A202" s="15" t="s">
        <v>297</v>
      </c>
      <c r="B202" s="15"/>
      <c r="C202" s="1" t="s">
        <v>295</v>
      </c>
      <c r="D202" s="1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>
        <f t="shared" si="54"/>
        <v>0</v>
      </c>
      <c r="AF202" s="83"/>
      <c r="AG202" s="36"/>
      <c r="AH202" s="36"/>
      <c r="AI202" s="36"/>
      <c r="AJ202" s="36"/>
      <c r="AK202" s="36"/>
      <c r="AL202" s="24">
        <f>+'Gen Rev'!AI202-'Gen Exp'!AE202+'Gen Exp'!AI202-AK202</f>
        <v>0</v>
      </c>
      <c r="AM202" s="44" t="str">
        <f>'Gen Rev'!A202</f>
        <v>Felicity</v>
      </c>
      <c r="AN202" s="21" t="str">
        <f t="shared" si="59"/>
        <v>Felicity</v>
      </c>
      <c r="AO202" s="21" t="b">
        <f t="shared" si="60"/>
        <v>1</v>
      </c>
    </row>
    <row r="203" spans="1:41" s="21" customFormat="1" ht="12.6" customHeight="1">
      <c r="A203" s="15" t="s">
        <v>940</v>
      </c>
      <c r="B203" s="15"/>
      <c r="C203" s="1" t="s">
        <v>470</v>
      </c>
      <c r="D203" s="1"/>
      <c r="E203" s="95">
        <v>9347.16</v>
      </c>
      <c r="F203" s="95"/>
      <c r="G203" s="95">
        <v>0</v>
      </c>
      <c r="H203" s="95"/>
      <c r="I203" s="95">
        <v>5070.8</v>
      </c>
      <c r="J203" s="95"/>
      <c r="K203" s="95">
        <v>0</v>
      </c>
      <c r="L203" s="95"/>
      <c r="M203" s="95">
        <v>0</v>
      </c>
      <c r="N203" s="95"/>
      <c r="O203" s="95">
        <v>0</v>
      </c>
      <c r="P203" s="95"/>
      <c r="Q203" s="95">
        <v>16163.84</v>
      </c>
      <c r="R203" s="95"/>
      <c r="S203" s="95">
        <v>0</v>
      </c>
      <c r="T203" s="95"/>
      <c r="U203" s="95">
        <v>0</v>
      </c>
      <c r="V203" s="95"/>
      <c r="W203" s="95">
        <v>0</v>
      </c>
      <c r="X203" s="95"/>
      <c r="Y203" s="95">
        <v>0</v>
      </c>
      <c r="Z203" s="95"/>
      <c r="AA203" s="95">
        <v>0</v>
      </c>
      <c r="AB203" s="95"/>
      <c r="AC203" s="95">
        <v>10366.4</v>
      </c>
      <c r="AD203" s="95"/>
      <c r="AE203" s="95">
        <f aca="true" t="shared" si="75" ref="AE203">SUM(E203:AC203)</f>
        <v>40948.2</v>
      </c>
      <c r="AF203" s="95"/>
      <c r="AG203" s="95">
        <v>641.56</v>
      </c>
      <c r="AH203" s="95"/>
      <c r="AI203" s="95">
        <v>28678.99</v>
      </c>
      <c r="AJ203" s="95"/>
      <c r="AK203" s="95">
        <v>29320.55</v>
      </c>
      <c r="AL203" s="24">
        <f>+'Gen Rev'!AI203-'Gen Exp'!AE203+'Gen Exp'!AI203-AK203</f>
        <v>0</v>
      </c>
      <c r="AM203" s="44" t="str">
        <f>'Gen Rev'!A203</f>
        <v>Fletcher</v>
      </c>
      <c r="AN203" s="21" t="str">
        <f t="shared" si="59"/>
        <v>Fletcher</v>
      </c>
      <c r="AO203" s="21" t="b">
        <f t="shared" si="60"/>
        <v>1</v>
      </c>
    </row>
    <row r="204" spans="1:41" s="21" customFormat="1" ht="12.75">
      <c r="A204" s="1" t="s">
        <v>105</v>
      </c>
      <c r="B204" s="1"/>
      <c r="C204" s="1" t="s">
        <v>777</v>
      </c>
      <c r="D204" s="23"/>
      <c r="E204" s="36">
        <v>4716.11</v>
      </c>
      <c r="F204" s="36"/>
      <c r="G204" s="36">
        <v>942.47</v>
      </c>
      <c r="H204" s="36"/>
      <c r="I204" s="36">
        <v>994.7</v>
      </c>
      <c r="J204" s="36"/>
      <c r="K204" s="36">
        <v>0</v>
      </c>
      <c r="L204" s="36"/>
      <c r="M204" s="36">
        <v>574.03</v>
      </c>
      <c r="N204" s="36"/>
      <c r="O204" s="36">
        <v>0</v>
      </c>
      <c r="P204" s="36"/>
      <c r="Q204" s="36">
        <v>23276.06</v>
      </c>
      <c r="R204" s="36"/>
      <c r="S204" s="36">
        <v>0</v>
      </c>
      <c r="T204" s="36"/>
      <c r="U204" s="36">
        <v>0</v>
      </c>
      <c r="V204" s="36"/>
      <c r="W204" s="36">
        <v>0</v>
      </c>
      <c r="X204" s="36"/>
      <c r="Y204" s="36">
        <v>500</v>
      </c>
      <c r="Z204" s="36"/>
      <c r="AA204" s="36">
        <v>0</v>
      </c>
      <c r="AB204" s="36"/>
      <c r="AC204" s="36">
        <v>0</v>
      </c>
      <c r="AD204" s="36"/>
      <c r="AE204" s="36">
        <f aca="true" t="shared" si="76" ref="AE204">SUM(E204:AC204)</f>
        <v>31003.370000000003</v>
      </c>
      <c r="AF204" s="36"/>
      <c r="AG204" s="36">
        <v>5384.66</v>
      </c>
      <c r="AH204" s="36"/>
      <c r="AI204" s="36">
        <v>8205.32</v>
      </c>
      <c r="AJ204" s="36"/>
      <c r="AK204" s="36">
        <v>13589.98</v>
      </c>
      <c r="AL204" s="24">
        <f>+'Gen Rev'!AI204-'Gen Exp'!AE204+'Gen Exp'!AI204-AK204</f>
        <v>0</v>
      </c>
      <c r="AM204" s="44" t="str">
        <f>'Gen Rev'!A204</f>
        <v>Florida</v>
      </c>
      <c r="AN204" s="21" t="str">
        <f t="shared" si="59"/>
        <v>Florida</v>
      </c>
      <c r="AO204" s="21" t="b">
        <f t="shared" si="60"/>
        <v>1</v>
      </c>
    </row>
    <row r="205" spans="1:39" s="21" customFormat="1" ht="12.75">
      <c r="A205" s="1"/>
      <c r="B205" s="1"/>
      <c r="C205" s="1"/>
      <c r="D205" s="2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 t="s">
        <v>864</v>
      </c>
      <c r="AF205" s="83"/>
      <c r="AG205" s="83"/>
      <c r="AH205" s="83"/>
      <c r="AI205" s="83"/>
      <c r="AJ205" s="83"/>
      <c r="AK205" s="83"/>
      <c r="AL205" s="24"/>
      <c r="AM205" s="44"/>
    </row>
    <row r="206" spans="1:41" s="21" customFormat="1" ht="12.75">
      <c r="A206" s="1" t="s">
        <v>941</v>
      </c>
      <c r="B206" s="1"/>
      <c r="C206" s="1" t="s">
        <v>279</v>
      </c>
      <c r="D206" s="23"/>
      <c r="E206" s="102">
        <v>12427.39</v>
      </c>
      <c r="F206" s="102"/>
      <c r="G206" s="102">
        <v>4518</v>
      </c>
      <c r="H206" s="102"/>
      <c r="I206" s="102">
        <v>0</v>
      </c>
      <c r="J206" s="102"/>
      <c r="K206" s="102">
        <v>0</v>
      </c>
      <c r="L206" s="102"/>
      <c r="M206" s="102">
        <v>7232.73</v>
      </c>
      <c r="N206" s="102"/>
      <c r="O206" s="102">
        <v>0</v>
      </c>
      <c r="P206" s="102"/>
      <c r="Q206" s="102">
        <v>49600.83</v>
      </c>
      <c r="R206" s="102"/>
      <c r="S206" s="102">
        <v>0</v>
      </c>
      <c r="T206" s="102"/>
      <c r="U206" s="102">
        <v>9595.31</v>
      </c>
      <c r="V206" s="102"/>
      <c r="W206" s="102">
        <v>910.04</v>
      </c>
      <c r="X206" s="102"/>
      <c r="Y206" s="102">
        <v>0</v>
      </c>
      <c r="Z206" s="102"/>
      <c r="AA206" s="102">
        <v>0</v>
      </c>
      <c r="AB206" s="102"/>
      <c r="AC206" s="102">
        <v>0</v>
      </c>
      <c r="AD206" s="102"/>
      <c r="AE206" s="102">
        <f aca="true" t="shared" si="77" ref="AE206">SUM(E206:AC206)</f>
        <v>84284.29999999999</v>
      </c>
      <c r="AF206" s="36"/>
      <c r="AG206" s="36">
        <v>-4212.15</v>
      </c>
      <c r="AH206" s="36"/>
      <c r="AI206" s="36">
        <v>56281.94</v>
      </c>
      <c r="AJ206" s="36"/>
      <c r="AK206" s="36">
        <v>52069.79</v>
      </c>
      <c r="AL206" s="24">
        <f>+'Gen Rev'!AI205-'Gen Exp'!AE206+'Gen Exp'!AI206-AK206</f>
        <v>0</v>
      </c>
      <c r="AM206" s="44" t="str">
        <f>'Gen Rev'!A205</f>
        <v>Flushing</v>
      </c>
      <c r="AN206" s="21" t="str">
        <f t="shared" si="59"/>
        <v>Flushing</v>
      </c>
      <c r="AO206" s="21" t="b">
        <f t="shared" si="60"/>
        <v>1</v>
      </c>
    </row>
    <row r="207" spans="1:41" ht="12.75">
      <c r="A207" s="1" t="s">
        <v>398</v>
      </c>
      <c r="C207" s="1" t="s">
        <v>396</v>
      </c>
      <c r="E207" s="83">
        <v>237502</v>
      </c>
      <c r="F207" s="83"/>
      <c r="G207" s="83">
        <v>6634</v>
      </c>
      <c r="H207" s="83"/>
      <c r="I207" s="83">
        <v>0</v>
      </c>
      <c r="J207" s="83"/>
      <c r="K207" s="83">
        <v>0</v>
      </c>
      <c r="L207" s="83"/>
      <c r="M207" s="83">
        <v>0</v>
      </c>
      <c r="N207" s="83"/>
      <c r="O207" s="83">
        <v>0</v>
      </c>
      <c r="P207" s="83"/>
      <c r="Q207" s="83">
        <v>277755</v>
      </c>
      <c r="R207" s="83"/>
      <c r="S207" s="83">
        <v>0</v>
      </c>
      <c r="T207" s="83"/>
      <c r="U207" s="83">
        <v>0</v>
      </c>
      <c r="V207" s="83"/>
      <c r="W207" s="83">
        <v>0</v>
      </c>
      <c r="X207" s="83"/>
      <c r="Y207" s="83">
        <v>0</v>
      </c>
      <c r="Z207" s="83"/>
      <c r="AA207" s="83">
        <v>0</v>
      </c>
      <c r="AB207" s="83"/>
      <c r="AC207" s="83">
        <v>0</v>
      </c>
      <c r="AD207" s="83"/>
      <c r="AE207" s="83">
        <f aca="true" t="shared" si="78" ref="AE207:AE268">SUM(E207:AC207)</f>
        <v>521891</v>
      </c>
      <c r="AF207" s="83"/>
      <c r="AG207" s="83">
        <v>-76574</v>
      </c>
      <c r="AH207" s="83"/>
      <c r="AI207" s="83">
        <v>459734</v>
      </c>
      <c r="AJ207" s="83"/>
      <c r="AK207" s="83">
        <v>383160</v>
      </c>
      <c r="AL207" s="24">
        <f>+'Gen Rev'!AI206-'Gen Exp'!AE207+'Gen Exp'!AI207-AK207</f>
        <v>0</v>
      </c>
      <c r="AM207" s="44" t="str">
        <f>'Gen Rev'!A206</f>
        <v>Forest</v>
      </c>
      <c r="AN207" s="21" t="str">
        <f t="shared" si="59"/>
        <v>Forest</v>
      </c>
      <c r="AO207" s="21" t="b">
        <f t="shared" si="60"/>
        <v>1</v>
      </c>
    </row>
    <row r="208" spans="1:41" ht="12.75">
      <c r="A208" s="1" t="s">
        <v>204</v>
      </c>
      <c r="C208" s="1" t="s">
        <v>808</v>
      </c>
      <c r="D208" s="23"/>
      <c r="E208" s="36">
        <v>50824.07</v>
      </c>
      <c r="F208" s="36"/>
      <c r="G208" s="36">
        <v>0</v>
      </c>
      <c r="H208" s="36"/>
      <c r="I208" s="36">
        <v>1014.7</v>
      </c>
      <c r="J208" s="36"/>
      <c r="K208" s="36">
        <v>0</v>
      </c>
      <c r="L208" s="36"/>
      <c r="M208" s="36">
        <v>2817.2</v>
      </c>
      <c r="N208" s="36"/>
      <c r="O208" s="36">
        <v>0</v>
      </c>
      <c r="P208" s="36"/>
      <c r="Q208" s="36">
        <v>83815.96</v>
      </c>
      <c r="R208" s="36"/>
      <c r="S208" s="36">
        <v>0</v>
      </c>
      <c r="T208" s="36"/>
      <c r="U208" s="36">
        <v>0</v>
      </c>
      <c r="V208" s="36"/>
      <c r="W208" s="36">
        <v>0</v>
      </c>
      <c r="X208" s="36"/>
      <c r="Y208" s="36">
        <v>17500</v>
      </c>
      <c r="Z208" s="36"/>
      <c r="AA208" s="36">
        <v>0</v>
      </c>
      <c r="AB208" s="36"/>
      <c r="AC208" s="36">
        <v>0</v>
      </c>
      <c r="AD208" s="36"/>
      <c r="AE208" s="36">
        <f aca="true" t="shared" si="79" ref="AE208:AE209">SUM(E208:AC208)</f>
        <v>155971.93</v>
      </c>
      <c r="AF208" s="36"/>
      <c r="AG208" s="36">
        <v>8697.49</v>
      </c>
      <c r="AH208" s="36"/>
      <c r="AI208" s="36">
        <v>417620.94</v>
      </c>
      <c r="AJ208" s="36"/>
      <c r="AK208" s="36">
        <v>426318.43</v>
      </c>
      <c r="AL208" s="24">
        <f>+'Gen Rev'!AI207-'Gen Exp'!AE208+'Gen Exp'!AI208-AK208</f>
        <v>0</v>
      </c>
      <c r="AM208" s="44" t="str">
        <f>'Gen Rev'!A207</f>
        <v>Fort Jennings</v>
      </c>
      <c r="AN208" s="21" t="str">
        <f t="shared" si="59"/>
        <v>Fort Jennings</v>
      </c>
      <c r="AO208" s="21" t="b">
        <f t="shared" si="60"/>
        <v>1</v>
      </c>
    </row>
    <row r="209" spans="1:41" ht="12.75">
      <c r="A209" s="1" t="s">
        <v>222</v>
      </c>
      <c r="C209" s="1" t="s">
        <v>814</v>
      </c>
      <c r="D209" s="23"/>
      <c r="E209" s="36">
        <v>151888.4</v>
      </c>
      <c r="F209" s="36"/>
      <c r="G209" s="36">
        <v>10250</v>
      </c>
      <c r="H209" s="36"/>
      <c r="I209" s="36">
        <v>9654.78</v>
      </c>
      <c r="J209" s="36"/>
      <c r="K209" s="36">
        <v>0</v>
      </c>
      <c r="L209" s="36"/>
      <c r="M209" s="36">
        <v>79589.66</v>
      </c>
      <c r="N209" s="36"/>
      <c r="O209" s="36">
        <v>133425.38</v>
      </c>
      <c r="P209" s="36"/>
      <c r="Q209" s="36">
        <v>171553.1</v>
      </c>
      <c r="R209" s="36"/>
      <c r="S209" s="36">
        <v>1158727.9</v>
      </c>
      <c r="T209" s="36"/>
      <c r="U209" s="36">
        <v>114408.44</v>
      </c>
      <c r="V209" s="36"/>
      <c r="W209" s="36">
        <v>12218.46</v>
      </c>
      <c r="X209" s="36"/>
      <c r="Y209" s="36">
        <v>0</v>
      </c>
      <c r="Z209" s="36"/>
      <c r="AA209" s="36">
        <v>0</v>
      </c>
      <c r="AB209" s="36"/>
      <c r="AC209" s="36">
        <v>0</v>
      </c>
      <c r="AD209" s="36"/>
      <c r="AE209" s="36">
        <f t="shared" si="79"/>
        <v>1841716.1199999996</v>
      </c>
      <c r="AF209" s="36"/>
      <c r="AG209" s="36">
        <v>-486583.89</v>
      </c>
      <c r="AH209" s="36"/>
      <c r="AI209" s="36">
        <v>1435064.22</v>
      </c>
      <c r="AJ209" s="36"/>
      <c r="AK209" s="36">
        <v>948480.33</v>
      </c>
      <c r="AL209" s="24">
        <f>+'Gen Rev'!AI208-'Gen Exp'!AE209+'Gen Exp'!AI209-AK209</f>
        <v>0</v>
      </c>
      <c r="AM209" s="44" t="str">
        <f>'Gen Rev'!A208</f>
        <v>Fort Loramie</v>
      </c>
      <c r="AN209" s="21" t="str">
        <f t="shared" si="59"/>
        <v>Fort Loramie</v>
      </c>
      <c r="AO209" s="21" t="b">
        <f t="shared" si="60"/>
        <v>1</v>
      </c>
    </row>
    <row r="210" spans="1:41" ht="12.75">
      <c r="A210" s="1" t="s">
        <v>467</v>
      </c>
      <c r="C210" s="1" t="s">
        <v>466</v>
      </c>
      <c r="E210" s="83">
        <v>129227</v>
      </c>
      <c r="F210" s="83"/>
      <c r="G210" s="83">
        <v>10466</v>
      </c>
      <c r="H210" s="83"/>
      <c r="I210" s="83">
        <v>0</v>
      </c>
      <c r="J210" s="83"/>
      <c r="K210" s="83">
        <v>505</v>
      </c>
      <c r="L210" s="83"/>
      <c r="M210" s="83">
        <v>50</v>
      </c>
      <c r="N210" s="83"/>
      <c r="O210" s="83">
        <v>1357</v>
      </c>
      <c r="P210" s="83"/>
      <c r="Q210" s="83">
        <v>223567</v>
      </c>
      <c r="R210" s="83"/>
      <c r="S210" s="83">
        <v>26957</v>
      </c>
      <c r="T210" s="83"/>
      <c r="U210" s="83">
        <v>0</v>
      </c>
      <c r="V210" s="83"/>
      <c r="W210" s="83">
        <v>0</v>
      </c>
      <c r="X210" s="83"/>
      <c r="Y210" s="83">
        <v>967</v>
      </c>
      <c r="Z210" s="83"/>
      <c r="AA210" s="83">
        <v>0</v>
      </c>
      <c r="AB210" s="83"/>
      <c r="AC210" s="83">
        <v>0</v>
      </c>
      <c r="AD210" s="83"/>
      <c r="AE210" s="83">
        <f t="shared" si="78"/>
        <v>393096</v>
      </c>
      <c r="AF210" s="83"/>
      <c r="AG210" s="83">
        <v>-22683</v>
      </c>
      <c r="AH210" s="83"/>
      <c r="AI210" s="83">
        <v>41422</v>
      </c>
      <c r="AJ210" s="83"/>
      <c r="AK210" s="83">
        <v>18739</v>
      </c>
      <c r="AL210" s="24">
        <f>+'Gen Rev'!AI209-'Gen Exp'!AE210+'Gen Exp'!AI210-AK210</f>
        <v>0</v>
      </c>
      <c r="AM210" s="44" t="str">
        <f>'Gen Rev'!A209</f>
        <v>Fort Recovery</v>
      </c>
      <c r="AN210" s="21" t="str">
        <f t="shared" si="59"/>
        <v>Fort Recovery</v>
      </c>
      <c r="AO210" s="21" t="b">
        <f t="shared" si="60"/>
        <v>1</v>
      </c>
    </row>
    <row r="211" spans="1:41" ht="12.75">
      <c r="A211" s="1" t="s">
        <v>942</v>
      </c>
      <c r="C211" s="1" t="s">
        <v>746</v>
      </c>
      <c r="E211" s="36">
        <v>252785.53</v>
      </c>
      <c r="F211" s="36"/>
      <c r="G211" s="36">
        <v>0</v>
      </c>
      <c r="H211" s="36"/>
      <c r="I211" s="36">
        <v>0</v>
      </c>
      <c r="J211" s="36"/>
      <c r="K211" s="36">
        <v>3050.16</v>
      </c>
      <c r="L211" s="36"/>
      <c r="M211" s="36">
        <v>0</v>
      </c>
      <c r="N211" s="36"/>
      <c r="O211" s="36">
        <v>0</v>
      </c>
      <c r="P211" s="36"/>
      <c r="Q211" s="36">
        <v>106677.88</v>
      </c>
      <c r="R211" s="36"/>
      <c r="S211" s="36">
        <v>0</v>
      </c>
      <c r="T211" s="36"/>
      <c r="U211" s="36">
        <v>0</v>
      </c>
      <c r="V211" s="36"/>
      <c r="W211" s="36">
        <v>0</v>
      </c>
      <c r="X211" s="36"/>
      <c r="Y211" s="36">
        <v>44700</v>
      </c>
      <c r="Z211" s="36"/>
      <c r="AA211" s="36">
        <v>0</v>
      </c>
      <c r="AB211" s="36"/>
      <c r="AC211" s="36">
        <v>438.02</v>
      </c>
      <c r="AD211" s="36"/>
      <c r="AE211" s="36">
        <f aca="true" t="shared" si="80" ref="AE211:AE213">SUM(E211:AC211)</f>
        <v>407651.59</v>
      </c>
      <c r="AF211" s="36"/>
      <c r="AG211" s="36">
        <v>-117709.06</v>
      </c>
      <c r="AH211" s="36"/>
      <c r="AI211" s="36">
        <v>-12438.7</v>
      </c>
      <c r="AJ211" s="36"/>
      <c r="AK211" s="36">
        <v>-130147.76</v>
      </c>
      <c r="AL211" s="24">
        <f>+'Gen Rev'!AI210-'Gen Exp'!AE211+'Gen Exp'!AI211-AK211</f>
        <v>0</v>
      </c>
      <c r="AM211" s="44" t="str">
        <f>'Gen Rev'!A210</f>
        <v>Fort Shawnee</v>
      </c>
      <c r="AN211" s="21" t="str">
        <f t="shared" si="59"/>
        <v>Fort Shawnee</v>
      </c>
      <c r="AO211" s="21" t="b">
        <f t="shared" si="60"/>
        <v>1</v>
      </c>
    </row>
    <row r="212" spans="1:41" ht="12.75">
      <c r="A212" s="1" t="s">
        <v>212</v>
      </c>
      <c r="C212" s="1" t="s">
        <v>810</v>
      </c>
      <c r="D212" s="23"/>
      <c r="E212" s="36">
        <v>17000</v>
      </c>
      <c r="F212" s="36"/>
      <c r="G212" s="36">
        <v>0</v>
      </c>
      <c r="H212" s="36"/>
      <c r="I212" s="36">
        <v>3384.79</v>
      </c>
      <c r="J212" s="36"/>
      <c r="K212" s="36">
        <v>0</v>
      </c>
      <c r="L212" s="36"/>
      <c r="M212" s="36">
        <v>16157.84</v>
      </c>
      <c r="N212" s="36"/>
      <c r="O212" s="36">
        <v>0</v>
      </c>
      <c r="P212" s="36"/>
      <c r="Q212" s="36">
        <v>78822.77</v>
      </c>
      <c r="R212" s="36"/>
      <c r="S212" s="36">
        <v>527.55</v>
      </c>
      <c r="T212" s="36"/>
      <c r="U212" s="36">
        <v>0</v>
      </c>
      <c r="V212" s="36"/>
      <c r="W212" s="36">
        <v>0</v>
      </c>
      <c r="X212" s="36"/>
      <c r="Y212" s="36">
        <v>12500</v>
      </c>
      <c r="Z212" s="36"/>
      <c r="AA212" s="36">
        <v>0</v>
      </c>
      <c r="AB212" s="36"/>
      <c r="AC212" s="36">
        <v>0</v>
      </c>
      <c r="AD212" s="36"/>
      <c r="AE212" s="36">
        <f t="shared" si="80"/>
        <v>128392.95000000001</v>
      </c>
      <c r="AF212" s="36"/>
      <c r="AG212" s="36">
        <v>51261.14</v>
      </c>
      <c r="AH212" s="36"/>
      <c r="AI212" s="36">
        <v>446967.93</v>
      </c>
      <c r="AJ212" s="36"/>
      <c r="AK212" s="36">
        <v>498229.07</v>
      </c>
      <c r="AL212" s="24">
        <f>+'Gen Rev'!AI211-'Gen Exp'!AE212+'Gen Exp'!AI212-AK212</f>
        <v>0</v>
      </c>
      <c r="AM212" s="44" t="str">
        <f>'Gen Rev'!A211</f>
        <v>Frankfort</v>
      </c>
      <c r="AN212" s="21" t="str">
        <f t="shared" si="59"/>
        <v>Frankfort</v>
      </c>
      <c r="AO212" s="21" t="b">
        <f t="shared" si="60"/>
        <v>1</v>
      </c>
    </row>
    <row r="213" spans="1:41" ht="12.75">
      <c r="A213" s="1" t="s">
        <v>175</v>
      </c>
      <c r="C213" s="1" t="s">
        <v>800</v>
      </c>
      <c r="D213" s="23"/>
      <c r="E213" s="36">
        <v>91871.61</v>
      </c>
      <c r="F213" s="36"/>
      <c r="G213" s="36">
        <v>0</v>
      </c>
      <c r="H213" s="36"/>
      <c r="I213" s="36">
        <v>37295.11</v>
      </c>
      <c r="J213" s="36"/>
      <c r="K213" s="36">
        <v>27400.18</v>
      </c>
      <c r="L213" s="36"/>
      <c r="M213" s="36">
        <v>0</v>
      </c>
      <c r="N213" s="36"/>
      <c r="O213" s="36">
        <v>0</v>
      </c>
      <c r="P213" s="36"/>
      <c r="Q213" s="36">
        <v>100178.58</v>
      </c>
      <c r="R213" s="36"/>
      <c r="S213" s="36">
        <v>1259</v>
      </c>
      <c r="T213" s="36"/>
      <c r="U213" s="36">
        <v>0</v>
      </c>
      <c r="V213" s="36"/>
      <c r="W213" s="36">
        <v>0</v>
      </c>
      <c r="X213" s="36"/>
      <c r="Y213" s="36">
        <v>0.33</v>
      </c>
      <c r="Z213" s="36"/>
      <c r="AA213" s="36">
        <v>0</v>
      </c>
      <c r="AB213" s="36"/>
      <c r="AC213" s="36">
        <v>0</v>
      </c>
      <c r="AD213" s="36"/>
      <c r="AE213" s="36">
        <f t="shared" si="80"/>
        <v>258004.80999999997</v>
      </c>
      <c r="AF213" s="36"/>
      <c r="AG213" s="36">
        <v>-24413.18</v>
      </c>
      <c r="AH213" s="36"/>
      <c r="AI213" s="36">
        <v>25361.55</v>
      </c>
      <c r="AJ213" s="36"/>
      <c r="AK213" s="36">
        <v>948.37</v>
      </c>
      <c r="AL213" s="24">
        <f>+'Gen Rev'!AI212-'Gen Exp'!AE213+'Gen Exp'!AI213-AK213</f>
        <v>3.5356606531422585E-11</v>
      </c>
      <c r="AM213" s="44" t="str">
        <f>'Gen Rev'!A212</f>
        <v>Frazeysburg</v>
      </c>
      <c r="AN213" s="21" t="str">
        <f t="shared" si="59"/>
        <v>Frazeysburg</v>
      </c>
      <c r="AO213" s="21" t="b">
        <f t="shared" si="60"/>
        <v>1</v>
      </c>
    </row>
    <row r="214" spans="1:41" s="38" customFormat="1" ht="12.75">
      <c r="A214" s="38" t="s">
        <v>595</v>
      </c>
      <c r="C214" s="38" t="s">
        <v>590</v>
      </c>
      <c r="E214" s="83">
        <v>5346</v>
      </c>
      <c r="F214" s="83"/>
      <c r="G214" s="83">
        <v>1481</v>
      </c>
      <c r="H214" s="83"/>
      <c r="I214" s="83">
        <v>1162</v>
      </c>
      <c r="J214" s="83"/>
      <c r="K214" s="83">
        <v>0</v>
      </c>
      <c r="L214" s="83"/>
      <c r="M214" s="83">
        <v>0</v>
      </c>
      <c r="N214" s="83"/>
      <c r="O214" s="83">
        <v>0</v>
      </c>
      <c r="P214" s="83"/>
      <c r="Q214" s="83">
        <v>42350</v>
      </c>
      <c r="R214" s="83"/>
      <c r="S214" s="83">
        <v>0</v>
      </c>
      <c r="T214" s="83"/>
      <c r="U214" s="83">
        <v>0</v>
      </c>
      <c r="V214" s="83"/>
      <c r="W214" s="83">
        <v>0</v>
      </c>
      <c r="X214" s="83"/>
      <c r="Y214" s="83">
        <v>0</v>
      </c>
      <c r="Z214" s="83"/>
      <c r="AA214" s="83">
        <v>0</v>
      </c>
      <c r="AB214" s="83"/>
      <c r="AC214" s="83">
        <v>0</v>
      </c>
      <c r="AD214" s="83"/>
      <c r="AE214" s="83">
        <f t="shared" si="78"/>
        <v>50339</v>
      </c>
      <c r="AF214" s="83"/>
      <c r="AG214" s="83">
        <v>10666</v>
      </c>
      <c r="AH214" s="83"/>
      <c r="AI214" s="83">
        <v>37820</v>
      </c>
      <c r="AJ214" s="83"/>
      <c r="AK214" s="83">
        <v>48486</v>
      </c>
      <c r="AL214" s="24">
        <f>+'Gen Rev'!AI213-'Gen Exp'!AE214+'Gen Exp'!AI214-AK214</f>
        <v>0</v>
      </c>
      <c r="AM214" s="44" t="str">
        <f>'Gen Rev'!A213</f>
        <v>Fredericksburg</v>
      </c>
      <c r="AN214" s="21" t="str">
        <f t="shared" si="59"/>
        <v>Fredericksburg</v>
      </c>
      <c r="AO214" s="21" t="b">
        <f t="shared" si="60"/>
        <v>1</v>
      </c>
    </row>
    <row r="215" spans="1:41" s="21" customFormat="1" ht="12.75">
      <c r="A215" s="1" t="s">
        <v>428</v>
      </c>
      <c r="B215" s="1"/>
      <c r="C215" s="1" t="s">
        <v>427</v>
      </c>
      <c r="D215" s="1"/>
      <c r="E215" s="36">
        <v>334930.4</v>
      </c>
      <c r="F215" s="36"/>
      <c r="G215" s="36">
        <v>2000</v>
      </c>
      <c r="H215" s="36"/>
      <c r="I215" s="36">
        <v>2000</v>
      </c>
      <c r="J215" s="36"/>
      <c r="K215" s="36">
        <v>5354.76</v>
      </c>
      <c r="L215" s="36"/>
      <c r="M215" s="36">
        <v>6999.87</v>
      </c>
      <c r="N215" s="36"/>
      <c r="O215" s="36">
        <v>129274.48</v>
      </c>
      <c r="P215" s="36"/>
      <c r="Q215" s="36">
        <v>151611.55</v>
      </c>
      <c r="R215" s="36"/>
      <c r="S215" s="36">
        <v>0</v>
      </c>
      <c r="T215" s="36"/>
      <c r="U215" s="36">
        <v>0</v>
      </c>
      <c r="V215" s="36"/>
      <c r="W215" s="36">
        <v>0</v>
      </c>
      <c r="X215" s="36"/>
      <c r="Y215" s="36">
        <v>0</v>
      </c>
      <c r="Z215" s="36"/>
      <c r="AA215" s="36">
        <v>0</v>
      </c>
      <c r="AB215" s="36"/>
      <c r="AC215" s="36">
        <v>13238.78</v>
      </c>
      <c r="AD215" s="36"/>
      <c r="AE215" s="36">
        <f aca="true" t="shared" si="81" ref="AE215">SUM(E215:AC215)</f>
        <v>645409.8400000001</v>
      </c>
      <c r="AF215" s="36"/>
      <c r="AG215" s="36">
        <v>145838.25</v>
      </c>
      <c r="AH215" s="36"/>
      <c r="AI215" s="36">
        <v>112095.74</v>
      </c>
      <c r="AJ215" s="36"/>
      <c r="AK215" s="36">
        <v>257933.99</v>
      </c>
      <c r="AL215" s="24">
        <f>+'Gen Rev'!AI214-'Gen Exp'!AE215+'Gen Exp'!AI215-AK215</f>
        <v>-2.3283064365386963E-10</v>
      </c>
      <c r="AM215" s="44" t="str">
        <f>'Gen Rev'!A214</f>
        <v>Fredericktown</v>
      </c>
      <c r="AN215" s="21" t="str">
        <f t="shared" si="59"/>
        <v>Fredericktown</v>
      </c>
      <c r="AO215" s="21" t="b">
        <f t="shared" si="60"/>
        <v>1</v>
      </c>
    </row>
    <row r="216" spans="1:41" ht="12.75">
      <c r="A216" s="1" t="s">
        <v>405</v>
      </c>
      <c r="C216" s="1" t="s">
        <v>403</v>
      </c>
      <c r="E216" s="83">
        <v>0</v>
      </c>
      <c r="F216" s="83"/>
      <c r="G216" s="83">
        <v>0</v>
      </c>
      <c r="H216" s="83"/>
      <c r="I216" s="83">
        <v>0</v>
      </c>
      <c r="J216" s="83"/>
      <c r="K216" s="83">
        <v>0</v>
      </c>
      <c r="L216" s="83"/>
      <c r="M216" s="83">
        <v>316</v>
      </c>
      <c r="N216" s="83"/>
      <c r="O216" s="83">
        <v>7529.9</v>
      </c>
      <c r="P216" s="83"/>
      <c r="Q216" s="83">
        <v>114944.32</v>
      </c>
      <c r="R216" s="83"/>
      <c r="S216" s="83">
        <v>4932</v>
      </c>
      <c r="T216" s="83"/>
      <c r="U216" s="83">
        <v>0</v>
      </c>
      <c r="V216" s="83"/>
      <c r="W216" s="83">
        <v>0</v>
      </c>
      <c r="X216" s="83"/>
      <c r="Y216" s="83">
        <v>0</v>
      </c>
      <c r="Z216" s="83"/>
      <c r="AA216" s="83">
        <v>0</v>
      </c>
      <c r="AB216" s="83"/>
      <c r="AC216" s="83">
        <v>0</v>
      </c>
      <c r="AD216" s="83"/>
      <c r="AE216" s="83">
        <f t="shared" si="78"/>
        <v>127722.22</v>
      </c>
      <c r="AF216" s="83"/>
      <c r="AG216" s="83"/>
      <c r="AH216" s="83"/>
      <c r="AI216" s="83">
        <v>211514.91</v>
      </c>
      <c r="AJ216" s="83"/>
      <c r="AK216" s="83">
        <v>201587.25</v>
      </c>
      <c r="AL216" s="24">
        <f>+'Gen Rev'!AI215-'Gen Exp'!AE216+'Gen Exp'!AI216-AK216</f>
        <v>-325.95000000001164</v>
      </c>
      <c r="AM216" s="44" t="str">
        <f>'Gen Rev'!A215</f>
        <v>Freeport</v>
      </c>
      <c r="AN216" s="21" t="str">
        <f t="shared" si="59"/>
        <v>Freeport</v>
      </c>
      <c r="AO216" s="21" t="b">
        <f t="shared" si="60"/>
        <v>1</v>
      </c>
    </row>
    <row r="217" spans="1:41" s="10" customFormat="1" ht="12.75">
      <c r="A217" s="10" t="s">
        <v>358</v>
      </c>
      <c r="C217" s="10" t="s">
        <v>243</v>
      </c>
      <c r="E217" s="36">
        <v>4329.03</v>
      </c>
      <c r="F217" s="36"/>
      <c r="G217" s="36">
        <v>190</v>
      </c>
      <c r="H217" s="36"/>
      <c r="I217" s="36">
        <v>0</v>
      </c>
      <c r="J217" s="36"/>
      <c r="K217" s="36">
        <v>0</v>
      </c>
      <c r="L217" s="36"/>
      <c r="M217" s="36">
        <v>0</v>
      </c>
      <c r="N217" s="36"/>
      <c r="O217" s="36">
        <v>0</v>
      </c>
      <c r="P217" s="36"/>
      <c r="Q217" s="36">
        <v>13760.69</v>
      </c>
      <c r="R217" s="36"/>
      <c r="S217" s="36">
        <v>0</v>
      </c>
      <c r="T217" s="36"/>
      <c r="U217" s="36">
        <v>0</v>
      </c>
      <c r="V217" s="36"/>
      <c r="W217" s="36">
        <v>0</v>
      </c>
      <c r="X217" s="36"/>
      <c r="Y217" s="36">
        <v>0</v>
      </c>
      <c r="Z217" s="36"/>
      <c r="AA217" s="36">
        <v>0</v>
      </c>
      <c r="AB217" s="36"/>
      <c r="AC217" s="36">
        <v>0</v>
      </c>
      <c r="AD217" s="36"/>
      <c r="AE217" s="36">
        <f aca="true" t="shared" si="82" ref="AE217">SUM(E217:AC217)</f>
        <v>18279.72</v>
      </c>
      <c r="AF217" s="36"/>
      <c r="AG217" s="36">
        <v>9740.38</v>
      </c>
      <c r="AH217" s="36"/>
      <c r="AI217" s="36">
        <v>11662.12</v>
      </c>
      <c r="AJ217" s="36"/>
      <c r="AK217" s="36">
        <v>21402.5</v>
      </c>
      <c r="AL217" s="24">
        <f>+'Gen Rev'!AI216-'Gen Exp'!AE217+'Gen Exp'!AI217-AK217</f>
        <v>0</v>
      </c>
      <c r="AM217" s="44" t="str">
        <f>'Gen Rev'!A216</f>
        <v>Fulton</v>
      </c>
      <c r="AN217" s="21" t="str">
        <f t="shared" si="59"/>
        <v>Fulton</v>
      </c>
      <c r="AO217" s="21" t="b">
        <f t="shared" si="60"/>
        <v>1</v>
      </c>
    </row>
    <row r="218" spans="1:41" s="21" customFormat="1" ht="12.75">
      <c r="A218" s="1" t="s">
        <v>486</v>
      </c>
      <c r="B218" s="1"/>
      <c r="C218" s="1" t="s">
        <v>485</v>
      </c>
      <c r="D218" s="1"/>
      <c r="E218" s="95">
        <v>1235.05</v>
      </c>
      <c r="F218" s="95"/>
      <c r="G218" s="95">
        <v>0</v>
      </c>
      <c r="H218" s="95"/>
      <c r="I218" s="95">
        <v>0</v>
      </c>
      <c r="J218" s="95"/>
      <c r="K218" s="95">
        <v>0</v>
      </c>
      <c r="L218" s="95"/>
      <c r="M218" s="95">
        <v>3415.82</v>
      </c>
      <c r="N218" s="95"/>
      <c r="O218" s="95">
        <v>261.8</v>
      </c>
      <c r="P218" s="95"/>
      <c r="Q218" s="95">
        <v>15628.09</v>
      </c>
      <c r="R218" s="95"/>
      <c r="S218" s="95">
        <v>0</v>
      </c>
      <c r="T218" s="95"/>
      <c r="U218" s="95">
        <v>0</v>
      </c>
      <c r="V218" s="95"/>
      <c r="W218" s="95">
        <v>0</v>
      </c>
      <c r="X218" s="95"/>
      <c r="Y218" s="95">
        <v>0</v>
      </c>
      <c r="Z218" s="95"/>
      <c r="AA218" s="95">
        <v>0</v>
      </c>
      <c r="AB218" s="95"/>
      <c r="AC218" s="95">
        <v>0</v>
      </c>
      <c r="AD218" s="95"/>
      <c r="AE218" s="95">
        <f aca="true" t="shared" si="83" ref="AE218">SUM(E218:AC218)</f>
        <v>20540.760000000002</v>
      </c>
      <c r="AF218" s="95"/>
      <c r="AG218" s="95">
        <v>-6270.14</v>
      </c>
      <c r="AH218" s="95"/>
      <c r="AI218" s="95">
        <v>38635.98</v>
      </c>
      <c r="AJ218" s="95"/>
      <c r="AK218" s="95">
        <v>32365.84</v>
      </c>
      <c r="AL218" s="24">
        <f>+'Gen Rev'!AI217-'Gen Exp'!AE218+'Gen Exp'!AI218-AK218</f>
        <v>0</v>
      </c>
      <c r="AM218" s="44" t="str">
        <f>'Gen Rev'!A217</f>
        <v>Fultonham</v>
      </c>
      <c r="AN218" s="21" t="str">
        <f t="shared" si="59"/>
        <v>Fultonham</v>
      </c>
      <c r="AO218" s="21" t="b">
        <f t="shared" si="60"/>
        <v>1</v>
      </c>
    </row>
    <row r="219" spans="1:41" s="21" customFormat="1" ht="12.75">
      <c r="A219" s="1" t="s">
        <v>57</v>
      </c>
      <c r="B219" s="1"/>
      <c r="C219" s="1" t="s">
        <v>764</v>
      </c>
      <c r="D219" s="23"/>
      <c r="E219" s="36">
        <v>0</v>
      </c>
      <c r="F219" s="36"/>
      <c r="G219" s="36">
        <v>0</v>
      </c>
      <c r="H219" s="36"/>
      <c r="I219" s="36">
        <v>73455.24</v>
      </c>
      <c r="J219" s="36"/>
      <c r="K219" s="36">
        <v>6704.04</v>
      </c>
      <c r="L219" s="36"/>
      <c r="M219" s="36">
        <v>0</v>
      </c>
      <c r="N219" s="36"/>
      <c r="O219" s="36">
        <v>0</v>
      </c>
      <c r="P219" s="36"/>
      <c r="Q219" s="36">
        <v>283088.05</v>
      </c>
      <c r="R219" s="36"/>
      <c r="S219" s="36">
        <v>0</v>
      </c>
      <c r="T219" s="36"/>
      <c r="U219" s="36">
        <v>712300</v>
      </c>
      <c r="V219" s="36"/>
      <c r="W219" s="36">
        <v>16547.2</v>
      </c>
      <c r="X219" s="36"/>
      <c r="Y219" s="36">
        <v>0</v>
      </c>
      <c r="Z219" s="36"/>
      <c r="AA219" s="36">
        <v>0</v>
      </c>
      <c r="AB219" s="36"/>
      <c r="AC219" s="36">
        <v>0</v>
      </c>
      <c r="AD219" s="36"/>
      <c r="AE219" s="36">
        <f aca="true" t="shared" si="84" ref="AE219">SUM(E219:AC219)</f>
        <v>1092094.53</v>
      </c>
      <c r="AF219" s="36"/>
      <c r="AG219" s="36">
        <v>15759.57</v>
      </c>
      <c r="AH219" s="36"/>
      <c r="AI219" s="36">
        <v>272039.48</v>
      </c>
      <c r="AJ219" s="36"/>
      <c r="AK219" s="36">
        <v>287799.05</v>
      </c>
      <c r="AL219" s="24">
        <f>+'Gen Rev'!AI218-'Gen Exp'!AE219+'Gen Exp'!AI219-AK219</f>
        <v>0</v>
      </c>
      <c r="AM219" s="44" t="str">
        <f>'Gen Rev'!A218</f>
        <v>Galena</v>
      </c>
      <c r="AN219" s="21" t="str">
        <f t="shared" si="59"/>
        <v>Galena</v>
      </c>
      <c r="AO219" s="21" t="b">
        <f t="shared" si="60"/>
        <v>1</v>
      </c>
    </row>
    <row r="220" spans="1:41" s="21" customFormat="1" ht="12.75">
      <c r="A220" s="1" t="s">
        <v>363</v>
      </c>
      <c r="B220" s="1"/>
      <c r="C220" s="1" t="s">
        <v>364</v>
      </c>
      <c r="D220" s="1"/>
      <c r="E220" s="83">
        <f>1024502+219238</f>
        <v>1243740</v>
      </c>
      <c r="F220" s="83"/>
      <c r="G220" s="83">
        <v>12602</v>
      </c>
      <c r="H220" s="83"/>
      <c r="I220" s="83">
        <v>111195</v>
      </c>
      <c r="J220" s="83"/>
      <c r="K220" s="83">
        <v>89881</v>
      </c>
      <c r="L220" s="83"/>
      <c r="M220" s="83">
        <v>0</v>
      </c>
      <c r="N220" s="83"/>
      <c r="O220" s="83">
        <v>57883</v>
      </c>
      <c r="P220" s="83"/>
      <c r="Q220" s="83">
        <f>948951+330045</f>
        <v>1278996</v>
      </c>
      <c r="R220" s="83"/>
      <c r="S220" s="83">
        <v>16583</v>
      </c>
      <c r="T220" s="83"/>
      <c r="U220" s="83">
        <v>0</v>
      </c>
      <c r="V220" s="83"/>
      <c r="W220" s="83">
        <v>0</v>
      </c>
      <c r="X220" s="83"/>
      <c r="Y220" s="83">
        <v>578217</v>
      </c>
      <c r="Z220" s="83"/>
      <c r="AA220" s="83">
        <v>315829</v>
      </c>
      <c r="AB220" s="83"/>
      <c r="AC220" s="83">
        <v>0</v>
      </c>
      <c r="AD220" s="83"/>
      <c r="AE220" s="83">
        <f t="shared" si="78"/>
        <v>3704926</v>
      </c>
      <c r="AF220" s="83"/>
      <c r="AG220" s="83">
        <v>-362193</v>
      </c>
      <c r="AH220" s="83"/>
      <c r="AI220" s="83">
        <v>653089</v>
      </c>
      <c r="AJ220" s="83"/>
      <c r="AK220" s="83">
        <v>290896</v>
      </c>
      <c r="AL220" s="24">
        <f>+'Gen Rev'!AI219-'Gen Exp'!AE220+'Gen Exp'!AI220-AK220</f>
        <v>0</v>
      </c>
      <c r="AM220" s="44" t="str">
        <f>'Gen Rev'!A219</f>
        <v>Gallipolis</v>
      </c>
      <c r="AN220" s="21" t="str">
        <f aca="true" t="shared" si="85" ref="AN220:AN286">A220</f>
        <v>Gallipolis</v>
      </c>
      <c r="AO220" s="21" t="b">
        <f aca="true" t="shared" si="86" ref="AO220:AO286">AM220=AN220</f>
        <v>1</v>
      </c>
    </row>
    <row r="221" spans="1:41" ht="12.75">
      <c r="A221" s="1" t="s">
        <v>902</v>
      </c>
      <c r="C221" s="1" t="s">
        <v>782</v>
      </c>
      <c r="D221" s="23"/>
      <c r="E221" s="83">
        <v>132866.44</v>
      </c>
      <c r="F221" s="83"/>
      <c r="G221" s="83">
        <v>3643.07</v>
      </c>
      <c r="H221" s="83"/>
      <c r="I221" s="83">
        <v>5957.62</v>
      </c>
      <c r="J221" s="83"/>
      <c r="K221" s="83">
        <v>2127.12</v>
      </c>
      <c r="L221" s="83"/>
      <c r="M221" s="83">
        <v>39698.34</v>
      </c>
      <c r="N221" s="83"/>
      <c r="O221" s="83">
        <v>19057.38</v>
      </c>
      <c r="P221" s="83"/>
      <c r="Q221" s="83">
        <v>361491.36</v>
      </c>
      <c r="R221" s="83"/>
      <c r="S221" s="83">
        <v>308379.77</v>
      </c>
      <c r="T221" s="83"/>
      <c r="U221" s="83">
        <v>0</v>
      </c>
      <c r="V221" s="83"/>
      <c r="W221" s="83">
        <v>0</v>
      </c>
      <c r="X221" s="83"/>
      <c r="Y221" s="83">
        <v>0</v>
      </c>
      <c r="Z221" s="83"/>
      <c r="AA221" s="83">
        <v>0</v>
      </c>
      <c r="AB221" s="83"/>
      <c r="AC221" s="83">
        <v>0</v>
      </c>
      <c r="AD221" s="83"/>
      <c r="AE221" s="83">
        <f t="shared" si="78"/>
        <v>873221.1</v>
      </c>
      <c r="AF221" s="83"/>
      <c r="AG221" s="83">
        <v>61712.62</v>
      </c>
      <c r="AH221" s="83"/>
      <c r="AI221" s="83">
        <v>677656.68</v>
      </c>
      <c r="AJ221" s="83"/>
      <c r="AK221" s="83">
        <v>739369.3</v>
      </c>
      <c r="AL221" s="24">
        <f>+'Gen Rev'!AI220-'Gen Exp'!AE221+'Gen Exp'!AI221-AK221</f>
        <v>0</v>
      </c>
      <c r="AM221" s="44" t="str">
        <f>'Gen Rev'!A220</f>
        <v>Gambier</v>
      </c>
      <c r="AN221" s="21" t="str">
        <f t="shared" si="85"/>
        <v>Gambier</v>
      </c>
      <c r="AO221" s="21" t="b">
        <f t="shared" si="86"/>
        <v>1</v>
      </c>
    </row>
    <row r="222" spans="1:41" ht="12.75" hidden="1">
      <c r="A222" s="1" t="s">
        <v>122</v>
      </c>
      <c r="C222" s="1" t="s">
        <v>782</v>
      </c>
      <c r="D222" s="2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>
        <f t="shared" si="78"/>
        <v>0</v>
      </c>
      <c r="AF222" s="83"/>
      <c r="AG222" s="83"/>
      <c r="AH222" s="83"/>
      <c r="AI222" s="83"/>
      <c r="AJ222" s="83"/>
      <c r="AK222" s="83"/>
      <c r="AL222" s="24">
        <f>+'Gen Rev'!AI221-'Gen Exp'!AE222+'Gen Exp'!AI222-AK222</f>
        <v>0</v>
      </c>
      <c r="AM222" s="44" t="str">
        <f>'Gen Rev'!A221</f>
        <v>Gann</v>
      </c>
      <c r="AN222" s="21" t="str">
        <f t="shared" si="85"/>
        <v>Gann</v>
      </c>
      <c r="AO222" s="21" t="b">
        <f t="shared" si="86"/>
        <v>1</v>
      </c>
    </row>
    <row r="223" spans="1:41" ht="12.75">
      <c r="A223" s="1" t="s">
        <v>508</v>
      </c>
      <c r="C223" s="1" t="s">
        <v>259</v>
      </c>
      <c r="E223" s="83">
        <v>818214</v>
      </c>
      <c r="F223" s="83"/>
      <c r="G223" s="83">
        <v>0</v>
      </c>
      <c r="H223" s="83"/>
      <c r="I223" s="83">
        <v>61516</v>
      </c>
      <c r="J223" s="83"/>
      <c r="K223" s="83">
        <v>12511</v>
      </c>
      <c r="L223" s="83"/>
      <c r="M223" s="83">
        <v>0</v>
      </c>
      <c r="N223" s="83"/>
      <c r="O223" s="83">
        <v>20900</v>
      </c>
      <c r="P223" s="83"/>
      <c r="Q223" s="83">
        <v>344310</v>
      </c>
      <c r="R223" s="83"/>
      <c r="S223" s="83">
        <v>91068</v>
      </c>
      <c r="T223" s="83"/>
      <c r="U223" s="83">
        <v>0</v>
      </c>
      <c r="V223" s="83"/>
      <c r="W223" s="83">
        <v>0</v>
      </c>
      <c r="X223" s="83"/>
      <c r="Y223" s="83">
        <v>0</v>
      </c>
      <c r="Z223" s="83"/>
      <c r="AA223" s="83">
        <v>0</v>
      </c>
      <c r="AB223" s="83"/>
      <c r="AC223" s="83">
        <v>17665</v>
      </c>
      <c r="AD223" s="83"/>
      <c r="AE223" s="83">
        <f>SUM(E223:AC223)</f>
        <v>1366184</v>
      </c>
      <c r="AF223" s="83"/>
      <c r="AG223" s="83">
        <v>-109020</v>
      </c>
      <c r="AH223" s="83"/>
      <c r="AI223" s="83">
        <v>405573</v>
      </c>
      <c r="AJ223" s="83"/>
      <c r="AK223" s="83">
        <v>296553</v>
      </c>
      <c r="AL223" s="24">
        <f>+'Gen Rev'!AI222-'Gen Exp'!AE223+'Gen Exp'!AI223-AK223</f>
        <v>0</v>
      </c>
      <c r="AM223" s="44" t="str">
        <f>'Gen Rev'!A222</f>
        <v>Garrettsville</v>
      </c>
      <c r="AN223" s="21" t="str">
        <f t="shared" si="85"/>
        <v>Garrettsville</v>
      </c>
      <c r="AO223" s="21" t="b">
        <f t="shared" si="86"/>
        <v>1</v>
      </c>
    </row>
    <row r="224" spans="1:41" s="21" customFormat="1" ht="12.6" customHeight="1">
      <c r="A224" s="1" t="s">
        <v>320</v>
      </c>
      <c r="B224" s="1"/>
      <c r="C224" s="1" t="s">
        <v>316</v>
      </c>
      <c r="D224" s="1"/>
      <c r="E224" s="83">
        <v>1697733</v>
      </c>
      <c r="F224" s="83"/>
      <c r="G224" s="83">
        <v>0</v>
      </c>
      <c r="H224" s="83"/>
      <c r="I224" s="83">
        <v>13715</v>
      </c>
      <c r="J224" s="83"/>
      <c r="K224" s="83">
        <v>2067</v>
      </c>
      <c r="L224" s="83"/>
      <c r="M224" s="83">
        <v>51703</v>
      </c>
      <c r="N224" s="83"/>
      <c r="O224" s="83">
        <v>742471</v>
      </c>
      <c r="P224" s="83"/>
      <c r="Q224" s="83">
        <v>1203698</v>
      </c>
      <c r="R224" s="83"/>
      <c r="S224" s="83">
        <v>0</v>
      </c>
      <c r="T224" s="83"/>
      <c r="U224" s="83">
        <v>0</v>
      </c>
      <c r="V224" s="83"/>
      <c r="W224" s="83">
        <v>18511</v>
      </c>
      <c r="X224" s="83"/>
      <c r="Y224" s="83">
        <v>1582906</v>
      </c>
      <c r="Z224" s="83"/>
      <c r="AA224" s="83">
        <v>0</v>
      </c>
      <c r="AB224" s="83"/>
      <c r="AC224" s="83">
        <v>0</v>
      </c>
      <c r="AD224" s="83"/>
      <c r="AE224" s="83">
        <f t="shared" si="78"/>
        <v>5312804</v>
      </c>
      <c r="AF224" s="83"/>
      <c r="AG224" s="36">
        <v>612343</v>
      </c>
      <c r="AH224" s="36"/>
      <c r="AI224" s="36">
        <v>1459901</v>
      </c>
      <c r="AJ224" s="36"/>
      <c r="AK224" s="36">
        <v>2072244</v>
      </c>
      <c r="AL224" s="24">
        <f>+'Gen Rev'!AI223-'Gen Exp'!AE224+'Gen Exp'!AI224-AK224</f>
        <v>0</v>
      </c>
      <c r="AM224" s="44" t="str">
        <f>'Gen Rev'!A223</f>
        <v>Gates Mills</v>
      </c>
      <c r="AN224" s="21" t="str">
        <f t="shared" si="85"/>
        <v>Gates Mills</v>
      </c>
      <c r="AO224" s="21" t="b">
        <f t="shared" si="86"/>
        <v>1</v>
      </c>
    </row>
    <row r="225" spans="1:41" ht="12.75">
      <c r="A225" s="1" t="s">
        <v>269</v>
      </c>
      <c r="C225" s="1" t="s">
        <v>747</v>
      </c>
      <c r="D225" s="23"/>
      <c r="E225" s="95">
        <v>279802.03</v>
      </c>
      <c r="F225" s="95"/>
      <c r="G225" s="95">
        <v>0</v>
      </c>
      <c r="H225" s="95"/>
      <c r="I225" s="95">
        <v>0</v>
      </c>
      <c r="J225" s="95"/>
      <c r="K225" s="95">
        <v>0</v>
      </c>
      <c r="L225" s="95"/>
      <c r="M225" s="95">
        <v>0</v>
      </c>
      <c r="N225" s="95"/>
      <c r="O225" s="95">
        <v>0</v>
      </c>
      <c r="P225" s="95"/>
      <c r="Q225" s="95">
        <v>178896.71</v>
      </c>
      <c r="R225" s="95"/>
      <c r="S225" s="95">
        <v>0</v>
      </c>
      <c r="T225" s="95"/>
      <c r="U225" s="95">
        <v>0</v>
      </c>
      <c r="V225" s="95"/>
      <c r="W225" s="95">
        <v>0</v>
      </c>
      <c r="X225" s="95"/>
      <c r="Y225" s="95">
        <v>40000</v>
      </c>
      <c r="Z225" s="95"/>
      <c r="AA225" s="95">
        <v>7900</v>
      </c>
      <c r="AB225" s="95"/>
      <c r="AC225" s="95">
        <v>0</v>
      </c>
      <c r="AD225" s="95"/>
      <c r="AE225" s="95">
        <f aca="true" t="shared" si="87" ref="AE225">SUM(E225:AC225)</f>
        <v>506598.74</v>
      </c>
      <c r="AF225" s="95"/>
      <c r="AG225" s="95">
        <v>13707.58</v>
      </c>
      <c r="AH225" s="95"/>
      <c r="AI225" s="95">
        <v>48320.18</v>
      </c>
      <c r="AJ225" s="95"/>
      <c r="AK225" s="95">
        <v>62027.76</v>
      </c>
      <c r="AL225" s="24">
        <f>+'Gen Rev'!AI224-'Gen Exp'!AE225+'Gen Exp'!AI225-AK225</f>
        <v>0</v>
      </c>
      <c r="AM225" s="44" t="str">
        <f>'Gen Rev'!A224</f>
        <v>Geneva On The Lake</v>
      </c>
      <c r="AN225" s="21" t="str">
        <f t="shared" si="85"/>
        <v>Geneva On The Lake</v>
      </c>
      <c r="AO225" s="21" t="b">
        <f t="shared" si="86"/>
        <v>1</v>
      </c>
    </row>
    <row r="226" spans="1:41" ht="12.75">
      <c r="A226" s="1" t="s">
        <v>494</v>
      </c>
      <c r="C226" s="1" t="s">
        <v>207</v>
      </c>
      <c r="E226" s="83">
        <v>373567</v>
      </c>
      <c r="F226" s="83"/>
      <c r="G226" s="83">
        <v>0</v>
      </c>
      <c r="H226" s="83"/>
      <c r="I226" s="83">
        <v>0</v>
      </c>
      <c r="J226" s="83"/>
      <c r="K226" s="83">
        <v>0</v>
      </c>
      <c r="L226" s="83"/>
      <c r="M226" s="83">
        <v>0</v>
      </c>
      <c r="N226" s="83"/>
      <c r="O226" s="83">
        <v>0</v>
      </c>
      <c r="P226" s="83"/>
      <c r="Q226" s="83">
        <v>349273</v>
      </c>
      <c r="R226" s="83"/>
      <c r="S226" s="83">
        <v>0</v>
      </c>
      <c r="T226" s="83"/>
      <c r="U226" s="83">
        <v>0</v>
      </c>
      <c r="V226" s="83"/>
      <c r="W226" s="83">
        <v>0</v>
      </c>
      <c r="X226" s="83"/>
      <c r="Y226" s="83">
        <v>0</v>
      </c>
      <c r="Z226" s="83"/>
      <c r="AA226" s="83">
        <v>0</v>
      </c>
      <c r="AB226" s="83"/>
      <c r="AC226" s="83">
        <f>65825+429</f>
        <v>66254</v>
      </c>
      <c r="AD226" s="83"/>
      <c r="AE226" s="83">
        <f>SUM(E226:AC226)</f>
        <v>789094</v>
      </c>
      <c r="AF226" s="83"/>
      <c r="AG226" s="83">
        <v>-2808</v>
      </c>
      <c r="AH226" s="83"/>
      <c r="AI226" s="83">
        <v>801479</v>
      </c>
      <c r="AJ226" s="83"/>
      <c r="AK226" s="83">
        <v>798671</v>
      </c>
      <c r="AL226" s="24">
        <f>+'Gen Rev'!AI225-'Gen Exp'!AE226+'Gen Exp'!AI226-AK226</f>
        <v>0</v>
      </c>
      <c r="AM226" s="44" t="str">
        <f>'Gen Rev'!A225</f>
        <v>Genoa</v>
      </c>
      <c r="AN226" s="21" t="str">
        <f t="shared" si="85"/>
        <v>Genoa</v>
      </c>
      <c r="AO226" s="21" t="b">
        <f t="shared" si="86"/>
        <v>1</v>
      </c>
    </row>
    <row r="227" spans="1:41" s="21" customFormat="1" ht="12.75">
      <c r="A227" s="1" t="s">
        <v>22</v>
      </c>
      <c r="B227" s="1"/>
      <c r="C227" s="1" t="s">
        <v>751</v>
      </c>
      <c r="D227" s="23"/>
      <c r="E227" s="36">
        <v>674561.06</v>
      </c>
      <c r="F227" s="36"/>
      <c r="G227" s="36">
        <v>6420</v>
      </c>
      <c r="H227" s="36"/>
      <c r="I227" s="36">
        <v>0</v>
      </c>
      <c r="J227" s="36"/>
      <c r="K227" s="36">
        <v>19135.26</v>
      </c>
      <c r="L227" s="36"/>
      <c r="M227" s="36">
        <v>0</v>
      </c>
      <c r="N227" s="36"/>
      <c r="O227" s="36">
        <v>0</v>
      </c>
      <c r="P227" s="36"/>
      <c r="Q227" s="36">
        <v>223454.64</v>
      </c>
      <c r="R227" s="36"/>
      <c r="S227" s="36">
        <v>53079.29</v>
      </c>
      <c r="T227" s="36"/>
      <c r="U227" s="36">
        <v>19017.04</v>
      </c>
      <c r="V227" s="36"/>
      <c r="W227" s="36">
        <v>941.48</v>
      </c>
      <c r="X227" s="36"/>
      <c r="Y227" s="36">
        <v>0</v>
      </c>
      <c r="Z227" s="36"/>
      <c r="AA227" s="36">
        <v>0</v>
      </c>
      <c r="AB227" s="36"/>
      <c r="AC227" s="36">
        <v>0</v>
      </c>
      <c r="AD227" s="36"/>
      <c r="AE227" s="36">
        <f aca="true" t="shared" si="88" ref="AE227">SUM(E227:AC227)</f>
        <v>996608.7700000001</v>
      </c>
      <c r="AF227" s="36"/>
      <c r="AG227" s="36">
        <v>-231101.07</v>
      </c>
      <c r="AH227" s="36"/>
      <c r="AI227" s="36">
        <v>1450866.62</v>
      </c>
      <c r="AJ227" s="36"/>
      <c r="AK227" s="36">
        <v>1219765.55</v>
      </c>
      <c r="AL227" s="24">
        <f>+'Gen Rev'!AI226-'Gen Exp'!AE227+'Gen Exp'!AI227-AK227</f>
        <v>0</v>
      </c>
      <c r="AM227" s="44" t="str">
        <f>'Gen Rev'!A226</f>
        <v>Georgetown</v>
      </c>
      <c r="AN227" s="21" t="str">
        <f t="shared" si="85"/>
        <v>Georgetown</v>
      </c>
      <c r="AO227" s="21" t="b">
        <f t="shared" si="86"/>
        <v>1</v>
      </c>
    </row>
    <row r="228" spans="1:41" s="19" customFormat="1" ht="12.75" hidden="1">
      <c r="A228" s="10" t="s">
        <v>480</v>
      </c>
      <c r="B228" s="10"/>
      <c r="C228" s="10" t="s">
        <v>479</v>
      </c>
      <c r="D228" s="1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>
        <f t="shared" si="78"/>
        <v>0</v>
      </c>
      <c r="AF228" s="83"/>
      <c r="AG228" s="83"/>
      <c r="AH228" s="83"/>
      <c r="AI228" s="83"/>
      <c r="AJ228" s="83"/>
      <c r="AK228" s="83"/>
      <c r="AL228" s="24">
        <f>+'Gen Rev'!AI227-'Gen Exp'!AE228+'Gen Exp'!AI228-AK228</f>
        <v>0</v>
      </c>
      <c r="AM228" s="44" t="str">
        <f>'Gen Rev'!A227</f>
        <v>Germantown</v>
      </c>
      <c r="AN228" s="21" t="str">
        <f t="shared" si="85"/>
        <v>Germantown</v>
      </c>
      <c r="AO228" s="21" t="b">
        <f t="shared" si="86"/>
        <v>1</v>
      </c>
    </row>
    <row r="229" spans="1:41" ht="12.75">
      <c r="A229" s="1" t="s">
        <v>52</v>
      </c>
      <c r="C229" s="1" t="s">
        <v>762</v>
      </c>
      <c r="D229" s="23"/>
      <c r="E229" s="36">
        <v>27477.42</v>
      </c>
      <c r="F229" s="36"/>
      <c r="G229" s="36">
        <v>1879</v>
      </c>
      <c r="H229" s="36"/>
      <c r="I229" s="36">
        <v>1500</v>
      </c>
      <c r="J229" s="36"/>
      <c r="K229" s="36">
        <v>3511.01</v>
      </c>
      <c r="L229" s="36"/>
      <c r="M229" s="36">
        <v>0</v>
      </c>
      <c r="N229" s="36"/>
      <c r="O229" s="36">
        <v>12770.05</v>
      </c>
      <c r="P229" s="36"/>
      <c r="Q229" s="36">
        <v>41836.58</v>
      </c>
      <c r="R229" s="36"/>
      <c r="S229" s="36">
        <v>139.25</v>
      </c>
      <c r="T229" s="36"/>
      <c r="U229" s="36">
        <v>0</v>
      </c>
      <c r="V229" s="36"/>
      <c r="W229" s="36">
        <v>0</v>
      </c>
      <c r="X229" s="36"/>
      <c r="Y229" s="36">
        <v>319.5</v>
      </c>
      <c r="Z229" s="36"/>
      <c r="AA229" s="36">
        <v>0</v>
      </c>
      <c r="AB229" s="36"/>
      <c r="AC229" s="36">
        <v>0</v>
      </c>
      <c r="AD229" s="36"/>
      <c r="AE229" s="36">
        <f aca="true" t="shared" si="89" ref="AE229:AE230">SUM(E229:AC229)</f>
        <v>89432.81</v>
      </c>
      <c r="AF229" s="36"/>
      <c r="AG229" s="36">
        <v>12221.24</v>
      </c>
      <c r="AH229" s="36"/>
      <c r="AI229" s="36">
        <v>55631.22</v>
      </c>
      <c r="AJ229" s="36"/>
      <c r="AK229" s="36">
        <v>67852.46</v>
      </c>
      <c r="AL229" s="24">
        <f>+'Gen Rev'!AI228-'Gen Exp'!AE229+'Gen Exp'!AI229-AK229</f>
        <v>0</v>
      </c>
      <c r="AM229" s="44" t="str">
        <f>'Gen Rev'!A228</f>
        <v>Gettysburg</v>
      </c>
      <c r="AN229" s="21" t="str">
        <f t="shared" si="85"/>
        <v>Gettysburg</v>
      </c>
      <c r="AO229" s="21" t="b">
        <f t="shared" si="86"/>
        <v>1</v>
      </c>
    </row>
    <row r="230" spans="1:41" ht="12.75">
      <c r="A230" s="1" t="s">
        <v>528</v>
      </c>
      <c r="C230" s="1" t="s">
        <v>527</v>
      </c>
      <c r="E230" s="36">
        <v>433266.95</v>
      </c>
      <c r="F230" s="36"/>
      <c r="G230" s="36">
        <v>1258</v>
      </c>
      <c r="H230" s="36"/>
      <c r="I230" s="36">
        <v>46926.47</v>
      </c>
      <c r="J230" s="36"/>
      <c r="K230" s="36">
        <v>133.93</v>
      </c>
      <c r="L230" s="36"/>
      <c r="M230" s="36">
        <v>0</v>
      </c>
      <c r="N230" s="36"/>
      <c r="O230" s="36">
        <v>0</v>
      </c>
      <c r="P230" s="36"/>
      <c r="Q230" s="36">
        <v>209954.31</v>
      </c>
      <c r="R230" s="36"/>
      <c r="S230" s="36">
        <v>86635.45</v>
      </c>
      <c r="T230" s="36"/>
      <c r="U230" s="36">
        <v>0</v>
      </c>
      <c r="V230" s="36"/>
      <c r="W230" s="36">
        <v>0</v>
      </c>
      <c r="X230" s="36"/>
      <c r="Y230" s="36">
        <v>74120</v>
      </c>
      <c r="Z230" s="36"/>
      <c r="AA230" s="36">
        <v>0</v>
      </c>
      <c r="AB230" s="36"/>
      <c r="AC230" s="36">
        <v>0</v>
      </c>
      <c r="AD230" s="36"/>
      <c r="AE230" s="36">
        <f t="shared" si="89"/>
        <v>852295.11</v>
      </c>
      <c r="AF230" s="36"/>
      <c r="AG230" s="36">
        <v>-36059.77</v>
      </c>
      <c r="AH230" s="36"/>
      <c r="AI230" s="36">
        <v>657518.16</v>
      </c>
      <c r="AJ230" s="36"/>
      <c r="AK230" s="36">
        <v>621458.39</v>
      </c>
      <c r="AL230" s="24">
        <f>+'Gen Rev'!AI229-'Gen Exp'!AE230+'Gen Exp'!AI230-AK230</f>
        <v>0</v>
      </c>
      <c r="AM230" s="44" t="str">
        <f>'Gen Rev'!A229</f>
        <v>Gibsonburg</v>
      </c>
      <c r="AN230" s="21" t="str">
        <f t="shared" si="85"/>
        <v>Gibsonburg</v>
      </c>
      <c r="AO230" s="21" t="b">
        <f t="shared" si="86"/>
        <v>1</v>
      </c>
    </row>
    <row r="231" spans="1:41" ht="12.75">
      <c r="A231" s="1" t="s">
        <v>205</v>
      </c>
      <c r="C231" s="1" t="s">
        <v>808</v>
      </c>
      <c r="D231" s="23"/>
      <c r="E231" s="95">
        <v>17828.13</v>
      </c>
      <c r="F231" s="95"/>
      <c r="G231" s="95">
        <v>0</v>
      </c>
      <c r="H231" s="95"/>
      <c r="I231" s="95">
        <v>4587.48</v>
      </c>
      <c r="J231" s="95"/>
      <c r="K231" s="95">
        <v>39.23</v>
      </c>
      <c r="L231" s="95"/>
      <c r="M231" s="95">
        <v>6777.55</v>
      </c>
      <c r="N231" s="95"/>
      <c r="O231" s="95">
        <v>0</v>
      </c>
      <c r="P231" s="95"/>
      <c r="Q231" s="95">
        <v>14906.99</v>
      </c>
      <c r="R231" s="95"/>
      <c r="S231" s="95">
        <v>0</v>
      </c>
      <c r="T231" s="95"/>
      <c r="U231" s="95">
        <v>0</v>
      </c>
      <c r="V231" s="95"/>
      <c r="W231" s="95">
        <v>0</v>
      </c>
      <c r="X231" s="95"/>
      <c r="Y231" s="95">
        <v>0</v>
      </c>
      <c r="Z231" s="95"/>
      <c r="AA231" s="95">
        <v>0</v>
      </c>
      <c r="AB231" s="95"/>
      <c r="AC231" s="95">
        <v>0</v>
      </c>
      <c r="AD231" s="95"/>
      <c r="AE231" s="95">
        <f aca="true" t="shared" si="90" ref="AE231:AE232">SUM(E231:AC231)</f>
        <v>44139.38</v>
      </c>
      <c r="AF231" s="95"/>
      <c r="AG231" s="95">
        <v>9096.62</v>
      </c>
      <c r="AH231" s="95"/>
      <c r="AI231" s="95">
        <v>142918.33</v>
      </c>
      <c r="AJ231" s="95"/>
      <c r="AK231" s="95">
        <v>152014.95</v>
      </c>
      <c r="AL231" s="24">
        <f>+'Gen Rev'!AI230-'Gen Exp'!AE231+'Gen Exp'!AI231-AK231</f>
        <v>0</v>
      </c>
      <c r="AM231" s="44" t="str">
        <f>'Gen Rev'!A230</f>
        <v>Gilboa</v>
      </c>
      <c r="AN231" s="21" t="str">
        <f t="shared" si="85"/>
        <v>Gilboa</v>
      </c>
      <c r="AO231" s="21" t="b">
        <f t="shared" si="86"/>
        <v>1</v>
      </c>
    </row>
    <row r="232" spans="1:41" ht="12.75">
      <c r="A232" s="1" t="s">
        <v>516</v>
      </c>
      <c r="C232" s="1" t="s">
        <v>514</v>
      </c>
      <c r="E232" s="95">
        <v>77625.97</v>
      </c>
      <c r="F232" s="95"/>
      <c r="G232" s="95">
        <v>4226.34</v>
      </c>
      <c r="H232" s="95"/>
      <c r="I232" s="95">
        <v>6684.16</v>
      </c>
      <c r="J232" s="95"/>
      <c r="K232" s="95">
        <v>4000</v>
      </c>
      <c r="L232" s="95"/>
      <c r="M232" s="95">
        <v>31368.97</v>
      </c>
      <c r="N232" s="95"/>
      <c r="O232" s="95">
        <v>17904.64</v>
      </c>
      <c r="P232" s="95"/>
      <c r="Q232" s="95">
        <v>162472.92</v>
      </c>
      <c r="R232" s="95"/>
      <c r="S232" s="95">
        <v>0</v>
      </c>
      <c r="T232" s="95"/>
      <c r="U232" s="95">
        <v>0</v>
      </c>
      <c r="V232" s="95"/>
      <c r="W232" s="95">
        <v>0</v>
      </c>
      <c r="X232" s="95"/>
      <c r="Y232" s="95">
        <v>80000</v>
      </c>
      <c r="Z232" s="95"/>
      <c r="AA232" s="95">
        <v>0</v>
      </c>
      <c r="AB232" s="95"/>
      <c r="AC232" s="95">
        <v>0</v>
      </c>
      <c r="AD232" s="95"/>
      <c r="AE232" s="95">
        <f t="shared" si="90"/>
        <v>384283</v>
      </c>
      <c r="AF232" s="95"/>
      <c r="AG232" s="95">
        <v>18492.29</v>
      </c>
      <c r="AH232" s="95"/>
      <c r="AI232" s="95">
        <v>258899.63</v>
      </c>
      <c r="AJ232" s="95"/>
      <c r="AK232" s="95">
        <v>277391.92</v>
      </c>
      <c r="AL232" s="24">
        <f>+'Gen Rev'!AI231-'Gen Exp'!AE232+'Gen Exp'!AI232-AK232</f>
        <v>0</v>
      </c>
      <c r="AM232" s="44" t="str">
        <f>'Gen Rev'!A231</f>
        <v>Glandorf</v>
      </c>
      <c r="AN232" s="21" t="str">
        <f t="shared" si="85"/>
        <v>Glandorf</v>
      </c>
      <c r="AO232" s="21" t="b">
        <f t="shared" si="86"/>
        <v>1</v>
      </c>
    </row>
    <row r="233" spans="1:41" ht="12.75">
      <c r="A233" s="1" t="s">
        <v>381</v>
      </c>
      <c r="C233" s="1" t="s">
        <v>378</v>
      </c>
      <c r="E233" s="83">
        <v>1049566</v>
      </c>
      <c r="F233" s="83"/>
      <c r="G233" s="83">
        <v>5942</v>
      </c>
      <c r="H233" s="83"/>
      <c r="I233" s="83">
        <v>31790</v>
      </c>
      <c r="J233" s="83"/>
      <c r="K233" s="83">
        <v>533</v>
      </c>
      <c r="L233" s="83"/>
      <c r="M233" s="83">
        <v>428003</v>
      </c>
      <c r="N233" s="83"/>
      <c r="O233" s="83">
        <v>283769</v>
      </c>
      <c r="P233" s="83"/>
      <c r="Q233" s="83">
        <v>556424</v>
      </c>
      <c r="R233" s="83"/>
      <c r="S233" s="83">
        <v>0</v>
      </c>
      <c r="T233" s="83"/>
      <c r="U233" s="83">
        <v>0</v>
      </c>
      <c r="V233" s="83"/>
      <c r="W233" s="83">
        <v>0</v>
      </c>
      <c r="X233" s="83"/>
      <c r="Y233" s="83">
        <v>205000</v>
      </c>
      <c r="Z233" s="83"/>
      <c r="AA233" s="83">
        <v>1500</v>
      </c>
      <c r="AB233" s="83"/>
      <c r="AC233" s="83">
        <v>-5741</v>
      </c>
      <c r="AD233" s="83"/>
      <c r="AE233" s="83">
        <f t="shared" si="78"/>
        <v>2556786</v>
      </c>
      <c r="AF233" s="83"/>
      <c r="AG233" s="83">
        <v>-146405</v>
      </c>
      <c r="AH233" s="83"/>
      <c r="AI233" s="83">
        <v>1513256</v>
      </c>
      <c r="AJ233" s="83"/>
      <c r="AK233" s="83">
        <v>1366851</v>
      </c>
      <c r="AL233" s="24">
        <f>+'Gen Rev'!AI232-'Gen Exp'!AE233+'Gen Exp'!AI233-AK233</f>
        <v>0</v>
      </c>
      <c r="AM233" s="44" t="str">
        <f>'Gen Rev'!A232</f>
        <v>Glendale</v>
      </c>
      <c r="AN233" s="21" t="str">
        <f t="shared" si="85"/>
        <v>Glendale</v>
      </c>
      <c r="AO233" s="21" t="b">
        <f t="shared" si="86"/>
        <v>1</v>
      </c>
    </row>
    <row r="234" spans="1:41" s="21" customFormat="1" ht="12.75">
      <c r="A234" s="1" t="s">
        <v>502</v>
      </c>
      <c r="B234" s="1"/>
      <c r="C234" s="1" t="s">
        <v>501</v>
      </c>
      <c r="D234" s="1"/>
      <c r="E234" s="83">
        <v>1426</v>
      </c>
      <c r="F234" s="83"/>
      <c r="G234" s="83">
        <v>0</v>
      </c>
      <c r="H234" s="83"/>
      <c r="I234" s="83">
        <v>0</v>
      </c>
      <c r="J234" s="83"/>
      <c r="K234" s="83">
        <v>0</v>
      </c>
      <c r="L234" s="83"/>
      <c r="M234" s="83">
        <v>1307</v>
      </c>
      <c r="N234" s="83"/>
      <c r="O234" s="83">
        <v>0</v>
      </c>
      <c r="P234" s="83"/>
      <c r="Q234" s="83">
        <v>4392</v>
      </c>
      <c r="R234" s="83"/>
      <c r="S234" s="83">
        <v>0</v>
      </c>
      <c r="T234" s="83"/>
      <c r="U234" s="83">
        <v>0</v>
      </c>
      <c r="V234" s="83"/>
      <c r="W234" s="83">
        <v>0</v>
      </c>
      <c r="X234" s="83"/>
      <c r="Y234" s="83">
        <v>0</v>
      </c>
      <c r="Z234" s="83"/>
      <c r="AA234" s="83">
        <v>0</v>
      </c>
      <c r="AB234" s="83"/>
      <c r="AC234" s="91">
        <f>3714+47+1400+3824</f>
        <v>8985</v>
      </c>
      <c r="AD234" s="83"/>
      <c r="AE234" s="83">
        <f>SUM(E234:AC234)</f>
        <v>16110</v>
      </c>
      <c r="AF234" s="83"/>
      <c r="AG234" s="83"/>
      <c r="AH234" s="83"/>
      <c r="AI234" s="83"/>
      <c r="AJ234" s="83"/>
      <c r="AK234" s="83"/>
      <c r="AL234" s="24">
        <f>+'Gen Rev'!AI233-'Gen Exp'!AE234+'Gen Exp'!AI234-AK234</f>
        <v>-865</v>
      </c>
      <c r="AM234" s="44" t="str">
        <f>'Gen Rev'!A233</f>
        <v>Glenford</v>
      </c>
      <c r="AN234" s="21" t="str">
        <f t="shared" si="85"/>
        <v>Glenford</v>
      </c>
      <c r="AO234" s="21" t="b">
        <f t="shared" si="86"/>
        <v>1</v>
      </c>
    </row>
    <row r="235" spans="1:41" ht="12.75">
      <c r="A235" s="1" t="s">
        <v>865</v>
      </c>
      <c r="C235" s="1" t="s">
        <v>412</v>
      </c>
      <c r="E235" s="83">
        <v>30347</v>
      </c>
      <c r="F235" s="83"/>
      <c r="G235" s="83">
        <v>0</v>
      </c>
      <c r="H235" s="83"/>
      <c r="I235" s="83">
        <v>0</v>
      </c>
      <c r="J235" s="83"/>
      <c r="K235" s="83">
        <v>0</v>
      </c>
      <c r="L235" s="83"/>
      <c r="M235" s="83">
        <v>900</v>
      </c>
      <c r="N235" s="83"/>
      <c r="O235" s="83">
        <v>0</v>
      </c>
      <c r="P235" s="83"/>
      <c r="Q235" s="83">
        <v>19511</v>
      </c>
      <c r="R235" s="83"/>
      <c r="S235" s="83">
        <v>0</v>
      </c>
      <c r="T235" s="83"/>
      <c r="U235" s="83">
        <v>0</v>
      </c>
      <c r="V235" s="83"/>
      <c r="W235" s="83">
        <v>0</v>
      </c>
      <c r="X235" s="83"/>
      <c r="Y235" s="83">
        <v>0</v>
      </c>
      <c r="Z235" s="83"/>
      <c r="AA235" s="83">
        <v>0</v>
      </c>
      <c r="AB235" s="83"/>
      <c r="AC235" s="83">
        <v>0</v>
      </c>
      <c r="AD235" s="83"/>
      <c r="AE235" s="83">
        <f t="shared" si="78"/>
        <v>50758</v>
      </c>
      <c r="AF235" s="83"/>
      <c r="AG235" s="83"/>
      <c r="AH235" s="83"/>
      <c r="AI235" s="83">
        <v>83065</v>
      </c>
      <c r="AJ235" s="83"/>
      <c r="AK235" s="83">
        <v>69322</v>
      </c>
      <c r="AL235" s="24">
        <f>+'Gen Rev'!AI234-'Gen Exp'!AE235+'Gen Exp'!AI235-AK235</f>
        <v>5339</v>
      </c>
      <c r="AM235" s="44" t="str">
        <f>'Gen Rev'!A234</f>
        <v>Glenmont</v>
      </c>
      <c r="AN235" s="21" t="str">
        <f t="shared" si="85"/>
        <v>Glenmont</v>
      </c>
      <c r="AO235" s="21" t="b">
        <f t="shared" si="86"/>
        <v>1</v>
      </c>
    </row>
    <row r="236" spans="1:41" s="21" customFormat="1" ht="12.75">
      <c r="A236" s="1" t="s">
        <v>49</v>
      </c>
      <c r="B236" s="1"/>
      <c r="C236" s="1" t="s">
        <v>761</v>
      </c>
      <c r="D236" s="23"/>
      <c r="E236" s="36">
        <v>1080252.38</v>
      </c>
      <c r="F236" s="36"/>
      <c r="G236" s="36">
        <v>9080.12</v>
      </c>
      <c r="H236" s="36"/>
      <c r="I236" s="36">
        <v>0</v>
      </c>
      <c r="J236" s="36"/>
      <c r="K236" s="36">
        <v>181178.48</v>
      </c>
      <c r="L236" s="36"/>
      <c r="M236" s="36">
        <v>0</v>
      </c>
      <c r="N236" s="36"/>
      <c r="O236" s="36">
        <v>0</v>
      </c>
      <c r="P236" s="36"/>
      <c r="Q236" s="36">
        <v>1227164.13</v>
      </c>
      <c r="R236" s="36"/>
      <c r="S236" s="36">
        <v>0</v>
      </c>
      <c r="T236" s="36"/>
      <c r="U236" s="36">
        <v>0</v>
      </c>
      <c r="V236" s="36"/>
      <c r="W236" s="36">
        <v>0</v>
      </c>
      <c r="X236" s="36"/>
      <c r="Y236" s="36">
        <v>245000</v>
      </c>
      <c r="Z236" s="36"/>
      <c r="AA236" s="36">
        <v>35000</v>
      </c>
      <c r="AB236" s="36"/>
      <c r="AC236" s="36">
        <v>0</v>
      </c>
      <c r="AD236" s="36"/>
      <c r="AE236" s="36">
        <f aca="true" t="shared" si="91" ref="AE236:AE238">SUM(E236:AC236)</f>
        <v>2777675.11</v>
      </c>
      <c r="AF236" s="36"/>
      <c r="AG236" s="36">
        <v>358091.29</v>
      </c>
      <c r="AH236" s="36"/>
      <c r="AI236" s="36">
        <v>961223.16</v>
      </c>
      <c r="AJ236" s="36"/>
      <c r="AK236" s="36">
        <v>1319314.45</v>
      </c>
      <c r="AL236" s="24">
        <f>+'Gen Rev'!AI235-'Gen Exp'!AE236+'Gen Exp'!AI236-AK236</f>
        <v>0</v>
      </c>
      <c r="AM236" s="44" t="str">
        <f>'Gen Rev'!A235</f>
        <v>Glenwillow</v>
      </c>
      <c r="AN236" s="21" t="str">
        <f t="shared" si="85"/>
        <v>Glenwillow</v>
      </c>
      <c r="AO236" s="21" t="b">
        <f t="shared" si="86"/>
        <v>1</v>
      </c>
    </row>
    <row r="237" spans="1:41" ht="12.75">
      <c r="A237" s="1" t="s">
        <v>153</v>
      </c>
      <c r="C237" s="1" t="s">
        <v>792</v>
      </c>
      <c r="D237" s="23"/>
      <c r="E237" s="36">
        <v>11052.23</v>
      </c>
      <c r="F237" s="36"/>
      <c r="G237" s="36">
        <v>4350</v>
      </c>
      <c r="H237" s="36"/>
      <c r="I237" s="36">
        <v>0</v>
      </c>
      <c r="J237" s="36"/>
      <c r="K237" s="36">
        <v>3463.56</v>
      </c>
      <c r="L237" s="36"/>
      <c r="M237" s="36">
        <v>0</v>
      </c>
      <c r="N237" s="36"/>
      <c r="O237" s="36">
        <v>0</v>
      </c>
      <c r="P237" s="36"/>
      <c r="Q237" s="36">
        <v>53722.49</v>
      </c>
      <c r="R237" s="36"/>
      <c r="S237" s="36">
        <v>0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f t="shared" si="91"/>
        <v>72588.28</v>
      </c>
      <c r="AF237" s="36"/>
      <c r="AG237" s="36">
        <v>10769.86</v>
      </c>
      <c r="AH237" s="36"/>
      <c r="AI237" s="36">
        <v>135230.11</v>
      </c>
      <c r="AJ237" s="36"/>
      <c r="AK237" s="36">
        <v>145999.97</v>
      </c>
      <c r="AL237" s="24">
        <f>+'Gen Rev'!AI236-'Gen Exp'!AE237+'Gen Exp'!AI237-AK237</f>
        <v>0</v>
      </c>
      <c r="AM237" s="44" t="str">
        <f>'Gen Rev'!A236</f>
        <v>Gloria Glens Park</v>
      </c>
      <c r="AN237" s="21" t="str">
        <f t="shared" si="85"/>
        <v>Gloria Glens Park</v>
      </c>
      <c r="AO237" s="21" t="b">
        <f t="shared" si="86"/>
        <v>1</v>
      </c>
    </row>
    <row r="238" spans="1:41" s="21" customFormat="1" ht="12.75">
      <c r="A238" s="1" t="s">
        <v>10</v>
      </c>
      <c r="B238" s="1"/>
      <c r="C238" s="1" t="s">
        <v>748</v>
      </c>
      <c r="D238" s="23"/>
      <c r="E238" s="36">
        <v>168958.19</v>
      </c>
      <c r="F238" s="36"/>
      <c r="G238" s="36">
        <v>0</v>
      </c>
      <c r="H238" s="36"/>
      <c r="I238" s="36">
        <v>0</v>
      </c>
      <c r="J238" s="36"/>
      <c r="K238" s="36">
        <v>0</v>
      </c>
      <c r="L238" s="36"/>
      <c r="M238" s="36">
        <v>0</v>
      </c>
      <c r="N238" s="36"/>
      <c r="O238" s="36">
        <v>0</v>
      </c>
      <c r="P238" s="36"/>
      <c r="Q238" s="36">
        <v>54760.24</v>
      </c>
      <c r="R238" s="36"/>
      <c r="S238" s="36">
        <v>0</v>
      </c>
      <c r="T238" s="36"/>
      <c r="U238" s="36">
        <v>5000</v>
      </c>
      <c r="V238" s="36"/>
      <c r="W238" s="36">
        <v>643.38</v>
      </c>
      <c r="X238" s="36"/>
      <c r="Y238" s="36">
        <v>0</v>
      </c>
      <c r="Z238" s="36"/>
      <c r="AA238" s="36">
        <v>0</v>
      </c>
      <c r="AB238" s="36"/>
      <c r="AC238" s="36">
        <v>0</v>
      </c>
      <c r="AD238" s="36"/>
      <c r="AE238" s="36">
        <f t="shared" si="91"/>
        <v>229361.81</v>
      </c>
      <c r="AF238" s="36"/>
      <c r="AG238" s="36">
        <v>158948.81</v>
      </c>
      <c r="AH238" s="36"/>
      <c r="AI238" s="36">
        <v>-170099.21</v>
      </c>
      <c r="AJ238" s="36"/>
      <c r="AK238" s="36">
        <v>-11150.4</v>
      </c>
      <c r="AL238" s="24">
        <f>+'Gen Rev'!AI237-'Gen Exp'!AE238+'Gen Exp'!AI238-AK238</f>
        <v>0</v>
      </c>
      <c r="AM238" s="44" t="str">
        <f>'Gen Rev'!A237</f>
        <v>Glouster</v>
      </c>
      <c r="AN238" s="21" t="str">
        <f t="shared" si="85"/>
        <v>Glouster</v>
      </c>
      <c r="AO238" s="21" t="b">
        <f t="shared" si="86"/>
        <v>1</v>
      </c>
    </row>
    <row r="239" spans="1:41" s="21" customFormat="1" ht="12.75">
      <c r="A239" s="1" t="s">
        <v>565</v>
      </c>
      <c r="B239" s="1"/>
      <c r="C239" s="1" t="s">
        <v>562</v>
      </c>
      <c r="D239" s="1"/>
      <c r="E239" s="83">
        <v>77535</v>
      </c>
      <c r="F239" s="83"/>
      <c r="G239" s="83">
        <v>679</v>
      </c>
      <c r="H239" s="83"/>
      <c r="I239" s="83">
        <v>10228</v>
      </c>
      <c r="J239" s="83"/>
      <c r="K239" s="83">
        <v>924</v>
      </c>
      <c r="L239" s="83"/>
      <c r="M239" s="83">
        <v>68440</v>
      </c>
      <c r="N239" s="83"/>
      <c r="O239" s="83">
        <v>173189</v>
      </c>
      <c r="P239" s="83"/>
      <c r="Q239" s="83">
        <v>41416</v>
      </c>
      <c r="R239" s="83"/>
      <c r="S239" s="83">
        <v>68054</v>
      </c>
      <c r="T239" s="83"/>
      <c r="U239" s="83">
        <v>20800</v>
      </c>
      <c r="V239" s="83"/>
      <c r="W239" s="83">
        <v>0</v>
      </c>
      <c r="X239" s="83"/>
      <c r="Y239" s="83">
        <v>0</v>
      </c>
      <c r="Z239" s="83"/>
      <c r="AA239" s="83">
        <v>0</v>
      </c>
      <c r="AB239" s="83"/>
      <c r="AC239" s="83">
        <v>0</v>
      </c>
      <c r="AD239" s="83"/>
      <c r="AE239" s="83">
        <f t="shared" si="78"/>
        <v>461265</v>
      </c>
      <c r="AF239" s="83"/>
      <c r="AG239" s="83">
        <v>-105664</v>
      </c>
      <c r="AH239" s="83"/>
      <c r="AI239" s="83">
        <v>133296</v>
      </c>
      <c r="AJ239" s="83"/>
      <c r="AK239" s="83">
        <v>27632</v>
      </c>
      <c r="AL239" s="24">
        <f>+'Gen Rev'!AI238-'Gen Exp'!AE239+'Gen Exp'!AI239-AK239</f>
        <v>6000</v>
      </c>
      <c r="AM239" s="44" t="str">
        <f>'Gen Rev'!A238</f>
        <v>Gnadenhutten</v>
      </c>
      <c r="AN239" s="21" t="str">
        <f t="shared" si="85"/>
        <v>Gnadenhutten</v>
      </c>
      <c r="AO239" s="21" t="b">
        <f t="shared" si="86"/>
        <v>1</v>
      </c>
    </row>
    <row r="240" spans="1:41" s="21" customFormat="1" ht="12.75">
      <c r="A240" s="1" t="s">
        <v>382</v>
      </c>
      <c r="B240" s="1"/>
      <c r="C240" s="1" t="s">
        <v>378</v>
      </c>
      <c r="D240" s="1"/>
      <c r="E240" s="83">
        <v>1223527.6</v>
      </c>
      <c r="F240" s="83"/>
      <c r="G240" s="83">
        <v>2915.01</v>
      </c>
      <c r="H240" s="83"/>
      <c r="I240" s="83">
        <v>0</v>
      </c>
      <c r="J240" s="83"/>
      <c r="K240" s="83">
        <v>27262.79</v>
      </c>
      <c r="L240" s="83"/>
      <c r="M240" s="83">
        <v>251026.78</v>
      </c>
      <c r="N240" s="83"/>
      <c r="O240" s="83">
        <v>0</v>
      </c>
      <c r="P240" s="83"/>
      <c r="Q240" s="83">
        <v>1156080.12</v>
      </c>
      <c r="R240" s="83"/>
      <c r="S240" s="83">
        <v>0</v>
      </c>
      <c r="T240" s="83"/>
      <c r="U240" s="83">
        <v>12501.28</v>
      </c>
      <c r="V240" s="83"/>
      <c r="W240" s="83">
        <v>0</v>
      </c>
      <c r="X240" s="83"/>
      <c r="Y240" s="83">
        <v>0</v>
      </c>
      <c r="Z240" s="83"/>
      <c r="AA240" s="83">
        <v>0</v>
      </c>
      <c r="AB240" s="83"/>
      <c r="AC240" s="83">
        <v>0</v>
      </c>
      <c r="AD240" s="83"/>
      <c r="AE240" s="83">
        <f t="shared" si="78"/>
        <v>2673313.58</v>
      </c>
      <c r="AF240" s="83"/>
      <c r="AG240" s="83">
        <v>-95256.38</v>
      </c>
      <c r="AH240" s="83"/>
      <c r="AI240" s="83">
        <v>220560.78</v>
      </c>
      <c r="AJ240" s="83"/>
      <c r="AK240" s="83">
        <v>125304.4</v>
      </c>
      <c r="AL240" s="24">
        <f>+'Gen Rev'!AI239-'Gen Exp'!AE240+'Gen Exp'!AI240-AK240</f>
        <v>0.029999999911524355</v>
      </c>
      <c r="AM240" s="44" t="str">
        <f>'Gen Rev'!A239</f>
        <v>Golf Manor</v>
      </c>
      <c r="AN240" s="21" t="str">
        <f t="shared" si="85"/>
        <v>Golf Manor</v>
      </c>
      <c r="AO240" s="21" t="b">
        <f t="shared" si="86"/>
        <v>1</v>
      </c>
    </row>
    <row r="241" spans="1:41" s="21" customFormat="1" ht="12.6" customHeight="1">
      <c r="A241" s="1" t="s">
        <v>331</v>
      </c>
      <c r="B241" s="1"/>
      <c r="C241" s="1" t="s">
        <v>329</v>
      </c>
      <c r="D241" s="1"/>
      <c r="E241" s="36">
        <v>11095.6</v>
      </c>
      <c r="F241" s="36"/>
      <c r="G241" s="36">
        <v>0</v>
      </c>
      <c r="H241" s="36"/>
      <c r="I241" s="36">
        <v>3714.34</v>
      </c>
      <c r="J241" s="36"/>
      <c r="K241" s="36">
        <v>0</v>
      </c>
      <c r="L241" s="36"/>
      <c r="M241" s="36">
        <v>14395.27</v>
      </c>
      <c r="N241" s="36"/>
      <c r="O241" s="36">
        <v>0</v>
      </c>
      <c r="P241" s="36"/>
      <c r="Q241" s="36">
        <v>12008.51</v>
      </c>
      <c r="R241" s="36"/>
      <c r="S241" s="36">
        <v>0</v>
      </c>
      <c r="T241" s="36"/>
      <c r="U241" s="36">
        <v>0</v>
      </c>
      <c r="V241" s="36"/>
      <c r="W241" s="36">
        <v>0</v>
      </c>
      <c r="X241" s="36"/>
      <c r="Y241" s="36">
        <v>0</v>
      </c>
      <c r="Z241" s="36"/>
      <c r="AA241" s="36">
        <v>0</v>
      </c>
      <c r="AB241" s="36"/>
      <c r="AC241" s="36">
        <v>1335.56</v>
      </c>
      <c r="AD241" s="36"/>
      <c r="AE241" s="36">
        <f aca="true" t="shared" si="92" ref="AE241">SUM(E241:AC241)</f>
        <v>42549.28</v>
      </c>
      <c r="AF241" s="36"/>
      <c r="AG241" s="36">
        <v>-3542.26</v>
      </c>
      <c r="AH241" s="36"/>
      <c r="AI241" s="36">
        <v>57642.8</v>
      </c>
      <c r="AJ241" s="36"/>
      <c r="AK241" s="36">
        <v>54100.54</v>
      </c>
      <c r="AL241" s="24">
        <f>+'Gen Rev'!AI240-'Gen Exp'!AE241+'Gen Exp'!AI241-AK241</f>
        <v>0</v>
      </c>
      <c r="AM241" s="44" t="str">
        <f>'Gen Rev'!A240</f>
        <v>Gordon</v>
      </c>
      <c r="AN241" s="21" t="str">
        <f t="shared" si="85"/>
        <v>Gordon</v>
      </c>
      <c r="AO241" s="21" t="b">
        <f t="shared" si="86"/>
        <v>1</v>
      </c>
    </row>
    <row r="242" spans="1:41" ht="12.75">
      <c r="A242" s="1" t="s">
        <v>450</v>
      </c>
      <c r="C242" s="1" t="s">
        <v>451</v>
      </c>
      <c r="E242" s="83">
        <v>696242</v>
      </c>
      <c r="F242" s="83"/>
      <c r="G242" s="83">
        <v>63773</v>
      </c>
      <c r="H242" s="83"/>
      <c r="I242" s="83">
        <v>27199</v>
      </c>
      <c r="J242" s="83"/>
      <c r="K242" s="83">
        <v>7072</v>
      </c>
      <c r="L242" s="83"/>
      <c r="M242" s="83">
        <v>194699</v>
      </c>
      <c r="N242" s="83"/>
      <c r="O242" s="83">
        <v>0</v>
      </c>
      <c r="P242" s="83"/>
      <c r="Q242" s="83">
        <v>481600</v>
      </c>
      <c r="R242" s="83"/>
      <c r="S242" s="83">
        <v>0</v>
      </c>
      <c r="T242" s="83"/>
      <c r="U242" s="83">
        <v>0</v>
      </c>
      <c r="V242" s="83"/>
      <c r="W242" s="83">
        <v>0</v>
      </c>
      <c r="X242" s="83"/>
      <c r="Y242" s="83">
        <v>174487</v>
      </c>
      <c r="Z242" s="83"/>
      <c r="AA242" s="83">
        <v>0</v>
      </c>
      <c r="AB242" s="83"/>
      <c r="AC242" s="83">
        <v>0</v>
      </c>
      <c r="AD242" s="83"/>
      <c r="AE242" s="83">
        <f t="shared" si="78"/>
        <v>1645072</v>
      </c>
      <c r="AF242" s="83"/>
      <c r="AG242" s="83">
        <v>136615</v>
      </c>
      <c r="AH242" s="83"/>
      <c r="AI242" s="83">
        <v>1289780</v>
      </c>
      <c r="AJ242" s="83"/>
      <c r="AK242" s="83">
        <v>1426395</v>
      </c>
      <c r="AL242" s="24">
        <f>+'Gen Rev'!AI241-'Gen Exp'!AE242+'Gen Exp'!AI242-AK242</f>
        <v>0</v>
      </c>
      <c r="AM242" s="44" t="str">
        <f>'Gen Rev'!A241</f>
        <v>Grafton</v>
      </c>
      <c r="AN242" s="21" t="str">
        <f t="shared" si="85"/>
        <v>Grafton</v>
      </c>
      <c r="AO242" s="21" t="b">
        <f t="shared" si="86"/>
        <v>1</v>
      </c>
    </row>
    <row r="243" spans="1:41" ht="12.75">
      <c r="A243" s="1" t="s">
        <v>255</v>
      </c>
      <c r="C243" s="1" t="s">
        <v>825</v>
      </c>
      <c r="D243" s="23"/>
      <c r="E243" s="36">
        <v>82160.77</v>
      </c>
      <c r="F243" s="36"/>
      <c r="G243" s="36">
        <v>1281.98</v>
      </c>
      <c r="H243" s="36"/>
      <c r="I243" s="36">
        <v>44030.25</v>
      </c>
      <c r="J243" s="36"/>
      <c r="K243" s="36">
        <v>2211.36</v>
      </c>
      <c r="L243" s="36"/>
      <c r="M243" s="36">
        <v>13137.22</v>
      </c>
      <c r="N243" s="36"/>
      <c r="O243" s="36">
        <v>1722.98</v>
      </c>
      <c r="P243" s="36"/>
      <c r="Q243" s="36">
        <v>108038.73</v>
      </c>
      <c r="R243" s="36"/>
      <c r="S243" s="36">
        <v>9144.52</v>
      </c>
      <c r="T243" s="36"/>
      <c r="U243" s="36">
        <v>0</v>
      </c>
      <c r="V243" s="36"/>
      <c r="W243" s="36">
        <v>0</v>
      </c>
      <c r="X243" s="36"/>
      <c r="Y243" s="36">
        <v>14784.01</v>
      </c>
      <c r="Z243" s="36"/>
      <c r="AA243" s="36">
        <v>0</v>
      </c>
      <c r="AB243" s="36"/>
      <c r="AC243" s="36">
        <v>23104.19</v>
      </c>
      <c r="AD243" s="36"/>
      <c r="AE243" s="36">
        <f aca="true" t="shared" si="93" ref="AE243">SUM(E243:AC243)</f>
        <v>299616.00999999995</v>
      </c>
      <c r="AF243" s="36"/>
      <c r="AG243" s="36">
        <v>29159.04</v>
      </c>
      <c r="AH243" s="36"/>
      <c r="AI243" s="36">
        <v>418042.59</v>
      </c>
      <c r="AJ243" s="36"/>
      <c r="AK243" s="36">
        <v>447201.63</v>
      </c>
      <c r="AL243" s="24">
        <f>+'Gen Rev'!AI242-'Gen Exp'!AE243+'Gen Exp'!AI243-AK243</f>
        <v>0</v>
      </c>
      <c r="AM243" s="44" t="str">
        <f>'Gen Rev'!A242</f>
        <v>Grand Rapids</v>
      </c>
      <c r="AN243" s="21" t="str">
        <f t="shared" si="85"/>
        <v>Grand Rapids</v>
      </c>
      <c r="AO243" s="21" t="b">
        <f t="shared" si="86"/>
        <v>1</v>
      </c>
    </row>
    <row r="244" spans="1:41" s="21" customFormat="1" ht="12.75">
      <c r="A244" s="1" t="s">
        <v>431</v>
      </c>
      <c r="B244" s="1"/>
      <c r="C244" s="1" t="s">
        <v>430</v>
      </c>
      <c r="D244" s="1"/>
      <c r="E244" s="83">
        <v>273221.85</v>
      </c>
      <c r="F244" s="83"/>
      <c r="G244" s="83">
        <v>4199</v>
      </c>
      <c r="H244" s="83"/>
      <c r="I244" s="83">
        <v>1362.22</v>
      </c>
      <c r="J244" s="83"/>
      <c r="K244" s="83">
        <v>4660</v>
      </c>
      <c r="L244" s="83"/>
      <c r="M244" s="83">
        <v>0</v>
      </c>
      <c r="N244" s="83"/>
      <c r="O244" s="83">
        <v>17153.89</v>
      </c>
      <c r="P244" s="83"/>
      <c r="Q244" s="83">
        <v>117534.98</v>
      </c>
      <c r="R244" s="83"/>
      <c r="S244" s="83">
        <v>0</v>
      </c>
      <c r="T244" s="83"/>
      <c r="U244" s="83">
        <v>0</v>
      </c>
      <c r="V244" s="83"/>
      <c r="W244" s="83">
        <v>0</v>
      </c>
      <c r="X244" s="83"/>
      <c r="Y244" s="83">
        <v>0</v>
      </c>
      <c r="Z244" s="83"/>
      <c r="AA244" s="83">
        <v>29998</v>
      </c>
      <c r="AB244" s="83"/>
      <c r="AC244" s="83">
        <v>0</v>
      </c>
      <c r="AD244" s="83"/>
      <c r="AE244" s="83">
        <f t="shared" si="78"/>
        <v>448129.93999999994</v>
      </c>
      <c r="AF244" s="83"/>
      <c r="AG244" s="83">
        <v>20139.69</v>
      </c>
      <c r="AH244" s="83"/>
      <c r="AI244" s="83">
        <v>131407.15</v>
      </c>
      <c r="AJ244" s="83"/>
      <c r="AK244" s="83">
        <v>151546.84</v>
      </c>
      <c r="AL244" s="24">
        <f>+'Gen Rev'!AI243-'Gen Exp'!AE244+'Gen Exp'!AI244-AK244</f>
        <v>0</v>
      </c>
      <c r="AM244" s="44" t="str">
        <f>'Gen Rev'!A243</f>
        <v>Grand River</v>
      </c>
      <c r="AN244" s="21" t="str">
        <f t="shared" si="85"/>
        <v>Grand River</v>
      </c>
      <c r="AO244" s="21" t="b">
        <f t="shared" si="86"/>
        <v>1</v>
      </c>
    </row>
    <row r="245" spans="1:41" s="21" customFormat="1" ht="12.75">
      <c r="A245" s="1" t="s">
        <v>438</v>
      </c>
      <c r="B245" s="1"/>
      <c r="C245" s="1" t="s">
        <v>439</v>
      </c>
      <c r="D245" s="1"/>
      <c r="E245" s="83">
        <v>1063754.42</v>
      </c>
      <c r="F245" s="83"/>
      <c r="G245" s="83">
        <v>26511.32</v>
      </c>
      <c r="H245" s="83"/>
      <c r="I245" s="83">
        <v>891.55</v>
      </c>
      <c r="J245" s="83"/>
      <c r="K245" s="83">
        <v>92172.74</v>
      </c>
      <c r="L245" s="83"/>
      <c r="M245" s="83">
        <v>0</v>
      </c>
      <c r="N245" s="83"/>
      <c r="O245" s="83">
        <v>785024.43</v>
      </c>
      <c r="P245" s="83"/>
      <c r="Q245" s="83">
        <v>1068761.75</v>
      </c>
      <c r="R245" s="83"/>
      <c r="S245" s="83">
        <v>638017.84</v>
      </c>
      <c r="T245" s="83"/>
      <c r="U245" s="83">
        <v>526633.51</v>
      </c>
      <c r="V245" s="83"/>
      <c r="W245" s="83">
        <v>0</v>
      </c>
      <c r="X245" s="83"/>
      <c r="Y245" s="83">
        <v>2218782.06</v>
      </c>
      <c r="Z245" s="83"/>
      <c r="AA245" s="83">
        <v>0</v>
      </c>
      <c r="AB245" s="83"/>
      <c r="AC245" s="83">
        <v>0</v>
      </c>
      <c r="AD245" s="83"/>
      <c r="AE245" s="83">
        <f t="shared" si="78"/>
        <v>6420549.619999999</v>
      </c>
      <c r="AF245" s="83"/>
      <c r="AG245" s="83">
        <v>2322447.02</v>
      </c>
      <c r="AH245" s="83"/>
      <c r="AI245" s="83">
        <v>2450422.75</v>
      </c>
      <c r="AJ245" s="83"/>
      <c r="AK245" s="83">
        <v>4772869.78</v>
      </c>
      <c r="AL245" s="24">
        <f>+'Gen Rev'!AI244-'Gen Exp'!AE245+'Gen Exp'!AI245-AK245</f>
        <v>-0.009999998845160007</v>
      </c>
      <c r="AM245" s="44" t="str">
        <f>'Gen Rev'!A244</f>
        <v>Granville</v>
      </c>
      <c r="AN245" s="21" t="str">
        <f t="shared" si="85"/>
        <v>Granville</v>
      </c>
      <c r="AO245" s="21" t="b">
        <f t="shared" si="86"/>
        <v>1</v>
      </c>
    </row>
    <row r="246" spans="1:41" s="21" customFormat="1" ht="12.75">
      <c r="A246" s="1" t="s">
        <v>440</v>
      </c>
      <c r="B246" s="1"/>
      <c r="C246" s="1" t="s">
        <v>439</v>
      </c>
      <c r="D246" s="1"/>
      <c r="E246" s="83">
        <v>4513.03</v>
      </c>
      <c r="F246" s="83"/>
      <c r="G246" s="83">
        <v>258.54</v>
      </c>
      <c r="H246" s="83"/>
      <c r="I246" s="83">
        <v>0</v>
      </c>
      <c r="J246" s="83"/>
      <c r="K246" s="83">
        <v>0</v>
      </c>
      <c r="L246" s="83"/>
      <c r="M246" s="83">
        <v>4555.95</v>
      </c>
      <c r="N246" s="83"/>
      <c r="O246" s="83">
        <v>0</v>
      </c>
      <c r="P246" s="83"/>
      <c r="Q246" s="83">
        <v>18399.4</v>
      </c>
      <c r="R246" s="83"/>
      <c r="S246" s="83">
        <v>0</v>
      </c>
      <c r="T246" s="83"/>
      <c r="U246" s="83">
        <v>0</v>
      </c>
      <c r="V246" s="83"/>
      <c r="W246" s="83">
        <v>0</v>
      </c>
      <c r="X246" s="83"/>
      <c r="Y246" s="83">
        <v>0</v>
      </c>
      <c r="Z246" s="83"/>
      <c r="AA246" s="83">
        <v>0</v>
      </c>
      <c r="AB246" s="83"/>
      <c r="AC246" s="83">
        <v>0</v>
      </c>
      <c r="AD246" s="83"/>
      <c r="AE246" s="83">
        <f t="shared" si="78"/>
        <v>27726.920000000002</v>
      </c>
      <c r="AF246" s="83"/>
      <c r="AG246" s="83">
        <v>-4721.71</v>
      </c>
      <c r="AH246" s="83"/>
      <c r="AI246" s="83">
        <v>31214</v>
      </c>
      <c r="AJ246" s="83"/>
      <c r="AK246" s="83">
        <v>26492.21</v>
      </c>
      <c r="AL246" s="24">
        <f>+'Gen Rev'!AI245-'Gen Exp'!AE246+'Gen Exp'!AI246-AK246</f>
        <v>0.07999999999810825</v>
      </c>
      <c r="AM246" s="44" t="str">
        <f>'Gen Rev'!A245</f>
        <v>Gratiot</v>
      </c>
      <c r="AN246" s="21" t="str">
        <f t="shared" si="85"/>
        <v>Gratiot</v>
      </c>
      <c r="AO246" s="21" t="b">
        <f t="shared" si="86"/>
        <v>1</v>
      </c>
    </row>
    <row r="247" spans="1:41" ht="12.75">
      <c r="A247" s="1" t="s">
        <v>201</v>
      </c>
      <c r="C247" s="1" t="s">
        <v>807</v>
      </c>
      <c r="D247" s="23"/>
      <c r="E247" s="36">
        <v>93049.08</v>
      </c>
      <c r="F247" s="36"/>
      <c r="G247" s="36">
        <v>0</v>
      </c>
      <c r="H247" s="36"/>
      <c r="I247" s="36">
        <v>0</v>
      </c>
      <c r="J247" s="36"/>
      <c r="K247" s="36">
        <v>0</v>
      </c>
      <c r="L247" s="36"/>
      <c r="M247" s="36">
        <v>0</v>
      </c>
      <c r="N247" s="36"/>
      <c r="O247" s="36">
        <v>0</v>
      </c>
      <c r="P247" s="36"/>
      <c r="Q247" s="36">
        <v>33467.51</v>
      </c>
      <c r="R247" s="36"/>
      <c r="S247" s="36">
        <v>0</v>
      </c>
      <c r="T247" s="36"/>
      <c r="U247" s="36">
        <v>2749.81</v>
      </c>
      <c r="V247" s="36"/>
      <c r="W247" s="36">
        <v>395.63</v>
      </c>
      <c r="X247" s="36"/>
      <c r="Y247" s="36">
        <v>161500</v>
      </c>
      <c r="Z247" s="36"/>
      <c r="AA247" s="36">
        <v>5880.23</v>
      </c>
      <c r="AB247" s="36"/>
      <c r="AC247" s="36">
        <v>0</v>
      </c>
      <c r="AD247" s="36"/>
      <c r="AE247" s="36">
        <f aca="true" t="shared" si="94" ref="AE247">SUM(E247:AC247)</f>
        <v>297042.26</v>
      </c>
      <c r="AF247" s="36"/>
      <c r="AG247" s="36">
        <v>-378.25</v>
      </c>
      <c r="AH247" s="36"/>
      <c r="AI247" s="36">
        <v>-24809.02</v>
      </c>
      <c r="AJ247" s="36"/>
      <c r="AK247" s="36">
        <v>-25187.27</v>
      </c>
      <c r="AL247" s="24">
        <f>+'Gen Rev'!AI246-'Gen Exp'!AE247+'Gen Exp'!AI247-AK247</f>
        <v>0</v>
      </c>
      <c r="AM247" s="44" t="str">
        <f>'Gen Rev'!A246</f>
        <v>Gratis</v>
      </c>
      <c r="AN247" s="21" t="str">
        <f t="shared" si="85"/>
        <v>Gratis</v>
      </c>
      <c r="AO247" s="21" t="b">
        <f t="shared" si="86"/>
        <v>1</v>
      </c>
    </row>
    <row r="248" spans="1:41" ht="12.75">
      <c r="A248" s="1" t="s">
        <v>475</v>
      </c>
      <c r="C248" s="1" t="s">
        <v>474</v>
      </c>
      <c r="E248" s="83">
        <v>1588</v>
      </c>
      <c r="F248" s="83"/>
      <c r="G248" s="83">
        <v>1133</v>
      </c>
      <c r="H248" s="83"/>
      <c r="I248" s="83">
        <v>0</v>
      </c>
      <c r="J248" s="83"/>
      <c r="K248" s="83">
        <v>0</v>
      </c>
      <c r="L248" s="83"/>
      <c r="M248" s="83">
        <v>0</v>
      </c>
      <c r="N248" s="83"/>
      <c r="O248" s="83">
        <v>0</v>
      </c>
      <c r="P248" s="83"/>
      <c r="Q248" s="83">
        <v>5227</v>
      </c>
      <c r="R248" s="83"/>
      <c r="S248" s="83">
        <v>0</v>
      </c>
      <c r="T248" s="83"/>
      <c r="U248" s="83">
        <v>0</v>
      </c>
      <c r="V248" s="83"/>
      <c r="W248" s="83">
        <v>0</v>
      </c>
      <c r="X248" s="83"/>
      <c r="Y248" s="83">
        <v>0</v>
      </c>
      <c r="Z248" s="83"/>
      <c r="AA248" s="83">
        <v>0</v>
      </c>
      <c r="AB248" s="83"/>
      <c r="AC248" s="83">
        <v>0</v>
      </c>
      <c r="AD248" s="83"/>
      <c r="AE248" s="83">
        <f t="shared" si="78"/>
        <v>7948</v>
      </c>
      <c r="AF248" s="83"/>
      <c r="AG248" s="83">
        <v>-725</v>
      </c>
      <c r="AH248" s="83"/>
      <c r="AI248" s="83">
        <v>1166</v>
      </c>
      <c r="AJ248" s="83"/>
      <c r="AK248" s="83">
        <v>441</v>
      </c>
      <c r="AL248" s="24">
        <f>+'Gen Rev'!AI247-'Gen Exp'!AE248+'Gen Exp'!AI248-AK248</f>
        <v>0</v>
      </c>
      <c r="AM248" s="44" t="str">
        <f>'Gen Rev'!A247</f>
        <v>Graysville</v>
      </c>
      <c r="AN248" s="21" t="str">
        <f t="shared" si="85"/>
        <v>Graysville</v>
      </c>
      <c r="AO248" s="21" t="b">
        <f t="shared" si="86"/>
        <v>1</v>
      </c>
    </row>
    <row r="249" spans="1:41" ht="12.75">
      <c r="A249" s="1" t="s">
        <v>148</v>
      </c>
      <c r="C249" s="1" t="s">
        <v>791</v>
      </c>
      <c r="D249" s="23"/>
      <c r="E249" s="36">
        <v>18915.18</v>
      </c>
      <c r="F249" s="36"/>
      <c r="G249" s="36">
        <v>8142.83</v>
      </c>
      <c r="H249" s="36"/>
      <c r="I249" s="36">
        <v>1890.05</v>
      </c>
      <c r="J249" s="36"/>
      <c r="K249" s="36">
        <v>310</v>
      </c>
      <c r="L249" s="36"/>
      <c r="M249" s="36">
        <v>1085.18</v>
      </c>
      <c r="N249" s="36"/>
      <c r="O249" s="36">
        <v>5620.61</v>
      </c>
      <c r="P249" s="36"/>
      <c r="Q249" s="36">
        <v>28887.09</v>
      </c>
      <c r="R249" s="36"/>
      <c r="S249" s="36">
        <v>0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0</v>
      </c>
      <c r="AB249" s="36"/>
      <c r="AC249" s="36">
        <v>2689.34</v>
      </c>
      <c r="AD249" s="36"/>
      <c r="AE249" s="36">
        <f aca="true" t="shared" si="95" ref="AE249:AE250">SUM(E249:AC249)</f>
        <v>67540.28</v>
      </c>
      <c r="AF249" s="36"/>
      <c r="AG249" s="36">
        <v>33462.95</v>
      </c>
      <c r="AH249" s="36"/>
      <c r="AI249" s="36">
        <v>61237.61</v>
      </c>
      <c r="AJ249" s="36"/>
      <c r="AK249" s="36">
        <v>94700.56</v>
      </c>
      <c r="AL249" s="24">
        <f>+'Gen Rev'!AI248-'Gen Exp'!AE249+'Gen Exp'!AI249-AK249</f>
        <v>0</v>
      </c>
      <c r="AM249" s="44" t="str">
        <f>'Gen Rev'!A248</f>
        <v>Green Camp</v>
      </c>
      <c r="AN249" s="21" t="str">
        <f t="shared" si="85"/>
        <v>Green Camp</v>
      </c>
      <c r="AO249" s="21" t="b">
        <f t="shared" si="86"/>
        <v>1</v>
      </c>
    </row>
    <row r="250" spans="1:41" s="10" customFormat="1" ht="12.75">
      <c r="A250" s="10" t="s">
        <v>219</v>
      </c>
      <c r="C250" s="10" t="s">
        <v>813</v>
      </c>
      <c r="D250" s="52"/>
      <c r="E250" s="36">
        <v>57881.37</v>
      </c>
      <c r="F250" s="36"/>
      <c r="G250" s="36">
        <v>14705.24</v>
      </c>
      <c r="H250" s="36"/>
      <c r="I250" s="36">
        <v>15390.6</v>
      </c>
      <c r="J250" s="36"/>
      <c r="K250" s="36">
        <v>1358.72</v>
      </c>
      <c r="L250" s="36"/>
      <c r="M250" s="36">
        <v>2838</v>
      </c>
      <c r="N250" s="36"/>
      <c r="O250" s="36">
        <v>60872.96</v>
      </c>
      <c r="P250" s="36"/>
      <c r="Q250" s="36">
        <v>170487.2</v>
      </c>
      <c r="R250" s="36"/>
      <c r="S250" s="36">
        <v>68063.41</v>
      </c>
      <c r="T250" s="36"/>
      <c r="U250" s="36">
        <v>0</v>
      </c>
      <c r="V250" s="36"/>
      <c r="W250" s="36">
        <v>0</v>
      </c>
      <c r="X250" s="36"/>
      <c r="Y250" s="36">
        <v>80000</v>
      </c>
      <c r="Z250" s="36"/>
      <c r="AA250" s="36">
        <v>0</v>
      </c>
      <c r="AB250" s="36"/>
      <c r="AC250" s="36">
        <v>256.83</v>
      </c>
      <c r="AD250" s="36"/>
      <c r="AE250" s="36">
        <f t="shared" si="95"/>
        <v>471854.33</v>
      </c>
      <c r="AF250" s="36"/>
      <c r="AG250" s="36">
        <v>-37772.25</v>
      </c>
      <c r="AH250" s="36"/>
      <c r="AI250" s="36">
        <v>530244.25</v>
      </c>
      <c r="AJ250" s="36"/>
      <c r="AK250" s="36">
        <v>492472</v>
      </c>
      <c r="AL250" s="24">
        <f>+'Gen Rev'!AI249-'Gen Exp'!AE250+'Gen Exp'!AI250-AK250</f>
        <v>0</v>
      </c>
      <c r="AM250" s="44" t="str">
        <f>'Gen Rev'!A249</f>
        <v>Green Springs</v>
      </c>
      <c r="AN250" s="21" t="str">
        <f t="shared" si="85"/>
        <v>Green Springs</v>
      </c>
      <c r="AO250" s="21" t="b">
        <f t="shared" si="86"/>
        <v>1</v>
      </c>
    </row>
    <row r="251" spans="1:41" s="10" customFormat="1" ht="12.75">
      <c r="A251" s="10" t="s">
        <v>967</v>
      </c>
      <c r="C251" s="10" t="s">
        <v>409</v>
      </c>
      <c r="D251" s="52"/>
      <c r="E251" s="83">
        <v>612092</v>
      </c>
      <c r="F251" s="83"/>
      <c r="G251" s="83">
        <v>0</v>
      </c>
      <c r="H251" s="83"/>
      <c r="I251" s="83">
        <v>0</v>
      </c>
      <c r="J251" s="83"/>
      <c r="K251" s="83">
        <v>0</v>
      </c>
      <c r="L251" s="83"/>
      <c r="M251" s="83">
        <v>56995</v>
      </c>
      <c r="N251" s="83"/>
      <c r="O251" s="83">
        <v>0</v>
      </c>
      <c r="P251" s="83"/>
      <c r="Q251" s="83">
        <v>419575</v>
      </c>
      <c r="R251" s="83"/>
      <c r="S251" s="83">
        <v>180107</v>
      </c>
      <c r="T251" s="83"/>
      <c r="U251" s="83">
        <v>0</v>
      </c>
      <c r="V251" s="83"/>
      <c r="W251" s="83">
        <v>0</v>
      </c>
      <c r="X251" s="83"/>
      <c r="Y251" s="83">
        <v>0</v>
      </c>
      <c r="Z251" s="83"/>
      <c r="AA251" s="83">
        <v>36000</v>
      </c>
      <c r="AB251" s="83"/>
      <c r="AC251" s="83">
        <v>0</v>
      </c>
      <c r="AD251" s="83"/>
      <c r="AE251" s="83">
        <f t="shared" si="78"/>
        <v>1304769</v>
      </c>
      <c r="AF251" s="83"/>
      <c r="AG251" s="83">
        <v>50910</v>
      </c>
      <c r="AH251" s="83"/>
      <c r="AI251" s="83">
        <v>516039</v>
      </c>
      <c r="AJ251" s="83"/>
      <c r="AK251" s="83">
        <v>566949</v>
      </c>
      <c r="AL251" s="24">
        <f>+'Gen Rev'!AI251-'Gen Exp'!AE251+'Gen Exp'!AI251-AK251</f>
        <v>0</v>
      </c>
      <c r="AM251" s="44" t="str">
        <f>'Gen Rev'!A251</f>
        <v>Greenfield</v>
      </c>
      <c r="AN251" s="21" t="str">
        <f t="shared" si="85"/>
        <v>Greenfield</v>
      </c>
      <c r="AO251" s="21" t="b">
        <f t="shared" si="86"/>
        <v>1</v>
      </c>
    </row>
    <row r="252" spans="1:41" ht="12.75">
      <c r="A252" s="1" t="s">
        <v>94</v>
      </c>
      <c r="C252" s="1" t="s">
        <v>773</v>
      </c>
      <c r="D252" s="23"/>
      <c r="E252" s="95">
        <v>195768.95</v>
      </c>
      <c r="F252" s="95"/>
      <c r="G252" s="95">
        <v>3533.58</v>
      </c>
      <c r="H252" s="95"/>
      <c r="I252" s="95">
        <v>0</v>
      </c>
      <c r="J252" s="95"/>
      <c r="K252" s="95">
        <v>841085.7</v>
      </c>
      <c r="L252" s="95"/>
      <c r="M252" s="95">
        <v>0</v>
      </c>
      <c r="N252" s="95"/>
      <c r="O252" s="95">
        <v>0</v>
      </c>
      <c r="P252" s="95"/>
      <c r="Q252" s="95">
        <v>267303.51</v>
      </c>
      <c r="R252" s="95"/>
      <c r="S252" s="95">
        <v>37056.08</v>
      </c>
      <c r="T252" s="95"/>
      <c r="U252" s="95">
        <v>0</v>
      </c>
      <c r="V252" s="95"/>
      <c r="W252" s="95">
        <v>0</v>
      </c>
      <c r="X252" s="95"/>
      <c r="Y252" s="95">
        <v>332214</v>
      </c>
      <c r="Z252" s="95"/>
      <c r="AA252" s="95">
        <v>10000</v>
      </c>
      <c r="AB252" s="95"/>
      <c r="AC252" s="95">
        <v>4695</v>
      </c>
      <c r="AD252" s="95"/>
      <c r="AE252" s="95">
        <f aca="true" t="shared" si="96" ref="AE252">SUM(E252:AC252)</f>
        <v>1691656.82</v>
      </c>
      <c r="AF252" s="95"/>
      <c r="AG252" s="95">
        <v>283916.89</v>
      </c>
      <c r="AH252" s="95"/>
      <c r="AI252" s="95">
        <v>226020.15</v>
      </c>
      <c r="AJ252" s="95"/>
      <c r="AK252" s="95">
        <v>509937.04</v>
      </c>
      <c r="AL252" s="24">
        <f>+'Gen Rev'!AI252-'Gen Exp'!AE252+'Gen Exp'!AI252-AK252</f>
        <v>0</v>
      </c>
      <c r="AM252" s="44" t="str">
        <f>'Gen Rev'!A252</f>
        <v>Greenhills</v>
      </c>
      <c r="AN252" s="21" t="str">
        <f t="shared" si="85"/>
        <v>Greenhills</v>
      </c>
      <c r="AO252" s="21" t="b">
        <f t="shared" si="86"/>
        <v>1</v>
      </c>
    </row>
    <row r="253" spans="1:41" ht="12.75">
      <c r="A253" s="1" t="s">
        <v>113</v>
      </c>
      <c r="C253" s="1" t="s">
        <v>780</v>
      </c>
      <c r="D253" s="23"/>
      <c r="E253" s="36">
        <v>299480.17</v>
      </c>
      <c r="F253" s="36"/>
      <c r="G253" s="36">
        <v>1045.7</v>
      </c>
      <c r="H253" s="36"/>
      <c r="I253" s="36">
        <v>0</v>
      </c>
      <c r="J253" s="36"/>
      <c r="K253" s="36">
        <v>0</v>
      </c>
      <c r="L253" s="36"/>
      <c r="M253" s="36">
        <v>7829.27</v>
      </c>
      <c r="N253" s="36"/>
      <c r="O253" s="36">
        <v>0</v>
      </c>
      <c r="P253" s="36"/>
      <c r="Q253" s="36">
        <v>122429.4</v>
      </c>
      <c r="R253" s="36"/>
      <c r="S253" s="36">
        <v>1136.4</v>
      </c>
      <c r="T253" s="36"/>
      <c r="U253" s="36">
        <v>0</v>
      </c>
      <c r="V253" s="36"/>
      <c r="W253" s="36">
        <v>0</v>
      </c>
      <c r="X253" s="36"/>
      <c r="Y253" s="36">
        <v>72620.14</v>
      </c>
      <c r="Z253" s="36"/>
      <c r="AA253" s="36">
        <v>0</v>
      </c>
      <c r="AB253" s="36"/>
      <c r="AC253" s="36">
        <v>0</v>
      </c>
      <c r="AD253" s="36"/>
      <c r="AE253" s="36">
        <f aca="true" t="shared" si="97" ref="AE253">SUM(E253:AC253)</f>
        <v>504541.0800000001</v>
      </c>
      <c r="AF253" s="36"/>
      <c r="AG253" s="36">
        <v>-85010.11</v>
      </c>
      <c r="AH253" s="36"/>
      <c r="AI253" s="36">
        <v>386850.68</v>
      </c>
      <c r="AJ253" s="36"/>
      <c r="AK253" s="36">
        <v>301840.57</v>
      </c>
      <c r="AL253" s="24">
        <f>+'Gen Rev'!AI253-'Gen Exp'!AE253+'Gen Exp'!AI253-AK253</f>
        <v>0</v>
      </c>
      <c r="AM253" s="44" t="str">
        <f>'Gen Rev'!A253</f>
        <v>Greenwich</v>
      </c>
      <c r="AN253" s="21" t="str">
        <f t="shared" si="85"/>
        <v>Greenwich</v>
      </c>
      <c r="AO253" s="21" t="b">
        <f t="shared" si="86"/>
        <v>1</v>
      </c>
    </row>
    <row r="254" spans="1:41" s="21" customFormat="1" ht="12.6" customHeight="1" hidden="1">
      <c r="A254" s="1" t="s">
        <v>354</v>
      </c>
      <c r="B254" s="1"/>
      <c r="C254" s="1" t="s">
        <v>353</v>
      </c>
      <c r="D254" s="1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>
        <f t="shared" si="78"/>
        <v>0</v>
      </c>
      <c r="AF254" s="83"/>
      <c r="AG254" s="36"/>
      <c r="AH254" s="36"/>
      <c r="AI254" s="36"/>
      <c r="AJ254" s="36"/>
      <c r="AK254" s="36"/>
      <c r="AL254" s="24">
        <f>+'Gen Rev'!AI254-'Gen Exp'!AE254+'Gen Exp'!AI254-AK254</f>
        <v>0</v>
      </c>
      <c r="AM254" s="44" t="str">
        <f>'Gen Rev'!A254</f>
        <v>Groveport</v>
      </c>
      <c r="AN254" s="21" t="str">
        <f t="shared" si="85"/>
        <v>Groveport</v>
      </c>
      <c r="AO254" s="21" t="b">
        <f t="shared" si="86"/>
        <v>1</v>
      </c>
    </row>
    <row r="255" spans="1:41" ht="12.75">
      <c r="A255" s="1" t="s">
        <v>690</v>
      </c>
      <c r="C255" s="1" t="s">
        <v>497</v>
      </c>
      <c r="E255" s="83">
        <v>4855</v>
      </c>
      <c r="F255" s="83"/>
      <c r="G255" s="83">
        <v>86</v>
      </c>
      <c r="H255" s="83"/>
      <c r="I255" s="83">
        <v>0</v>
      </c>
      <c r="J255" s="83"/>
      <c r="K255" s="83">
        <v>0</v>
      </c>
      <c r="L255" s="83"/>
      <c r="M255" s="83">
        <v>0</v>
      </c>
      <c r="N255" s="83"/>
      <c r="O255" s="83">
        <v>1278</v>
      </c>
      <c r="P255" s="83"/>
      <c r="Q255" s="83">
        <v>25940</v>
      </c>
      <c r="R255" s="83"/>
      <c r="S255" s="83">
        <v>0</v>
      </c>
      <c r="T255" s="83"/>
      <c r="U255" s="83">
        <v>0</v>
      </c>
      <c r="V255" s="83"/>
      <c r="W255" s="83">
        <v>0</v>
      </c>
      <c r="X255" s="83"/>
      <c r="Y255" s="83">
        <v>0</v>
      </c>
      <c r="Z255" s="83"/>
      <c r="AA255" s="83">
        <v>0</v>
      </c>
      <c r="AB255" s="83"/>
      <c r="AC255" s="83">
        <v>0</v>
      </c>
      <c r="AD255" s="83"/>
      <c r="AE255" s="83">
        <f t="shared" si="78"/>
        <v>32159</v>
      </c>
      <c r="AF255" s="83"/>
      <c r="AG255" s="83">
        <v>16375</v>
      </c>
      <c r="AH255" s="83"/>
      <c r="AI255" s="83">
        <v>13872</v>
      </c>
      <c r="AJ255" s="83"/>
      <c r="AK255" s="83">
        <v>30248</v>
      </c>
      <c r="AL255" s="24">
        <f>+'Gen Rev'!AI255-'Gen Exp'!AE255+'Gen Exp'!AI255-AK255</f>
        <v>-1</v>
      </c>
      <c r="AM255" s="44" t="str">
        <f>'Gen Rev'!A255</f>
        <v>Grower Hill</v>
      </c>
      <c r="AN255" s="21" t="str">
        <f t="shared" si="85"/>
        <v>Grower Hill</v>
      </c>
      <c r="AO255" s="21" t="b">
        <f t="shared" si="86"/>
        <v>1</v>
      </c>
    </row>
    <row r="256" spans="1:41" ht="12.75">
      <c r="A256" s="1" t="s">
        <v>365</v>
      </c>
      <c r="C256" s="1" t="s">
        <v>82</v>
      </c>
      <c r="E256" s="36">
        <v>27824.85</v>
      </c>
      <c r="F256" s="36"/>
      <c r="G256" s="36">
        <v>169.96</v>
      </c>
      <c r="H256" s="36"/>
      <c r="I256" s="36">
        <v>0</v>
      </c>
      <c r="J256" s="36"/>
      <c r="K256" s="36">
        <v>0</v>
      </c>
      <c r="L256" s="36"/>
      <c r="M256" s="36">
        <v>0</v>
      </c>
      <c r="N256" s="36"/>
      <c r="O256" s="36">
        <v>0</v>
      </c>
      <c r="P256" s="36"/>
      <c r="Q256" s="36">
        <v>31565.36</v>
      </c>
      <c r="R256" s="36"/>
      <c r="S256" s="36">
        <v>0</v>
      </c>
      <c r="T256" s="36"/>
      <c r="U256" s="36">
        <v>0</v>
      </c>
      <c r="V256" s="36"/>
      <c r="W256" s="36">
        <v>0</v>
      </c>
      <c r="X256" s="36"/>
      <c r="Y256" s="36">
        <v>0</v>
      </c>
      <c r="Z256" s="36"/>
      <c r="AA256" s="36">
        <v>0</v>
      </c>
      <c r="AB256" s="36"/>
      <c r="AC256" s="36">
        <v>0</v>
      </c>
      <c r="AD256" s="36"/>
      <c r="AE256" s="36">
        <f aca="true" t="shared" si="98" ref="AE256:AE259">SUM(E256:AC256)</f>
        <v>59560.17</v>
      </c>
      <c r="AF256" s="36"/>
      <c r="AG256" s="36">
        <v>17055.67</v>
      </c>
      <c r="AH256" s="36"/>
      <c r="AI256" s="36">
        <v>143116.76</v>
      </c>
      <c r="AJ256" s="36"/>
      <c r="AK256" s="36">
        <v>160172.43</v>
      </c>
      <c r="AL256" s="24">
        <f>+'Gen Rev'!AI256-'Gen Exp'!AE256+'Gen Exp'!AI256-AK256</f>
        <v>0</v>
      </c>
      <c r="AM256" s="44" t="str">
        <f>'Gen Rev'!A256</f>
        <v>Hamden</v>
      </c>
      <c r="AN256" s="21" t="str">
        <f t="shared" si="85"/>
        <v>Hamden</v>
      </c>
      <c r="AO256" s="21" t="b">
        <f t="shared" si="86"/>
        <v>1</v>
      </c>
    </row>
    <row r="257" spans="1:41" s="21" customFormat="1" ht="12.75">
      <c r="A257" s="1" t="s">
        <v>23</v>
      </c>
      <c r="B257" s="1"/>
      <c r="C257" s="1" t="s">
        <v>751</v>
      </c>
      <c r="D257" s="23"/>
      <c r="E257" s="36">
        <v>14244.73</v>
      </c>
      <c r="F257" s="36"/>
      <c r="G257" s="36">
        <v>1184.15</v>
      </c>
      <c r="H257" s="36"/>
      <c r="I257" s="36">
        <v>0</v>
      </c>
      <c r="J257" s="36"/>
      <c r="K257" s="36">
        <v>0</v>
      </c>
      <c r="L257" s="36"/>
      <c r="M257" s="36">
        <v>0</v>
      </c>
      <c r="N257" s="36"/>
      <c r="O257" s="36">
        <v>0</v>
      </c>
      <c r="P257" s="36"/>
      <c r="Q257" s="36">
        <v>17813.06</v>
      </c>
      <c r="R257" s="36"/>
      <c r="S257" s="36">
        <v>0</v>
      </c>
      <c r="T257" s="36"/>
      <c r="U257" s="36">
        <v>0</v>
      </c>
      <c r="V257" s="36"/>
      <c r="W257" s="36">
        <v>0</v>
      </c>
      <c r="X257" s="36"/>
      <c r="Y257" s="36">
        <v>0</v>
      </c>
      <c r="Z257" s="36"/>
      <c r="AA257" s="36">
        <v>0</v>
      </c>
      <c r="AB257" s="36"/>
      <c r="AC257" s="36">
        <v>0</v>
      </c>
      <c r="AD257" s="36"/>
      <c r="AE257" s="36">
        <f t="shared" si="98"/>
        <v>33241.94</v>
      </c>
      <c r="AF257" s="36"/>
      <c r="AG257" s="36">
        <v>13141.53</v>
      </c>
      <c r="AH257" s="36"/>
      <c r="AI257" s="36">
        <v>2830.84</v>
      </c>
      <c r="AJ257" s="36"/>
      <c r="AK257" s="36">
        <v>15972.37</v>
      </c>
      <c r="AL257" s="24">
        <f>+'Gen Rev'!AI257-'Gen Exp'!AE257+'Gen Exp'!AI257-AK257</f>
        <v>0</v>
      </c>
      <c r="AM257" s="44" t="str">
        <f>'Gen Rev'!A257</f>
        <v>Hamersville</v>
      </c>
      <c r="AN257" s="21" t="str">
        <f t="shared" si="85"/>
        <v>Hamersville</v>
      </c>
      <c r="AO257" s="21" t="b">
        <f t="shared" si="86"/>
        <v>1</v>
      </c>
    </row>
    <row r="258" spans="1:41" s="21" customFormat="1" ht="12.75">
      <c r="A258" s="1" t="s">
        <v>943</v>
      </c>
      <c r="B258" s="1"/>
      <c r="C258" s="1" t="s">
        <v>407</v>
      </c>
      <c r="D258" s="23"/>
      <c r="E258" s="36">
        <v>43523.86</v>
      </c>
      <c r="F258" s="36"/>
      <c r="G258" s="36">
        <v>231.72</v>
      </c>
      <c r="H258" s="36"/>
      <c r="I258" s="36">
        <v>698.8</v>
      </c>
      <c r="J258" s="36"/>
      <c r="K258" s="36">
        <v>0</v>
      </c>
      <c r="L258" s="36"/>
      <c r="M258" s="36">
        <v>379.64</v>
      </c>
      <c r="N258" s="36"/>
      <c r="O258" s="36">
        <v>4905.92</v>
      </c>
      <c r="P258" s="36"/>
      <c r="Q258" s="36">
        <v>221128.41</v>
      </c>
      <c r="R258" s="36"/>
      <c r="S258" s="36">
        <v>0</v>
      </c>
      <c r="T258" s="36"/>
      <c r="U258" s="36">
        <v>0</v>
      </c>
      <c r="V258" s="36"/>
      <c r="W258" s="36">
        <v>0</v>
      </c>
      <c r="X258" s="36"/>
      <c r="Y258" s="36">
        <v>0</v>
      </c>
      <c r="Z258" s="36"/>
      <c r="AA258" s="36">
        <v>0</v>
      </c>
      <c r="AB258" s="36"/>
      <c r="AC258" s="36">
        <v>30389.32</v>
      </c>
      <c r="AD258" s="36"/>
      <c r="AE258" s="36">
        <f t="shared" si="98"/>
        <v>301257.67</v>
      </c>
      <c r="AF258" s="36"/>
      <c r="AG258" s="36">
        <v>13178.39</v>
      </c>
      <c r="AH258" s="36"/>
      <c r="AI258" s="36">
        <v>39595.09</v>
      </c>
      <c r="AJ258" s="36"/>
      <c r="AK258" s="36">
        <v>52773.48</v>
      </c>
      <c r="AL258" s="24">
        <f>+'Gen Rev'!AI258-'Gen Exp'!AE258+'Gen Exp'!AI258-AK258</f>
        <v>0</v>
      </c>
      <c r="AM258" s="44" t="str">
        <f>'Gen Rev'!A258</f>
        <v>Hamler</v>
      </c>
      <c r="AN258" s="21" t="str">
        <f t="shared" si="85"/>
        <v>Hamler</v>
      </c>
      <c r="AO258" s="21" t="b">
        <f t="shared" si="86"/>
        <v>1</v>
      </c>
    </row>
    <row r="259" spans="1:41" s="21" customFormat="1" ht="12.75">
      <c r="A259" s="1" t="s">
        <v>126</v>
      </c>
      <c r="B259" s="1"/>
      <c r="C259" s="1" t="s">
        <v>784</v>
      </c>
      <c r="D259" s="23"/>
      <c r="E259" s="36">
        <v>141619.13</v>
      </c>
      <c r="F259" s="36"/>
      <c r="G259" s="36">
        <v>0</v>
      </c>
      <c r="H259" s="36"/>
      <c r="I259" s="36">
        <v>3539.59</v>
      </c>
      <c r="J259" s="36"/>
      <c r="K259" s="36">
        <v>0</v>
      </c>
      <c r="L259" s="36"/>
      <c r="M259" s="36">
        <v>203.4</v>
      </c>
      <c r="N259" s="36"/>
      <c r="O259" s="36">
        <v>0</v>
      </c>
      <c r="P259" s="36"/>
      <c r="Q259" s="36">
        <v>85283.53</v>
      </c>
      <c r="R259" s="36"/>
      <c r="S259" s="36">
        <v>0</v>
      </c>
      <c r="T259" s="36"/>
      <c r="U259" s="36">
        <v>8872.66</v>
      </c>
      <c r="V259" s="36"/>
      <c r="W259" s="36">
        <v>865.42</v>
      </c>
      <c r="X259" s="36"/>
      <c r="Y259" s="36">
        <v>0</v>
      </c>
      <c r="Z259" s="36"/>
      <c r="AA259" s="36">
        <v>0</v>
      </c>
      <c r="AB259" s="36"/>
      <c r="AC259" s="36">
        <v>43505</v>
      </c>
      <c r="AD259" s="36"/>
      <c r="AE259" s="36">
        <f t="shared" si="98"/>
        <v>283888.73</v>
      </c>
      <c r="AF259" s="36"/>
      <c r="AG259" s="36">
        <v>-90535.41</v>
      </c>
      <c r="AH259" s="36"/>
      <c r="AI259" s="36">
        <v>103943.93</v>
      </c>
      <c r="AJ259" s="36"/>
      <c r="AK259" s="36">
        <v>13408.52</v>
      </c>
      <c r="AL259" s="24">
        <f>+'Gen Rev'!AI259-'Gen Exp'!AE259+'Gen Exp'!AI259-AK259</f>
        <v>1.8189894035458565E-11</v>
      </c>
      <c r="AM259" s="44" t="str">
        <f>'Gen Rev'!A259</f>
        <v>Hanging Rock</v>
      </c>
      <c r="AN259" s="21" t="str">
        <f t="shared" si="85"/>
        <v>Hanging Rock</v>
      </c>
      <c r="AO259" s="21" t="b">
        <f t="shared" si="86"/>
        <v>1</v>
      </c>
    </row>
    <row r="260" spans="1:41" s="21" customFormat="1" ht="12.75">
      <c r="A260" s="1" t="s">
        <v>833</v>
      </c>
      <c r="B260" s="1"/>
      <c r="C260" s="1" t="s">
        <v>439</v>
      </c>
      <c r="D260" s="1"/>
      <c r="E260" s="95">
        <v>16299.34</v>
      </c>
      <c r="F260" s="95"/>
      <c r="G260" s="95">
        <v>0</v>
      </c>
      <c r="H260" s="95"/>
      <c r="I260" s="95">
        <v>0</v>
      </c>
      <c r="J260" s="95"/>
      <c r="K260" s="95">
        <v>0</v>
      </c>
      <c r="L260" s="95"/>
      <c r="M260" s="95">
        <v>14296.08</v>
      </c>
      <c r="N260" s="95"/>
      <c r="O260" s="95">
        <v>0</v>
      </c>
      <c r="P260" s="95"/>
      <c r="Q260" s="95">
        <v>67418.74</v>
      </c>
      <c r="R260" s="95"/>
      <c r="S260" s="95">
        <v>0</v>
      </c>
      <c r="T260" s="95"/>
      <c r="U260" s="95">
        <v>0</v>
      </c>
      <c r="V260" s="95"/>
      <c r="W260" s="95">
        <v>0</v>
      </c>
      <c r="X260" s="95"/>
      <c r="Y260" s="95">
        <v>0</v>
      </c>
      <c r="Z260" s="95"/>
      <c r="AA260" s="95">
        <v>0</v>
      </c>
      <c r="AB260" s="95"/>
      <c r="AC260" s="95">
        <v>0</v>
      </c>
      <c r="AD260" s="95"/>
      <c r="AE260" s="95">
        <f aca="true" t="shared" si="99" ref="AE260:AE266">SUM(E260:AC260)</f>
        <v>98014.16</v>
      </c>
      <c r="AF260" s="95"/>
      <c r="AG260" s="95">
        <v>-8816.78</v>
      </c>
      <c r="AH260" s="95"/>
      <c r="AI260" s="95">
        <v>26846.98</v>
      </c>
      <c r="AJ260" s="95"/>
      <c r="AK260" s="95">
        <v>18030.2</v>
      </c>
      <c r="AL260" s="24">
        <f>+'Gen Rev'!AI260-'Gen Exp'!AE260+'Gen Exp'!AI260-AK260</f>
        <v>0</v>
      </c>
      <c r="AM260" s="44" t="str">
        <f>'Gen Rev'!A260</f>
        <v>Hanover</v>
      </c>
      <c r="AN260" s="21" t="str">
        <f t="shared" si="85"/>
        <v>Hanover</v>
      </c>
      <c r="AO260" s="21" t="b">
        <f t="shared" si="86"/>
        <v>1</v>
      </c>
    </row>
    <row r="261" spans="1:41" s="21" customFormat="1" ht="12.75">
      <c r="A261" s="1" t="s">
        <v>42</v>
      </c>
      <c r="B261" s="1"/>
      <c r="C261" s="1" t="s">
        <v>758</v>
      </c>
      <c r="D261" s="23"/>
      <c r="E261" s="95">
        <v>4671.14</v>
      </c>
      <c r="F261" s="95"/>
      <c r="G261" s="95">
        <v>575.25</v>
      </c>
      <c r="H261" s="95"/>
      <c r="I261" s="95">
        <v>1517.95</v>
      </c>
      <c r="J261" s="95"/>
      <c r="K261" s="95">
        <v>0</v>
      </c>
      <c r="L261" s="95"/>
      <c r="M261" s="95">
        <v>0</v>
      </c>
      <c r="N261" s="95"/>
      <c r="O261" s="95">
        <v>333.92</v>
      </c>
      <c r="P261" s="95"/>
      <c r="Q261" s="95">
        <v>27885.08</v>
      </c>
      <c r="R261" s="95"/>
      <c r="S261" s="95">
        <v>4666.36</v>
      </c>
      <c r="T261" s="95"/>
      <c r="U261" s="95">
        <v>0</v>
      </c>
      <c r="V261" s="95"/>
      <c r="W261" s="95">
        <v>1066</v>
      </c>
      <c r="X261" s="95"/>
      <c r="Y261" s="95">
        <v>7800</v>
      </c>
      <c r="Z261" s="95"/>
      <c r="AA261" s="95">
        <v>0</v>
      </c>
      <c r="AB261" s="95"/>
      <c r="AC261" s="95">
        <v>0</v>
      </c>
      <c r="AD261" s="95"/>
      <c r="AE261" s="95">
        <f t="shared" si="99"/>
        <v>48515.700000000004</v>
      </c>
      <c r="AF261" s="95"/>
      <c r="AG261" s="95">
        <v>4409.17</v>
      </c>
      <c r="AH261" s="95"/>
      <c r="AI261" s="95">
        <v>45761.79</v>
      </c>
      <c r="AJ261" s="95"/>
      <c r="AK261" s="95">
        <v>50170.96</v>
      </c>
      <c r="AL261" s="24">
        <f>+'Gen Rev'!AI261-'Gen Exp'!AE261+'Gen Exp'!AI261-AK261</f>
        <v>0</v>
      </c>
      <c r="AM261" s="44" t="str">
        <f>'Gen Rev'!A261</f>
        <v>Hanoverton</v>
      </c>
      <c r="AN261" s="21" t="str">
        <f t="shared" si="85"/>
        <v>Hanoverton</v>
      </c>
      <c r="AO261" s="21" t="b">
        <f t="shared" si="86"/>
        <v>1</v>
      </c>
    </row>
    <row r="262" spans="1:41" s="21" customFormat="1" ht="12.75">
      <c r="A262" s="1" t="s">
        <v>140</v>
      </c>
      <c r="B262" s="1"/>
      <c r="C262" s="1" t="s">
        <v>788</v>
      </c>
      <c r="D262" s="23"/>
      <c r="E262" s="95">
        <v>21.39</v>
      </c>
      <c r="F262" s="95"/>
      <c r="G262" s="95">
        <v>132.97</v>
      </c>
      <c r="H262" s="95"/>
      <c r="I262" s="95">
        <v>0</v>
      </c>
      <c r="J262" s="95"/>
      <c r="K262" s="95">
        <v>276.71</v>
      </c>
      <c r="L262" s="95"/>
      <c r="M262" s="95">
        <v>0</v>
      </c>
      <c r="N262" s="95"/>
      <c r="O262" s="95">
        <v>0</v>
      </c>
      <c r="P262" s="95"/>
      <c r="Q262" s="95">
        <v>30022.19</v>
      </c>
      <c r="R262" s="95"/>
      <c r="S262" s="95">
        <v>0</v>
      </c>
      <c r="T262" s="95"/>
      <c r="U262" s="95">
        <v>0</v>
      </c>
      <c r="V262" s="95"/>
      <c r="W262" s="95">
        <v>0</v>
      </c>
      <c r="X262" s="95"/>
      <c r="Y262" s="95">
        <v>0</v>
      </c>
      <c r="Z262" s="95"/>
      <c r="AA262" s="95">
        <v>0</v>
      </c>
      <c r="AB262" s="95"/>
      <c r="AC262" s="95">
        <v>0</v>
      </c>
      <c r="AD262" s="95"/>
      <c r="AE262" s="95">
        <f t="shared" si="99"/>
        <v>30453.26</v>
      </c>
      <c r="AF262" s="95"/>
      <c r="AG262" s="95">
        <v>12423.58</v>
      </c>
      <c r="AH262" s="95"/>
      <c r="AI262" s="95">
        <v>4848.37</v>
      </c>
      <c r="AJ262" s="95"/>
      <c r="AK262" s="95">
        <v>17271.95</v>
      </c>
      <c r="AL262" s="24">
        <f>+'Gen Rev'!AI262-'Gen Exp'!AE262+'Gen Exp'!AI262-AK262</f>
        <v>0</v>
      </c>
      <c r="AM262" s="44" t="str">
        <f>'Gen Rev'!A262</f>
        <v>Harbor View</v>
      </c>
      <c r="AN262" s="21" t="str">
        <f t="shared" si="85"/>
        <v>Harbor View</v>
      </c>
      <c r="AO262" s="21" t="b">
        <f t="shared" si="86"/>
        <v>1</v>
      </c>
    </row>
    <row r="263" spans="1:41" ht="12.75">
      <c r="A263" s="1" t="s">
        <v>264</v>
      </c>
      <c r="C263" s="1" t="s">
        <v>826</v>
      </c>
      <c r="D263" s="23"/>
      <c r="E263" s="95">
        <v>7034.6</v>
      </c>
      <c r="F263" s="95"/>
      <c r="G263" s="95">
        <v>499.31</v>
      </c>
      <c r="H263" s="95"/>
      <c r="I263" s="95">
        <v>3291.03</v>
      </c>
      <c r="J263" s="95"/>
      <c r="K263" s="95">
        <v>0</v>
      </c>
      <c r="L263" s="95"/>
      <c r="M263" s="95">
        <v>0</v>
      </c>
      <c r="N263" s="95"/>
      <c r="O263" s="95">
        <v>0</v>
      </c>
      <c r="P263" s="95"/>
      <c r="Q263" s="95">
        <v>17334.21</v>
      </c>
      <c r="R263" s="95"/>
      <c r="S263" s="95">
        <v>0</v>
      </c>
      <c r="T263" s="95"/>
      <c r="U263" s="95">
        <v>0</v>
      </c>
      <c r="V263" s="95"/>
      <c r="W263" s="95">
        <v>0</v>
      </c>
      <c r="X263" s="95"/>
      <c r="Y263" s="95">
        <v>0</v>
      </c>
      <c r="Z263" s="95"/>
      <c r="AA263" s="95">
        <v>0</v>
      </c>
      <c r="AB263" s="95"/>
      <c r="AC263" s="95">
        <v>0</v>
      </c>
      <c r="AD263" s="95"/>
      <c r="AE263" s="95">
        <f t="shared" si="99"/>
        <v>28159.15</v>
      </c>
      <c r="AF263" s="95"/>
      <c r="AG263" s="95">
        <v>-5745.8</v>
      </c>
      <c r="AH263" s="95"/>
      <c r="AI263" s="95">
        <v>36509.31</v>
      </c>
      <c r="AJ263" s="95"/>
      <c r="AK263" s="95">
        <v>30763.51</v>
      </c>
      <c r="AL263" s="24">
        <f>+'Gen Rev'!AI263-'Gen Exp'!AE263+'Gen Exp'!AI263-AK263</f>
        <v>0</v>
      </c>
      <c r="AM263" s="44" t="str">
        <f>'Gen Rev'!A263</f>
        <v>Harpster</v>
      </c>
      <c r="AN263" s="21" t="str">
        <f t="shared" si="85"/>
        <v>Harpster</v>
      </c>
      <c r="AO263" s="21" t="b">
        <f t="shared" si="86"/>
        <v>1</v>
      </c>
    </row>
    <row r="264" spans="1:41" ht="12.75">
      <c r="A264" s="1" t="s">
        <v>944</v>
      </c>
      <c r="C264" s="1" t="s">
        <v>353</v>
      </c>
      <c r="D264" s="23"/>
      <c r="E264" s="95">
        <v>29806.09</v>
      </c>
      <c r="F264" s="95"/>
      <c r="G264" s="95">
        <v>1112.44</v>
      </c>
      <c r="H264" s="95"/>
      <c r="I264" s="95">
        <v>0</v>
      </c>
      <c r="J264" s="95"/>
      <c r="K264" s="95">
        <v>0</v>
      </c>
      <c r="L264" s="95"/>
      <c r="M264" s="95">
        <v>0</v>
      </c>
      <c r="N264" s="95"/>
      <c r="O264" s="95">
        <v>0</v>
      </c>
      <c r="P264" s="95"/>
      <c r="Q264" s="95">
        <v>88732.22</v>
      </c>
      <c r="R264" s="95"/>
      <c r="S264" s="95">
        <v>0</v>
      </c>
      <c r="T264" s="95"/>
      <c r="U264" s="95">
        <v>2500</v>
      </c>
      <c r="V264" s="95"/>
      <c r="W264" s="95">
        <v>0</v>
      </c>
      <c r="X264" s="95"/>
      <c r="Y264" s="95">
        <v>0</v>
      </c>
      <c r="Z264" s="95"/>
      <c r="AA264" s="95">
        <v>0</v>
      </c>
      <c r="AB264" s="95"/>
      <c r="AC264" s="95">
        <v>0</v>
      </c>
      <c r="AD264" s="95"/>
      <c r="AE264" s="95">
        <f t="shared" si="99"/>
        <v>122150.75</v>
      </c>
      <c r="AF264" s="95"/>
      <c r="AG264" s="95">
        <v>31276.48</v>
      </c>
      <c r="AH264" s="95"/>
      <c r="AI264" s="95">
        <v>-9441.76</v>
      </c>
      <c r="AJ264" s="95"/>
      <c r="AK264" s="95">
        <v>21834.72</v>
      </c>
      <c r="AL264" s="24">
        <f>+'Gen Rev'!AI264-'Gen Exp'!AE264+'Gen Exp'!AI264-AK264</f>
        <v>3.637978807091713E-11</v>
      </c>
      <c r="AM264" s="44" t="str">
        <f>'Gen Rev'!A264</f>
        <v>Harrisburg</v>
      </c>
      <c r="AN264" s="21" t="str">
        <f t="shared" si="85"/>
        <v>Harrisburg</v>
      </c>
      <c r="AO264" s="21" t="b">
        <f t="shared" si="86"/>
        <v>1</v>
      </c>
    </row>
    <row r="265" spans="1:41" s="21" customFormat="1" ht="12.75">
      <c r="A265" s="1" t="s">
        <v>845</v>
      </c>
      <c r="B265" s="1"/>
      <c r="C265" s="1" t="s">
        <v>776</v>
      </c>
      <c r="D265" s="23"/>
      <c r="E265" s="95">
        <v>7382.28</v>
      </c>
      <c r="F265" s="95"/>
      <c r="G265" s="95">
        <v>253.71</v>
      </c>
      <c r="H265" s="95"/>
      <c r="I265" s="95">
        <v>8921.67</v>
      </c>
      <c r="J265" s="95"/>
      <c r="K265" s="95">
        <v>0</v>
      </c>
      <c r="L265" s="95"/>
      <c r="M265" s="95">
        <v>0</v>
      </c>
      <c r="N265" s="95"/>
      <c r="O265" s="95">
        <v>0</v>
      </c>
      <c r="P265" s="95"/>
      <c r="Q265" s="95">
        <v>19050.59</v>
      </c>
      <c r="R265" s="95"/>
      <c r="S265" s="95">
        <v>0</v>
      </c>
      <c r="T265" s="95"/>
      <c r="U265" s="95">
        <v>0</v>
      </c>
      <c r="V265" s="95"/>
      <c r="W265" s="95">
        <v>1197.77</v>
      </c>
      <c r="X265" s="95"/>
      <c r="Y265" s="95">
        <v>0</v>
      </c>
      <c r="Z265" s="95"/>
      <c r="AA265" s="95">
        <v>0</v>
      </c>
      <c r="AB265" s="95"/>
      <c r="AC265" s="95">
        <v>329.4</v>
      </c>
      <c r="AD265" s="95"/>
      <c r="AE265" s="95">
        <f t="shared" si="99"/>
        <v>37135.42</v>
      </c>
      <c r="AF265" s="95"/>
      <c r="AG265" s="95">
        <v>-4420.76</v>
      </c>
      <c r="AH265" s="95"/>
      <c r="AI265" s="95">
        <v>46501.39</v>
      </c>
      <c r="AJ265" s="95"/>
      <c r="AK265" s="95">
        <v>42080.63</v>
      </c>
      <c r="AL265" s="24">
        <f>+'Gen Rev'!AI265-'Gen Exp'!AE265+'Gen Exp'!AI265-AK265</f>
        <v>0</v>
      </c>
      <c r="AM265" s="44" t="str">
        <f>'Gen Rev'!A265</f>
        <v>Harrisville</v>
      </c>
      <c r="AN265" s="21" t="str">
        <f t="shared" si="85"/>
        <v>Harrisville</v>
      </c>
      <c r="AO265" s="21" t="b">
        <f t="shared" si="86"/>
        <v>1</v>
      </c>
    </row>
    <row r="266" spans="1:41" ht="12.75">
      <c r="A266" s="1" t="s">
        <v>4</v>
      </c>
      <c r="C266" s="1" t="s">
        <v>746</v>
      </c>
      <c r="D266" s="23"/>
      <c r="E266" s="95">
        <v>6727.48</v>
      </c>
      <c r="F266" s="95"/>
      <c r="G266" s="95">
        <v>0</v>
      </c>
      <c r="H266" s="95"/>
      <c r="I266" s="95">
        <v>1972.19</v>
      </c>
      <c r="J266" s="95"/>
      <c r="K266" s="95">
        <v>0</v>
      </c>
      <c r="L266" s="95"/>
      <c r="M266" s="95">
        <v>0</v>
      </c>
      <c r="N266" s="95"/>
      <c r="O266" s="95">
        <v>0</v>
      </c>
      <c r="P266" s="95"/>
      <c r="Q266" s="95">
        <v>33824.49</v>
      </c>
      <c r="R266" s="95"/>
      <c r="S266" s="95">
        <v>870</v>
      </c>
      <c r="T266" s="95"/>
      <c r="U266" s="95">
        <v>0</v>
      </c>
      <c r="V266" s="95"/>
      <c r="W266" s="95">
        <v>0</v>
      </c>
      <c r="X266" s="95"/>
      <c r="Y266" s="95">
        <v>0</v>
      </c>
      <c r="Z266" s="95"/>
      <c r="AA266" s="95">
        <v>0</v>
      </c>
      <c r="AB266" s="95"/>
      <c r="AC266" s="95">
        <v>0</v>
      </c>
      <c r="AD266" s="95"/>
      <c r="AE266" s="95">
        <f t="shared" si="99"/>
        <v>43394.159999999996</v>
      </c>
      <c r="AF266" s="95"/>
      <c r="AG266" s="95">
        <v>12406.52</v>
      </c>
      <c r="AH266" s="95"/>
      <c r="AI266" s="95">
        <v>-5364.31</v>
      </c>
      <c r="AJ266" s="95"/>
      <c r="AK266" s="95">
        <v>7042.21</v>
      </c>
      <c r="AL266" s="24">
        <f>+'Gen Rev'!AI266-'Gen Exp'!AE266+'Gen Exp'!AI266-AK266</f>
        <v>0</v>
      </c>
      <c r="AM266" s="44" t="str">
        <f>'Gen Rev'!A266</f>
        <v>Harrod</v>
      </c>
      <c r="AN266" s="21" t="str">
        <f t="shared" si="85"/>
        <v>Harrod</v>
      </c>
      <c r="AO266" s="21" t="b">
        <f t="shared" si="86"/>
        <v>1</v>
      </c>
    </row>
    <row r="267" spans="1:41" s="21" customFormat="1" ht="12.75">
      <c r="A267" s="1" t="s">
        <v>441</v>
      </c>
      <c r="B267" s="1"/>
      <c r="C267" s="1" t="s">
        <v>439</v>
      </c>
      <c r="D267" s="1"/>
      <c r="E267" s="83">
        <v>26272</v>
      </c>
      <c r="F267" s="83"/>
      <c r="G267" s="83">
        <v>898</v>
      </c>
      <c r="H267" s="83"/>
      <c r="I267" s="83">
        <v>0</v>
      </c>
      <c r="J267" s="83"/>
      <c r="K267" s="83">
        <v>8958</v>
      </c>
      <c r="L267" s="83"/>
      <c r="M267" s="83">
        <v>10985</v>
      </c>
      <c r="N267" s="83"/>
      <c r="O267" s="83">
        <v>0</v>
      </c>
      <c r="P267" s="83"/>
      <c r="Q267" s="83">
        <v>19886</v>
      </c>
      <c r="R267" s="83"/>
      <c r="S267" s="83">
        <v>0</v>
      </c>
      <c r="T267" s="83"/>
      <c r="U267" s="83">
        <v>0</v>
      </c>
      <c r="V267" s="83"/>
      <c r="W267" s="83">
        <v>0</v>
      </c>
      <c r="X267" s="83"/>
      <c r="Y267" s="83">
        <v>0</v>
      </c>
      <c r="Z267" s="83"/>
      <c r="AA267" s="83">
        <v>0</v>
      </c>
      <c r="AB267" s="83"/>
      <c r="AC267" s="83">
        <v>0</v>
      </c>
      <c r="AD267" s="83"/>
      <c r="AE267" s="83">
        <f t="shared" si="78"/>
        <v>66999</v>
      </c>
      <c r="AF267" s="83"/>
      <c r="AG267" s="83"/>
      <c r="AH267" s="83"/>
      <c r="AI267" s="83"/>
      <c r="AJ267" s="83"/>
      <c r="AK267" s="83"/>
      <c r="AL267" s="24">
        <f>+'Gen Rev'!AI267-'Gen Exp'!AE267+'Gen Exp'!AI267-AK267</f>
        <v>-17088</v>
      </c>
      <c r="AM267" s="44" t="str">
        <f>'Gen Rev'!A267</f>
        <v>Hartford</v>
      </c>
      <c r="AN267" s="21" t="str">
        <f t="shared" si="85"/>
        <v>Hartford</v>
      </c>
      <c r="AO267" s="21" t="b">
        <f t="shared" si="86"/>
        <v>1</v>
      </c>
    </row>
    <row r="268" spans="1:41" s="15" customFormat="1" ht="12.75">
      <c r="A268" s="1" t="s">
        <v>545</v>
      </c>
      <c r="B268" s="1"/>
      <c r="C268" s="1" t="s">
        <v>542</v>
      </c>
      <c r="D268" s="1"/>
      <c r="E268" s="83">
        <v>582984.9</v>
      </c>
      <c r="F268" s="83"/>
      <c r="G268" s="83">
        <v>19430</v>
      </c>
      <c r="H268" s="83"/>
      <c r="I268" s="83">
        <v>13855</v>
      </c>
      <c r="J268" s="83"/>
      <c r="K268" s="83">
        <v>2445.3</v>
      </c>
      <c r="L268" s="83"/>
      <c r="M268" s="83">
        <v>0</v>
      </c>
      <c r="N268" s="83"/>
      <c r="O268" s="83">
        <v>32081.06</v>
      </c>
      <c r="P268" s="83"/>
      <c r="Q268" s="83">
        <v>252033.88</v>
      </c>
      <c r="R268" s="83"/>
      <c r="S268" s="83">
        <v>45881.42</v>
      </c>
      <c r="T268" s="83"/>
      <c r="U268" s="83">
        <v>0</v>
      </c>
      <c r="V268" s="83"/>
      <c r="W268" s="83">
        <v>0</v>
      </c>
      <c r="X268" s="83"/>
      <c r="Y268" s="83">
        <v>1053000</v>
      </c>
      <c r="Z268" s="83"/>
      <c r="AA268" s="83">
        <v>90014</v>
      </c>
      <c r="AB268" s="83"/>
      <c r="AC268" s="83">
        <v>8456.73</v>
      </c>
      <c r="AD268" s="83"/>
      <c r="AE268" s="83">
        <f t="shared" si="78"/>
        <v>2100182.29</v>
      </c>
      <c r="AF268" s="83"/>
      <c r="AG268" s="85">
        <v>295049.68</v>
      </c>
      <c r="AH268" s="85"/>
      <c r="AI268" s="85">
        <v>250201.56</v>
      </c>
      <c r="AJ268" s="85"/>
      <c r="AK268" s="85">
        <v>545251.24</v>
      </c>
      <c r="AL268" s="24">
        <f>+'Gen Rev'!AI268-'Gen Exp'!AE268+'Gen Exp'!AI268-AK268</f>
        <v>0</v>
      </c>
      <c r="AM268" s="44" t="str">
        <f>'Gen Rev'!A268</f>
        <v>Hartville</v>
      </c>
      <c r="AN268" s="21" t="str">
        <f t="shared" si="85"/>
        <v>Hartville</v>
      </c>
      <c r="AO268" s="21" t="b">
        <f t="shared" si="86"/>
        <v>1</v>
      </c>
    </row>
    <row r="269" spans="1:41" ht="12.75">
      <c r="A269" s="1" t="s">
        <v>582</v>
      </c>
      <c r="C269" s="1" t="s">
        <v>583</v>
      </c>
      <c r="E269" s="36">
        <v>0</v>
      </c>
      <c r="F269" s="36"/>
      <c r="G269" s="36">
        <v>500</v>
      </c>
      <c r="H269" s="36"/>
      <c r="I269" s="36">
        <v>0</v>
      </c>
      <c r="J269" s="36"/>
      <c r="K269" s="36">
        <v>2144.93</v>
      </c>
      <c r="L269" s="36"/>
      <c r="M269" s="36">
        <v>51542.23</v>
      </c>
      <c r="N269" s="36"/>
      <c r="O269" s="36">
        <v>0</v>
      </c>
      <c r="P269" s="36"/>
      <c r="Q269" s="36">
        <v>118833.06</v>
      </c>
      <c r="R269" s="36"/>
      <c r="S269" s="36">
        <v>0</v>
      </c>
      <c r="T269" s="36"/>
      <c r="U269" s="36">
        <v>0</v>
      </c>
      <c r="V269" s="36"/>
      <c r="W269" s="36">
        <v>0</v>
      </c>
      <c r="X269" s="36"/>
      <c r="Y269" s="36">
        <v>61000</v>
      </c>
      <c r="Z269" s="36"/>
      <c r="AA269" s="36">
        <v>0</v>
      </c>
      <c r="AB269" s="36"/>
      <c r="AC269" s="36">
        <v>0</v>
      </c>
      <c r="AD269" s="36"/>
      <c r="AE269" s="36">
        <f aca="true" t="shared" si="100" ref="AE269:AE271">SUM(E269:AC269)</f>
        <v>234020.22</v>
      </c>
      <c r="AF269" s="36"/>
      <c r="AG269" s="36">
        <v>17517.11</v>
      </c>
      <c r="AH269" s="36"/>
      <c r="AI269" s="36">
        <v>71684.42</v>
      </c>
      <c r="AJ269" s="36"/>
      <c r="AK269" s="36">
        <v>89201.53</v>
      </c>
      <c r="AL269" s="24">
        <f>+'Gen Rev'!AI269-'Gen Exp'!AE269+'Gen Exp'!AI269-AK269</f>
        <v>0</v>
      </c>
      <c r="AM269" s="44" t="str">
        <f>'Gen Rev'!A269</f>
        <v>Harveysburg</v>
      </c>
      <c r="AN269" s="21" t="str">
        <f t="shared" si="85"/>
        <v>Harveysburg</v>
      </c>
      <c r="AO269" s="21" t="b">
        <f t="shared" si="86"/>
        <v>1</v>
      </c>
    </row>
    <row r="270" spans="4:41" s="10" customFormat="1" ht="12.75">
      <c r="D270" s="52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 t="s">
        <v>864</v>
      </c>
      <c r="AF270" s="83"/>
      <c r="AG270" s="83"/>
      <c r="AH270" s="83"/>
      <c r="AI270" s="83"/>
      <c r="AJ270" s="83"/>
      <c r="AK270" s="83"/>
      <c r="AL270" s="24"/>
      <c r="AM270" s="44"/>
      <c r="AN270" s="21"/>
      <c r="AO270" s="21"/>
    </row>
    <row r="271" spans="1:41" s="10" customFormat="1" ht="12.75">
      <c r="A271" s="10" t="s">
        <v>256</v>
      </c>
      <c r="C271" s="10" t="s">
        <v>825</v>
      </c>
      <c r="D271" s="52"/>
      <c r="E271" s="102">
        <v>122035.37</v>
      </c>
      <c r="F271" s="102"/>
      <c r="G271" s="102">
        <v>2735.56</v>
      </c>
      <c r="H271" s="102"/>
      <c r="I271" s="102">
        <v>27068.19</v>
      </c>
      <c r="J271" s="102"/>
      <c r="K271" s="102">
        <v>2727.66</v>
      </c>
      <c r="L271" s="102"/>
      <c r="M271" s="102">
        <v>10904.22</v>
      </c>
      <c r="N271" s="102"/>
      <c r="O271" s="102">
        <v>0</v>
      </c>
      <c r="P271" s="102"/>
      <c r="Q271" s="102">
        <v>87740.6</v>
      </c>
      <c r="R271" s="102"/>
      <c r="S271" s="102">
        <v>0</v>
      </c>
      <c r="T271" s="102"/>
      <c r="U271" s="102">
        <v>0</v>
      </c>
      <c r="V271" s="102"/>
      <c r="W271" s="102">
        <v>0</v>
      </c>
      <c r="X271" s="102"/>
      <c r="Y271" s="102">
        <v>30000</v>
      </c>
      <c r="Z271" s="102"/>
      <c r="AA271" s="102">
        <v>0</v>
      </c>
      <c r="AB271" s="102"/>
      <c r="AC271" s="102">
        <v>0</v>
      </c>
      <c r="AD271" s="102"/>
      <c r="AE271" s="102">
        <f t="shared" si="100"/>
        <v>283211.6</v>
      </c>
      <c r="AF271" s="36"/>
      <c r="AG271" s="36">
        <v>12764.11</v>
      </c>
      <c r="AH271" s="36"/>
      <c r="AI271" s="36">
        <v>266809.55</v>
      </c>
      <c r="AJ271" s="36"/>
      <c r="AK271" s="36">
        <v>279573.66</v>
      </c>
      <c r="AL271" s="24">
        <f>+'Gen Rev'!AI270-'Gen Exp'!AE271+'Gen Exp'!AI271-AK271</f>
        <v>0</v>
      </c>
      <c r="AM271" s="44" t="str">
        <f>'Gen Rev'!A270</f>
        <v>Haskins</v>
      </c>
      <c r="AN271" s="21" t="str">
        <f t="shared" si="85"/>
        <v>Haskins</v>
      </c>
      <c r="AO271" s="21" t="b">
        <f t="shared" si="86"/>
        <v>1</v>
      </c>
    </row>
    <row r="272" spans="1:41" ht="12.75">
      <c r="A272" s="1" t="s">
        <v>183</v>
      </c>
      <c r="C272" s="1" t="s">
        <v>803</v>
      </c>
      <c r="D272" s="23"/>
      <c r="E272" s="96">
        <v>6626.61</v>
      </c>
      <c r="F272" s="96"/>
      <c r="G272" s="96">
        <v>0</v>
      </c>
      <c r="H272" s="96"/>
      <c r="I272" s="96">
        <v>2455</v>
      </c>
      <c r="J272" s="96"/>
      <c r="K272" s="96">
        <v>0</v>
      </c>
      <c r="L272" s="96"/>
      <c r="M272" s="96">
        <v>0</v>
      </c>
      <c r="N272" s="96"/>
      <c r="O272" s="96">
        <v>0</v>
      </c>
      <c r="P272" s="96"/>
      <c r="Q272" s="96">
        <v>27521.81</v>
      </c>
      <c r="R272" s="96"/>
      <c r="S272" s="96">
        <v>0</v>
      </c>
      <c r="T272" s="96"/>
      <c r="U272" s="96">
        <v>0</v>
      </c>
      <c r="V272" s="96"/>
      <c r="W272" s="96">
        <v>0</v>
      </c>
      <c r="X272" s="96"/>
      <c r="Y272" s="96">
        <v>0</v>
      </c>
      <c r="Z272" s="96"/>
      <c r="AA272" s="96">
        <v>0</v>
      </c>
      <c r="AB272" s="96"/>
      <c r="AC272" s="96">
        <v>0</v>
      </c>
      <c r="AD272" s="96"/>
      <c r="AE272" s="96">
        <f aca="true" t="shared" si="101" ref="AE272">SUM(E272:AC272)</f>
        <v>36603.42</v>
      </c>
      <c r="AF272" s="95"/>
      <c r="AG272" s="95">
        <v>-2596.88</v>
      </c>
      <c r="AH272" s="95"/>
      <c r="AI272" s="95">
        <v>98230.55</v>
      </c>
      <c r="AJ272" s="95"/>
      <c r="AK272" s="95">
        <v>95633.67</v>
      </c>
      <c r="AL272" s="24">
        <f>+'Gen Rev'!AI271-'Gen Exp'!AE272+'Gen Exp'!AI272-AK272</f>
        <v>0</v>
      </c>
      <c r="AM272" s="44" t="str">
        <f>'Gen Rev'!A271</f>
        <v>Haviland</v>
      </c>
      <c r="AN272" s="21" t="str">
        <f t="shared" si="85"/>
        <v>Haviland</v>
      </c>
      <c r="AO272" s="21" t="b">
        <f t="shared" si="86"/>
        <v>1</v>
      </c>
    </row>
    <row r="273" spans="1:41" ht="12.75">
      <c r="A273" s="1" t="s">
        <v>7</v>
      </c>
      <c r="C273" s="1" t="s">
        <v>669</v>
      </c>
      <c r="D273" s="23"/>
      <c r="E273" s="36">
        <v>9611.08</v>
      </c>
      <c r="F273" s="36"/>
      <c r="G273" s="36">
        <v>0</v>
      </c>
      <c r="H273" s="36"/>
      <c r="I273" s="36">
        <v>50.46</v>
      </c>
      <c r="J273" s="36"/>
      <c r="K273" s="36">
        <v>400</v>
      </c>
      <c r="L273" s="36"/>
      <c r="M273" s="36">
        <v>0</v>
      </c>
      <c r="N273" s="36"/>
      <c r="O273" s="36">
        <v>0</v>
      </c>
      <c r="P273" s="36"/>
      <c r="Q273" s="36">
        <v>50625.03</v>
      </c>
      <c r="R273" s="36"/>
      <c r="S273" s="36">
        <v>0</v>
      </c>
      <c r="T273" s="36"/>
      <c r="U273" s="36">
        <v>0</v>
      </c>
      <c r="V273" s="36"/>
      <c r="W273" s="36">
        <v>0</v>
      </c>
      <c r="X273" s="36"/>
      <c r="Y273" s="36">
        <v>0</v>
      </c>
      <c r="Z273" s="36"/>
      <c r="AA273" s="36">
        <v>0</v>
      </c>
      <c r="AB273" s="36"/>
      <c r="AC273" s="36">
        <v>0</v>
      </c>
      <c r="AD273" s="36"/>
      <c r="AE273" s="36">
        <f aca="true" t="shared" si="102" ref="AE273:AE274">SUM(E273:AC273)</f>
        <v>60686.57</v>
      </c>
      <c r="AF273" s="36"/>
      <c r="AG273" s="36">
        <v>7103.82</v>
      </c>
      <c r="AH273" s="36"/>
      <c r="AI273" s="36">
        <v>37729.6</v>
      </c>
      <c r="AJ273" s="36"/>
      <c r="AK273" s="36">
        <v>44833.42</v>
      </c>
      <c r="AL273" s="24">
        <f>+'Gen Rev'!AI272-'Gen Exp'!AE273+'Gen Exp'!AI273-AK273</f>
        <v>0</v>
      </c>
      <c r="AM273" s="44" t="str">
        <f>'Gen Rev'!A272</f>
        <v>Hayesville</v>
      </c>
      <c r="AN273" s="21" t="str">
        <f t="shared" si="85"/>
        <v>Hayesville</v>
      </c>
      <c r="AO273" s="21" t="b">
        <f t="shared" si="86"/>
        <v>1</v>
      </c>
    </row>
    <row r="274" spans="1:41" ht="12.75">
      <c r="A274" s="1" t="s">
        <v>442</v>
      </c>
      <c r="C274" s="1" t="s">
        <v>439</v>
      </c>
      <c r="E274" s="36">
        <v>77327.6</v>
      </c>
      <c r="F274" s="36"/>
      <c r="G274" s="36">
        <v>0</v>
      </c>
      <c r="H274" s="36"/>
      <c r="I274" s="36">
        <v>0</v>
      </c>
      <c r="J274" s="36"/>
      <c r="K274" s="36">
        <v>67950.49</v>
      </c>
      <c r="L274" s="36"/>
      <c r="M274" s="36">
        <v>0</v>
      </c>
      <c r="N274" s="36"/>
      <c r="O274" s="36">
        <v>1032</v>
      </c>
      <c r="P274" s="36"/>
      <c r="Q274" s="36">
        <v>370707.66</v>
      </c>
      <c r="R274" s="36"/>
      <c r="S274" s="36">
        <v>4707.6</v>
      </c>
      <c r="T274" s="36"/>
      <c r="U274" s="36">
        <v>0</v>
      </c>
      <c r="V274" s="36"/>
      <c r="W274" s="36">
        <v>0</v>
      </c>
      <c r="X274" s="36"/>
      <c r="Y274" s="36">
        <v>1382500</v>
      </c>
      <c r="Z274" s="36"/>
      <c r="AA274" s="36">
        <v>0</v>
      </c>
      <c r="AB274" s="36"/>
      <c r="AC274" s="36">
        <v>0</v>
      </c>
      <c r="AD274" s="36"/>
      <c r="AE274" s="36">
        <f t="shared" si="102"/>
        <v>1904225.35</v>
      </c>
      <c r="AF274" s="36"/>
      <c r="AG274" s="36">
        <v>-180042.37</v>
      </c>
      <c r="AH274" s="36"/>
      <c r="AI274" s="36">
        <v>1342570.63</v>
      </c>
      <c r="AJ274" s="36"/>
      <c r="AK274" s="36">
        <v>1162528.26</v>
      </c>
      <c r="AL274" s="24">
        <f>+'Gen Rev'!AI273-'Gen Exp'!AE274+'Gen Exp'!AI274-AK274</f>
        <v>0</v>
      </c>
      <c r="AM274" s="44" t="str">
        <f>'Gen Rev'!A273</f>
        <v>Hebron</v>
      </c>
      <c r="AN274" s="21" t="str">
        <f t="shared" si="85"/>
        <v>Hebron</v>
      </c>
      <c r="AO274" s="21" t="b">
        <f t="shared" si="86"/>
        <v>1</v>
      </c>
    </row>
    <row r="275" spans="1:41" ht="12.75">
      <c r="A275" s="1" t="s">
        <v>214</v>
      </c>
      <c r="C275" s="1" t="s">
        <v>811</v>
      </c>
      <c r="D275" s="23"/>
      <c r="E275" s="95">
        <v>4541.21</v>
      </c>
      <c r="F275" s="95"/>
      <c r="G275" s="95">
        <v>127.52</v>
      </c>
      <c r="H275" s="95"/>
      <c r="I275" s="95">
        <v>10004.41</v>
      </c>
      <c r="J275" s="95"/>
      <c r="K275" s="95">
        <v>3130.24</v>
      </c>
      <c r="L275" s="95"/>
      <c r="M275" s="95">
        <v>13453.26</v>
      </c>
      <c r="N275" s="95"/>
      <c r="O275" s="95">
        <v>0</v>
      </c>
      <c r="P275" s="95"/>
      <c r="Q275" s="95">
        <v>28466.6</v>
      </c>
      <c r="R275" s="95"/>
      <c r="S275" s="95">
        <v>0</v>
      </c>
      <c r="T275" s="95"/>
      <c r="U275" s="95">
        <v>0</v>
      </c>
      <c r="V275" s="95"/>
      <c r="W275" s="95">
        <v>0</v>
      </c>
      <c r="X275" s="95"/>
      <c r="Y275" s="95">
        <v>0</v>
      </c>
      <c r="Z275" s="95"/>
      <c r="AA275" s="95">
        <v>0</v>
      </c>
      <c r="AB275" s="95"/>
      <c r="AC275" s="95">
        <v>0</v>
      </c>
      <c r="AD275" s="95"/>
      <c r="AE275" s="95">
        <f aca="true" t="shared" si="103" ref="AE275">SUM(E275:AC275)</f>
        <v>59723.24</v>
      </c>
      <c r="AF275" s="95"/>
      <c r="AG275" s="95">
        <v>-523.24</v>
      </c>
      <c r="AH275" s="95"/>
      <c r="AI275" s="95">
        <v>239936.83</v>
      </c>
      <c r="AJ275" s="95"/>
      <c r="AK275" s="95">
        <v>239413.59</v>
      </c>
      <c r="AL275" s="24">
        <f>+'Gen Rev'!AI274-'Gen Exp'!AE275+'Gen Exp'!AI275-AK275</f>
        <v>0</v>
      </c>
      <c r="AM275" s="44" t="str">
        <f>'Gen Rev'!A274</f>
        <v>Helena</v>
      </c>
      <c r="AN275" s="21" t="str">
        <f t="shared" si="85"/>
        <v>Helena</v>
      </c>
      <c r="AO275" s="21" t="b">
        <f t="shared" si="86"/>
        <v>1</v>
      </c>
    </row>
    <row r="276" spans="1:41" ht="12.6" customHeight="1">
      <c r="A276" s="1" t="s">
        <v>903</v>
      </c>
      <c r="C276" s="1" t="s">
        <v>501</v>
      </c>
      <c r="E276" s="83">
        <v>0</v>
      </c>
      <c r="F276" s="83"/>
      <c r="G276" s="83">
        <v>0</v>
      </c>
      <c r="H276" s="83"/>
      <c r="I276" s="83">
        <v>0</v>
      </c>
      <c r="J276" s="83"/>
      <c r="K276" s="83">
        <v>0</v>
      </c>
      <c r="L276" s="83"/>
      <c r="M276" s="83">
        <v>1112.96</v>
      </c>
      <c r="N276" s="83"/>
      <c r="O276" s="83">
        <v>0</v>
      </c>
      <c r="P276" s="83"/>
      <c r="Q276" s="83">
        <v>11038.92</v>
      </c>
      <c r="R276" s="83"/>
      <c r="S276" s="83">
        <v>0</v>
      </c>
      <c r="T276" s="83"/>
      <c r="U276" s="83">
        <v>0</v>
      </c>
      <c r="V276" s="83"/>
      <c r="W276" s="83">
        <v>0</v>
      </c>
      <c r="X276" s="83"/>
      <c r="Y276" s="83">
        <v>0</v>
      </c>
      <c r="Z276" s="83"/>
      <c r="AA276" s="83">
        <v>0</v>
      </c>
      <c r="AB276" s="83"/>
      <c r="AC276" s="83">
        <v>0</v>
      </c>
      <c r="AD276" s="83"/>
      <c r="AE276" s="83">
        <f aca="true" t="shared" si="104" ref="AE276:AE335">SUM(E276:AC276)</f>
        <v>12151.880000000001</v>
      </c>
      <c r="AF276" s="83"/>
      <c r="AG276" s="36"/>
      <c r="AH276" s="36"/>
      <c r="AI276" s="36">
        <v>14562.53</v>
      </c>
      <c r="AJ276" s="36"/>
      <c r="AK276" s="36">
        <v>10230.63</v>
      </c>
      <c r="AL276" s="24">
        <f>+'Gen Rev'!AI275-'Gen Exp'!AE276+'Gen Exp'!AI276-AK276</f>
        <v>-43.32999999999993</v>
      </c>
      <c r="AM276" s="44" t="str">
        <f>'Gen Rev'!A275</f>
        <v>Hemlock</v>
      </c>
      <c r="AN276" s="21" t="str">
        <f t="shared" si="85"/>
        <v>Hemlock</v>
      </c>
      <c r="AO276" s="21" t="b">
        <f t="shared" si="86"/>
        <v>1</v>
      </c>
    </row>
    <row r="277" spans="1:41" ht="12.6" customHeight="1">
      <c r="A277" s="1" t="s">
        <v>341</v>
      </c>
      <c r="C277" s="1" t="s">
        <v>342</v>
      </c>
      <c r="E277" s="83">
        <v>454751</v>
      </c>
      <c r="F277" s="83"/>
      <c r="G277" s="83">
        <v>25000</v>
      </c>
      <c r="H277" s="83"/>
      <c r="I277" s="83">
        <v>77159</v>
      </c>
      <c r="J277" s="83"/>
      <c r="K277" s="83">
        <v>0</v>
      </c>
      <c r="L277" s="83"/>
      <c r="M277" s="83">
        <v>0</v>
      </c>
      <c r="N277" s="83"/>
      <c r="O277" s="83">
        <v>0</v>
      </c>
      <c r="P277" s="83"/>
      <c r="Q277" s="83">
        <v>342368</v>
      </c>
      <c r="R277" s="83"/>
      <c r="S277" s="83">
        <v>7417</v>
      </c>
      <c r="T277" s="83"/>
      <c r="U277" s="83">
        <v>0</v>
      </c>
      <c r="V277" s="83"/>
      <c r="W277" s="83">
        <v>0</v>
      </c>
      <c r="X277" s="83"/>
      <c r="Y277" s="83">
        <v>40000</v>
      </c>
      <c r="Z277" s="83"/>
      <c r="AA277" s="83">
        <v>0</v>
      </c>
      <c r="AB277" s="83"/>
      <c r="AC277" s="83">
        <f>24975+4399+1750+729</f>
        <v>31853</v>
      </c>
      <c r="AD277" s="83"/>
      <c r="AE277" s="83">
        <f t="shared" si="104"/>
        <v>978548</v>
      </c>
      <c r="AF277" s="83"/>
      <c r="AG277" s="36">
        <v>381147</v>
      </c>
      <c r="AH277" s="36"/>
      <c r="AI277" s="36">
        <v>1293668</v>
      </c>
      <c r="AJ277" s="36"/>
      <c r="AK277" s="36">
        <v>1674815</v>
      </c>
      <c r="AL277" s="24">
        <f>+'Gen Rev'!AI276-'Gen Exp'!AE277+'Gen Exp'!AI277-AK277</f>
        <v>-1</v>
      </c>
      <c r="AM277" s="44" t="str">
        <f>'Gen Rev'!A276</f>
        <v>Hicksville</v>
      </c>
      <c r="AN277" s="21" t="str">
        <f t="shared" si="85"/>
        <v>Hicksville</v>
      </c>
      <c r="AO277" s="21" t="b">
        <f t="shared" si="86"/>
        <v>1</v>
      </c>
    </row>
    <row r="278" spans="1:41" s="21" customFormat="1" ht="12.75" hidden="1">
      <c r="A278" s="1" t="s">
        <v>409</v>
      </c>
      <c r="B278" s="1"/>
      <c r="C278" s="1" t="s">
        <v>409</v>
      </c>
      <c r="D278" s="1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>
        <f t="shared" si="104"/>
        <v>0</v>
      </c>
      <c r="AF278" s="83"/>
      <c r="AG278" s="83"/>
      <c r="AH278" s="83"/>
      <c r="AI278" s="83"/>
      <c r="AJ278" s="83"/>
      <c r="AK278" s="83"/>
      <c r="AL278" s="24">
        <f>+'Gen Rev'!AI277-'Gen Exp'!AE278+'Gen Exp'!AI278-AK278</f>
        <v>0</v>
      </c>
      <c r="AM278" s="44" t="str">
        <f>'Gen Rev'!A277</f>
        <v>Highland</v>
      </c>
      <c r="AN278" s="21" t="str">
        <f t="shared" si="85"/>
        <v>Highland</v>
      </c>
      <c r="AO278" s="21" t="b">
        <f t="shared" si="86"/>
        <v>1</v>
      </c>
    </row>
    <row r="279" spans="1:41" s="21" customFormat="1" ht="12.75">
      <c r="A279" s="1" t="s">
        <v>968</v>
      </c>
      <c r="B279" s="1"/>
      <c r="C279" s="1" t="s">
        <v>316</v>
      </c>
      <c r="D279" s="1"/>
      <c r="E279" s="83">
        <v>1365933</v>
      </c>
      <c r="F279" s="83"/>
      <c r="G279" s="83">
        <v>0</v>
      </c>
      <c r="H279" s="83"/>
      <c r="I279" s="83">
        <v>0</v>
      </c>
      <c r="J279" s="83"/>
      <c r="K279" s="83">
        <v>794320</v>
      </c>
      <c r="L279" s="83"/>
      <c r="M279" s="83">
        <v>35211</v>
      </c>
      <c r="N279" s="83"/>
      <c r="O279" s="83">
        <v>461703</v>
      </c>
      <c r="P279" s="83"/>
      <c r="Q279" s="83">
        <v>1011553</v>
      </c>
      <c r="R279" s="83"/>
      <c r="S279" s="83">
        <v>0</v>
      </c>
      <c r="T279" s="83"/>
      <c r="U279" s="83">
        <v>130415</v>
      </c>
      <c r="V279" s="83"/>
      <c r="W279" s="83">
        <v>108252</v>
      </c>
      <c r="X279" s="83"/>
      <c r="Y279" s="83">
        <v>57864</v>
      </c>
      <c r="Z279" s="83"/>
      <c r="AA279" s="83">
        <v>0</v>
      </c>
      <c r="AB279" s="83"/>
      <c r="AC279" s="83">
        <v>0</v>
      </c>
      <c r="AD279" s="83"/>
      <c r="AE279" s="83">
        <f t="shared" si="104"/>
        <v>3965251</v>
      </c>
      <c r="AF279" s="83"/>
      <c r="AG279" s="83">
        <v>141535</v>
      </c>
      <c r="AH279" s="83"/>
      <c r="AI279" s="83">
        <v>18986</v>
      </c>
      <c r="AJ279" s="83"/>
      <c r="AK279" s="83">
        <v>160521</v>
      </c>
      <c r="AL279" s="24">
        <f>+'Gen Rev'!AI278-'Gen Exp'!AE279+'Gen Exp'!AI279-AK279</f>
        <v>0</v>
      </c>
      <c r="AM279" s="44" t="str">
        <f>'Gen Rev'!A278</f>
        <v>Highland Hills</v>
      </c>
      <c r="AN279" s="21" t="str">
        <f t="shared" si="85"/>
        <v>Highland Hills</v>
      </c>
      <c r="AO279" s="21" t="b">
        <f t="shared" si="86"/>
        <v>1</v>
      </c>
    </row>
    <row r="280" spans="1:41" ht="12.75">
      <c r="A280" s="1" t="s">
        <v>225</v>
      </c>
      <c r="C280" s="1" t="s">
        <v>815</v>
      </c>
      <c r="D280" s="23"/>
      <c r="E280" s="36">
        <v>0</v>
      </c>
      <c r="F280" s="36"/>
      <c r="G280" s="36">
        <v>0</v>
      </c>
      <c r="H280" s="36"/>
      <c r="I280" s="36">
        <v>74618.53</v>
      </c>
      <c r="J280" s="36"/>
      <c r="K280" s="36">
        <v>1865.82</v>
      </c>
      <c r="L280" s="36"/>
      <c r="M280" s="36">
        <v>5668.58</v>
      </c>
      <c r="N280" s="36"/>
      <c r="O280" s="36">
        <v>390</v>
      </c>
      <c r="P280" s="36"/>
      <c r="Q280" s="36">
        <v>33469.88</v>
      </c>
      <c r="R280" s="36"/>
      <c r="S280" s="36">
        <v>58557</v>
      </c>
      <c r="T280" s="36"/>
      <c r="U280" s="36">
        <v>0</v>
      </c>
      <c r="V280" s="36"/>
      <c r="W280" s="36">
        <v>0</v>
      </c>
      <c r="X280" s="36"/>
      <c r="Y280" s="36">
        <v>0</v>
      </c>
      <c r="Z280" s="36"/>
      <c r="AA280" s="36">
        <v>0</v>
      </c>
      <c r="AB280" s="36"/>
      <c r="AC280" s="36">
        <v>0</v>
      </c>
      <c r="AD280" s="36"/>
      <c r="AE280" s="36">
        <f aca="true" t="shared" si="105" ref="AE280:AE281">SUM(E280:AC280)</f>
        <v>174569.81</v>
      </c>
      <c r="AF280" s="36"/>
      <c r="AG280" s="36">
        <v>-41517.59</v>
      </c>
      <c r="AH280" s="36"/>
      <c r="AI280" s="36">
        <v>1973603.86</v>
      </c>
      <c r="AJ280" s="36"/>
      <c r="AK280" s="36">
        <v>1932086.27</v>
      </c>
      <c r="AL280" s="24">
        <f>+'Gen Rev'!AI279-'Gen Exp'!AE280+'Gen Exp'!AI280-AK280</f>
        <v>0</v>
      </c>
      <c r="AM280" s="44" t="str">
        <f>'Gen Rev'!A279</f>
        <v>Hills And Dales</v>
      </c>
      <c r="AN280" s="21" t="str">
        <f t="shared" si="85"/>
        <v>Hills And Dales</v>
      </c>
      <c r="AO280" s="21" t="b">
        <f t="shared" si="86"/>
        <v>1</v>
      </c>
    </row>
    <row r="281" spans="1:41" ht="12.75">
      <c r="A281" s="1" t="s">
        <v>194</v>
      </c>
      <c r="C281" s="1" t="s">
        <v>806</v>
      </c>
      <c r="D281" s="23"/>
      <c r="E281" s="36">
        <v>375120.49</v>
      </c>
      <c r="F281" s="36"/>
      <c r="G281" s="36">
        <v>0</v>
      </c>
      <c r="H281" s="36"/>
      <c r="I281" s="36">
        <v>269.5</v>
      </c>
      <c r="J281" s="36"/>
      <c r="K281" s="36">
        <v>5024.83</v>
      </c>
      <c r="L281" s="36"/>
      <c r="M281" s="36">
        <v>1763.06</v>
      </c>
      <c r="N281" s="36"/>
      <c r="O281" s="36">
        <v>90060.76</v>
      </c>
      <c r="P281" s="36"/>
      <c r="Q281" s="36">
        <v>267734.13</v>
      </c>
      <c r="R281" s="36"/>
      <c r="S281" s="36">
        <v>0</v>
      </c>
      <c r="T281" s="36"/>
      <c r="U281" s="36">
        <v>15342.17</v>
      </c>
      <c r="V281" s="36"/>
      <c r="W281" s="36">
        <v>3239.17</v>
      </c>
      <c r="X281" s="36"/>
      <c r="Y281" s="36">
        <v>260565.79</v>
      </c>
      <c r="Z281" s="36"/>
      <c r="AA281" s="36">
        <v>9651.2</v>
      </c>
      <c r="AB281" s="36"/>
      <c r="AC281" s="36">
        <v>0</v>
      </c>
      <c r="AD281" s="36"/>
      <c r="AE281" s="36">
        <f t="shared" si="105"/>
        <v>1028771.1000000001</v>
      </c>
      <c r="AF281" s="36"/>
      <c r="AG281" s="36">
        <v>-86962.21</v>
      </c>
      <c r="AH281" s="36"/>
      <c r="AI281" s="36">
        <v>969069.4</v>
      </c>
      <c r="AJ281" s="36"/>
      <c r="AK281" s="36">
        <v>882107.19</v>
      </c>
      <c r="AL281" s="24">
        <f>+'Gen Rev'!AI280-'Gen Exp'!AE281+'Gen Exp'!AI281-AK281</f>
        <v>0</v>
      </c>
      <c r="AM281" s="44" t="str">
        <f>'Gen Rev'!A280</f>
        <v>Hiram</v>
      </c>
      <c r="AN281" s="21" t="str">
        <f t="shared" si="85"/>
        <v>Hiram</v>
      </c>
      <c r="AO281" s="21" t="b">
        <f t="shared" si="86"/>
        <v>1</v>
      </c>
    </row>
    <row r="282" spans="1:41" ht="12.75">
      <c r="A282" s="1" t="s">
        <v>408</v>
      </c>
      <c r="C282" s="1" t="s">
        <v>407</v>
      </c>
      <c r="E282" s="83">
        <v>41261.25</v>
      </c>
      <c r="F282" s="83"/>
      <c r="G282" s="83">
        <v>0</v>
      </c>
      <c r="H282" s="83"/>
      <c r="I282" s="83">
        <v>0</v>
      </c>
      <c r="J282" s="83"/>
      <c r="K282" s="83">
        <v>4242.15</v>
      </c>
      <c r="L282" s="83"/>
      <c r="M282" s="83">
        <v>0</v>
      </c>
      <c r="N282" s="83"/>
      <c r="O282" s="83">
        <v>835.47</v>
      </c>
      <c r="P282" s="83"/>
      <c r="Q282" s="83">
        <v>158554.73</v>
      </c>
      <c r="R282" s="83"/>
      <c r="S282" s="83">
        <v>5857.94</v>
      </c>
      <c r="T282" s="83"/>
      <c r="U282" s="83">
        <v>0</v>
      </c>
      <c r="V282" s="83"/>
      <c r="W282" s="83">
        <v>0</v>
      </c>
      <c r="X282" s="83"/>
      <c r="Y282" s="83">
        <v>53212.29</v>
      </c>
      <c r="Z282" s="83"/>
      <c r="AA282" s="83">
        <v>0</v>
      </c>
      <c r="AB282" s="83"/>
      <c r="AC282" s="83">
        <v>136797.85</v>
      </c>
      <c r="AD282" s="83"/>
      <c r="AE282" s="83">
        <f t="shared" si="104"/>
        <v>400761.68000000005</v>
      </c>
      <c r="AF282" s="83"/>
      <c r="AG282" s="83">
        <v>126729.59</v>
      </c>
      <c r="AH282" s="83"/>
      <c r="AI282" s="83">
        <v>49375.44</v>
      </c>
      <c r="AJ282" s="83"/>
      <c r="AK282" s="83">
        <v>176105.03</v>
      </c>
      <c r="AL282" s="24">
        <f>+'Gen Rev'!AI281-'Gen Exp'!AE282+'Gen Exp'!AI282-AK282</f>
        <v>0</v>
      </c>
      <c r="AM282" s="44" t="str">
        <f>'Gen Rev'!A281</f>
        <v>Holgate</v>
      </c>
      <c r="AN282" s="21" t="str">
        <f t="shared" si="85"/>
        <v>Holgate</v>
      </c>
      <c r="AO282" s="21" t="b">
        <f t="shared" si="86"/>
        <v>1</v>
      </c>
    </row>
    <row r="283" spans="1:41" ht="12.75">
      <c r="A283" s="1" t="s">
        <v>945</v>
      </c>
      <c r="C283" s="1" t="s">
        <v>598</v>
      </c>
      <c r="E283" s="36">
        <v>0</v>
      </c>
      <c r="F283" s="36"/>
      <c r="G283" s="36">
        <v>1737</v>
      </c>
      <c r="H283" s="36"/>
      <c r="I283" s="36">
        <v>0</v>
      </c>
      <c r="J283" s="36"/>
      <c r="K283" s="36">
        <v>0</v>
      </c>
      <c r="L283" s="36"/>
      <c r="M283" s="36">
        <v>136426.06</v>
      </c>
      <c r="N283" s="36"/>
      <c r="O283" s="36">
        <v>0</v>
      </c>
      <c r="P283" s="36"/>
      <c r="Q283" s="36">
        <v>148371.92</v>
      </c>
      <c r="R283" s="36"/>
      <c r="S283" s="36">
        <v>5488.38</v>
      </c>
      <c r="T283" s="36"/>
      <c r="U283" s="36">
        <v>0</v>
      </c>
      <c r="V283" s="36"/>
      <c r="W283" s="36">
        <v>0</v>
      </c>
      <c r="X283" s="36"/>
      <c r="Y283" s="36">
        <v>34803.22</v>
      </c>
      <c r="Z283" s="36"/>
      <c r="AA283" s="36">
        <v>0</v>
      </c>
      <c r="AB283" s="36"/>
      <c r="AC283" s="36">
        <v>0</v>
      </c>
      <c r="AD283" s="36"/>
      <c r="AE283" s="36">
        <f aca="true" t="shared" si="106" ref="AE283">SUM(E283:AC283)</f>
        <v>326826.57999999996</v>
      </c>
      <c r="AF283" s="36"/>
      <c r="AG283" s="36">
        <v>88549.86</v>
      </c>
      <c r="AH283" s="36"/>
      <c r="AI283" s="36">
        <v>1141810.24</v>
      </c>
      <c r="AJ283" s="36"/>
      <c r="AK283" s="36">
        <v>1230360.1</v>
      </c>
      <c r="AL283" s="24">
        <f>+'Gen Rev'!AI282-'Gen Exp'!AE283+'Gen Exp'!AI283-AK283</f>
        <v>0</v>
      </c>
      <c r="AM283" s="44" t="str">
        <f>'Gen Rev'!A282</f>
        <v>Holiday</v>
      </c>
      <c r="AN283" s="21" t="str">
        <f t="shared" si="85"/>
        <v>Holiday</v>
      </c>
      <c r="AO283" s="21" t="b">
        <f t="shared" si="86"/>
        <v>1</v>
      </c>
    </row>
    <row r="284" spans="1:41" ht="12.75">
      <c r="A284" s="1" t="s">
        <v>454</v>
      </c>
      <c r="C284" s="1" t="s">
        <v>455</v>
      </c>
      <c r="E284" s="83">
        <v>951006</v>
      </c>
      <c r="F284" s="83"/>
      <c r="G284" s="83">
        <v>11104</v>
      </c>
      <c r="H284" s="83"/>
      <c r="I284" s="83">
        <v>81351</v>
      </c>
      <c r="J284" s="83"/>
      <c r="K284" s="83">
        <v>72482</v>
      </c>
      <c r="L284" s="83"/>
      <c r="M284" s="83">
        <v>47335</v>
      </c>
      <c r="N284" s="83"/>
      <c r="O284" s="83">
        <v>0</v>
      </c>
      <c r="P284" s="83"/>
      <c r="Q284" s="83">
        <v>561692</v>
      </c>
      <c r="R284" s="83"/>
      <c r="S284" s="83">
        <v>64231</v>
      </c>
      <c r="T284" s="83"/>
      <c r="U284" s="83">
        <v>0</v>
      </c>
      <c r="V284" s="83"/>
      <c r="W284" s="83">
        <v>0</v>
      </c>
      <c r="X284" s="83"/>
      <c r="Y284" s="83">
        <v>228805</v>
      </c>
      <c r="Z284" s="83"/>
      <c r="AA284" s="83">
        <v>0</v>
      </c>
      <c r="AB284" s="83"/>
      <c r="AC284" s="83">
        <v>0</v>
      </c>
      <c r="AD284" s="83"/>
      <c r="AE284" s="83">
        <f t="shared" si="104"/>
        <v>2018006</v>
      </c>
      <c r="AF284" s="83"/>
      <c r="AG284" s="83">
        <v>973119</v>
      </c>
      <c r="AH284" s="83"/>
      <c r="AI284" s="83">
        <v>6513186</v>
      </c>
      <c r="AJ284" s="83"/>
      <c r="AK284" s="83">
        <v>7486305</v>
      </c>
      <c r="AL284" s="24">
        <f>+'Gen Rev'!AI283-'Gen Exp'!AE284+'Gen Exp'!AI284-AK284</f>
        <v>0</v>
      </c>
      <c r="AM284" s="44" t="str">
        <f>'Gen Rev'!A283</f>
        <v>Holland</v>
      </c>
      <c r="AN284" s="21" t="str">
        <f t="shared" si="85"/>
        <v>Holland</v>
      </c>
      <c r="AO284" s="21" t="b">
        <f t="shared" si="86"/>
        <v>1</v>
      </c>
    </row>
    <row r="285" spans="1:41" s="21" customFormat="1" ht="12.6" customHeight="1">
      <c r="A285" s="1" t="s">
        <v>332</v>
      </c>
      <c r="B285" s="1"/>
      <c r="C285" s="1" t="s">
        <v>329</v>
      </c>
      <c r="D285" s="1"/>
      <c r="E285" s="83">
        <v>16670</v>
      </c>
      <c r="F285" s="83"/>
      <c r="G285" s="83">
        <v>600</v>
      </c>
      <c r="H285" s="83"/>
      <c r="I285" s="83">
        <v>909</v>
      </c>
      <c r="J285" s="83"/>
      <c r="K285" s="83">
        <v>0</v>
      </c>
      <c r="L285" s="83"/>
      <c r="M285" s="83">
        <v>17415</v>
      </c>
      <c r="N285" s="83"/>
      <c r="O285" s="83">
        <v>0</v>
      </c>
      <c r="P285" s="83"/>
      <c r="Q285" s="83">
        <v>22967</v>
      </c>
      <c r="R285" s="83"/>
      <c r="S285" s="83">
        <v>0</v>
      </c>
      <c r="T285" s="83"/>
      <c r="U285" s="83">
        <v>0</v>
      </c>
      <c r="V285" s="83"/>
      <c r="W285" s="83">
        <v>0</v>
      </c>
      <c r="X285" s="83"/>
      <c r="Y285" s="83">
        <v>0</v>
      </c>
      <c r="Z285" s="83"/>
      <c r="AA285" s="83">
        <v>0</v>
      </c>
      <c r="AB285" s="83"/>
      <c r="AC285" s="83">
        <v>0</v>
      </c>
      <c r="AD285" s="83"/>
      <c r="AE285" s="83">
        <f t="shared" si="104"/>
        <v>58561</v>
      </c>
      <c r="AF285" s="83"/>
      <c r="AG285" s="83"/>
      <c r="AH285" s="83"/>
      <c r="AI285" s="83">
        <v>-5188</v>
      </c>
      <c r="AJ285" s="83"/>
      <c r="AK285" s="83">
        <v>-5671</v>
      </c>
      <c r="AL285" s="24">
        <f>+'Gen Rev'!AI284-'Gen Exp'!AE285+'Gen Exp'!AI285-AK285</f>
        <v>0</v>
      </c>
      <c r="AM285" s="44" t="str">
        <f>'Gen Rev'!A284</f>
        <v>Hollansburg</v>
      </c>
      <c r="AN285" s="21" t="str">
        <f t="shared" si="85"/>
        <v>Hollansburg</v>
      </c>
      <c r="AO285" s="21" t="b">
        <f t="shared" si="86"/>
        <v>1</v>
      </c>
    </row>
    <row r="286" spans="1:41" ht="12.75">
      <c r="A286" s="1" t="s">
        <v>17</v>
      </c>
      <c r="C286" s="1" t="s">
        <v>750</v>
      </c>
      <c r="D286" s="23"/>
      <c r="E286" s="36">
        <v>5000</v>
      </c>
      <c r="F286" s="36"/>
      <c r="G286" s="36">
        <v>0</v>
      </c>
      <c r="H286" s="36"/>
      <c r="I286" s="36">
        <v>0</v>
      </c>
      <c r="J286" s="36"/>
      <c r="K286" s="36">
        <v>0</v>
      </c>
      <c r="L286" s="36"/>
      <c r="M286" s="36">
        <v>4170.46</v>
      </c>
      <c r="N286" s="36"/>
      <c r="O286" s="36">
        <v>11431.58</v>
      </c>
      <c r="P286" s="36"/>
      <c r="Q286" s="36">
        <v>32324.27</v>
      </c>
      <c r="R286" s="36"/>
      <c r="S286" s="36">
        <v>0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0</v>
      </c>
      <c r="AB286" s="36"/>
      <c r="AC286" s="36">
        <v>5105.76</v>
      </c>
      <c r="AD286" s="36"/>
      <c r="AE286" s="36">
        <f aca="true" t="shared" si="107" ref="AE286:AE289">SUM(E286:AC286)</f>
        <v>58032.07</v>
      </c>
      <c r="AF286" s="36"/>
      <c r="AG286" s="36">
        <v>-6619.06</v>
      </c>
      <c r="AH286" s="36"/>
      <c r="AI286" s="36">
        <v>53968.02</v>
      </c>
      <c r="AJ286" s="36"/>
      <c r="AK286" s="36">
        <v>47348.96</v>
      </c>
      <c r="AL286" s="24">
        <f>+'Gen Rev'!AI285-'Gen Exp'!AE286+'Gen Exp'!AI286-AK286</f>
        <v>0</v>
      </c>
      <c r="AM286" s="44" t="str">
        <f>'Gen Rev'!A285</f>
        <v>Holloway</v>
      </c>
      <c r="AN286" s="21" t="str">
        <f t="shared" si="85"/>
        <v>Holloway</v>
      </c>
      <c r="AO286" s="21" t="b">
        <f t="shared" si="86"/>
        <v>1</v>
      </c>
    </row>
    <row r="287" spans="1:41" s="21" customFormat="1" ht="12.6" customHeight="1">
      <c r="A287" s="1" t="s">
        <v>413</v>
      </c>
      <c r="B287" s="1"/>
      <c r="C287" s="1" t="s">
        <v>412</v>
      </c>
      <c r="D287" s="1"/>
      <c r="E287" s="36">
        <v>8631.31</v>
      </c>
      <c r="F287" s="36"/>
      <c r="G287" s="36">
        <v>1318.28</v>
      </c>
      <c r="H287" s="36"/>
      <c r="I287" s="36">
        <v>14.7</v>
      </c>
      <c r="J287" s="36"/>
      <c r="K287" s="36">
        <v>58.32</v>
      </c>
      <c r="L287" s="36"/>
      <c r="M287" s="36">
        <v>0</v>
      </c>
      <c r="N287" s="36"/>
      <c r="O287" s="36">
        <v>0</v>
      </c>
      <c r="P287" s="36"/>
      <c r="Q287" s="36">
        <v>31020.54</v>
      </c>
      <c r="R287" s="36"/>
      <c r="S287" s="36">
        <v>0</v>
      </c>
      <c r="T287" s="36"/>
      <c r="U287" s="36">
        <v>0</v>
      </c>
      <c r="V287" s="36"/>
      <c r="W287" s="36">
        <v>0</v>
      </c>
      <c r="X287" s="36"/>
      <c r="Y287" s="36">
        <v>10403.1</v>
      </c>
      <c r="Z287" s="36"/>
      <c r="AA287" s="36">
        <v>0</v>
      </c>
      <c r="AB287" s="36"/>
      <c r="AC287" s="36">
        <v>0</v>
      </c>
      <c r="AD287" s="36"/>
      <c r="AE287" s="36">
        <f t="shared" si="107"/>
        <v>51446.25</v>
      </c>
      <c r="AF287" s="36"/>
      <c r="AG287" s="36">
        <v>1277.59</v>
      </c>
      <c r="AH287" s="36"/>
      <c r="AI287" s="36">
        <v>23323.63</v>
      </c>
      <c r="AJ287" s="36"/>
      <c r="AK287" s="36">
        <v>24601.22</v>
      </c>
      <c r="AL287" s="24">
        <f>+'Gen Rev'!AI286-'Gen Exp'!AE287+'Gen Exp'!AI287-AK287</f>
        <v>0</v>
      </c>
      <c r="AM287" s="44" t="str">
        <f>'Gen Rev'!A286</f>
        <v>Holmesville</v>
      </c>
      <c r="AN287" s="21" t="str">
        <f aca="true" t="shared" si="108" ref="AN287:AN342">A287</f>
        <v>Holmesville</v>
      </c>
      <c r="AO287" s="21" t="b">
        <f aca="true" t="shared" si="109" ref="AO287:AO342">AM287=AN287</f>
        <v>1</v>
      </c>
    </row>
    <row r="288" spans="1:41" s="19" customFormat="1" ht="12.75">
      <c r="A288" s="10" t="s">
        <v>101</v>
      </c>
      <c r="B288" s="10"/>
      <c r="C288" s="10" t="s">
        <v>776</v>
      </c>
      <c r="D288" s="52"/>
      <c r="E288" s="36">
        <v>28237.28</v>
      </c>
      <c r="F288" s="36"/>
      <c r="G288" s="36">
        <v>993.27</v>
      </c>
      <c r="H288" s="36"/>
      <c r="I288" s="36">
        <v>0</v>
      </c>
      <c r="J288" s="36"/>
      <c r="K288" s="36">
        <v>0</v>
      </c>
      <c r="L288" s="36"/>
      <c r="M288" s="36">
        <v>4530.44</v>
      </c>
      <c r="N288" s="36"/>
      <c r="O288" s="36">
        <v>44384.75</v>
      </c>
      <c r="P288" s="36"/>
      <c r="Q288" s="36">
        <v>90659.27</v>
      </c>
      <c r="R288" s="36"/>
      <c r="S288" s="36">
        <v>0</v>
      </c>
      <c r="T288" s="36"/>
      <c r="U288" s="36">
        <v>11813.46</v>
      </c>
      <c r="V288" s="36"/>
      <c r="W288" s="36">
        <v>570.7</v>
      </c>
      <c r="X288" s="36"/>
      <c r="Y288" s="36">
        <v>32050</v>
      </c>
      <c r="Z288" s="36"/>
      <c r="AA288" s="36">
        <v>1053</v>
      </c>
      <c r="AB288" s="36"/>
      <c r="AC288" s="36">
        <v>0</v>
      </c>
      <c r="AD288" s="36"/>
      <c r="AE288" s="36">
        <f t="shared" si="107"/>
        <v>214292.17</v>
      </c>
      <c r="AF288" s="36"/>
      <c r="AG288" s="36">
        <v>30224.6</v>
      </c>
      <c r="AH288" s="36"/>
      <c r="AI288" s="36">
        <v>45592.48</v>
      </c>
      <c r="AJ288" s="36"/>
      <c r="AK288" s="36">
        <v>75817.08</v>
      </c>
      <c r="AL288" s="24">
        <f>+'Gen Rev'!AI287-'Gen Exp'!AE288+'Gen Exp'!AI288-AK288</f>
        <v>0</v>
      </c>
      <c r="AM288" s="44" t="str">
        <f>'Gen Rev'!A287</f>
        <v>Hopedale</v>
      </c>
      <c r="AN288" s="21" t="str">
        <f t="shared" si="108"/>
        <v>Hopedale</v>
      </c>
      <c r="AO288" s="21" t="b">
        <f t="shared" si="109"/>
        <v>1</v>
      </c>
    </row>
    <row r="289" spans="1:41" ht="12.75">
      <c r="A289" s="1" t="s">
        <v>257</v>
      </c>
      <c r="C289" s="1" t="s">
        <v>825</v>
      </c>
      <c r="D289" s="23"/>
      <c r="E289" s="36">
        <v>2860.84</v>
      </c>
      <c r="F289" s="36"/>
      <c r="G289" s="36">
        <v>0</v>
      </c>
      <c r="H289" s="36"/>
      <c r="I289" s="36">
        <v>1397.3</v>
      </c>
      <c r="J289" s="36"/>
      <c r="K289" s="36">
        <v>60</v>
      </c>
      <c r="L289" s="36"/>
      <c r="M289" s="36">
        <v>0</v>
      </c>
      <c r="N289" s="36"/>
      <c r="O289" s="36">
        <v>0</v>
      </c>
      <c r="P289" s="36"/>
      <c r="Q289" s="36">
        <v>26537.17</v>
      </c>
      <c r="R289" s="36"/>
      <c r="S289" s="36">
        <v>2295.69</v>
      </c>
      <c r="T289" s="36"/>
      <c r="U289" s="36">
        <v>0</v>
      </c>
      <c r="V289" s="36"/>
      <c r="W289" s="36">
        <v>0</v>
      </c>
      <c r="X289" s="36"/>
      <c r="Y289" s="36">
        <v>0</v>
      </c>
      <c r="Z289" s="36"/>
      <c r="AA289" s="36">
        <v>0</v>
      </c>
      <c r="AB289" s="36"/>
      <c r="AC289" s="36">
        <v>0</v>
      </c>
      <c r="AD289" s="36"/>
      <c r="AE289" s="36">
        <f t="shared" si="107"/>
        <v>33151</v>
      </c>
      <c r="AF289" s="36"/>
      <c r="AG289" s="36">
        <v>9492.3</v>
      </c>
      <c r="AH289" s="36"/>
      <c r="AI289" s="36">
        <v>44350.71</v>
      </c>
      <c r="AJ289" s="36"/>
      <c r="AK289" s="36">
        <v>53843.01</v>
      </c>
      <c r="AL289" s="24">
        <f>+'Gen Rev'!AI288-'Gen Exp'!AE289+'Gen Exp'!AI289-AK289</f>
        <v>0</v>
      </c>
      <c r="AM289" s="44" t="str">
        <f>'Gen Rev'!A288</f>
        <v>Hoytville</v>
      </c>
      <c r="AN289" s="21" t="str">
        <f t="shared" si="108"/>
        <v>Hoytville</v>
      </c>
      <c r="AO289" s="21" t="b">
        <f t="shared" si="109"/>
        <v>1</v>
      </c>
    </row>
    <row r="290" spans="1:41" s="21" customFormat="1" ht="12.6" customHeight="1">
      <c r="A290" s="1" t="s">
        <v>321</v>
      </c>
      <c r="B290" s="1"/>
      <c r="C290" s="1" t="s">
        <v>316</v>
      </c>
      <c r="D290" s="1"/>
      <c r="E290" s="83">
        <v>1637136</v>
      </c>
      <c r="F290" s="83"/>
      <c r="G290" s="83">
        <v>758</v>
      </c>
      <c r="H290" s="83"/>
      <c r="I290" s="83">
        <v>0</v>
      </c>
      <c r="J290" s="83"/>
      <c r="K290" s="83">
        <v>194986</v>
      </c>
      <c r="L290" s="83"/>
      <c r="M290" s="83">
        <v>122265</v>
      </c>
      <c r="N290" s="83"/>
      <c r="O290" s="83">
        <v>625142</v>
      </c>
      <c r="P290" s="83"/>
      <c r="Q290" s="83">
        <v>724563</v>
      </c>
      <c r="R290" s="83"/>
      <c r="S290" s="83">
        <v>574278</v>
      </c>
      <c r="T290" s="83"/>
      <c r="U290" s="83">
        <v>0</v>
      </c>
      <c r="V290" s="83"/>
      <c r="W290" s="83">
        <v>57340</v>
      </c>
      <c r="X290" s="83"/>
      <c r="Y290" s="83">
        <v>0</v>
      </c>
      <c r="Z290" s="83"/>
      <c r="AA290" s="83">
        <v>0</v>
      </c>
      <c r="AB290" s="83"/>
      <c r="AC290" s="83">
        <v>15836</v>
      </c>
      <c r="AD290" s="83"/>
      <c r="AE290" s="83">
        <f t="shared" si="104"/>
        <v>3952304</v>
      </c>
      <c r="AF290" s="83"/>
      <c r="AG290" s="36">
        <v>496294</v>
      </c>
      <c r="AH290" s="36"/>
      <c r="AI290" s="36">
        <v>9311970</v>
      </c>
      <c r="AJ290" s="36"/>
      <c r="AK290" s="36">
        <v>9808263</v>
      </c>
      <c r="AL290" s="24">
        <f>+'Gen Rev'!AI289-'Gen Exp'!AE290+'Gen Exp'!AI290-AK290</f>
        <v>0</v>
      </c>
      <c r="AM290" s="44" t="str">
        <f>'Gen Rev'!A289</f>
        <v>Hunting Valley</v>
      </c>
      <c r="AN290" s="21" t="str">
        <f t="shared" si="108"/>
        <v>Hunting Valley</v>
      </c>
      <c r="AO290" s="21" t="b">
        <f t="shared" si="109"/>
        <v>1</v>
      </c>
    </row>
    <row r="291" spans="1:41" s="21" customFormat="1" ht="12.75">
      <c r="A291" s="1" t="s">
        <v>133</v>
      </c>
      <c r="B291" s="1"/>
      <c r="C291" s="1" t="s">
        <v>786</v>
      </c>
      <c r="D291" s="23"/>
      <c r="E291" s="36">
        <v>55979.79</v>
      </c>
      <c r="F291" s="36"/>
      <c r="G291" s="36">
        <v>2718.65</v>
      </c>
      <c r="H291" s="36"/>
      <c r="I291" s="36">
        <v>3300.23</v>
      </c>
      <c r="J291" s="36"/>
      <c r="K291" s="36">
        <v>2895.67</v>
      </c>
      <c r="L291" s="36"/>
      <c r="M291" s="36">
        <v>1572</v>
      </c>
      <c r="N291" s="36"/>
      <c r="O291" s="36">
        <v>16820.78</v>
      </c>
      <c r="P291" s="36"/>
      <c r="Q291" s="36">
        <v>56647.12</v>
      </c>
      <c r="R291" s="36"/>
      <c r="S291" s="36">
        <v>302.77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0</v>
      </c>
      <c r="AB291" s="36"/>
      <c r="AC291" s="36">
        <v>1264.47</v>
      </c>
      <c r="AD291" s="36"/>
      <c r="AE291" s="36">
        <f aca="true" t="shared" si="110" ref="AE291:AE292">SUM(E291:AC291)</f>
        <v>141501.47999999998</v>
      </c>
      <c r="AF291" s="36"/>
      <c r="AG291" s="36">
        <v>-5687.12</v>
      </c>
      <c r="AH291" s="36"/>
      <c r="AI291" s="36">
        <v>82608.76</v>
      </c>
      <c r="AJ291" s="36"/>
      <c r="AK291" s="36">
        <v>76921.64</v>
      </c>
      <c r="AL291" s="24">
        <f>+'Gen Rev'!AI290-'Gen Exp'!AE291+'Gen Exp'!AI291-AK291</f>
        <v>0</v>
      </c>
      <c r="AM291" s="44" t="str">
        <f>'Gen Rev'!A290</f>
        <v>Huntsville</v>
      </c>
      <c r="AN291" s="21" t="str">
        <f t="shared" si="108"/>
        <v>Huntsville</v>
      </c>
      <c r="AO291" s="21" t="b">
        <f t="shared" si="109"/>
        <v>1</v>
      </c>
    </row>
    <row r="292" spans="1:41" ht="12.75">
      <c r="A292" s="1" t="s">
        <v>118</v>
      </c>
      <c r="C292" s="1" t="s">
        <v>781</v>
      </c>
      <c r="D292" s="23"/>
      <c r="E292" s="36">
        <v>7329.2</v>
      </c>
      <c r="F292" s="36"/>
      <c r="G292" s="36">
        <v>0</v>
      </c>
      <c r="H292" s="36"/>
      <c r="I292" s="36">
        <v>121.79</v>
      </c>
      <c r="J292" s="36"/>
      <c r="K292" s="36">
        <v>0</v>
      </c>
      <c r="L292" s="36"/>
      <c r="M292" s="36">
        <v>0</v>
      </c>
      <c r="N292" s="36"/>
      <c r="O292" s="36">
        <v>2671.75</v>
      </c>
      <c r="P292" s="36"/>
      <c r="Q292" s="36">
        <v>32400.11</v>
      </c>
      <c r="R292" s="36"/>
      <c r="S292" s="36">
        <v>145</v>
      </c>
      <c r="T292" s="36"/>
      <c r="U292" s="36">
        <v>0</v>
      </c>
      <c r="V292" s="36"/>
      <c r="W292" s="36">
        <v>0</v>
      </c>
      <c r="X292" s="36"/>
      <c r="Y292" s="36">
        <v>0</v>
      </c>
      <c r="Z292" s="36"/>
      <c r="AA292" s="36">
        <v>0</v>
      </c>
      <c r="AB292" s="36"/>
      <c r="AC292" s="36">
        <v>0</v>
      </c>
      <c r="AD292" s="36"/>
      <c r="AE292" s="36">
        <f t="shared" si="110"/>
        <v>42667.85</v>
      </c>
      <c r="AF292" s="36"/>
      <c r="AG292" s="36">
        <v>231406.27</v>
      </c>
      <c r="AH292" s="36"/>
      <c r="AI292" s="36">
        <v>13248.18</v>
      </c>
      <c r="AJ292" s="36"/>
      <c r="AK292" s="36">
        <v>244654.45</v>
      </c>
      <c r="AL292" s="24">
        <f>+'Gen Rev'!AI291-'Gen Exp'!AE292+'Gen Exp'!AI292-AK292</f>
        <v>0</v>
      </c>
      <c r="AM292" s="44" t="str">
        <f>'Gen Rev'!A291</f>
        <v>Irondale</v>
      </c>
      <c r="AN292" s="21" t="str">
        <f t="shared" si="108"/>
        <v>Irondale</v>
      </c>
      <c r="AO292" s="21" t="b">
        <f t="shared" si="109"/>
        <v>1</v>
      </c>
    </row>
    <row r="293" spans="1:41" s="31" customFormat="1" ht="12.6" customHeight="1">
      <c r="A293" s="15" t="s">
        <v>691</v>
      </c>
      <c r="B293" s="15"/>
      <c r="C293" s="15" t="s">
        <v>329</v>
      </c>
      <c r="D293" s="15"/>
      <c r="E293" s="85">
        <v>2598.2</v>
      </c>
      <c r="F293" s="85"/>
      <c r="G293" s="85">
        <v>0</v>
      </c>
      <c r="H293" s="85"/>
      <c r="I293" s="85">
        <v>2099</v>
      </c>
      <c r="J293" s="85"/>
      <c r="K293" s="85">
        <v>0</v>
      </c>
      <c r="L293" s="85"/>
      <c r="M293" s="85">
        <v>14988.74</v>
      </c>
      <c r="N293" s="85"/>
      <c r="O293" s="85">
        <v>0</v>
      </c>
      <c r="P293" s="85"/>
      <c r="Q293" s="85">
        <v>6621.43</v>
      </c>
      <c r="R293" s="85"/>
      <c r="S293" s="85">
        <v>0</v>
      </c>
      <c r="T293" s="85"/>
      <c r="U293" s="85">
        <v>0</v>
      </c>
      <c r="V293" s="85"/>
      <c r="W293" s="85">
        <v>0</v>
      </c>
      <c r="X293" s="85"/>
      <c r="Y293" s="85">
        <v>0</v>
      </c>
      <c r="Z293" s="85"/>
      <c r="AA293" s="83">
        <v>0</v>
      </c>
      <c r="AB293" s="85"/>
      <c r="AC293" s="85">
        <v>0</v>
      </c>
      <c r="AD293" s="85"/>
      <c r="AE293" s="83">
        <f t="shared" si="104"/>
        <v>26307.37</v>
      </c>
      <c r="AF293" s="85"/>
      <c r="AG293" s="41">
        <v>-3563.05</v>
      </c>
      <c r="AH293" s="41"/>
      <c r="AI293" s="41">
        <v>0</v>
      </c>
      <c r="AJ293" s="41"/>
      <c r="AK293" s="41">
        <v>-3563.05</v>
      </c>
      <c r="AL293" s="24">
        <f>+'Gen Rev'!AI292-'Gen Exp'!AE293+'Gen Exp'!AI293-AK293</f>
        <v>0</v>
      </c>
      <c r="AM293" s="44" t="str">
        <f>'Gen Rev'!A292</f>
        <v>Ithaca</v>
      </c>
      <c r="AN293" s="21" t="str">
        <f t="shared" si="108"/>
        <v>Ithaca</v>
      </c>
      <c r="AO293" s="21" t="b">
        <f t="shared" si="109"/>
        <v>1</v>
      </c>
    </row>
    <row r="294" spans="1:41" ht="12.75">
      <c r="A294" s="1" t="s">
        <v>223</v>
      </c>
      <c r="C294" s="1" t="s">
        <v>814</v>
      </c>
      <c r="D294" s="23"/>
      <c r="E294" s="36">
        <v>183281.87</v>
      </c>
      <c r="F294" s="36"/>
      <c r="G294" s="36">
        <v>3500</v>
      </c>
      <c r="H294" s="36"/>
      <c r="I294" s="36">
        <v>10184.44</v>
      </c>
      <c r="J294" s="36"/>
      <c r="K294" s="36">
        <v>17287.74</v>
      </c>
      <c r="L294" s="36"/>
      <c r="M294" s="36">
        <v>0</v>
      </c>
      <c r="N294" s="36"/>
      <c r="O294" s="36">
        <v>3178.29</v>
      </c>
      <c r="P294" s="36"/>
      <c r="Q294" s="36">
        <v>65777.08</v>
      </c>
      <c r="R294" s="36"/>
      <c r="S294" s="36">
        <v>0</v>
      </c>
      <c r="T294" s="36"/>
      <c r="U294" s="36">
        <v>0</v>
      </c>
      <c r="V294" s="36"/>
      <c r="W294" s="36">
        <v>0</v>
      </c>
      <c r="X294" s="36"/>
      <c r="Y294" s="36">
        <v>69308.42</v>
      </c>
      <c r="Z294" s="36"/>
      <c r="AA294" s="36">
        <v>0</v>
      </c>
      <c r="AB294" s="36"/>
      <c r="AC294" s="36">
        <v>9244.5</v>
      </c>
      <c r="AD294" s="36"/>
      <c r="AE294" s="36">
        <f aca="true" t="shared" si="111" ref="AE294">SUM(E294:AC294)</f>
        <v>361762.33999999997</v>
      </c>
      <c r="AF294" s="36"/>
      <c r="AG294" s="36">
        <v>-32707.02</v>
      </c>
      <c r="AH294" s="36"/>
      <c r="AI294" s="36">
        <v>282540.94</v>
      </c>
      <c r="AJ294" s="36"/>
      <c r="AK294" s="36">
        <v>249833.92</v>
      </c>
      <c r="AL294" s="24">
        <f>+'Gen Rev'!AI293-'Gen Exp'!AE294+'Gen Exp'!AI294-AK294</f>
        <v>0</v>
      </c>
      <c r="AM294" s="44" t="str">
        <f>'Gen Rev'!A293</f>
        <v>Jackson Center</v>
      </c>
      <c r="AN294" s="21" t="str">
        <f t="shared" si="108"/>
        <v>Jackson Center</v>
      </c>
      <c r="AO294" s="21" t="b">
        <f t="shared" si="109"/>
        <v>1</v>
      </c>
    </row>
    <row r="295" spans="1:41" s="31" customFormat="1" ht="12.6" customHeight="1" hidden="1">
      <c r="A295" s="15" t="s">
        <v>693</v>
      </c>
      <c r="B295" s="15"/>
      <c r="C295" s="15" t="s">
        <v>692</v>
      </c>
      <c r="D295" s="1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3"/>
      <c r="AB295" s="85"/>
      <c r="AC295" s="85"/>
      <c r="AD295" s="85"/>
      <c r="AE295" s="83">
        <f t="shared" si="104"/>
        <v>0</v>
      </c>
      <c r="AF295" s="85"/>
      <c r="AG295" s="41"/>
      <c r="AH295" s="41"/>
      <c r="AI295" s="41"/>
      <c r="AJ295" s="41"/>
      <c r="AK295" s="41"/>
      <c r="AL295" s="24">
        <f>+'Gen Rev'!AI294-'Gen Exp'!AE295+'Gen Exp'!AI295-AK295</f>
        <v>0</v>
      </c>
      <c r="AM295" s="44" t="str">
        <f>'Gen Rev'!A294</f>
        <v>Jacksonburg</v>
      </c>
      <c r="AN295" s="21" t="str">
        <f t="shared" si="108"/>
        <v>Jacksonburg</v>
      </c>
      <c r="AO295" s="21" t="b">
        <f t="shared" si="109"/>
        <v>1</v>
      </c>
    </row>
    <row r="296" spans="1:41" s="21" customFormat="1" ht="12.75">
      <c r="A296" s="1" t="s">
        <v>84</v>
      </c>
      <c r="B296" s="1"/>
      <c r="C296" s="1" t="s">
        <v>771</v>
      </c>
      <c r="D296" s="23"/>
      <c r="E296" s="36">
        <v>24794.67</v>
      </c>
      <c r="F296" s="36"/>
      <c r="G296" s="36">
        <v>3433.34</v>
      </c>
      <c r="H296" s="36"/>
      <c r="I296" s="36">
        <v>613.64</v>
      </c>
      <c r="J296" s="36"/>
      <c r="K296" s="36">
        <v>3172.24</v>
      </c>
      <c r="L296" s="36"/>
      <c r="M296" s="36">
        <v>25202.11</v>
      </c>
      <c r="N296" s="36"/>
      <c r="O296" s="36">
        <v>0</v>
      </c>
      <c r="P296" s="36"/>
      <c r="Q296" s="36">
        <v>169985.56</v>
      </c>
      <c r="R296" s="36"/>
      <c r="S296" s="36">
        <v>0</v>
      </c>
      <c r="T296" s="36"/>
      <c r="U296" s="36">
        <v>0</v>
      </c>
      <c r="V296" s="36"/>
      <c r="W296" s="36">
        <v>0</v>
      </c>
      <c r="X296" s="36"/>
      <c r="Y296" s="36">
        <v>60000</v>
      </c>
      <c r="Z296" s="36"/>
      <c r="AA296" s="36">
        <v>0</v>
      </c>
      <c r="AB296" s="36"/>
      <c r="AC296" s="36">
        <v>0</v>
      </c>
      <c r="AD296" s="36"/>
      <c r="AE296" s="36">
        <f aca="true" t="shared" si="112" ref="AE296">SUM(E296:AC296)</f>
        <v>287201.56</v>
      </c>
      <c r="AF296" s="36"/>
      <c r="AG296" s="36">
        <v>92915.15</v>
      </c>
      <c r="AH296" s="36"/>
      <c r="AI296" s="36">
        <v>363959.63</v>
      </c>
      <c r="AJ296" s="36"/>
      <c r="AK296" s="36">
        <v>456874.78</v>
      </c>
      <c r="AL296" s="24">
        <f>+'Gen Rev'!AI295-'Gen Exp'!AE296+'Gen Exp'!AI296-AK296</f>
        <v>0</v>
      </c>
      <c r="AM296" s="44" t="str">
        <f>'Gen Rev'!A295</f>
        <v>Jamestown</v>
      </c>
      <c r="AN296" s="21" t="str">
        <f t="shared" si="108"/>
        <v>Jamestown</v>
      </c>
      <c r="AO296" s="21" t="b">
        <f t="shared" si="109"/>
        <v>1</v>
      </c>
    </row>
    <row r="297" spans="1:41" s="21" customFormat="1" ht="12.6" customHeight="1">
      <c r="A297" s="1" t="s">
        <v>694</v>
      </c>
      <c r="B297" s="1"/>
      <c r="C297" s="1" t="s">
        <v>674</v>
      </c>
      <c r="D297" s="1"/>
      <c r="E297" s="83">
        <v>140919</v>
      </c>
      <c r="F297" s="83"/>
      <c r="G297" s="83">
        <v>0</v>
      </c>
      <c r="H297" s="83"/>
      <c r="I297" s="83">
        <v>0</v>
      </c>
      <c r="J297" s="83"/>
      <c r="K297" s="83">
        <v>0</v>
      </c>
      <c r="L297" s="83"/>
      <c r="M297" s="83">
        <v>0</v>
      </c>
      <c r="N297" s="83"/>
      <c r="O297" s="83">
        <v>73865</v>
      </c>
      <c r="P297" s="83"/>
      <c r="Q297" s="83">
        <v>501136</v>
      </c>
      <c r="R297" s="83"/>
      <c r="S297" s="83">
        <v>0</v>
      </c>
      <c r="T297" s="83"/>
      <c r="U297" s="83">
        <v>0</v>
      </c>
      <c r="V297" s="83"/>
      <c r="W297" s="83">
        <v>0</v>
      </c>
      <c r="X297" s="83"/>
      <c r="Y297" s="83">
        <v>0</v>
      </c>
      <c r="Z297" s="83"/>
      <c r="AA297" s="83">
        <v>0</v>
      </c>
      <c r="AB297" s="83"/>
      <c r="AC297" s="83">
        <v>55000</v>
      </c>
      <c r="AD297" s="83"/>
      <c r="AE297" s="83">
        <f t="shared" si="104"/>
        <v>770920</v>
      </c>
      <c r="AF297" s="83"/>
      <c r="AG297" s="36">
        <v>52568</v>
      </c>
      <c r="AH297" s="36"/>
      <c r="AI297" s="36">
        <v>175246</v>
      </c>
      <c r="AJ297" s="36"/>
      <c r="AK297" s="36">
        <v>227816</v>
      </c>
      <c r="AL297" s="24">
        <f>+'Gen Rev'!AI296-'Gen Exp'!AE297+'Gen Exp'!AI297-AK297</f>
        <v>-2</v>
      </c>
      <c r="AM297" s="44" t="str">
        <f>'Gen Rev'!A296</f>
        <v xml:space="preserve">Jefferson  </v>
      </c>
      <c r="AN297" s="21" t="str">
        <f t="shared" si="108"/>
        <v xml:space="preserve">Jefferson  </v>
      </c>
      <c r="AO297" s="21" t="b">
        <f t="shared" si="109"/>
        <v>1</v>
      </c>
    </row>
    <row r="298" spans="1:41" ht="12.75">
      <c r="A298" s="1" t="s">
        <v>69</v>
      </c>
      <c r="C298" s="1" t="s">
        <v>767</v>
      </c>
      <c r="D298" s="23"/>
      <c r="E298" s="83">
        <v>52017</v>
      </c>
      <c r="F298" s="83"/>
      <c r="G298" s="83">
        <v>1845</v>
      </c>
      <c r="H298" s="83"/>
      <c r="I298" s="83">
        <v>0</v>
      </c>
      <c r="J298" s="83"/>
      <c r="K298" s="83">
        <v>1424</v>
      </c>
      <c r="L298" s="83"/>
      <c r="M298" s="83">
        <v>0</v>
      </c>
      <c r="N298" s="83"/>
      <c r="O298" s="83">
        <v>0</v>
      </c>
      <c r="P298" s="83"/>
      <c r="Q298" s="83">
        <v>409754</v>
      </c>
      <c r="R298" s="83"/>
      <c r="S298" s="83">
        <v>0</v>
      </c>
      <c r="T298" s="83"/>
      <c r="U298" s="83">
        <v>6300</v>
      </c>
      <c r="V298" s="83"/>
      <c r="W298" s="83">
        <v>0</v>
      </c>
      <c r="X298" s="83"/>
      <c r="Y298" s="83">
        <v>0</v>
      </c>
      <c r="Z298" s="83"/>
      <c r="AA298" s="83">
        <v>0</v>
      </c>
      <c r="AB298" s="83"/>
      <c r="AC298" s="83">
        <v>0</v>
      </c>
      <c r="AD298" s="83"/>
      <c r="AE298" s="83">
        <f t="shared" si="104"/>
        <v>471340</v>
      </c>
      <c r="AF298" s="83"/>
      <c r="AG298" s="83">
        <v>-21077</v>
      </c>
      <c r="AH298" s="83"/>
      <c r="AI298" s="83"/>
      <c r="AJ298" s="83"/>
      <c r="AK298" s="83"/>
      <c r="AL298" s="24">
        <f>+'Gen Rev'!AI297-'Gen Exp'!AE298+'Gen Exp'!AI298-AK298</f>
        <v>-21077</v>
      </c>
      <c r="AM298" s="44" t="str">
        <f>'Gen Rev'!A297</f>
        <v>Jeffersonville</v>
      </c>
      <c r="AN298" s="21" t="str">
        <f t="shared" si="108"/>
        <v>Jeffersonville</v>
      </c>
      <c r="AO298" s="21" t="b">
        <f t="shared" si="109"/>
        <v>1</v>
      </c>
    </row>
    <row r="299" spans="1:41" s="50" customFormat="1" ht="12.75">
      <c r="A299" s="38" t="s">
        <v>695</v>
      </c>
      <c r="B299" s="38"/>
      <c r="C299" s="38" t="s">
        <v>388</v>
      </c>
      <c r="D299" s="38"/>
      <c r="E299" s="83">
        <v>4905.33</v>
      </c>
      <c r="F299" s="83"/>
      <c r="G299" s="83">
        <v>0</v>
      </c>
      <c r="H299" s="83"/>
      <c r="I299" s="83">
        <v>9418.24</v>
      </c>
      <c r="J299" s="83"/>
      <c r="K299" s="83">
        <v>7945.24</v>
      </c>
      <c r="L299" s="83"/>
      <c r="M299" s="83">
        <v>12810.2</v>
      </c>
      <c r="N299" s="83"/>
      <c r="O299" s="83">
        <v>659.48</v>
      </c>
      <c r="P299" s="83"/>
      <c r="Q299" s="83">
        <v>21677.44</v>
      </c>
      <c r="R299" s="83"/>
      <c r="S299" s="83">
        <v>349934.19</v>
      </c>
      <c r="T299" s="83"/>
      <c r="U299" s="83">
        <v>21490.54</v>
      </c>
      <c r="V299" s="83"/>
      <c r="W299" s="83">
        <v>2397.69</v>
      </c>
      <c r="X299" s="83"/>
      <c r="Y299" s="83">
        <v>0</v>
      </c>
      <c r="Z299" s="83"/>
      <c r="AA299" s="83">
        <v>16000</v>
      </c>
      <c r="AB299" s="83"/>
      <c r="AC299" s="83">
        <v>0</v>
      </c>
      <c r="AD299" s="83"/>
      <c r="AE299" s="83">
        <f t="shared" si="104"/>
        <v>447238.35</v>
      </c>
      <c r="AF299" s="83"/>
      <c r="AG299" s="83">
        <v>5858.38</v>
      </c>
      <c r="AH299" s="83"/>
      <c r="AI299" s="83">
        <v>51615.05</v>
      </c>
      <c r="AJ299" s="83"/>
      <c r="AK299" s="83">
        <v>57473.43</v>
      </c>
      <c r="AL299" s="24">
        <f>+'Gen Rev'!AI298-'Gen Exp'!AE299+'Gen Exp'!AI299-AK299</f>
        <v>6.548361852765083E-11</v>
      </c>
      <c r="AM299" s="44" t="str">
        <f>'Gen Rev'!A298</f>
        <v>Jenera</v>
      </c>
      <c r="AN299" s="21" t="str">
        <f t="shared" si="108"/>
        <v>Jenera</v>
      </c>
      <c r="AO299" s="21" t="b">
        <f t="shared" si="109"/>
        <v>1</v>
      </c>
    </row>
    <row r="300" spans="1:41" s="21" customFormat="1" ht="12.75">
      <c r="A300" s="1" t="s">
        <v>696</v>
      </c>
      <c r="B300" s="1"/>
      <c r="C300" s="1" t="s">
        <v>669</v>
      </c>
      <c r="D300" s="23"/>
      <c r="E300" s="83">
        <v>8727.42</v>
      </c>
      <c r="F300" s="83"/>
      <c r="G300" s="83">
        <v>639.76</v>
      </c>
      <c r="H300" s="83"/>
      <c r="I300" s="83">
        <v>3130.24</v>
      </c>
      <c r="J300" s="83"/>
      <c r="K300" s="83">
        <v>0</v>
      </c>
      <c r="L300" s="83"/>
      <c r="M300" s="83">
        <v>0</v>
      </c>
      <c r="N300" s="83"/>
      <c r="O300" s="83">
        <v>1562.04</v>
      </c>
      <c r="P300" s="83"/>
      <c r="Q300" s="83">
        <v>51876.32</v>
      </c>
      <c r="R300" s="83"/>
      <c r="S300" s="83">
        <v>0</v>
      </c>
      <c r="T300" s="83"/>
      <c r="U300" s="83">
        <v>0</v>
      </c>
      <c r="V300" s="83"/>
      <c r="W300" s="83">
        <v>0</v>
      </c>
      <c r="X300" s="83"/>
      <c r="Y300" s="83">
        <v>0</v>
      </c>
      <c r="Z300" s="83"/>
      <c r="AA300" s="83">
        <v>0</v>
      </c>
      <c r="AB300" s="83"/>
      <c r="AC300" s="83">
        <v>3839.41</v>
      </c>
      <c r="AD300" s="83"/>
      <c r="AE300" s="83">
        <f t="shared" si="104"/>
        <v>69775.19</v>
      </c>
      <c r="AF300" s="83"/>
      <c r="AG300" s="36">
        <v>12048.64</v>
      </c>
      <c r="AH300" s="36"/>
      <c r="AI300" s="36">
        <v>65690.37</v>
      </c>
      <c r="AJ300" s="36"/>
      <c r="AK300" s="36">
        <v>77739.01</v>
      </c>
      <c r="AL300" s="24">
        <f>+'Gen Rev'!AI299-'Gen Exp'!AE300+'Gen Exp'!AI300-AK300</f>
        <v>0</v>
      </c>
      <c r="AM300" s="44" t="str">
        <f>'Gen Rev'!A299</f>
        <v>Jeromesville</v>
      </c>
      <c r="AN300" s="21" t="str">
        <f t="shared" si="108"/>
        <v>Jeromesville</v>
      </c>
      <c r="AO300" s="21" t="b">
        <f t="shared" si="109"/>
        <v>1</v>
      </c>
    </row>
    <row r="301" spans="1:41" s="21" customFormat="1" ht="12.75">
      <c r="A301" s="1" t="s">
        <v>697</v>
      </c>
      <c r="B301" s="1"/>
      <c r="C301" s="1" t="s">
        <v>603</v>
      </c>
      <c r="D301" s="1"/>
      <c r="E301" s="36">
        <v>4433.8</v>
      </c>
      <c r="F301" s="36"/>
      <c r="G301" s="36">
        <v>0</v>
      </c>
      <c r="H301" s="36"/>
      <c r="I301" s="36">
        <v>696.46</v>
      </c>
      <c r="J301" s="36"/>
      <c r="K301" s="36">
        <v>150</v>
      </c>
      <c r="L301" s="36"/>
      <c r="M301" s="36">
        <v>0</v>
      </c>
      <c r="N301" s="36"/>
      <c r="O301" s="36">
        <v>0</v>
      </c>
      <c r="P301" s="36"/>
      <c r="Q301" s="36">
        <v>22243.74</v>
      </c>
      <c r="R301" s="36"/>
      <c r="S301" s="36">
        <v>0</v>
      </c>
      <c r="T301" s="36"/>
      <c r="U301" s="36">
        <v>0</v>
      </c>
      <c r="V301" s="36"/>
      <c r="W301" s="36">
        <v>0</v>
      </c>
      <c r="X301" s="36"/>
      <c r="Y301" s="36">
        <v>0</v>
      </c>
      <c r="Z301" s="36"/>
      <c r="AA301" s="36">
        <v>0</v>
      </c>
      <c r="AB301" s="36"/>
      <c r="AC301" s="36">
        <v>0</v>
      </c>
      <c r="AD301" s="36"/>
      <c r="AE301" s="36">
        <f aca="true" t="shared" si="113" ref="AE301:AE302">SUM(E301:AC301)</f>
        <v>27524</v>
      </c>
      <c r="AF301" s="36"/>
      <c r="AG301" s="36">
        <v>5984.33</v>
      </c>
      <c r="AH301" s="36"/>
      <c r="AI301" s="36">
        <v>7360.01</v>
      </c>
      <c r="AJ301" s="36"/>
      <c r="AK301" s="36">
        <v>13344.34</v>
      </c>
      <c r="AL301" s="24">
        <f>+'Gen Rev'!AI300-'Gen Exp'!AE301+'Gen Exp'!AI301-AK301</f>
        <v>0</v>
      </c>
      <c r="AM301" s="44" t="str">
        <f>'Gen Rev'!A300</f>
        <v>Jerry City</v>
      </c>
      <c r="AN301" s="21" t="str">
        <f t="shared" si="108"/>
        <v>Jerry City</v>
      </c>
      <c r="AO301" s="21" t="b">
        <f t="shared" si="109"/>
        <v>1</v>
      </c>
    </row>
    <row r="302" spans="1:41" ht="12.75">
      <c r="A302" s="1" t="s">
        <v>102</v>
      </c>
      <c r="C302" s="1" t="s">
        <v>776</v>
      </c>
      <c r="D302" s="23"/>
      <c r="E302" s="36">
        <v>39664.28</v>
      </c>
      <c r="F302" s="36"/>
      <c r="G302" s="36">
        <v>0</v>
      </c>
      <c r="H302" s="36"/>
      <c r="I302" s="36">
        <v>0</v>
      </c>
      <c r="J302" s="36"/>
      <c r="K302" s="36">
        <v>0</v>
      </c>
      <c r="L302" s="36"/>
      <c r="M302" s="36">
        <v>0</v>
      </c>
      <c r="N302" s="36"/>
      <c r="O302" s="36">
        <v>0</v>
      </c>
      <c r="P302" s="36"/>
      <c r="Q302" s="36">
        <v>88238.66</v>
      </c>
      <c r="R302" s="36"/>
      <c r="S302" s="36">
        <v>6500</v>
      </c>
      <c r="T302" s="36"/>
      <c r="U302" s="36">
        <v>5891.61</v>
      </c>
      <c r="V302" s="36"/>
      <c r="W302" s="36">
        <v>273.98</v>
      </c>
      <c r="X302" s="36"/>
      <c r="Y302" s="36">
        <v>16000</v>
      </c>
      <c r="Z302" s="36"/>
      <c r="AA302" s="36">
        <v>0</v>
      </c>
      <c r="AB302" s="36"/>
      <c r="AC302" s="36">
        <v>990</v>
      </c>
      <c r="AD302" s="36"/>
      <c r="AE302" s="36">
        <f t="shared" si="113"/>
        <v>157558.53</v>
      </c>
      <c r="AF302" s="36"/>
      <c r="AG302" s="36">
        <v>41292.8</v>
      </c>
      <c r="AH302" s="36"/>
      <c r="AI302" s="36">
        <v>83000.54</v>
      </c>
      <c r="AJ302" s="36"/>
      <c r="AK302" s="36">
        <v>124293.34</v>
      </c>
      <c r="AL302" s="24">
        <f>+'Gen Rev'!AI301-'Gen Exp'!AE302+'Gen Exp'!AI302-AK302</f>
        <v>0</v>
      </c>
      <c r="AM302" s="44" t="str">
        <f>'Gen Rev'!A301</f>
        <v>Jewett</v>
      </c>
      <c r="AN302" s="21" t="str">
        <f t="shared" si="108"/>
        <v>Jewett</v>
      </c>
      <c r="AO302" s="21" t="b">
        <f t="shared" si="109"/>
        <v>1</v>
      </c>
    </row>
    <row r="303" spans="1:41" s="21" customFormat="1" ht="12.75">
      <c r="A303" s="1" t="s">
        <v>131</v>
      </c>
      <c r="B303" s="1"/>
      <c r="C303" s="1" t="s">
        <v>785</v>
      </c>
      <c r="D303" s="23"/>
      <c r="E303" s="83">
        <v>973675</v>
      </c>
      <c r="F303" s="83"/>
      <c r="G303" s="83">
        <v>16000</v>
      </c>
      <c r="H303" s="83"/>
      <c r="I303" s="83">
        <v>24012</v>
      </c>
      <c r="J303" s="83"/>
      <c r="K303" s="83">
        <v>88452</v>
      </c>
      <c r="L303" s="83"/>
      <c r="M303" s="83">
        <v>38566</v>
      </c>
      <c r="N303" s="83"/>
      <c r="O303" s="83">
        <v>33969</v>
      </c>
      <c r="P303" s="83"/>
      <c r="Q303" s="83">
        <v>324584</v>
      </c>
      <c r="R303" s="83"/>
      <c r="S303" s="83">
        <v>0</v>
      </c>
      <c r="T303" s="83"/>
      <c r="U303" s="83">
        <v>0</v>
      </c>
      <c r="V303" s="83"/>
      <c r="W303" s="83">
        <v>0</v>
      </c>
      <c r="X303" s="83"/>
      <c r="Y303" s="83">
        <v>413005</v>
      </c>
      <c r="Z303" s="83"/>
      <c r="AA303" s="83">
        <v>0</v>
      </c>
      <c r="AB303" s="83"/>
      <c r="AC303" s="83">
        <v>0</v>
      </c>
      <c r="AD303" s="83"/>
      <c r="AE303" s="83">
        <f t="shared" si="104"/>
        <v>1912263</v>
      </c>
      <c r="AF303" s="83"/>
      <c r="AG303" s="83">
        <v>208770</v>
      </c>
      <c r="AH303" s="83"/>
      <c r="AI303" s="83">
        <v>159662</v>
      </c>
      <c r="AJ303" s="83"/>
      <c r="AK303" s="83">
        <v>368432</v>
      </c>
      <c r="AL303" s="24">
        <f>+'Gen Rev'!AI302-'Gen Exp'!AE303+'Gen Exp'!AI303-AK303</f>
        <v>0</v>
      </c>
      <c r="AM303" s="44" t="str">
        <f>'Gen Rev'!A302</f>
        <v>Johnstown</v>
      </c>
      <c r="AN303" s="21" t="str">
        <f t="shared" si="108"/>
        <v>Johnstown</v>
      </c>
      <c r="AO303" s="21" t="b">
        <f t="shared" si="109"/>
        <v>1</v>
      </c>
    </row>
    <row r="304" spans="1:41" ht="12.75">
      <c r="A304" s="1" t="s">
        <v>698</v>
      </c>
      <c r="C304" s="1" t="s">
        <v>501</v>
      </c>
      <c r="E304" s="83">
        <v>36415</v>
      </c>
      <c r="F304" s="83"/>
      <c r="G304" s="83">
        <v>0</v>
      </c>
      <c r="H304" s="83"/>
      <c r="I304" s="83">
        <v>0</v>
      </c>
      <c r="J304" s="83"/>
      <c r="K304" s="83">
        <v>0</v>
      </c>
      <c r="L304" s="83"/>
      <c r="M304" s="83">
        <v>13414</v>
      </c>
      <c r="N304" s="83"/>
      <c r="O304" s="83">
        <v>2440</v>
      </c>
      <c r="P304" s="83"/>
      <c r="Q304" s="83">
        <v>9417</v>
      </c>
      <c r="R304" s="83"/>
      <c r="S304" s="83">
        <v>0</v>
      </c>
      <c r="T304" s="83"/>
      <c r="U304" s="83">
        <v>0</v>
      </c>
      <c r="V304" s="83"/>
      <c r="W304" s="83">
        <v>0</v>
      </c>
      <c r="X304" s="83"/>
      <c r="Y304" s="83">
        <v>0</v>
      </c>
      <c r="Z304" s="83"/>
      <c r="AA304" s="83">
        <v>0</v>
      </c>
      <c r="AB304" s="83"/>
      <c r="AC304" s="83">
        <v>0</v>
      </c>
      <c r="AD304" s="83"/>
      <c r="AE304" s="83">
        <f t="shared" si="104"/>
        <v>61686</v>
      </c>
      <c r="AF304" s="83"/>
      <c r="AG304" s="83"/>
      <c r="AH304" s="83"/>
      <c r="AI304" s="83">
        <v>21314</v>
      </c>
      <c r="AJ304" s="83"/>
      <c r="AK304" s="83">
        <v>32313</v>
      </c>
      <c r="AL304" s="24">
        <f>+'Gen Rev'!AI303-'Gen Exp'!AE304+'Gen Exp'!AI304-AK304</f>
        <v>-1</v>
      </c>
      <c r="AM304" s="44" t="str">
        <f>'Gen Rev'!A303</f>
        <v>Junction City</v>
      </c>
      <c r="AN304" s="21" t="str">
        <f t="shared" si="108"/>
        <v>Junction City</v>
      </c>
      <c r="AO304" s="21" t="b">
        <f t="shared" si="109"/>
        <v>1</v>
      </c>
    </row>
    <row r="305" spans="1:41" ht="12.75">
      <c r="A305" s="1" t="s">
        <v>842</v>
      </c>
      <c r="C305" s="1" t="s">
        <v>808</v>
      </c>
      <c r="D305" s="23"/>
      <c r="E305" s="36">
        <v>81250.77</v>
      </c>
      <c r="F305" s="36"/>
      <c r="G305" s="36">
        <v>0</v>
      </c>
      <c r="H305" s="36"/>
      <c r="I305" s="36">
        <v>0</v>
      </c>
      <c r="J305" s="36"/>
      <c r="K305" s="36">
        <v>0</v>
      </c>
      <c r="L305" s="36"/>
      <c r="M305" s="36">
        <v>2490.34</v>
      </c>
      <c r="N305" s="36"/>
      <c r="O305" s="36">
        <v>3120</v>
      </c>
      <c r="P305" s="36"/>
      <c r="Q305" s="36">
        <v>287033.98</v>
      </c>
      <c r="R305" s="36"/>
      <c r="S305" s="36">
        <v>5167.56</v>
      </c>
      <c r="T305" s="36"/>
      <c r="U305" s="36">
        <v>0</v>
      </c>
      <c r="V305" s="36"/>
      <c r="W305" s="36">
        <v>0</v>
      </c>
      <c r="X305" s="36"/>
      <c r="Y305" s="36">
        <v>379000</v>
      </c>
      <c r="Z305" s="36"/>
      <c r="AA305" s="36">
        <v>22550.53</v>
      </c>
      <c r="AB305" s="36"/>
      <c r="AC305" s="36">
        <v>0</v>
      </c>
      <c r="AD305" s="36"/>
      <c r="AE305" s="36">
        <f aca="true" t="shared" si="114" ref="AE305">SUM(E305:AC305)</f>
        <v>780613.1799999999</v>
      </c>
      <c r="AF305" s="36"/>
      <c r="AG305" s="36">
        <v>152729.29</v>
      </c>
      <c r="AH305" s="36"/>
      <c r="AI305" s="36">
        <v>915244.87</v>
      </c>
      <c r="AJ305" s="36"/>
      <c r="AK305" s="36">
        <v>1067974.16</v>
      </c>
      <c r="AL305" s="24">
        <f>+'Gen Rev'!AI304-'Gen Exp'!AE305+'Gen Exp'!AI305-AK305</f>
        <v>0</v>
      </c>
      <c r="AM305" s="44" t="str">
        <f>'Gen Rev'!A304</f>
        <v>Kalida</v>
      </c>
      <c r="AN305" s="21" t="str">
        <f t="shared" si="108"/>
        <v>Kalida</v>
      </c>
      <c r="AO305" s="21" t="b">
        <f t="shared" si="109"/>
        <v>1</v>
      </c>
    </row>
    <row r="306" spans="1:41" s="21" customFormat="1" ht="12.6" customHeight="1">
      <c r="A306" s="1" t="s">
        <v>699</v>
      </c>
      <c r="B306" s="1"/>
      <c r="C306" s="1" t="s">
        <v>348</v>
      </c>
      <c r="D306" s="1"/>
      <c r="E306" s="83">
        <v>176557.73</v>
      </c>
      <c r="F306" s="83"/>
      <c r="G306" s="83">
        <v>1977.31</v>
      </c>
      <c r="H306" s="83"/>
      <c r="I306" s="83">
        <v>0</v>
      </c>
      <c r="J306" s="83"/>
      <c r="K306" s="83">
        <v>13204.26</v>
      </c>
      <c r="L306" s="83"/>
      <c r="M306" s="83">
        <v>0</v>
      </c>
      <c r="N306" s="83"/>
      <c r="O306" s="83">
        <v>49466.62</v>
      </c>
      <c r="P306" s="83"/>
      <c r="Q306" s="83">
        <v>256782.85</v>
      </c>
      <c r="R306" s="83"/>
      <c r="S306" s="83">
        <v>184019.27</v>
      </c>
      <c r="T306" s="83"/>
      <c r="U306" s="83">
        <v>0</v>
      </c>
      <c r="V306" s="83"/>
      <c r="W306" s="83">
        <v>0</v>
      </c>
      <c r="X306" s="83"/>
      <c r="Y306" s="83">
        <v>35.1</v>
      </c>
      <c r="Z306" s="83"/>
      <c r="AA306" s="83">
        <v>42000</v>
      </c>
      <c r="AB306" s="83"/>
      <c r="AC306" s="83">
        <v>7837.46</v>
      </c>
      <c r="AD306" s="83"/>
      <c r="AE306" s="83">
        <f t="shared" si="104"/>
        <v>731880.6</v>
      </c>
      <c r="AF306" s="83"/>
      <c r="AG306" s="36">
        <v>-256011.07</v>
      </c>
      <c r="AH306" s="36"/>
      <c r="AI306" s="36">
        <v>435190.32</v>
      </c>
      <c r="AJ306" s="36"/>
      <c r="AK306" s="36">
        <v>179179.25</v>
      </c>
      <c r="AL306" s="24">
        <f>+'Gen Rev'!AI305-'Gen Exp'!AE306+'Gen Exp'!AI306-AK306</f>
        <v>0</v>
      </c>
      <c r="AM306" s="44" t="str">
        <f>'Gen Rev'!A305</f>
        <v>Kelley's Island</v>
      </c>
      <c r="AN306" s="21" t="str">
        <f t="shared" si="108"/>
        <v>Kelley's Island</v>
      </c>
      <c r="AO306" s="21" t="b">
        <f t="shared" si="109"/>
        <v>1</v>
      </c>
    </row>
    <row r="307" spans="1:41" s="31" customFormat="1" ht="12.75">
      <c r="A307" s="15" t="s">
        <v>700</v>
      </c>
      <c r="B307" s="15"/>
      <c r="C307" s="15" t="s">
        <v>538</v>
      </c>
      <c r="D307" s="15"/>
      <c r="E307" s="85">
        <v>3801</v>
      </c>
      <c r="F307" s="85"/>
      <c r="G307" s="85">
        <v>895</v>
      </c>
      <c r="H307" s="85"/>
      <c r="I307" s="85">
        <v>0</v>
      </c>
      <c r="J307" s="85"/>
      <c r="K307" s="85">
        <v>0</v>
      </c>
      <c r="L307" s="85"/>
      <c r="M307" s="85">
        <v>8711</v>
      </c>
      <c r="N307" s="85"/>
      <c r="O307" s="85">
        <v>3998</v>
      </c>
      <c r="P307" s="85"/>
      <c r="Q307" s="85">
        <v>11564</v>
      </c>
      <c r="R307" s="85"/>
      <c r="S307" s="85">
        <v>0</v>
      </c>
      <c r="T307" s="85"/>
      <c r="U307" s="85">
        <v>0</v>
      </c>
      <c r="V307" s="85"/>
      <c r="W307" s="85">
        <v>0</v>
      </c>
      <c r="X307" s="85"/>
      <c r="Y307" s="85">
        <v>0</v>
      </c>
      <c r="Z307" s="85"/>
      <c r="AA307" s="83">
        <v>0</v>
      </c>
      <c r="AB307" s="85"/>
      <c r="AC307" s="85">
        <v>0</v>
      </c>
      <c r="AD307" s="85"/>
      <c r="AE307" s="83">
        <f t="shared" si="104"/>
        <v>28969</v>
      </c>
      <c r="AF307" s="85"/>
      <c r="AG307" s="85">
        <v>12678</v>
      </c>
      <c r="AH307" s="85"/>
      <c r="AI307" s="85">
        <v>0</v>
      </c>
      <c r="AJ307" s="85"/>
      <c r="AK307" s="85">
        <v>12678</v>
      </c>
      <c r="AL307" s="24">
        <f>+'Gen Rev'!AI306-'Gen Exp'!AE307+'Gen Exp'!AI307-AK307</f>
        <v>0</v>
      </c>
      <c r="AM307" s="44" t="str">
        <f>'Gen Rev'!A306</f>
        <v>Kettersville</v>
      </c>
      <c r="AN307" s="21" t="str">
        <f t="shared" si="108"/>
        <v>Kettersville</v>
      </c>
      <c r="AO307" s="21" t="b">
        <f t="shared" si="109"/>
        <v>1</v>
      </c>
    </row>
    <row r="308" spans="1:41" ht="12.75">
      <c r="A308" s="1" t="s">
        <v>904</v>
      </c>
      <c r="C308" s="1" t="s">
        <v>412</v>
      </c>
      <c r="D308" s="23"/>
      <c r="E308" s="83">
        <v>29472</v>
      </c>
      <c r="F308" s="83"/>
      <c r="G308" s="83">
        <v>4786</v>
      </c>
      <c r="H308" s="83"/>
      <c r="I308" s="83">
        <v>16020</v>
      </c>
      <c r="J308" s="83"/>
      <c r="K308" s="83">
        <v>0</v>
      </c>
      <c r="L308" s="83"/>
      <c r="M308" s="83">
        <v>0</v>
      </c>
      <c r="N308" s="83"/>
      <c r="O308" s="83">
        <v>0</v>
      </c>
      <c r="P308" s="83"/>
      <c r="Q308" s="83">
        <v>42772</v>
      </c>
      <c r="R308" s="83"/>
      <c r="S308" s="83">
        <v>0</v>
      </c>
      <c r="T308" s="83"/>
      <c r="U308" s="83">
        <v>0</v>
      </c>
      <c r="V308" s="83"/>
      <c r="W308" s="83">
        <v>0</v>
      </c>
      <c r="X308" s="83"/>
      <c r="Y308" s="83">
        <v>0</v>
      </c>
      <c r="Z308" s="83"/>
      <c r="AA308" s="83">
        <v>0</v>
      </c>
      <c r="AB308" s="83"/>
      <c r="AC308" s="85">
        <v>0</v>
      </c>
      <c r="AD308" s="83"/>
      <c r="AE308" s="83">
        <f t="shared" si="104"/>
        <v>93050</v>
      </c>
      <c r="AF308" s="83"/>
      <c r="AG308" s="83">
        <v>86493</v>
      </c>
      <c r="AH308" s="83"/>
      <c r="AI308" s="83">
        <v>112275</v>
      </c>
      <c r="AJ308" s="83"/>
      <c r="AK308" s="83">
        <v>198768</v>
      </c>
      <c r="AL308" s="24">
        <f>+'Gen Rev'!AI307-'Gen Exp'!AE308+'Gen Exp'!AI308-AK308</f>
        <v>0</v>
      </c>
      <c r="AM308" s="44" t="str">
        <f>'Gen Rev'!A307</f>
        <v>Killbuck</v>
      </c>
      <c r="AN308" s="21" t="str">
        <f t="shared" si="108"/>
        <v>Killbuck</v>
      </c>
      <c r="AO308" s="21" t="b">
        <f t="shared" si="109"/>
        <v>1</v>
      </c>
    </row>
    <row r="309" spans="1:41" ht="12.75">
      <c r="A309" s="1" t="s">
        <v>213</v>
      </c>
      <c r="C309" s="1" t="s">
        <v>810</v>
      </c>
      <c r="D309" s="23"/>
      <c r="E309" s="36">
        <v>8049.4</v>
      </c>
      <c r="F309" s="36"/>
      <c r="G309" s="36">
        <v>0</v>
      </c>
      <c r="H309" s="36"/>
      <c r="I309" s="36">
        <v>0</v>
      </c>
      <c r="J309" s="36"/>
      <c r="K309" s="36">
        <v>2803.53</v>
      </c>
      <c r="L309" s="36"/>
      <c r="M309" s="36">
        <v>11948.3</v>
      </c>
      <c r="N309" s="36"/>
      <c r="O309" s="36">
        <v>0</v>
      </c>
      <c r="P309" s="36"/>
      <c r="Q309" s="36">
        <v>61067.47</v>
      </c>
      <c r="R309" s="36"/>
      <c r="S309" s="36">
        <v>0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1475</v>
      </c>
      <c r="AD309" s="36"/>
      <c r="AE309" s="36">
        <f aca="true" t="shared" si="115" ref="AE309:AE312">SUM(E309:AC309)</f>
        <v>85343.7</v>
      </c>
      <c r="AF309" s="36"/>
      <c r="AG309" s="36">
        <v>20685.72</v>
      </c>
      <c r="AH309" s="36"/>
      <c r="AI309" s="36">
        <v>321583.06</v>
      </c>
      <c r="AJ309" s="36"/>
      <c r="AK309" s="36">
        <v>342268.78</v>
      </c>
      <c r="AL309" s="24">
        <f>+'Gen Rev'!AI308-'Gen Exp'!AE309+'Gen Exp'!AI309-AK309</f>
        <v>0</v>
      </c>
      <c r="AM309" s="44" t="str">
        <f>'Gen Rev'!A308</f>
        <v>Kingston</v>
      </c>
      <c r="AN309" s="21" t="str">
        <f t="shared" si="108"/>
        <v>Kingston</v>
      </c>
      <c r="AO309" s="21" t="b">
        <f t="shared" si="109"/>
        <v>1</v>
      </c>
    </row>
    <row r="310" spans="1:41" s="21" customFormat="1" ht="12.75">
      <c r="A310" s="1" t="s">
        <v>136</v>
      </c>
      <c r="B310" s="1"/>
      <c r="C310" s="1" t="s">
        <v>787</v>
      </c>
      <c r="D310" s="23"/>
      <c r="E310" s="36">
        <v>10023.79</v>
      </c>
      <c r="F310" s="36"/>
      <c r="G310" s="36">
        <v>0</v>
      </c>
      <c r="H310" s="36"/>
      <c r="I310" s="36">
        <v>3000</v>
      </c>
      <c r="J310" s="36"/>
      <c r="K310" s="36">
        <v>0</v>
      </c>
      <c r="L310" s="36"/>
      <c r="M310" s="36">
        <v>0</v>
      </c>
      <c r="N310" s="36"/>
      <c r="O310" s="36">
        <v>0</v>
      </c>
      <c r="P310" s="36"/>
      <c r="Q310" s="36">
        <v>25482.11</v>
      </c>
      <c r="R310" s="36"/>
      <c r="S310" s="36">
        <v>0</v>
      </c>
      <c r="T310" s="36"/>
      <c r="U310" s="36">
        <v>2610</v>
      </c>
      <c r="V310" s="36"/>
      <c r="W310" s="36">
        <v>838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f t="shared" si="115"/>
        <v>41953.9</v>
      </c>
      <c r="AF310" s="36"/>
      <c r="AG310" s="36">
        <v>8084.48</v>
      </c>
      <c r="AH310" s="36"/>
      <c r="AI310" s="36">
        <v>15355.2</v>
      </c>
      <c r="AJ310" s="36"/>
      <c r="AK310" s="36">
        <v>23439.68</v>
      </c>
      <c r="AL310" s="24">
        <f>+'Gen Rev'!AI309-'Gen Exp'!AE310+'Gen Exp'!AI310-AK310</f>
        <v>0</v>
      </c>
      <c r="AM310" s="44" t="str">
        <f>'Gen Rev'!A309</f>
        <v>Kipton</v>
      </c>
      <c r="AN310" s="21" t="str">
        <f t="shared" si="108"/>
        <v>Kipton</v>
      </c>
      <c r="AO310" s="21" t="b">
        <f t="shared" si="109"/>
        <v>1</v>
      </c>
    </row>
    <row r="311" spans="1:41" ht="12.75">
      <c r="A311" s="1" t="s">
        <v>265</v>
      </c>
      <c r="C311" s="1" t="s">
        <v>826</v>
      </c>
      <c r="D311" s="23"/>
      <c r="E311" s="36">
        <v>6767.75</v>
      </c>
      <c r="F311" s="36"/>
      <c r="G311" s="36">
        <v>1044.01</v>
      </c>
      <c r="H311" s="36"/>
      <c r="I311" s="36">
        <v>0</v>
      </c>
      <c r="J311" s="36"/>
      <c r="K311" s="36">
        <v>0</v>
      </c>
      <c r="L311" s="36"/>
      <c r="M311" s="36">
        <v>0</v>
      </c>
      <c r="N311" s="36"/>
      <c r="O311" s="36">
        <v>0</v>
      </c>
      <c r="P311" s="36"/>
      <c r="Q311" s="36">
        <v>16148.73</v>
      </c>
      <c r="R311" s="36"/>
      <c r="S311" s="36">
        <v>0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f t="shared" si="115"/>
        <v>23960.489999999998</v>
      </c>
      <c r="AF311" s="36"/>
      <c r="AG311" s="36">
        <v>-3204.44</v>
      </c>
      <c r="AH311" s="36"/>
      <c r="AI311" s="36">
        <v>41233.24</v>
      </c>
      <c r="AJ311" s="36"/>
      <c r="AK311" s="36">
        <v>38028.8</v>
      </c>
      <c r="AL311" s="24">
        <f>+'Gen Rev'!AI310-'Gen Exp'!AE311+'Gen Exp'!AI311-AK311</f>
        <v>0</v>
      </c>
      <c r="AM311" s="44" t="str">
        <f>'Gen Rev'!A310</f>
        <v>Kirby</v>
      </c>
      <c r="AN311" s="21" t="str">
        <f t="shared" si="108"/>
        <v>Kirby</v>
      </c>
      <c r="AO311" s="21" t="b">
        <f t="shared" si="109"/>
        <v>1</v>
      </c>
    </row>
    <row r="312" spans="1:41" ht="12.75">
      <c r="A312" s="1" t="s">
        <v>701</v>
      </c>
      <c r="C312" s="1" t="s">
        <v>439</v>
      </c>
      <c r="E312" s="36">
        <v>27378.84</v>
      </c>
      <c r="F312" s="36"/>
      <c r="G312" s="36">
        <v>0</v>
      </c>
      <c r="H312" s="36"/>
      <c r="I312" s="36">
        <v>0</v>
      </c>
      <c r="J312" s="36"/>
      <c r="K312" s="36">
        <v>462.84</v>
      </c>
      <c r="L312" s="36"/>
      <c r="M312" s="36">
        <v>0</v>
      </c>
      <c r="N312" s="36"/>
      <c r="O312" s="36">
        <v>0</v>
      </c>
      <c r="P312" s="36"/>
      <c r="Q312" s="36">
        <v>95714.97</v>
      </c>
      <c r="R312" s="36"/>
      <c r="S312" s="36">
        <v>0</v>
      </c>
      <c r="T312" s="36"/>
      <c r="U312" s="36">
        <v>0</v>
      </c>
      <c r="V312" s="36"/>
      <c r="W312" s="36">
        <v>0</v>
      </c>
      <c r="X312" s="36"/>
      <c r="Y312" s="36">
        <v>0</v>
      </c>
      <c r="Z312" s="36"/>
      <c r="AA312" s="36">
        <v>0</v>
      </c>
      <c r="AB312" s="36"/>
      <c r="AC312" s="36">
        <v>0</v>
      </c>
      <c r="AD312" s="36"/>
      <c r="AE312" s="36">
        <f t="shared" si="115"/>
        <v>123556.65</v>
      </c>
      <c r="AF312" s="36"/>
      <c r="AG312" s="36">
        <v>-7106.97</v>
      </c>
      <c r="AH312" s="36"/>
      <c r="AI312" s="36">
        <v>27038.53</v>
      </c>
      <c r="AJ312" s="36"/>
      <c r="AK312" s="36">
        <v>19931.56</v>
      </c>
      <c r="AL312" s="24">
        <f>+'Gen Rev'!AI311-'Gen Exp'!AE312+'Gen Exp'!AI312-AK312</f>
        <v>0</v>
      </c>
      <c r="AM312" s="44" t="str">
        <f>'Gen Rev'!A311</f>
        <v>Kirkersville</v>
      </c>
      <c r="AN312" s="21" t="str">
        <f t="shared" si="108"/>
        <v>Kirkersville</v>
      </c>
      <c r="AO312" s="21" t="b">
        <f t="shared" si="109"/>
        <v>1</v>
      </c>
    </row>
    <row r="313" spans="1:41" s="21" customFormat="1" ht="12.75">
      <c r="A313" s="1" t="s">
        <v>921</v>
      </c>
      <c r="B313" s="1"/>
      <c r="C313" s="1" t="s">
        <v>430</v>
      </c>
      <c r="D313" s="1"/>
      <c r="E313" s="83">
        <v>1264430</v>
      </c>
      <c r="F313" s="83"/>
      <c r="G313" s="83">
        <v>17286</v>
      </c>
      <c r="H313" s="83"/>
      <c r="I313" s="83">
        <v>2534</v>
      </c>
      <c r="J313" s="83"/>
      <c r="K313" s="83">
        <v>0</v>
      </c>
      <c r="L313" s="83"/>
      <c r="M313" s="83">
        <v>68587</v>
      </c>
      <c r="N313" s="83"/>
      <c r="O313" s="83">
        <v>317495</v>
      </c>
      <c r="P313" s="83"/>
      <c r="Q313" s="83">
        <v>211312</v>
      </c>
      <c r="R313" s="83"/>
      <c r="S313" s="83">
        <v>0</v>
      </c>
      <c r="T313" s="83"/>
      <c r="U313" s="83">
        <v>0</v>
      </c>
      <c r="V313" s="83"/>
      <c r="W313" s="83">
        <v>0</v>
      </c>
      <c r="X313" s="83"/>
      <c r="Y313" s="83">
        <v>142138</v>
      </c>
      <c r="Z313" s="83"/>
      <c r="AA313" s="83">
        <v>0</v>
      </c>
      <c r="AB313" s="83"/>
      <c r="AC313" s="85">
        <v>0</v>
      </c>
      <c r="AD313" s="83"/>
      <c r="AE313" s="83">
        <f t="shared" si="104"/>
        <v>2023782</v>
      </c>
      <c r="AF313" s="83"/>
      <c r="AG313" s="83">
        <v>2460</v>
      </c>
      <c r="AH313" s="83"/>
      <c r="AI313" s="83">
        <v>1173056</v>
      </c>
      <c r="AJ313" s="83"/>
      <c r="AK313" s="83">
        <v>1175516</v>
      </c>
      <c r="AL313" s="24">
        <f>+'Gen Rev'!AI312-'Gen Exp'!AE313+'Gen Exp'!AI313-AK313</f>
        <v>0</v>
      </c>
      <c r="AM313" s="44" t="str">
        <f>'Gen Rev'!A312</f>
        <v>Kirtland Hills</v>
      </c>
      <c r="AN313" s="21" t="str">
        <f t="shared" si="108"/>
        <v>Kirtland Hills</v>
      </c>
      <c r="AO313" s="21" t="b">
        <f t="shared" si="109"/>
        <v>1</v>
      </c>
    </row>
    <row r="314" spans="1:41" s="21" customFormat="1" ht="12.75">
      <c r="A314" s="1" t="s">
        <v>5</v>
      </c>
      <c r="B314" s="1"/>
      <c r="C314" s="1" t="s">
        <v>746</v>
      </c>
      <c r="D314" s="23"/>
      <c r="E314" s="36">
        <v>13492.56</v>
      </c>
      <c r="F314" s="36"/>
      <c r="G314" s="36">
        <v>0</v>
      </c>
      <c r="H314" s="36"/>
      <c r="I314" s="36">
        <v>0</v>
      </c>
      <c r="J314" s="36"/>
      <c r="K314" s="36">
        <v>0</v>
      </c>
      <c r="L314" s="36"/>
      <c r="M314" s="36">
        <v>0</v>
      </c>
      <c r="N314" s="36"/>
      <c r="O314" s="36">
        <v>0</v>
      </c>
      <c r="P314" s="36"/>
      <c r="Q314" s="36">
        <v>31002.95</v>
      </c>
      <c r="R314" s="36"/>
      <c r="S314" s="36">
        <v>0</v>
      </c>
      <c r="T314" s="36"/>
      <c r="U314" s="36">
        <v>5602.64</v>
      </c>
      <c r="V314" s="36"/>
      <c r="W314" s="36">
        <v>1415.91</v>
      </c>
      <c r="X314" s="36"/>
      <c r="Y314" s="36">
        <v>4000</v>
      </c>
      <c r="Z314" s="36"/>
      <c r="AA314" s="36">
        <v>0</v>
      </c>
      <c r="AB314" s="36"/>
      <c r="AC314" s="36">
        <v>0</v>
      </c>
      <c r="AD314" s="36"/>
      <c r="AE314" s="36">
        <f aca="true" t="shared" si="116" ref="AE314:AE315">SUM(E314:AC314)</f>
        <v>55514.060000000005</v>
      </c>
      <c r="AF314" s="36"/>
      <c r="AG314" s="36">
        <v>-4799.7</v>
      </c>
      <c r="AH314" s="36"/>
      <c r="AI314" s="36">
        <v>24173.06</v>
      </c>
      <c r="AJ314" s="36"/>
      <c r="AK314" s="36">
        <v>19373.36</v>
      </c>
      <c r="AL314" s="24">
        <f>+'Gen Rev'!AI313-'Gen Exp'!AE314+'Gen Exp'!AI314-AK314</f>
        <v>0</v>
      </c>
      <c r="AM314" s="44" t="str">
        <f>'Gen Rev'!A313</f>
        <v>Lafayette</v>
      </c>
      <c r="AN314" s="21" t="str">
        <f t="shared" si="108"/>
        <v>Lafayette</v>
      </c>
      <c r="AO314" s="21" t="b">
        <f t="shared" si="109"/>
        <v>1</v>
      </c>
    </row>
    <row r="315" spans="1:41" ht="12.75">
      <c r="A315" s="1" t="s">
        <v>137</v>
      </c>
      <c r="C315" s="1" t="s">
        <v>787</v>
      </c>
      <c r="D315" s="23"/>
      <c r="E315" s="36">
        <v>534470</v>
      </c>
      <c r="F315" s="36"/>
      <c r="G315" s="36">
        <v>7420.74</v>
      </c>
      <c r="H315" s="36"/>
      <c r="I315" s="36">
        <v>86881.11</v>
      </c>
      <c r="J315" s="36"/>
      <c r="K315" s="36">
        <v>45994.46</v>
      </c>
      <c r="L315" s="36"/>
      <c r="M315" s="36">
        <v>151132.67</v>
      </c>
      <c r="N315" s="36"/>
      <c r="O315" s="36">
        <v>11936.93</v>
      </c>
      <c r="P315" s="36"/>
      <c r="Q315" s="36">
        <v>406949.8</v>
      </c>
      <c r="R315" s="36"/>
      <c r="S315" s="36">
        <v>0</v>
      </c>
      <c r="T315" s="36"/>
      <c r="U315" s="36">
        <v>0</v>
      </c>
      <c r="V315" s="36"/>
      <c r="W315" s="36">
        <v>0</v>
      </c>
      <c r="X315" s="36"/>
      <c r="Y315" s="36">
        <v>124676.8</v>
      </c>
      <c r="Z315" s="36"/>
      <c r="AA315" s="36">
        <v>0</v>
      </c>
      <c r="AB315" s="36"/>
      <c r="AC315" s="36">
        <v>0</v>
      </c>
      <c r="AD315" s="36"/>
      <c r="AE315" s="36">
        <f t="shared" si="116"/>
        <v>1369462.51</v>
      </c>
      <c r="AF315" s="36"/>
      <c r="AG315" s="36">
        <v>28921.36</v>
      </c>
      <c r="AH315" s="36"/>
      <c r="AI315" s="36">
        <v>921938.32</v>
      </c>
      <c r="AJ315" s="36"/>
      <c r="AK315" s="36">
        <v>950859.68</v>
      </c>
      <c r="AL315" s="24">
        <f>+'Gen Rev'!AI314-'Gen Exp'!AE315+'Gen Exp'!AI315-AK315</f>
        <v>0</v>
      </c>
      <c r="AM315" s="44" t="str">
        <f>'Gen Rev'!A314</f>
        <v>Lagrange</v>
      </c>
      <c r="AN315" s="21" t="str">
        <f t="shared" si="108"/>
        <v>Lagrange</v>
      </c>
      <c r="AO315" s="21" t="b">
        <f t="shared" si="109"/>
        <v>1</v>
      </c>
    </row>
    <row r="316" spans="1:41" s="21" customFormat="1" ht="12.75">
      <c r="A316" s="1" t="s">
        <v>703</v>
      </c>
      <c r="B316" s="1"/>
      <c r="C316" s="1" t="s">
        <v>430</v>
      </c>
      <c r="D316" s="1"/>
      <c r="E316" s="95">
        <v>50965.72</v>
      </c>
      <c r="F316" s="95"/>
      <c r="G316" s="95">
        <v>0</v>
      </c>
      <c r="H316" s="95"/>
      <c r="I316" s="95">
        <v>0</v>
      </c>
      <c r="J316" s="95"/>
      <c r="K316" s="95">
        <v>0</v>
      </c>
      <c r="L316" s="95"/>
      <c r="M316" s="95">
        <v>5772.8</v>
      </c>
      <c r="N316" s="95"/>
      <c r="O316" s="95">
        <v>0</v>
      </c>
      <c r="P316" s="95"/>
      <c r="Q316" s="95">
        <v>18877.62</v>
      </c>
      <c r="R316" s="95"/>
      <c r="S316" s="95">
        <v>0</v>
      </c>
      <c r="T316" s="95"/>
      <c r="U316" s="95">
        <v>0</v>
      </c>
      <c r="V316" s="95"/>
      <c r="W316" s="95">
        <v>0</v>
      </c>
      <c r="X316" s="95"/>
      <c r="Y316" s="95">
        <v>0</v>
      </c>
      <c r="Z316" s="95"/>
      <c r="AA316" s="95">
        <v>0</v>
      </c>
      <c r="AB316" s="95"/>
      <c r="AC316" s="95">
        <v>0</v>
      </c>
      <c r="AD316" s="95"/>
      <c r="AE316" s="95">
        <f aca="true" t="shared" si="117" ref="AE316">SUM(E316:AC316)</f>
        <v>75616.14</v>
      </c>
      <c r="AF316" s="95"/>
      <c r="AG316" s="95">
        <v>-8752.9</v>
      </c>
      <c r="AH316" s="95"/>
      <c r="AI316" s="95">
        <v>68970.85</v>
      </c>
      <c r="AJ316" s="95"/>
      <c r="AK316" s="95">
        <v>60217.95</v>
      </c>
      <c r="AL316" s="24">
        <f>+'Gen Rev'!AI315-'Gen Exp'!AE316+'Gen Exp'!AI316-AK316</f>
        <v>0</v>
      </c>
      <c r="AM316" s="44" t="str">
        <f>'Gen Rev'!A315</f>
        <v>Lakeline</v>
      </c>
      <c r="AN316" s="21" t="str">
        <f t="shared" si="108"/>
        <v>Lakeline</v>
      </c>
      <c r="AO316" s="21" t="b">
        <f t="shared" si="109"/>
        <v>1</v>
      </c>
    </row>
    <row r="317" spans="1:41" ht="12.75">
      <c r="A317" s="1" t="s">
        <v>830</v>
      </c>
      <c r="C317" s="1" t="s">
        <v>551</v>
      </c>
      <c r="E317" s="36">
        <v>567709.46</v>
      </c>
      <c r="F317" s="36"/>
      <c r="G317" s="36">
        <v>0</v>
      </c>
      <c r="H317" s="36"/>
      <c r="I317" s="36">
        <v>8995.2</v>
      </c>
      <c r="J317" s="36"/>
      <c r="K317" s="36">
        <v>14759.99</v>
      </c>
      <c r="L317" s="36"/>
      <c r="M317" s="36">
        <v>0</v>
      </c>
      <c r="N317" s="36"/>
      <c r="O317" s="36">
        <v>93214.58</v>
      </c>
      <c r="P317" s="36"/>
      <c r="Q317" s="36">
        <v>271143.57</v>
      </c>
      <c r="R317" s="36"/>
      <c r="S317" s="36">
        <v>0</v>
      </c>
      <c r="T317" s="36"/>
      <c r="U317" s="36">
        <v>0</v>
      </c>
      <c r="V317" s="36"/>
      <c r="W317" s="36">
        <v>0</v>
      </c>
      <c r="X317" s="36"/>
      <c r="Y317" s="36">
        <v>207642.73</v>
      </c>
      <c r="Z317" s="36"/>
      <c r="AA317" s="36">
        <v>0</v>
      </c>
      <c r="AB317" s="36"/>
      <c r="AC317" s="36">
        <v>12007.07</v>
      </c>
      <c r="AD317" s="36"/>
      <c r="AE317" s="36">
        <f aca="true" t="shared" si="118" ref="AE317">SUM(E317:AC317)</f>
        <v>1175472.5999999999</v>
      </c>
      <c r="AF317" s="36"/>
      <c r="AG317" s="36">
        <v>-75543.08</v>
      </c>
      <c r="AH317" s="36"/>
      <c r="AI317" s="36">
        <v>-961342.7</v>
      </c>
      <c r="AJ317" s="36"/>
      <c r="AK317" s="36">
        <v>-1036885.78</v>
      </c>
      <c r="AL317" s="24">
        <f>+'Gen Rev'!AI316-'Gen Exp'!AE317+'Gen Exp'!AI317-AK317</f>
        <v>0</v>
      </c>
      <c r="AM317" s="44" t="str">
        <f>'Gen Rev'!A316</f>
        <v>Lakemore</v>
      </c>
      <c r="AN317" s="21" t="str">
        <f t="shared" si="108"/>
        <v>Lakemore</v>
      </c>
      <c r="AO317" s="21" t="b">
        <f t="shared" si="109"/>
        <v>1</v>
      </c>
    </row>
    <row r="318" spans="1:41" ht="12.75">
      <c r="A318" s="1" t="s">
        <v>702</v>
      </c>
      <c r="C318" s="1" t="s">
        <v>446</v>
      </c>
      <c r="E318" s="95">
        <v>79508.16</v>
      </c>
      <c r="F318" s="95"/>
      <c r="G318" s="95">
        <v>0</v>
      </c>
      <c r="H318" s="95"/>
      <c r="I318" s="95">
        <v>0</v>
      </c>
      <c r="J318" s="95"/>
      <c r="K318" s="95">
        <v>0</v>
      </c>
      <c r="L318" s="95"/>
      <c r="M318" s="95">
        <v>4345.31</v>
      </c>
      <c r="N318" s="95"/>
      <c r="O318" s="95">
        <v>15714.27</v>
      </c>
      <c r="P318" s="95"/>
      <c r="Q318" s="95">
        <v>133313.68</v>
      </c>
      <c r="R318" s="95"/>
      <c r="S318" s="95">
        <v>0</v>
      </c>
      <c r="T318" s="95"/>
      <c r="U318" s="95">
        <v>0</v>
      </c>
      <c r="V318" s="95"/>
      <c r="W318" s="95">
        <v>0</v>
      </c>
      <c r="X318" s="95"/>
      <c r="Y318" s="95">
        <v>0</v>
      </c>
      <c r="Z318" s="95"/>
      <c r="AA318" s="95">
        <v>0</v>
      </c>
      <c r="AB318" s="95"/>
      <c r="AC318" s="95">
        <v>0</v>
      </c>
      <c r="AD318" s="95"/>
      <c r="AE318" s="95">
        <f aca="true" t="shared" si="119" ref="AE318">SUM(E318:AC318)</f>
        <v>232881.41999999998</v>
      </c>
      <c r="AF318" s="95"/>
      <c r="AG318" s="95">
        <v>110075.97</v>
      </c>
      <c r="AH318" s="95"/>
      <c r="AI318" s="95">
        <v>109958.06</v>
      </c>
      <c r="AJ318" s="95"/>
      <c r="AK318" s="95">
        <v>220034.03</v>
      </c>
      <c r="AL318" s="24">
        <f>+'Gen Rev'!AI317-'Gen Exp'!AE318+'Gen Exp'!AI318-AK318</f>
        <v>0</v>
      </c>
      <c r="AM318" s="44" t="str">
        <f>'Gen Rev'!A317</f>
        <v>Lakeview</v>
      </c>
      <c r="AN318" s="21" t="str">
        <f t="shared" si="108"/>
        <v>Lakeview</v>
      </c>
      <c r="AO318" s="21" t="b">
        <f t="shared" si="109"/>
        <v>1</v>
      </c>
    </row>
    <row r="319" spans="1:41" ht="12.75">
      <c r="A319" s="1" t="s">
        <v>704</v>
      </c>
      <c r="C319" s="1" t="s">
        <v>463</v>
      </c>
      <c r="E319" s="95">
        <v>34067.25</v>
      </c>
      <c r="F319" s="95"/>
      <c r="G319" s="95">
        <v>600.94</v>
      </c>
      <c r="H319" s="95"/>
      <c r="I319" s="95">
        <v>17922.23</v>
      </c>
      <c r="J319" s="95"/>
      <c r="K319" s="95">
        <v>0</v>
      </c>
      <c r="L319" s="95"/>
      <c r="M319" s="95">
        <v>0</v>
      </c>
      <c r="N319" s="95"/>
      <c r="O319" s="95">
        <v>36027.35</v>
      </c>
      <c r="P319" s="95"/>
      <c r="Q319" s="95">
        <v>40510.4</v>
      </c>
      <c r="R319" s="95"/>
      <c r="S319" s="95">
        <v>0</v>
      </c>
      <c r="T319" s="95"/>
      <c r="U319" s="95">
        <v>0</v>
      </c>
      <c r="V319" s="95"/>
      <c r="W319" s="95">
        <v>0</v>
      </c>
      <c r="X319" s="95"/>
      <c r="Y319" s="95">
        <v>0</v>
      </c>
      <c r="Z319" s="95"/>
      <c r="AA319" s="95">
        <v>0</v>
      </c>
      <c r="AB319" s="95"/>
      <c r="AC319" s="95">
        <v>0</v>
      </c>
      <c r="AD319" s="95"/>
      <c r="AE319" s="95">
        <f aca="true" t="shared" si="120" ref="AE319">SUM(E319:AC319)</f>
        <v>129128.16999999998</v>
      </c>
      <c r="AF319" s="95"/>
      <c r="AG319" s="95">
        <v>-13527.35</v>
      </c>
      <c r="AH319" s="95"/>
      <c r="AI319" s="95">
        <v>26647.68</v>
      </c>
      <c r="AJ319" s="95"/>
      <c r="AK319" s="95">
        <v>13120.33</v>
      </c>
      <c r="AL319" s="24">
        <f>+'Gen Rev'!AI318-'Gen Exp'!AE319+'Gen Exp'!AI319-AK319</f>
        <v>2.3646862246096134E-11</v>
      </c>
      <c r="AM319" s="44" t="str">
        <f>'Gen Rev'!A318</f>
        <v>LaRue</v>
      </c>
      <c r="AN319" s="21" t="str">
        <f t="shared" si="108"/>
        <v>LaRue</v>
      </c>
      <c r="AO319" s="21" t="b">
        <f t="shared" si="109"/>
        <v>1</v>
      </c>
    </row>
    <row r="320" spans="1:41" ht="12.75">
      <c r="A320" s="1" t="s">
        <v>184</v>
      </c>
      <c r="C320" s="1" t="s">
        <v>803</v>
      </c>
      <c r="D320" s="23"/>
      <c r="E320" s="36">
        <v>8039.31</v>
      </c>
      <c r="F320" s="36"/>
      <c r="G320" s="36">
        <v>0</v>
      </c>
      <c r="H320" s="36"/>
      <c r="I320" s="36">
        <v>0</v>
      </c>
      <c r="J320" s="36"/>
      <c r="K320" s="36">
        <v>0</v>
      </c>
      <c r="L320" s="36"/>
      <c r="M320" s="36">
        <v>0</v>
      </c>
      <c r="N320" s="36"/>
      <c r="O320" s="36">
        <v>0</v>
      </c>
      <c r="P320" s="36"/>
      <c r="Q320" s="36">
        <v>20907.86</v>
      </c>
      <c r="R320" s="36"/>
      <c r="S320" s="36">
        <v>0</v>
      </c>
      <c r="T320" s="36"/>
      <c r="U320" s="36">
        <v>0</v>
      </c>
      <c r="V320" s="36"/>
      <c r="W320" s="36">
        <v>0</v>
      </c>
      <c r="X320" s="36"/>
      <c r="Y320" s="36">
        <v>500</v>
      </c>
      <c r="Z320" s="36"/>
      <c r="AA320" s="36">
        <v>0</v>
      </c>
      <c r="AB320" s="36"/>
      <c r="AC320" s="36">
        <v>0</v>
      </c>
      <c r="AD320" s="36"/>
      <c r="AE320" s="36">
        <f aca="true" t="shared" si="121" ref="AE320:AE325">SUM(E320:AC320)</f>
        <v>29447.170000000002</v>
      </c>
      <c r="AF320" s="36"/>
      <c r="AG320" s="36">
        <v>2037.86</v>
      </c>
      <c r="AH320" s="36"/>
      <c r="AI320" s="36">
        <v>32779.69</v>
      </c>
      <c r="AJ320" s="36"/>
      <c r="AK320" s="36">
        <v>34817.55</v>
      </c>
      <c r="AL320" s="24">
        <f>+'Gen Rev'!AI319-'Gen Exp'!AE320+'Gen Exp'!AI320-AK320</f>
        <v>0</v>
      </c>
      <c r="AM320" s="44" t="str">
        <f>'Gen Rev'!A319</f>
        <v>Latty</v>
      </c>
      <c r="AN320" s="21" t="str">
        <f t="shared" si="108"/>
        <v>Latty</v>
      </c>
      <c r="AO320" s="21" t="b">
        <f t="shared" si="109"/>
        <v>1</v>
      </c>
    </row>
    <row r="321" spans="1:41" ht="12.75">
      <c r="A321" s="1" t="s">
        <v>162</v>
      </c>
      <c r="C321" s="1" t="s">
        <v>795</v>
      </c>
      <c r="D321" s="23"/>
      <c r="E321" s="36">
        <v>4000</v>
      </c>
      <c r="F321" s="36"/>
      <c r="G321" s="36">
        <v>0</v>
      </c>
      <c r="H321" s="36"/>
      <c r="I321" s="36">
        <v>1540</v>
      </c>
      <c r="J321" s="36"/>
      <c r="K321" s="36">
        <v>0</v>
      </c>
      <c r="L321" s="36"/>
      <c r="M321" s="36">
        <v>3435.77</v>
      </c>
      <c r="N321" s="36"/>
      <c r="O321" s="36">
        <v>10778.91</v>
      </c>
      <c r="P321" s="36"/>
      <c r="Q321" s="36">
        <v>22690.62</v>
      </c>
      <c r="R321" s="36"/>
      <c r="S321" s="36">
        <v>0</v>
      </c>
      <c r="T321" s="36"/>
      <c r="U321" s="36">
        <v>0</v>
      </c>
      <c r="V321" s="36"/>
      <c r="W321" s="36">
        <v>0</v>
      </c>
      <c r="X321" s="36"/>
      <c r="Y321" s="36">
        <v>0</v>
      </c>
      <c r="Z321" s="36"/>
      <c r="AA321" s="36">
        <v>2506.58</v>
      </c>
      <c r="AB321" s="36"/>
      <c r="AC321" s="36">
        <v>1886.73</v>
      </c>
      <c r="AD321" s="36"/>
      <c r="AE321" s="36">
        <f t="shared" si="121"/>
        <v>46838.61000000001</v>
      </c>
      <c r="AF321" s="36"/>
      <c r="AG321" s="36">
        <v>1903.73</v>
      </c>
      <c r="AH321" s="36"/>
      <c r="AI321" s="36">
        <v>66748.85</v>
      </c>
      <c r="AJ321" s="36"/>
      <c r="AK321" s="36">
        <v>68652.58</v>
      </c>
      <c r="AL321" s="24">
        <f>+'Gen Rev'!AI320-'Gen Exp'!AE321+'Gen Exp'!AI321-AK321</f>
        <v>0</v>
      </c>
      <c r="AM321" s="44" t="str">
        <f>'Gen Rev'!A320</f>
        <v>Laura</v>
      </c>
      <c r="AN321" s="21" t="str">
        <f t="shared" si="108"/>
        <v>Laura</v>
      </c>
      <c r="AO321" s="21" t="b">
        <f t="shared" si="109"/>
        <v>1</v>
      </c>
    </row>
    <row r="322" spans="1:41" ht="12.75">
      <c r="A322" s="1" t="s">
        <v>111</v>
      </c>
      <c r="C322" s="1" t="s">
        <v>779</v>
      </c>
      <c r="D322" s="23"/>
      <c r="E322" s="36">
        <v>54926.51</v>
      </c>
      <c r="F322" s="36"/>
      <c r="G322" s="36">
        <v>0</v>
      </c>
      <c r="H322" s="36"/>
      <c r="I322" s="36">
        <v>1106.84</v>
      </c>
      <c r="J322" s="36"/>
      <c r="K322" s="36">
        <v>1663.06</v>
      </c>
      <c r="L322" s="36"/>
      <c r="M322" s="36">
        <v>12785.38</v>
      </c>
      <c r="N322" s="36"/>
      <c r="O322" s="36">
        <v>0</v>
      </c>
      <c r="P322" s="36"/>
      <c r="Q322" s="36">
        <v>38531.44</v>
      </c>
      <c r="R322" s="36"/>
      <c r="S322" s="36">
        <v>0</v>
      </c>
      <c r="T322" s="36"/>
      <c r="U322" s="36">
        <v>0</v>
      </c>
      <c r="V322" s="36"/>
      <c r="W322" s="36">
        <v>0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f t="shared" si="121"/>
        <v>109013.23</v>
      </c>
      <c r="AF322" s="36"/>
      <c r="AG322" s="36">
        <v>-4206.58</v>
      </c>
      <c r="AH322" s="36"/>
      <c r="AI322" s="36">
        <v>77975.26</v>
      </c>
      <c r="AJ322" s="36"/>
      <c r="AK322" s="36">
        <v>73768.68</v>
      </c>
      <c r="AL322" s="24">
        <f>+'Gen Rev'!AI321-'Gen Exp'!AE322+'Gen Exp'!AI322-AK322</f>
        <v>0</v>
      </c>
      <c r="AM322" s="44" t="str">
        <f>'Gen Rev'!A321</f>
        <v>Laurelville</v>
      </c>
      <c r="AN322" s="21" t="str">
        <f t="shared" si="108"/>
        <v>Laurelville</v>
      </c>
      <c r="AO322" s="21" t="b">
        <f t="shared" si="109"/>
        <v>1</v>
      </c>
    </row>
    <row r="323" spans="1:41" ht="12.75">
      <c r="A323" s="1" t="s">
        <v>946</v>
      </c>
      <c r="C323" s="1" t="s">
        <v>409</v>
      </c>
      <c r="D323" s="23"/>
      <c r="E323" s="36">
        <v>260227.98</v>
      </c>
      <c r="F323" s="36"/>
      <c r="G323" s="36">
        <v>0</v>
      </c>
      <c r="H323" s="36"/>
      <c r="I323" s="36">
        <v>0</v>
      </c>
      <c r="J323" s="36"/>
      <c r="K323" s="36">
        <v>0</v>
      </c>
      <c r="L323" s="36"/>
      <c r="M323" s="36">
        <v>0</v>
      </c>
      <c r="N323" s="36"/>
      <c r="O323" s="36">
        <v>8858</v>
      </c>
      <c r="P323" s="36"/>
      <c r="Q323" s="36">
        <v>153067.5</v>
      </c>
      <c r="R323" s="36"/>
      <c r="S323" s="36">
        <v>0</v>
      </c>
      <c r="T323" s="36"/>
      <c r="U323" s="36">
        <v>0</v>
      </c>
      <c r="V323" s="36"/>
      <c r="W323" s="36">
        <v>0</v>
      </c>
      <c r="X323" s="36"/>
      <c r="Y323" s="36">
        <v>2781.1</v>
      </c>
      <c r="Z323" s="36"/>
      <c r="AA323" s="36">
        <v>0</v>
      </c>
      <c r="AB323" s="36"/>
      <c r="AC323" s="36">
        <v>37358.31</v>
      </c>
      <c r="AD323" s="36"/>
      <c r="AE323" s="36">
        <f t="shared" si="121"/>
        <v>462292.88999999996</v>
      </c>
      <c r="AF323" s="36"/>
      <c r="AG323" s="36">
        <v>-4142.39</v>
      </c>
      <c r="AH323" s="36"/>
      <c r="AI323" s="36">
        <v>836728.1</v>
      </c>
      <c r="AJ323" s="36"/>
      <c r="AK323" s="36">
        <v>832585.71</v>
      </c>
      <c r="AL323" s="24">
        <f>+'Gen Rev'!AI322-'Gen Exp'!AE323+'Gen Exp'!AI323-AK323</f>
        <v>0</v>
      </c>
      <c r="AM323" s="44" t="str">
        <f>'Gen Rev'!A322</f>
        <v>Leesburg</v>
      </c>
      <c r="AN323" s="21" t="str">
        <f t="shared" si="108"/>
        <v>Leesburg</v>
      </c>
      <c r="AO323" s="21" t="b">
        <f t="shared" si="109"/>
        <v>1</v>
      </c>
    </row>
    <row r="324" spans="1:41" ht="12.75">
      <c r="A324" s="1" t="s">
        <v>29</v>
      </c>
      <c r="C324" s="1" t="s">
        <v>753</v>
      </c>
      <c r="D324" s="23"/>
      <c r="E324" s="36">
        <v>3645.18</v>
      </c>
      <c r="F324" s="36"/>
      <c r="G324" s="36">
        <v>1076.14</v>
      </c>
      <c r="H324" s="36"/>
      <c r="I324" s="36">
        <v>281.07</v>
      </c>
      <c r="J324" s="36"/>
      <c r="K324" s="36">
        <v>1130</v>
      </c>
      <c r="L324" s="36"/>
      <c r="M324" s="36">
        <v>0</v>
      </c>
      <c r="N324" s="36"/>
      <c r="O324" s="36">
        <v>178.38</v>
      </c>
      <c r="P324" s="36"/>
      <c r="Q324" s="36">
        <v>11095.13</v>
      </c>
      <c r="R324" s="36"/>
      <c r="S324" s="36">
        <v>0</v>
      </c>
      <c r="T324" s="36"/>
      <c r="U324" s="36">
        <v>0</v>
      </c>
      <c r="V324" s="36"/>
      <c r="W324" s="36">
        <v>0</v>
      </c>
      <c r="X324" s="36"/>
      <c r="Y324" s="36">
        <v>0</v>
      </c>
      <c r="Z324" s="36"/>
      <c r="AA324" s="36">
        <v>0</v>
      </c>
      <c r="AB324" s="36"/>
      <c r="AC324" s="36">
        <v>0</v>
      </c>
      <c r="AD324" s="36"/>
      <c r="AE324" s="36">
        <f t="shared" si="121"/>
        <v>17405.899999999998</v>
      </c>
      <c r="AF324" s="36"/>
      <c r="AG324" s="36">
        <v>6681.85</v>
      </c>
      <c r="AH324" s="36"/>
      <c r="AI324" s="36">
        <v>18613.93</v>
      </c>
      <c r="AJ324" s="36"/>
      <c r="AK324" s="36">
        <v>25295.78</v>
      </c>
      <c r="AL324" s="24">
        <f>+'Gen Rev'!AI323-'Gen Exp'!AE324+'Gen Exp'!AI324-AK324</f>
        <v>0</v>
      </c>
      <c r="AM324" s="44" t="str">
        <f>'Gen Rev'!A323</f>
        <v>Leesville</v>
      </c>
      <c r="AN324" s="21" t="str">
        <f t="shared" si="108"/>
        <v>Leesville</v>
      </c>
      <c r="AO324" s="21" t="b">
        <f t="shared" si="109"/>
        <v>1</v>
      </c>
    </row>
    <row r="325" spans="1:41" ht="12.75">
      <c r="A325" s="1" t="s">
        <v>43</v>
      </c>
      <c r="C325" s="1" t="s">
        <v>758</v>
      </c>
      <c r="D325" s="23"/>
      <c r="E325" s="36">
        <v>388511.85</v>
      </c>
      <c r="F325" s="36"/>
      <c r="G325" s="36">
        <v>2247.37</v>
      </c>
      <c r="H325" s="36"/>
      <c r="I325" s="36">
        <v>4144.28</v>
      </c>
      <c r="J325" s="36"/>
      <c r="K325" s="36">
        <v>0</v>
      </c>
      <c r="L325" s="36"/>
      <c r="M325" s="36">
        <v>0</v>
      </c>
      <c r="N325" s="36"/>
      <c r="O325" s="36">
        <v>0</v>
      </c>
      <c r="P325" s="36"/>
      <c r="Q325" s="36">
        <v>145414.58</v>
      </c>
      <c r="R325" s="36"/>
      <c r="S325" s="36">
        <v>0</v>
      </c>
      <c r="T325" s="36"/>
      <c r="U325" s="36">
        <v>7675</v>
      </c>
      <c r="V325" s="36"/>
      <c r="W325" s="36">
        <v>824.64</v>
      </c>
      <c r="X325" s="36"/>
      <c r="Y325" s="36">
        <v>2201.77</v>
      </c>
      <c r="Z325" s="36"/>
      <c r="AA325" s="36">
        <v>54930.12</v>
      </c>
      <c r="AB325" s="36"/>
      <c r="AC325" s="36">
        <v>0</v>
      </c>
      <c r="AD325" s="36"/>
      <c r="AE325" s="36">
        <f t="shared" si="121"/>
        <v>605949.61</v>
      </c>
      <c r="AF325" s="36"/>
      <c r="AG325" s="36">
        <v>20509.66</v>
      </c>
      <c r="AH325" s="36"/>
      <c r="AI325" s="36">
        <v>52875.91</v>
      </c>
      <c r="AJ325" s="36"/>
      <c r="AK325" s="36">
        <v>73385.57</v>
      </c>
      <c r="AL325" s="24">
        <f>+'Gen Rev'!AI324-'Gen Exp'!AE325+'Gen Exp'!AI325-AK325</f>
        <v>0</v>
      </c>
      <c r="AM325" s="44" t="str">
        <f>'Gen Rev'!A324</f>
        <v>Leetonia</v>
      </c>
      <c r="AN325" s="21" t="str">
        <f t="shared" si="108"/>
        <v>Leetonia</v>
      </c>
      <c r="AO325" s="21" t="b">
        <f t="shared" si="109"/>
        <v>1</v>
      </c>
    </row>
    <row r="326" spans="1:41" ht="12.75">
      <c r="A326" s="1" t="s">
        <v>905</v>
      </c>
      <c r="C326" s="1" t="s">
        <v>514</v>
      </c>
      <c r="E326" s="83">
        <v>268396</v>
      </c>
      <c r="F326" s="83"/>
      <c r="G326" s="83">
        <v>1019</v>
      </c>
      <c r="H326" s="83"/>
      <c r="I326" s="83">
        <v>119014</v>
      </c>
      <c r="J326" s="83"/>
      <c r="K326" s="83">
        <v>13892</v>
      </c>
      <c r="L326" s="83"/>
      <c r="M326" s="83">
        <v>1140</v>
      </c>
      <c r="N326" s="83"/>
      <c r="O326" s="83">
        <v>0</v>
      </c>
      <c r="P326" s="83"/>
      <c r="Q326" s="83">
        <v>180222</v>
      </c>
      <c r="R326" s="83"/>
      <c r="S326" s="83">
        <v>0</v>
      </c>
      <c r="T326" s="83"/>
      <c r="U326" s="83">
        <v>1401352</v>
      </c>
      <c r="V326" s="83"/>
      <c r="W326" s="83">
        <v>12251</v>
      </c>
      <c r="X326" s="83"/>
      <c r="Y326" s="83">
        <v>2031614</v>
      </c>
      <c r="Z326" s="83"/>
      <c r="AA326" s="83">
        <v>0</v>
      </c>
      <c r="AB326" s="83"/>
      <c r="AC326" s="83">
        <v>0</v>
      </c>
      <c r="AD326" s="83"/>
      <c r="AE326" s="83">
        <f t="shared" si="104"/>
        <v>4028900</v>
      </c>
      <c r="AF326" s="83"/>
      <c r="AG326" s="83">
        <v>142655</v>
      </c>
      <c r="AH326" s="83"/>
      <c r="AI326" s="83">
        <v>-532318</v>
      </c>
      <c r="AJ326" s="83"/>
      <c r="AK326" s="83">
        <v>-389663</v>
      </c>
      <c r="AL326" s="24">
        <f>+'Gen Rev'!AI325-'Gen Exp'!AE326+'Gen Exp'!AI326-AK326</f>
        <v>0</v>
      </c>
      <c r="AM326" s="44" t="str">
        <f>'Gen Rev'!A325</f>
        <v>Leipsic</v>
      </c>
      <c r="AN326" s="21" t="str">
        <f t="shared" si="108"/>
        <v>Leipsic</v>
      </c>
      <c r="AO326" s="21" t="b">
        <f t="shared" si="109"/>
        <v>1</v>
      </c>
    </row>
    <row r="327" spans="1:41" ht="12.75">
      <c r="A327" s="1" t="s">
        <v>509</v>
      </c>
      <c r="C327" s="1" t="s">
        <v>510</v>
      </c>
      <c r="E327" s="83">
        <v>723460.44</v>
      </c>
      <c r="F327" s="83"/>
      <c r="G327" s="83">
        <v>0</v>
      </c>
      <c r="H327" s="83"/>
      <c r="I327" s="83">
        <v>0</v>
      </c>
      <c r="J327" s="83"/>
      <c r="K327" s="83">
        <v>7619.56</v>
      </c>
      <c r="L327" s="83"/>
      <c r="M327" s="83">
        <v>0</v>
      </c>
      <c r="N327" s="83"/>
      <c r="O327" s="83">
        <v>13481.24</v>
      </c>
      <c r="P327" s="83"/>
      <c r="Q327" s="83">
        <v>272335.84</v>
      </c>
      <c r="R327" s="83"/>
      <c r="S327" s="83">
        <v>95383.84</v>
      </c>
      <c r="T327" s="83"/>
      <c r="U327" s="83">
        <v>27579.69</v>
      </c>
      <c r="V327" s="83"/>
      <c r="W327" s="83">
        <v>10908.59</v>
      </c>
      <c r="X327" s="83"/>
      <c r="Y327" s="83">
        <v>464699.45</v>
      </c>
      <c r="Z327" s="83"/>
      <c r="AA327" s="83">
        <v>0</v>
      </c>
      <c r="AB327" s="83"/>
      <c r="AC327" s="83">
        <v>0</v>
      </c>
      <c r="AD327" s="83"/>
      <c r="AE327" s="83">
        <f t="shared" si="104"/>
        <v>1615468.6500000001</v>
      </c>
      <c r="AF327" s="83"/>
      <c r="AG327" s="83">
        <v>98677.76</v>
      </c>
      <c r="AH327" s="83"/>
      <c r="AI327" s="83">
        <v>358752.97</v>
      </c>
      <c r="AJ327" s="83"/>
      <c r="AK327" s="83">
        <v>457430.73</v>
      </c>
      <c r="AL327" s="24">
        <f>+'Gen Rev'!AI326-'Gen Exp'!AE327+'Gen Exp'!AI327-AK327</f>
        <v>0</v>
      </c>
      <c r="AM327" s="44" t="str">
        <f>'Gen Rev'!A326</f>
        <v>Lewisburg</v>
      </c>
      <c r="AN327" s="21" t="str">
        <f t="shared" si="108"/>
        <v>Lewisburg</v>
      </c>
      <c r="AO327" s="21" t="b">
        <f t="shared" si="109"/>
        <v>1</v>
      </c>
    </row>
    <row r="328" spans="1:41" ht="12.75">
      <c r="A328" s="1" t="s">
        <v>165</v>
      </c>
      <c r="C328" s="1" t="s">
        <v>796</v>
      </c>
      <c r="D328" s="23"/>
      <c r="E328" s="95">
        <v>11220.81</v>
      </c>
      <c r="F328" s="95"/>
      <c r="G328" s="95">
        <v>0</v>
      </c>
      <c r="H328" s="95"/>
      <c r="I328" s="95">
        <v>0</v>
      </c>
      <c r="J328" s="95"/>
      <c r="K328" s="95">
        <v>46.93</v>
      </c>
      <c r="L328" s="95"/>
      <c r="M328" s="95">
        <v>2542.18</v>
      </c>
      <c r="N328" s="95"/>
      <c r="O328" s="95">
        <v>0</v>
      </c>
      <c r="P328" s="95"/>
      <c r="Q328" s="95">
        <v>7198.16</v>
      </c>
      <c r="R328" s="95"/>
      <c r="S328" s="95">
        <v>0</v>
      </c>
      <c r="T328" s="95"/>
      <c r="U328" s="95">
        <v>0</v>
      </c>
      <c r="V328" s="95"/>
      <c r="W328" s="95">
        <v>0</v>
      </c>
      <c r="X328" s="95"/>
      <c r="Y328" s="95">
        <v>0</v>
      </c>
      <c r="Z328" s="95"/>
      <c r="AA328" s="95">
        <v>0</v>
      </c>
      <c r="AB328" s="95"/>
      <c r="AC328" s="95">
        <v>0</v>
      </c>
      <c r="AD328" s="95"/>
      <c r="AE328" s="95">
        <f aca="true" t="shared" si="122" ref="AE328">SUM(E328:AC328)</f>
        <v>21008.08</v>
      </c>
      <c r="AF328" s="95"/>
      <c r="AG328" s="95">
        <v>5329.79</v>
      </c>
      <c r="AH328" s="95"/>
      <c r="AI328" s="95">
        <v>8264.66</v>
      </c>
      <c r="AJ328" s="95"/>
      <c r="AK328" s="95">
        <v>13594.45</v>
      </c>
      <c r="AL328" s="24">
        <f>+'Gen Rev'!AI327-'Gen Exp'!AE328+'Gen Exp'!AI328-AK328</f>
        <v>0</v>
      </c>
      <c r="AM328" s="44" t="str">
        <f>'Gen Rev'!A327</f>
        <v>Lewisville</v>
      </c>
      <c r="AN328" s="21" t="str">
        <f t="shared" si="108"/>
        <v>Lewisville</v>
      </c>
      <c r="AO328" s="21" t="b">
        <f t="shared" si="109"/>
        <v>1</v>
      </c>
    </row>
    <row r="329" spans="1:41" ht="12.75">
      <c r="A329" s="1" t="s">
        <v>522</v>
      </c>
      <c r="C329" s="1" t="s">
        <v>520</v>
      </c>
      <c r="E329" s="83">
        <v>935047</v>
      </c>
      <c r="F329" s="83"/>
      <c r="G329" s="83">
        <v>0</v>
      </c>
      <c r="H329" s="83"/>
      <c r="I329" s="83">
        <v>199524</v>
      </c>
      <c r="J329" s="83"/>
      <c r="K329" s="83">
        <v>27443</v>
      </c>
      <c r="L329" s="83"/>
      <c r="M329" s="83">
        <v>0</v>
      </c>
      <c r="N329" s="83"/>
      <c r="O329" s="83">
        <v>0</v>
      </c>
      <c r="P329" s="83"/>
      <c r="Q329" s="83">
        <v>517451</v>
      </c>
      <c r="R329" s="83"/>
      <c r="S329" s="83">
        <v>0</v>
      </c>
      <c r="T329" s="83"/>
      <c r="U329" s="83">
        <v>0</v>
      </c>
      <c r="V329" s="83"/>
      <c r="W329" s="83">
        <v>0</v>
      </c>
      <c r="X329" s="83"/>
      <c r="Y329" s="83">
        <v>0</v>
      </c>
      <c r="Z329" s="83"/>
      <c r="AA329" s="83">
        <v>0</v>
      </c>
      <c r="AB329" s="83"/>
      <c r="AC329" s="83">
        <v>365000</v>
      </c>
      <c r="AD329" s="83"/>
      <c r="AE329" s="83">
        <f t="shared" si="104"/>
        <v>2044465</v>
      </c>
      <c r="AF329" s="83"/>
      <c r="AG329" s="83">
        <v>-81220</v>
      </c>
      <c r="AH329" s="83"/>
      <c r="AI329" s="83">
        <v>410179</v>
      </c>
      <c r="AJ329" s="83"/>
      <c r="AK329" s="83">
        <v>0</v>
      </c>
      <c r="AL329" s="24">
        <f>+'Gen Rev'!AI328-'Gen Exp'!AE329+'Gen Exp'!AI329-AK329</f>
        <v>328959</v>
      </c>
      <c r="AM329" s="44" t="str">
        <f>'Gen Rev'!A328</f>
        <v>Lexington</v>
      </c>
      <c r="AN329" s="21" t="str">
        <f aca="true" t="shared" si="123" ref="AN329">A329</f>
        <v xml:space="preserve">Lexington </v>
      </c>
      <c r="AO329" s="21" t="b">
        <f aca="true" t="shared" si="124" ref="AO329">AM329=AN329</f>
        <v>0</v>
      </c>
    </row>
    <row r="330" spans="1:41" s="21" customFormat="1" ht="12.75">
      <c r="A330" s="1" t="s">
        <v>106</v>
      </c>
      <c r="B330" s="1"/>
      <c r="C330" s="1" t="s">
        <v>777</v>
      </c>
      <c r="D330" s="23"/>
      <c r="E330" s="36">
        <v>53190.67</v>
      </c>
      <c r="F330" s="36"/>
      <c r="G330" s="36">
        <v>13480.57</v>
      </c>
      <c r="H330" s="36"/>
      <c r="I330" s="36">
        <v>16343.69</v>
      </c>
      <c r="J330" s="36"/>
      <c r="K330" s="36">
        <v>7374.93</v>
      </c>
      <c r="L330" s="36"/>
      <c r="M330" s="36">
        <v>13805.1</v>
      </c>
      <c r="N330" s="36"/>
      <c r="O330" s="36">
        <v>18224.3</v>
      </c>
      <c r="P330" s="36"/>
      <c r="Q330" s="36">
        <v>121817.4</v>
      </c>
      <c r="R330" s="36"/>
      <c r="S330" s="36">
        <v>0</v>
      </c>
      <c r="T330" s="36"/>
      <c r="U330" s="36">
        <v>0</v>
      </c>
      <c r="V330" s="36"/>
      <c r="W330" s="36">
        <v>0</v>
      </c>
      <c r="X330" s="36"/>
      <c r="Y330" s="36">
        <v>4959.65</v>
      </c>
      <c r="Z330" s="36"/>
      <c r="AA330" s="36">
        <v>0</v>
      </c>
      <c r="AB330" s="36"/>
      <c r="AC330" s="36">
        <v>0</v>
      </c>
      <c r="AD330" s="36"/>
      <c r="AE330" s="36">
        <f aca="true" t="shared" si="125" ref="AE330:AE331">SUM(E330:AC330)</f>
        <v>249196.30999999997</v>
      </c>
      <c r="AF330" s="36"/>
      <c r="AG330" s="36">
        <v>22114.74</v>
      </c>
      <c r="AH330" s="36"/>
      <c r="AI330" s="36">
        <v>124728.09</v>
      </c>
      <c r="AJ330" s="36"/>
      <c r="AK330" s="36">
        <v>146842.83</v>
      </c>
      <c r="AL330" s="24">
        <f>+'Gen Rev'!AI330-'Gen Exp'!AE330+'Gen Exp'!AI330-AK330</f>
        <v>0</v>
      </c>
      <c r="AM330" s="44" t="str">
        <f>'Gen Rev'!A330</f>
        <v>Liberty Center</v>
      </c>
      <c r="AN330" s="21" t="str">
        <f t="shared" si="108"/>
        <v>Liberty Center</v>
      </c>
      <c r="AO330" s="21" t="b">
        <f t="shared" si="109"/>
        <v>1</v>
      </c>
    </row>
    <row r="331" spans="1:41" s="10" customFormat="1" ht="12.75">
      <c r="A331" s="10" t="s">
        <v>226</v>
      </c>
      <c r="C331" s="10" t="s">
        <v>815</v>
      </c>
      <c r="D331" s="52"/>
      <c r="E331" s="36">
        <v>1200</v>
      </c>
      <c r="F331" s="36"/>
      <c r="G331" s="36">
        <v>750</v>
      </c>
      <c r="H331" s="36"/>
      <c r="I331" s="36">
        <v>5308.22</v>
      </c>
      <c r="J331" s="36"/>
      <c r="K331" s="36">
        <v>0</v>
      </c>
      <c r="L331" s="36"/>
      <c r="M331" s="36">
        <v>2960.39</v>
      </c>
      <c r="N331" s="36"/>
      <c r="O331" s="36">
        <v>0</v>
      </c>
      <c r="P331" s="36"/>
      <c r="Q331" s="36">
        <v>9936.22</v>
      </c>
      <c r="R331" s="36"/>
      <c r="S331" s="36">
        <v>0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f t="shared" si="125"/>
        <v>20154.83</v>
      </c>
      <c r="AF331" s="36"/>
      <c r="AG331" s="36">
        <v>-699.28</v>
      </c>
      <c r="AH331" s="36"/>
      <c r="AI331" s="36">
        <v>3428.62</v>
      </c>
      <c r="AJ331" s="36"/>
      <c r="AK331" s="36">
        <v>2729.34</v>
      </c>
      <c r="AL331" s="24">
        <f>+'Gen Rev'!AI331-'Gen Exp'!AE331+'Gen Exp'!AI331-AK331</f>
        <v>0</v>
      </c>
      <c r="AM331" s="44" t="str">
        <f>'Gen Rev'!A331</f>
        <v>Limaville</v>
      </c>
      <c r="AN331" s="21" t="str">
        <f t="shared" si="108"/>
        <v>Limaville</v>
      </c>
      <c r="AO331" s="21" t="b">
        <f t="shared" si="109"/>
        <v>1</v>
      </c>
    </row>
    <row r="332" spans="1:41" ht="12.75">
      <c r="A332" s="1" t="s">
        <v>383</v>
      </c>
      <c r="C332" s="1" t="s">
        <v>378</v>
      </c>
      <c r="E332" s="83">
        <v>683839</v>
      </c>
      <c r="F332" s="83"/>
      <c r="G332" s="83">
        <v>1579</v>
      </c>
      <c r="H332" s="83"/>
      <c r="I332" s="83">
        <v>0</v>
      </c>
      <c r="J332" s="83"/>
      <c r="K332" s="83">
        <v>24180</v>
      </c>
      <c r="L332" s="83"/>
      <c r="M332" s="83">
        <v>0</v>
      </c>
      <c r="N332" s="83"/>
      <c r="O332" s="83">
        <v>0</v>
      </c>
      <c r="P332" s="83"/>
      <c r="Q332" s="83">
        <v>818870</v>
      </c>
      <c r="R332" s="83"/>
      <c r="S332" s="83">
        <v>0</v>
      </c>
      <c r="T332" s="83"/>
      <c r="U332" s="83">
        <v>0</v>
      </c>
      <c r="V332" s="83"/>
      <c r="W332" s="83">
        <v>0</v>
      </c>
      <c r="X332" s="83"/>
      <c r="Y332" s="83">
        <v>93652</v>
      </c>
      <c r="Z332" s="83"/>
      <c r="AA332" s="83">
        <v>0</v>
      </c>
      <c r="AB332" s="83"/>
      <c r="AC332" s="83">
        <v>0</v>
      </c>
      <c r="AD332" s="83"/>
      <c r="AE332" s="83">
        <f t="shared" si="104"/>
        <v>1622120</v>
      </c>
      <c r="AF332" s="83"/>
      <c r="AG332" s="83">
        <v>34109</v>
      </c>
      <c r="AH332" s="83"/>
      <c r="AI332" s="83">
        <v>768464</v>
      </c>
      <c r="AJ332" s="83"/>
      <c r="AK332" s="83">
        <v>802573</v>
      </c>
      <c r="AL332" s="24">
        <f>+'Gen Rev'!AI332-'Gen Exp'!AE332+'Gen Exp'!AI332-AK332</f>
        <v>0</v>
      </c>
      <c r="AM332" s="44" t="str">
        <f>'Gen Rev'!A332</f>
        <v>Lincoln Heights</v>
      </c>
      <c r="AN332" s="21" t="str">
        <f t="shared" si="108"/>
        <v>Lincoln Heights</v>
      </c>
      <c r="AO332" s="21" t="b">
        <f t="shared" si="109"/>
        <v>1</v>
      </c>
    </row>
    <row r="333" spans="5:41" ht="12.75"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 t="s">
        <v>864</v>
      </c>
      <c r="AF333" s="83"/>
      <c r="AG333" s="83"/>
      <c r="AH333" s="83"/>
      <c r="AI333" s="83"/>
      <c r="AJ333" s="83"/>
      <c r="AK333" s="83"/>
      <c r="AL333" s="24"/>
      <c r="AM333" s="44"/>
      <c r="AN333" s="21"/>
      <c r="AO333" s="21"/>
    </row>
    <row r="334" spans="1:41" s="21" customFormat="1" ht="12.75">
      <c r="A334" s="1" t="s">
        <v>215</v>
      </c>
      <c r="B334" s="1"/>
      <c r="C334" s="1" t="s">
        <v>811</v>
      </c>
      <c r="D334" s="23"/>
      <c r="E334" s="102">
        <v>12775</v>
      </c>
      <c r="F334" s="102"/>
      <c r="G334" s="102">
        <v>282.1</v>
      </c>
      <c r="H334" s="102"/>
      <c r="I334" s="102">
        <v>5181.4</v>
      </c>
      <c r="J334" s="102"/>
      <c r="K334" s="102">
        <v>14597.51</v>
      </c>
      <c r="L334" s="102"/>
      <c r="M334" s="102">
        <v>10989.22</v>
      </c>
      <c r="N334" s="102"/>
      <c r="O334" s="102">
        <v>2838</v>
      </c>
      <c r="P334" s="102"/>
      <c r="Q334" s="102">
        <v>48519.94</v>
      </c>
      <c r="R334" s="102"/>
      <c r="S334" s="102">
        <v>0</v>
      </c>
      <c r="T334" s="102"/>
      <c r="U334" s="102">
        <v>0</v>
      </c>
      <c r="V334" s="102"/>
      <c r="W334" s="102">
        <v>0</v>
      </c>
      <c r="X334" s="102"/>
      <c r="Y334" s="102">
        <v>0</v>
      </c>
      <c r="Z334" s="102"/>
      <c r="AA334" s="102">
        <v>0</v>
      </c>
      <c r="AB334" s="102"/>
      <c r="AC334" s="102">
        <v>0</v>
      </c>
      <c r="AD334" s="102"/>
      <c r="AE334" s="102">
        <f aca="true" t="shared" si="126" ref="AE334">SUM(E334:AC334)</f>
        <v>95183.17000000001</v>
      </c>
      <c r="AF334" s="95"/>
      <c r="AG334" s="95">
        <v>-304.83</v>
      </c>
      <c r="AH334" s="95"/>
      <c r="AI334" s="95">
        <v>91003.52</v>
      </c>
      <c r="AJ334" s="95"/>
      <c r="AK334" s="95">
        <v>90698.69</v>
      </c>
      <c r="AL334" s="24">
        <f>+'Gen Rev'!AI333-'Gen Exp'!AE334+'Gen Exp'!AI334-AK334</f>
        <v>0</v>
      </c>
      <c r="AM334" s="44" t="str">
        <f>'Gen Rev'!A333</f>
        <v>Lindsey</v>
      </c>
      <c r="AN334" s="21" t="str">
        <f t="shared" si="108"/>
        <v>Lindsey</v>
      </c>
      <c r="AO334" s="21" t="b">
        <f t="shared" si="109"/>
        <v>1</v>
      </c>
    </row>
    <row r="335" spans="1:41" ht="12.75">
      <c r="A335" s="1" t="s">
        <v>846</v>
      </c>
      <c r="C335" s="1" t="s">
        <v>761</v>
      </c>
      <c r="D335" s="23"/>
      <c r="E335" s="83">
        <v>563651</v>
      </c>
      <c r="F335" s="83"/>
      <c r="G335" s="83">
        <v>0</v>
      </c>
      <c r="H335" s="83"/>
      <c r="I335" s="83">
        <v>0</v>
      </c>
      <c r="J335" s="83"/>
      <c r="K335" s="83">
        <v>0</v>
      </c>
      <c r="L335" s="83"/>
      <c r="M335" s="83">
        <v>13425</v>
      </c>
      <c r="N335" s="83"/>
      <c r="O335" s="83">
        <v>8697</v>
      </c>
      <c r="P335" s="83"/>
      <c r="Q335" s="83">
        <v>336020</v>
      </c>
      <c r="R335" s="83"/>
      <c r="S335" s="83">
        <v>0</v>
      </c>
      <c r="T335" s="83"/>
      <c r="U335" s="83">
        <v>0</v>
      </c>
      <c r="V335" s="83"/>
      <c r="W335" s="83">
        <v>0</v>
      </c>
      <c r="X335" s="83"/>
      <c r="Y335" s="83">
        <v>20770</v>
      </c>
      <c r="Z335" s="83"/>
      <c r="AA335" s="83">
        <v>49524</v>
      </c>
      <c r="AB335" s="83"/>
      <c r="AC335" s="83">
        <v>0</v>
      </c>
      <c r="AD335" s="83"/>
      <c r="AE335" s="83">
        <f t="shared" si="104"/>
        <v>992087</v>
      </c>
      <c r="AF335" s="83"/>
      <c r="AG335" s="83">
        <v>13375</v>
      </c>
      <c r="AH335" s="83"/>
      <c r="AI335" s="83">
        <v>101758</v>
      </c>
      <c r="AJ335" s="83"/>
      <c r="AK335" s="83">
        <v>115133</v>
      </c>
      <c r="AL335" s="24">
        <f>+'Gen Rev'!AI334-'Gen Exp'!AE335+'Gen Exp'!AI335-AK335</f>
        <v>0</v>
      </c>
      <c r="AM335" s="44" t="str">
        <f>'Gen Rev'!A334</f>
        <v>Linndale</v>
      </c>
      <c r="AN335" s="21" t="str">
        <f t="shared" si="108"/>
        <v>Linndale</v>
      </c>
      <c r="AO335" s="21" t="b">
        <f t="shared" si="109"/>
        <v>1</v>
      </c>
    </row>
    <row r="336" spans="1:41" ht="12.75">
      <c r="A336" s="1" t="s">
        <v>44</v>
      </c>
      <c r="C336" s="1" t="s">
        <v>758</v>
      </c>
      <c r="D336" s="23"/>
      <c r="E336" s="95">
        <v>769776.13</v>
      </c>
      <c r="F336" s="95"/>
      <c r="G336" s="95">
        <v>0</v>
      </c>
      <c r="H336" s="95"/>
      <c r="I336" s="95">
        <v>9681.64</v>
      </c>
      <c r="J336" s="95"/>
      <c r="K336" s="95">
        <v>22919.91</v>
      </c>
      <c r="L336" s="95"/>
      <c r="M336" s="95">
        <v>0</v>
      </c>
      <c r="N336" s="95"/>
      <c r="O336" s="95">
        <v>1436.78</v>
      </c>
      <c r="P336" s="95"/>
      <c r="Q336" s="95">
        <v>292358.28</v>
      </c>
      <c r="R336" s="95"/>
      <c r="S336" s="95">
        <v>0</v>
      </c>
      <c r="T336" s="95"/>
      <c r="U336" s="95">
        <v>44148.26</v>
      </c>
      <c r="V336" s="95"/>
      <c r="W336" s="95">
        <v>47648.5</v>
      </c>
      <c r="X336" s="95"/>
      <c r="Y336" s="95">
        <v>308677.94</v>
      </c>
      <c r="Z336" s="95"/>
      <c r="AA336" s="95">
        <v>0</v>
      </c>
      <c r="AB336" s="95"/>
      <c r="AC336" s="95">
        <v>0</v>
      </c>
      <c r="AD336" s="95"/>
      <c r="AE336" s="95">
        <f aca="true" t="shared" si="127" ref="AE336:AE337">SUM(E336:AC336)</f>
        <v>1496647.4400000002</v>
      </c>
      <c r="AF336" s="95"/>
      <c r="AG336" s="95">
        <v>32981.02</v>
      </c>
      <c r="AH336" s="95"/>
      <c r="AI336" s="95">
        <v>23254.11</v>
      </c>
      <c r="AJ336" s="95"/>
      <c r="AK336" s="95">
        <v>56235.13</v>
      </c>
      <c r="AL336" s="24">
        <f>+'Gen Rev'!AI335-'Gen Exp'!AE336+'Gen Exp'!AI336-AK336</f>
        <v>0</v>
      </c>
      <c r="AM336" s="44" t="str">
        <f>'Gen Rev'!A335</f>
        <v>Lisbon</v>
      </c>
      <c r="AN336" s="21" t="str">
        <f t="shared" si="108"/>
        <v>Lisbon</v>
      </c>
      <c r="AO336" s="21" t="b">
        <f t="shared" si="109"/>
        <v>1</v>
      </c>
    </row>
    <row r="337" spans="1:41" ht="12.75">
      <c r="A337" s="1" t="s">
        <v>931</v>
      </c>
      <c r="C337" s="1" t="s">
        <v>766</v>
      </c>
      <c r="D337" s="23"/>
      <c r="E337" s="95">
        <v>164969.96</v>
      </c>
      <c r="F337" s="95"/>
      <c r="G337" s="95">
        <v>6025.76</v>
      </c>
      <c r="H337" s="95"/>
      <c r="I337" s="95">
        <v>0</v>
      </c>
      <c r="J337" s="95"/>
      <c r="K337" s="95">
        <v>20505.74</v>
      </c>
      <c r="L337" s="95"/>
      <c r="M337" s="95">
        <v>0</v>
      </c>
      <c r="N337" s="95"/>
      <c r="O337" s="95">
        <v>0</v>
      </c>
      <c r="P337" s="95"/>
      <c r="Q337" s="95">
        <v>323332.27</v>
      </c>
      <c r="R337" s="95"/>
      <c r="S337" s="95">
        <v>0</v>
      </c>
      <c r="T337" s="95"/>
      <c r="U337" s="95">
        <v>0</v>
      </c>
      <c r="V337" s="95"/>
      <c r="W337" s="95">
        <v>0</v>
      </c>
      <c r="X337" s="95"/>
      <c r="Y337" s="95">
        <v>0</v>
      </c>
      <c r="Z337" s="95"/>
      <c r="AA337" s="95">
        <v>49000</v>
      </c>
      <c r="AB337" s="95"/>
      <c r="AC337" s="95">
        <v>0</v>
      </c>
      <c r="AD337" s="95"/>
      <c r="AE337" s="95">
        <f t="shared" si="127"/>
        <v>563833.73</v>
      </c>
      <c r="AF337" s="95"/>
      <c r="AG337" s="95">
        <v>-39351.31</v>
      </c>
      <c r="AH337" s="95"/>
      <c r="AI337" s="95">
        <v>43447.39</v>
      </c>
      <c r="AJ337" s="95"/>
      <c r="AK337" s="95">
        <v>4096.08</v>
      </c>
      <c r="AL337" s="24">
        <f>+'Gen Rev'!AI336-'Gen Exp'!AE337+'Gen Exp'!AI337-AK337</f>
        <v>6.002665031701326E-11</v>
      </c>
      <c r="AM337" s="44" t="str">
        <f>'Gen Rev'!A336</f>
        <v>Lithopolis</v>
      </c>
      <c r="AN337" s="21" t="str">
        <f t="shared" si="108"/>
        <v>Lithopolis</v>
      </c>
      <c r="AO337" s="21" t="b">
        <f t="shared" si="109"/>
        <v>1</v>
      </c>
    </row>
    <row r="338" spans="1:41" ht="12.75">
      <c r="A338" s="1" t="s">
        <v>947</v>
      </c>
      <c r="C338" s="1" t="s">
        <v>768</v>
      </c>
      <c r="E338" s="36">
        <v>1236</v>
      </c>
      <c r="F338" s="36"/>
      <c r="G338" s="36">
        <v>0</v>
      </c>
      <c r="H338" s="36"/>
      <c r="I338" s="36">
        <v>15744</v>
      </c>
      <c r="J338" s="36"/>
      <c r="K338" s="36">
        <v>254.2</v>
      </c>
      <c r="L338" s="36"/>
      <c r="M338" s="36">
        <v>18886.26</v>
      </c>
      <c r="N338" s="36"/>
      <c r="O338" s="36">
        <v>0</v>
      </c>
      <c r="P338" s="36"/>
      <c r="Q338" s="36">
        <v>90986.44</v>
      </c>
      <c r="R338" s="36"/>
      <c r="S338" s="36">
        <v>0</v>
      </c>
      <c r="T338" s="36"/>
      <c r="U338" s="36">
        <v>0</v>
      </c>
      <c r="V338" s="36"/>
      <c r="W338" s="36">
        <v>0</v>
      </c>
      <c r="X338" s="36"/>
      <c r="Y338" s="36">
        <v>0</v>
      </c>
      <c r="Z338" s="36"/>
      <c r="AA338" s="36">
        <v>0</v>
      </c>
      <c r="AB338" s="36"/>
      <c r="AC338" s="36">
        <v>0</v>
      </c>
      <c r="AD338" s="36"/>
      <c r="AE338" s="36">
        <f aca="true" t="shared" si="128" ref="AE338">SUM(E338:AC338)</f>
        <v>127106.9</v>
      </c>
      <c r="AF338" s="36"/>
      <c r="AG338" s="36">
        <v>33361.52</v>
      </c>
      <c r="AH338" s="36"/>
      <c r="AI338" s="36">
        <v>311168.98</v>
      </c>
      <c r="AJ338" s="36"/>
      <c r="AK338" s="36">
        <v>344530.5</v>
      </c>
      <c r="AL338" s="24">
        <f>+'Gen Rev'!AI337-'Gen Exp'!AE338+'Gen Exp'!AI338-AK338</f>
        <v>0</v>
      </c>
      <c r="AM338" s="44" t="str">
        <f>'Gen Rev'!A337</f>
        <v>Lockbourne</v>
      </c>
      <c r="AN338" s="21" t="str">
        <f t="shared" si="108"/>
        <v>Lockbourne</v>
      </c>
      <c r="AO338" s="21" t="b">
        <f t="shared" si="109"/>
        <v>1</v>
      </c>
    </row>
    <row r="339" spans="1:41" ht="12.75">
      <c r="A339" s="1" t="s">
        <v>539</v>
      </c>
      <c r="C339" s="1" t="s">
        <v>538</v>
      </c>
      <c r="E339" s="96">
        <v>10710.07</v>
      </c>
      <c r="F339" s="96"/>
      <c r="G339" s="96">
        <v>1346.81</v>
      </c>
      <c r="H339" s="96"/>
      <c r="I339" s="96">
        <v>0</v>
      </c>
      <c r="J339" s="96"/>
      <c r="K339" s="96">
        <v>0</v>
      </c>
      <c r="L339" s="96"/>
      <c r="M339" s="96">
        <v>895.32</v>
      </c>
      <c r="N339" s="96"/>
      <c r="O339" s="96">
        <v>650.09</v>
      </c>
      <c r="P339" s="96"/>
      <c r="Q339" s="96">
        <v>6680.65</v>
      </c>
      <c r="R339" s="96"/>
      <c r="S339" s="96">
        <v>0</v>
      </c>
      <c r="T339" s="96"/>
      <c r="U339" s="96">
        <v>0</v>
      </c>
      <c r="V339" s="96"/>
      <c r="W339" s="96">
        <v>0</v>
      </c>
      <c r="X339" s="96"/>
      <c r="Y339" s="96">
        <v>1886</v>
      </c>
      <c r="Z339" s="96"/>
      <c r="AA339" s="96">
        <v>0</v>
      </c>
      <c r="AB339" s="96"/>
      <c r="AC339" s="96">
        <v>0</v>
      </c>
      <c r="AD339" s="96"/>
      <c r="AE339" s="96">
        <f aca="true" t="shared" si="129" ref="AE339:AE401">SUM(E339:AC339)</f>
        <v>22168.94</v>
      </c>
      <c r="AF339" s="83"/>
      <c r="AG339" s="83"/>
      <c r="AH339" s="83"/>
      <c r="AI339" s="83"/>
      <c r="AJ339" s="83"/>
      <c r="AK339" s="83"/>
      <c r="AL339" s="24">
        <f>+'Gen Rev'!AI338-'Gen Exp'!AE339+'Gen Exp'!AI339-AK339</f>
        <v>-1983.9399999999987</v>
      </c>
      <c r="AM339" s="44" t="str">
        <f>'Gen Rev'!A338</f>
        <v xml:space="preserve">Lockington </v>
      </c>
      <c r="AN339" s="21" t="str">
        <f t="shared" si="108"/>
        <v xml:space="preserve">Lockington </v>
      </c>
      <c r="AO339" s="21" t="b">
        <f t="shared" si="109"/>
        <v>1</v>
      </c>
    </row>
    <row r="340" spans="1:41" s="21" customFormat="1" ht="12.75">
      <c r="A340" s="1" t="s">
        <v>95</v>
      </c>
      <c r="B340" s="1"/>
      <c r="C340" s="1" t="s">
        <v>773</v>
      </c>
      <c r="D340" s="23"/>
      <c r="E340" s="95">
        <v>1768549.49</v>
      </c>
      <c r="F340" s="95"/>
      <c r="G340" s="95">
        <v>26606.06</v>
      </c>
      <c r="H340" s="95"/>
      <c r="I340" s="95">
        <v>29070.15</v>
      </c>
      <c r="J340" s="95"/>
      <c r="K340" s="95">
        <v>46255</v>
      </c>
      <c r="L340" s="95"/>
      <c r="M340" s="95">
        <v>1557563.82</v>
      </c>
      <c r="N340" s="95"/>
      <c r="O340" s="95">
        <v>0</v>
      </c>
      <c r="P340" s="95"/>
      <c r="Q340" s="95">
        <v>648275.1</v>
      </c>
      <c r="R340" s="95"/>
      <c r="S340" s="95">
        <v>0</v>
      </c>
      <c r="T340" s="95"/>
      <c r="U340" s="95">
        <v>0</v>
      </c>
      <c r="V340" s="95"/>
      <c r="W340" s="95">
        <v>0</v>
      </c>
      <c r="X340" s="95"/>
      <c r="Y340" s="95">
        <v>263654.21</v>
      </c>
      <c r="Z340" s="95"/>
      <c r="AA340" s="95">
        <v>0</v>
      </c>
      <c r="AB340" s="95"/>
      <c r="AC340" s="95">
        <v>79690.22</v>
      </c>
      <c r="AD340" s="95"/>
      <c r="AE340" s="95">
        <f aca="true" t="shared" si="130" ref="AE340">SUM(E340:AC340)</f>
        <v>4419664.05</v>
      </c>
      <c r="AF340" s="95"/>
      <c r="AG340" s="95">
        <v>107671.39</v>
      </c>
      <c r="AH340" s="95"/>
      <c r="AI340" s="95">
        <v>317517.53</v>
      </c>
      <c r="AJ340" s="95"/>
      <c r="AK340" s="95">
        <v>425188.92</v>
      </c>
      <c r="AL340" s="24">
        <f>+'Gen Rev'!AI339-'Gen Exp'!AE340+'Gen Exp'!AI340-AK340</f>
        <v>0</v>
      </c>
      <c r="AM340" s="44" t="str">
        <f>'Gen Rev'!A339</f>
        <v>Lockland</v>
      </c>
      <c r="AN340" s="21" t="str">
        <f t="shared" si="108"/>
        <v>Lockland</v>
      </c>
      <c r="AO340" s="21" t="b">
        <f t="shared" si="109"/>
        <v>1</v>
      </c>
    </row>
    <row r="341" spans="1:41" s="21" customFormat="1" ht="12.75">
      <c r="A341" s="1" t="s">
        <v>969</v>
      </c>
      <c r="B341" s="1"/>
      <c r="C341" s="1" t="s">
        <v>970</v>
      </c>
      <c r="D341" s="23"/>
      <c r="E341" s="83">
        <v>674993.24</v>
      </c>
      <c r="F341" s="83"/>
      <c r="G341" s="83">
        <v>0</v>
      </c>
      <c r="H341" s="83"/>
      <c r="I341" s="83">
        <v>17445.31</v>
      </c>
      <c r="J341" s="83"/>
      <c r="K341" s="83">
        <v>13150.05</v>
      </c>
      <c r="L341" s="83"/>
      <c r="M341" s="83">
        <v>0</v>
      </c>
      <c r="N341" s="83"/>
      <c r="O341" s="83">
        <v>107828.08</v>
      </c>
      <c r="P341" s="83"/>
      <c r="Q341" s="83">
        <v>244161.48</v>
      </c>
      <c r="R341" s="83"/>
      <c r="S341" s="83">
        <v>15129.73</v>
      </c>
      <c r="T341" s="83"/>
      <c r="U341" s="83">
        <v>0</v>
      </c>
      <c r="V341" s="83"/>
      <c r="W341" s="83">
        <v>0</v>
      </c>
      <c r="X341" s="83"/>
      <c r="Y341" s="83">
        <v>0</v>
      </c>
      <c r="Z341" s="83"/>
      <c r="AA341" s="83">
        <v>0</v>
      </c>
      <c r="AB341" s="83"/>
      <c r="AC341" s="83">
        <v>0</v>
      </c>
      <c r="AD341" s="83"/>
      <c r="AE341" s="83">
        <f t="shared" si="129"/>
        <v>1072707.8900000001</v>
      </c>
      <c r="AF341" s="83"/>
      <c r="AG341" s="83">
        <v>-116931.46</v>
      </c>
      <c r="AH341" s="83"/>
      <c r="AI341" s="83">
        <v>352447.89</v>
      </c>
      <c r="AJ341" s="83"/>
      <c r="AK341" s="83">
        <v>235516.43</v>
      </c>
      <c r="AL341" s="24">
        <f>+'Gen Rev'!AI340-'Gen Exp'!AE341+'Gen Exp'!AI341-AK341</f>
        <v>0</v>
      </c>
      <c r="AM341" s="44" t="str">
        <f>'Gen Rev'!A340</f>
        <v>Lodi</v>
      </c>
      <c r="AN341" s="21" t="str">
        <f t="shared" si="108"/>
        <v>Lodi</v>
      </c>
      <c r="AO341" s="21" t="b">
        <f t="shared" si="109"/>
        <v>1</v>
      </c>
    </row>
    <row r="342" spans="1:41" s="15" customFormat="1" ht="12.75">
      <c r="A342" s="15" t="s">
        <v>557</v>
      </c>
      <c r="C342" s="15" t="s">
        <v>559</v>
      </c>
      <c r="E342" s="83">
        <v>1442477.71</v>
      </c>
      <c r="F342" s="85"/>
      <c r="G342" s="83">
        <v>15901.87</v>
      </c>
      <c r="H342" s="85"/>
      <c r="I342" s="83">
        <v>190066.63</v>
      </c>
      <c r="J342" s="85"/>
      <c r="K342" s="83">
        <v>124190.33</v>
      </c>
      <c r="L342" s="85"/>
      <c r="M342" s="83">
        <v>0</v>
      </c>
      <c r="N342" s="85"/>
      <c r="O342" s="83">
        <v>0</v>
      </c>
      <c r="P342" s="85"/>
      <c r="Q342" s="83">
        <v>1065287.24</v>
      </c>
      <c r="R342" s="83"/>
      <c r="S342" s="83">
        <v>0</v>
      </c>
      <c r="T342" s="85"/>
      <c r="U342" s="83">
        <v>0</v>
      </c>
      <c r="V342" s="85"/>
      <c r="W342" s="83">
        <v>0</v>
      </c>
      <c r="X342" s="85"/>
      <c r="Y342" s="83">
        <v>102000</v>
      </c>
      <c r="Z342" s="85"/>
      <c r="AA342" s="83">
        <v>0</v>
      </c>
      <c r="AB342" s="85"/>
      <c r="AC342" s="83">
        <v>0</v>
      </c>
      <c r="AD342" s="85"/>
      <c r="AE342" s="83">
        <f t="shared" si="129"/>
        <v>2939923.7800000003</v>
      </c>
      <c r="AF342" s="85"/>
      <c r="AG342" s="85">
        <v>851136.9</v>
      </c>
      <c r="AH342" s="85"/>
      <c r="AI342" s="85">
        <v>1239082.06</v>
      </c>
      <c r="AJ342" s="85"/>
      <c r="AK342" s="85">
        <v>2090218.96</v>
      </c>
      <c r="AL342" s="24">
        <f>+'Gen Rev'!AI341-'Gen Exp'!AE342+'Gen Exp'!AI342-AK342</f>
        <v>0</v>
      </c>
      <c r="AM342" s="44" t="str">
        <f>'Gen Rev'!A341</f>
        <v>Lordstown</v>
      </c>
      <c r="AN342" s="21" t="str">
        <f t="shared" si="108"/>
        <v>Lordstown</v>
      </c>
      <c r="AO342" s="21" t="b">
        <f t="shared" si="109"/>
        <v>1</v>
      </c>
    </row>
    <row r="343" spans="1:41" s="21" customFormat="1" ht="12.75">
      <c r="A343" s="1" t="s">
        <v>88</v>
      </c>
      <c r="B343" s="1"/>
      <c r="C343" s="1" t="s">
        <v>772</v>
      </c>
      <c r="D343" s="23"/>
      <c r="E343" s="95">
        <v>3367.86</v>
      </c>
      <c r="F343" s="95"/>
      <c r="G343" s="95">
        <v>23.71</v>
      </c>
      <c r="H343" s="95"/>
      <c r="I343" s="95">
        <v>0</v>
      </c>
      <c r="J343" s="95"/>
      <c r="K343" s="95">
        <v>0</v>
      </c>
      <c r="L343" s="95"/>
      <c r="M343" s="95">
        <v>0</v>
      </c>
      <c r="N343" s="95"/>
      <c r="O343" s="95">
        <v>3.12</v>
      </c>
      <c r="P343" s="95"/>
      <c r="Q343" s="95">
        <v>38243.77</v>
      </c>
      <c r="R343" s="95"/>
      <c r="S343" s="95">
        <v>2259.35</v>
      </c>
      <c r="T343" s="95"/>
      <c r="U343" s="95">
        <v>6802.53</v>
      </c>
      <c r="V343" s="95"/>
      <c r="W343" s="95">
        <v>785.98</v>
      </c>
      <c r="X343" s="95"/>
      <c r="Y343" s="95">
        <v>0</v>
      </c>
      <c r="Z343" s="95"/>
      <c r="AA343" s="95">
        <v>0</v>
      </c>
      <c r="AB343" s="95"/>
      <c r="AC343" s="95">
        <v>0</v>
      </c>
      <c r="AD343" s="95"/>
      <c r="AE343" s="95">
        <f aca="true" t="shared" si="131" ref="AE343">SUM(E343:AC343)</f>
        <v>51486.32</v>
      </c>
      <c r="AF343" s="95"/>
      <c r="AG343" s="95">
        <v>5001.27</v>
      </c>
      <c r="AH343" s="95"/>
      <c r="AI343" s="95">
        <v>16093.28</v>
      </c>
      <c r="AJ343" s="95"/>
      <c r="AK343" s="95">
        <v>21094.55</v>
      </c>
      <c r="AL343" s="24">
        <f>+'Gen Rev'!AI342-'Gen Exp'!AE343+'Gen Exp'!AI343-AK343</f>
        <v>0</v>
      </c>
      <c r="AM343" s="44" t="str">
        <f>'Gen Rev'!A342</f>
        <v>Lore City</v>
      </c>
      <c r="AN343" s="21" t="str">
        <f aca="true" t="shared" si="132" ref="AN343:AN403">A343</f>
        <v>Lore City</v>
      </c>
      <c r="AO343" s="21" t="b">
        <f aca="true" t="shared" si="133" ref="AO343:AO403">AM343=AN343</f>
        <v>1</v>
      </c>
    </row>
    <row r="344" spans="1:41" s="21" customFormat="1" ht="12.75">
      <c r="A344" s="1" t="s">
        <v>924</v>
      </c>
      <c r="B344" s="1"/>
      <c r="C344" s="15" t="s">
        <v>669</v>
      </c>
      <c r="D344" s="23"/>
      <c r="E344" s="83">
        <v>93064</v>
      </c>
      <c r="F344" s="83"/>
      <c r="G344" s="83">
        <v>5375</v>
      </c>
      <c r="H344" s="83"/>
      <c r="I344" s="83">
        <v>51065</v>
      </c>
      <c r="J344" s="83"/>
      <c r="K344" s="83">
        <v>2719</v>
      </c>
      <c r="L344" s="83"/>
      <c r="M344" s="83">
        <v>0</v>
      </c>
      <c r="N344" s="83"/>
      <c r="O344" s="83">
        <v>0</v>
      </c>
      <c r="P344" s="83"/>
      <c r="Q344" s="83">
        <v>666899</v>
      </c>
      <c r="R344" s="83"/>
      <c r="S344" s="83">
        <v>12500</v>
      </c>
      <c r="T344" s="83"/>
      <c r="U344" s="83">
        <v>44364</v>
      </c>
      <c r="V344" s="83"/>
      <c r="W344" s="83">
        <v>3102</v>
      </c>
      <c r="X344" s="83"/>
      <c r="Y344" s="83">
        <v>1004650</v>
      </c>
      <c r="Z344" s="83"/>
      <c r="AA344" s="83">
        <v>54421</v>
      </c>
      <c r="AB344" s="83"/>
      <c r="AC344" s="83">
        <v>0</v>
      </c>
      <c r="AD344" s="83"/>
      <c r="AE344" s="83">
        <f t="shared" si="129"/>
        <v>1938159</v>
      </c>
      <c r="AF344" s="83"/>
      <c r="AG344" s="83">
        <v>-70021</v>
      </c>
      <c r="AH344" s="83"/>
      <c r="AI344" s="83">
        <v>86773</v>
      </c>
      <c r="AJ344" s="83"/>
      <c r="AK344" s="83">
        <v>16752</v>
      </c>
      <c r="AL344" s="24">
        <f>+'Gen Rev'!AI343-'Gen Exp'!AE344+'Gen Exp'!AI344-AK344</f>
        <v>0</v>
      </c>
      <c r="AM344" s="44" t="str">
        <f>'Gen Rev'!A343</f>
        <v>Loudonville</v>
      </c>
      <c r="AN344" s="21" t="str">
        <f t="shared" si="132"/>
        <v>Loudonville</v>
      </c>
      <c r="AO344" s="21" t="b">
        <f t="shared" si="133"/>
        <v>1</v>
      </c>
    </row>
    <row r="345" spans="1:41" ht="12.75">
      <c r="A345" s="1" t="s">
        <v>245</v>
      </c>
      <c r="C345" s="1" t="s">
        <v>822</v>
      </c>
      <c r="D345" s="23"/>
      <c r="E345" s="36">
        <v>19919.58</v>
      </c>
      <c r="F345" s="36"/>
      <c r="G345" s="36">
        <v>1597.34</v>
      </c>
      <c r="H345" s="36"/>
      <c r="I345" s="36">
        <v>2526.48</v>
      </c>
      <c r="J345" s="36"/>
      <c r="K345" s="36">
        <v>0</v>
      </c>
      <c r="L345" s="36"/>
      <c r="M345" s="36">
        <v>0</v>
      </c>
      <c r="N345" s="36"/>
      <c r="O345" s="36">
        <v>0</v>
      </c>
      <c r="P345" s="36"/>
      <c r="Q345" s="36">
        <v>54800.86</v>
      </c>
      <c r="R345" s="36"/>
      <c r="S345" s="36">
        <v>0</v>
      </c>
      <c r="T345" s="36"/>
      <c r="U345" s="36">
        <v>0</v>
      </c>
      <c r="V345" s="36"/>
      <c r="W345" s="36">
        <v>0</v>
      </c>
      <c r="X345" s="36"/>
      <c r="Y345" s="36">
        <v>3600</v>
      </c>
      <c r="Z345" s="36"/>
      <c r="AA345" s="36">
        <v>0</v>
      </c>
      <c r="AB345" s="36"/>
      <c r="AC345" s="36">
        <v>550</v>
      </c>
      <c r="AD345" s="36"/>
      <c r="AE345" s="36">
        <f aca="true" t="shared" si="134" ref="AE345:AE347">SUM(E345:AC345)</f>
        <v>82994.26000000001</v>
      </c>
      <c r="AF345" s="36"/>
      <c r="AG345" s="36">
        <v>-15326.55</v>
      </c>
      <c r="AH345" s="36"/>
      <c r="AI345" s="36">
        <v>28718.19</v>
      </c>
      <c r="AJ345" s="36"/>
      <c r="AK345" s="36">
        <v>13391.64</v>
      </c>
      <c r="AL345" s="24">
        <f>+'Gen Rev'!AI344-'Gen Exp'!AE345+'Gen Exp'!AI345-AK345</f>
        <v>0</v>
      </c>
      <c r="AM345" s="44" t="str">
        <f>'Gen Rev'!A344</f>
        <v>Lowell</v>
      </c>
      <c r="AN345" s="21" t="str">
        <f t="shared" si="132"/>
        <v>Lowell</v>
      </c>
      <c r="AO345" s="21" t="b">
        <f t="shared" si="133"/>
        <v>1</v>
      </c>
    </row>
    <row r="346" spans="1:41" ht="12.75">
      <c r="A346" s="1" t="s">
        <v>853</v>
      </c>
      <c r="C346" s="1" t="s">
        <v>790</v>
      </c>
      <c r="D346" s="23"/>
      <c r="E346" s="36">
        <v>338744.28</v>
      </c>
      <c r="F346" s="36"/>
      <c r="G346" s="36">
        <v>4531.28</v>
      </c>
      <c r="H346" s="36"/>
      <c r="I346" s="36">
        <v>0</v>
      </c>
      <c r="J346" s="36"/>
      <c r="K346" s="36">
        <v>4196.11</v>
      </c>
      <c r="L346" s="36"/>
      <c r="M346" s="36">
        <v>0</v>
      </c>
      <c r="N346" s="36"/>
      <c r="O346" s="36">
        <v>82634.61</v>
      </c>
      <c r="P346" s="36"/>
      <c r="Q346" s="36">
        <v>179451.06</v>
      </c>
      <c r="R346" s="36"/>
      <c r="S346" s="36">
        <v>0</v>
      </c>
      <c r="T346" s="36"/>
      <c r="U346" s="36">
        <v>0</v>
      </c>
      <c r="V346" s="36"/>
      <c r="W346" s="36">
        <v>0</v>
      </c>
      <c r="X346" s="36"/>
      <c r="Y346" s="36">
        <v>71600</v>
      </c>
      <c r="Z346" s="36"/>
      <c r="AA346" s="36">
        <v>0</v>
      </c>
      <c r="AB346" s="36"/>
      <c r="AC346" s="36">
        <v>86916.76</v>
      </c>
      <c r="AD346" s="36"/>
      <c r="AE346" s="36">
        <f t="shared" si="134"/>
        <v>768074.1000000001</v>
      </c>
      <c r="AF346" s="36"/>
      <c r="AG346" s="36">
        <v>2041.36</v>
      </c>
      <c r="AH346" s="36"/>
      <c r="AI346" s="36">
        <v>90553.68</v>
      </c>
      <c r="AJ346" s="36"/>
      <c r="AK346" s="36">
        <v>92595.04</v>
      </c>
      <c r="AL346" s="24">
        <f>+'Gen Rev'!AI345-'Gen Exp'!AE346+'Gen Exp'!AI346-AK346</f>
        <v>0</v>
      </c>
      <c r="AM346" s="44" t="str">
        <f>'Gen Rev'!A345</f>
        <v>Lowellville</v>
      </c>
      <c r="AN346" s="21" t="str">
        <f t="shared" si="132"/>
        <v>Lowellville</v>
      </c>
      <c r="AO346" s="21" t="b">
        <f t="shared" si="133"/>
        <v>1</v>
      </c>
    </row>
    <row r="347" spans="1:41" ht="12.75">
      <c r="A347" s="1" t="s">
        <v>246</v>
      </c>
      <c r="C347" s="1" t="s">
        <v>822</v>
      </c>
      <c r="D347" s="23"/>
      <c r="E347" s="36">
        <v>3272.79</v>
      </c>
      <c r="F347" s="36"/>
      <c r="G347" s="36">
        <v>119.55</v>
      </c>
      <c r="H347" s="36"/>
      <c r="I347" s="36">
        <v>4772.25</v>
      </c>
      <c r="J347" s="36"/>
      <c r="K347" s="36">
        <v>0</v>
      </c>
      <c r="L347" s="36"/>
      <c r="M347" s="36">
        <v>0</v>
      </c>
      <c r="N347" s="36"/>
      <c r="O347" s="36">
        <v>5191.83</v>
      </c>
      <c r="P347" s="36"/>
      <c r="Q347" s="36">
        <v>24295.13</v>
      </c>
      <c r="R347" s="36"/>
      <c r="S347" s="36">
        <v>0</v>
      </c>
      <c r="T347" s="36"/>
      <c r="U347" s="36">
        <v>0</v>
      </c>
      <c r="V347" s="36"/>
      <c r="W347" s="36">
        <v>0</v>
      </c>
      <c r="X347" s="36"/>
      <c r="Y347" s="36">
        <v>0</v>
      </c>
      <c r="Z347" s="36"/>
      <c r="AA347" s="36">
        <v>0</v>
      </c>
      <c r="AB347" s="36"/>
      <c r="AC347" s="36">
        <v>0</v>
      </c>
      <c r="AD347" s="36"/>
      <c r="AE347" s="36">
        <f t="shared" si="134"/>
        <v>37651.55</v>
      </c>
      <c r="AF347" s="36"/>
      <c r="AG347" s="36">
        <v>-1903.84</v>
      </c>
      <c r="AH347" s="36"/>
      <c r="AI347" s="36">
        <v>36924.29</v>
      </c>
      <c r="AJ347" s="36"/>
      <c r="AK347" s="36">
        <v>35020.45</v>
      </c>
      <c r="AL347" s="24">
        <f>+'Gen Rev'!AI346-'Gen Exp'!AE347+'Gen Exp'!AI347-AK347</f>
        <v>0</v>
      </c>
      <c r="AM347" s="44" t="str">
        <f>'Gen Rev'!A346</f>
        <v>Lower Salem</v>
      </c>
      <c r="AN347" s="21" t="str">
        <f t="shared" si="132"/>
        <v>Lower Salem</v>
      </c>
      <c r="AO347" s="21" t="b">
        <f t="shared" si="133"/>
        <v>1</v>
      </c>
    </row>
    <row r="348" spans="1:41" ht="12.75">
      <c r="A348" s="1" t="s">
        <v>455</v>
      </c>
      <c r="C348" s="1" t="s">
        <v>520</v>
      </c>
      <c r="E348" s="83">
        <v>25000</v>
      </c>
      <c r="F348" s="83"/>
      <c r="G348" s="83">
        <v>2319</v>
      </c>
      <c r="H348" s="83"/>
      <c r="I348" s="83">
        <v>0</v>
      </c>
      <c r="J348" s="83"/>
      <c r="K348" s="83">
        <v>3301</v>
      </c>
      <c r="L348" s="83"/>
      <c r="M348" s="83">
        <v>0</v>
      </c>
      <c r="N348" s="83"/>
      <c r="O348" s="83">
        <v>0</v>
      </c>
      <c r="P348" s="83"/>
      <c r="Q348" s="83">
        <v>35804</v>
      </c>
      <c r="R348" s="83"/>
      <c r="S348" s="83">
        <v>0</v>
      </c>
      <c r="T348" s="83"/>
      <c r="U348" s="83">
        <v>0</v>
      </c>
      <c r="V348" s="83"/>
      <c r="W348" s="83">
        <v>0</v>
      </c>
      <c r="X348" s="83"/>
      <c r="Y348" s="83">
        <v>5000</v>
      </c>
      <c r="Z348" s="83"/>
      <c r="AA348" s="83">
        <v>0</v>
      </c>
      <c r="AB348" s="83"/>
      <c r="AC348" s="83">
        <v>0</v>
      </c>
      <c r="AD348" s="83"/>
      <c r="AE348" s="83">
        <f t="shared" si="129"/>
        <v>71424</v>
      </c>
      <c r="AF348" s="83"/>
      <c r="AG348" s="83">
        <v>56369</v>
      </c>
      <c r="AH348" s="83"/>
      <c r="AI348" s="83">
        <v>29823</v>
      </c>
      <c r="AJ348" s="83"/>
      <c r="AK348" s="83">
        <v>86192</v>
      </c>
      <c r="AL348" s="24">
        <f>+'Gen Rev'!AI347-'Gen Exp'!AE348+'Gen Exp'!AI348-AK348</f>
        <v>0</v>
      </c>
      <c r="AM348" s="44" t="str">
        <f>'Gen Rev'!A347</f>
        <v>Lucas</v>
      </c>
      <c r="AN348" s="21" t="str">
        <f t="shared" si="132"/>
        <v>Lucas</v>
      </c>
      <c r="AO348" s="21" t="b">
        <f t="shared" si="133"/>
        <v>1</v>
      </c>
    </row>
    <row r="349" spans="1:41" ht="12.75">
      <c r="A349" s="1" t="s">
        <v>606</v>
      </c>
      <c r="C349" s="1" t="s">
        <v>603</v>
      </c>
      <c r="E349" s="95">
        <v>80433.56</v>
      </c>
      <c r="F349" s="95"/>
      <c r="G349" s="95">
        <v>0</v>
      </c>
      <c r="H349" s="95"/>
      <c r="I349" s="95">
        <v>8696.48</v>
      </c>
      <c r="J349" s="95"/>
      <c r="K349" s="95">
        <v>82696.1</v>
      </c>
      <c r="L349" s="95"/>
      <c r="M349" s="95">
        <v>73463.26</v>
      </c>
      <c r="N349" s="95"/>
      <c r="O349" s="95">
        <v>0</v>
      </c>
      <c r="P349" s="95"/>
      <c r="Q349" s="95">
        <v>68274.81</v>
      </c>
      <c r="R349" s="95"/>
      <c r="S349" s="95">
        <v>0</v>
      </c>
      <c r="T349" s="95"/>
      <c r="U349" s="95">
        <v>0</v>
      </c>
      <c r="V349" s="95"/>
      <c r="W349" s="95">
        <v>0</v>
      </c>
      <c r="X349" s="95"/>
      <c r="Y349" s="95">
        <v>37792.22</v>
      </c>
      <c r="Z349" s="95"/>
      <c r="AA349" s="95">
        <v>0</v>
      </c>
      <c r="AB349" s="95"/>
      <c r="AC349" s="95">
        <v>0</v>
      </c>
      <c r="AD349" s="95"/>
      <c r="AE349" s="95">
        <f aca="true" t="shared" si="135" ref="AE349">SUM(E349:AC349)</f>
        <v>351356.43000000005</v>
      </c>
      <c r="AF349" s="95"/>
      <c r="AG349" s="95">
        <v>-49008.23</v>
      </c>
      <c r="AH349" s="95"/>
      <c r="AI349" s="95">
        <v>123011.43</v>
      </c>
      <c r="AJ349" s="95"/>
      <c r="AK349" s="95">
        <v>74003.2</v>
      </c>
      <c r="AL349" s="24">
        <f>+'Gen Rev'!AI348-'Gen Exp'!AE349+'Gen Exp'!AI349-AK349</f>
        <v>0</v>
      </c>
      <c r="AM349" s="44" t="str">
        <f>'Gen Rev'!A348</f>
        <v>Luckey</v>
      </c>
      <c r="AN349" s="21" t="str">
        <f t="shared" si="132"/>
        <v>Luckey</v>
      </c>
      <c r="AO349" s="21" t="b">
        <f t="shared" si="133"/>
        <v>1</v>
      </c>
    </row>
    <row r="350" spans="1:41" s="21" customFormat="1" ht="12.75">
      <c r="A350" s="1" t="s">
        <v>110</v>
      </c>
      <c r="B350" s="1"/>
      <c r="C350" s="1" t="s">
        <v>778</v>
      </c>
      <c r="D350" s="23"/>
      <c r="E350" s="36">
        <v>14817.6</v>
      </c>
      <c r="F350" s="36"/>
      <c r="G350" s="36">
        <v>3512.66</v>
      </c>
      <c r="H350" s="36"/>
      <c r="I350" s="36">
        <v>11684.85</v>
      </c>
      <c r="J350" s="36"/>
      <c r="K350" s="36">
        <v>0</v>
      </c>
      <c r="L350" s="36"/>
      <c r="M350" s="36">
        <v>2509.5</v>
      </c>
      <c r="N350" s="36"/>
      <c r="O350" s="36">
        <v>0</v>
      </c>
      <c r="P350" s="36"/>
      <c r="Q350" s="36">
        <v>106827.3</v>
      </c>
      <c r="R350" s="36"/>
      <c r="S350" s="36">
        <v>20182.87</v>
      </c>
      <c r="T350" s="36"/>
      <c r="U350" s="36">
        <v>0</v>
      </c>
      <c r="V350" s="36"/>
      <c r="W350" s="36">
        <v>0</v>
      </c>
      <c r="X350" s="36"/>
      <c r="Y350" s="36">
        <v>0</v>
      </c>
      <c r="Z350" s="36"/>
      <c r="AA350" s="36">
        <v>10642</v>
      </c>
      <c r="AB350" s="36"/>
      <c r="AC350" s="36">
        <v>0</v>
      </c>
      <c r="AD350" s="36"/>
      <c r="AE350" s="36">
        <f aca="true" t="shared" si="136" ref="AE350:AE353">SUM(E350:AC350)</f>
        <v>170176.78</v>
      </c>
      <c r="AF350" s="36"/>
      <c r="AG350" s="36">
        <v>89986.93</v>
      </c>
      <c r="AH350" s="36"/>
      <c r="AI350" s="36">
        <v>41731.02</v>
      </c>
      <c r="AJ350" s="36"/>
      <c r="AK350" s="36">
        <v>131717.95</v>
      </c>
      <c r="AL350" s="24">
        <f>+'Gen Rev'!AI349-'Gen Exp'!AE350+'Gen Exp'!AI350-AK350</f>
        <v>0</v>
      </c>
      <c r="AM350" s="44" t="str">
        <f>'Gen Rev'!A349</f>
        <v>Lynchburg</v>
      </c>
      <c r="AN350" s="21" t="str">
        <f t="shared" si="132"/>
        <v>Lynchburg</v>
      </c>
      <c r="AO350" s="21" t="b">
        <f t="shared" si="133"/>
        <v>1</v>
      </c>
    </row>
    <row r="351" spans="1:41" s="21" customFormat="1" ht="12.75">
      <c r="A351" s="1" t="s">
        <v>78</v>
      </c>
      <c r="B351" s="1"/>
      <c r="C351" s="1" t="s">
        <v>769</v>
      </c>
      <c r="D351" s="23"/>
      <c r="E351" s="36">
        <v>14447.91</v>
      </c>
      <c r="F351" s="36"/>
      <c r="G351" s="36">
        <v>0</v>
      </c>
      <c r="H351" s="36"/>
      <c r="I351" s="36">
        <v>0</v>
      </c>
      <c r="J351" s="36"/>
      <c r="K351" s="36">
        <v>400</v>
      </c>
      <c r="L351" s="36"/>
      <c r="M351" s="36">
        <v>2790.24</v>
      </c>
      <c r="N351" s="36"/>
      <c r="O351" s="36">
        <v>9799.45</v>
      </c>
      <c r="P351" s="36"/>
      <c r="Q351" s="36">
        <v>86049.63</v>
      </c>
      <c r="R351" s="36"/>
      <c r="S351" s="36">
        <v>0</v>
      </c>
      <c r="T351" s="36"/>
      <c r="U351" s="36">
        <v>0</v>
      </c>
      <c r="V351" s="36"/>
      <c r="W351" s="36">
        <v>0</v>
      </c>
      <c r="X351" s="36"/>
      <c r="Y351" s="36">
        <v>0</v>
      </c>
      <c r="Z351" s="36"/>
      <c r="AA351" s="36">
        <v>0</v>
      </c>
      <c r="AB351" s="36"/>
      <c r="AC351" s="36">
        <v>0</v>
      </c>
      <c r="AD351" s="36"/>
      <c r="AE351" s="36">
        <f t="shared" si="136"/>
        <v>113487.23000000001</v>
      </c>
      <c r="AF351" s="36"/>
      <c r="AG351" s="36">
        <v>3442.29</v>
      </c>
      <c r="AH351" s="36"/>
      <c r="AI351" s="36">
        <v>174484.95</v>
      </c>
      <c r="AJ351" s="36"/>
      <c r="AK351" s="36">
        <v>177927.24</v>
      </c>
      <c r="AL351" s="24">
        <f>+'Gen Rev'!AI350-'Gen Exp'!AE351+'Gen Exp'!AI351-AK351</f>
        <v>0</v>
      </c>
      <c r="AM351" s="44" t="str">
        <f>'Gen Rev'!A350</f>
        <v>Lyons</v>
      </c>
      <c r="AN351" s="21" t="str">
        <f t="shared" si="132"/>
        <v>Lyons</v>
      </c>
      <c r="AO351" s="21" t="b">
        <f t="shared" si="133"/>
        <v>1</v>
      </c>
    </row>
    <row r="352" spans="1:41" s="21" customFormat="1" ht="12.75">
      <c r="A352" s="15" t="s">
        <v>432</v>
      </c>
      <c r="B352" s="15"/>
      <c r="C352" s="15" t="s">
        <v>430</v>
      </c>
      <c r="D352" s="15"/>
      <c r="E352" s="36">
        <v>703714.67</v>
      </c>
      <c r="F352" s="36"/>
      <c r="G352" s="36">
        <v>0</v>
      </c>
      <c r="H352" s="36"/>
      <c r="I352" s="36">
        <v>19687.61</v>
      </c>
      <c r="J352" s="36"/>
      <c r="K352" s="36">
        <v>0</v>
      </c>
      <c r="L352" s="36"/>
      <c r="M352" s="36">
        <v>0</v>
      </c>
      <c r="N352" s="36"/>
      <c r="O352" s="36">
        <v>0</v>
      </c>
      <c r="P352" s="36"/>
      <c r="Q352" s="36">
        <v>426854.15</v>
      </c>
      <c r="R352" s="36"/>
      <c r="S352" s="36">
        <v>56622.46</v>
      </c>
      <c r="T352" s="36"/>
      <c r="U352" s="36">
        <v>0</v>
      </c>
      <c r="V352" s="36"/>
      <c r="W352" s="36">
        <v>0</v>
      </c>
      <c r="X352" s="36"/>
      <c r="Y352" s="36">
        <v>214500</v>
      </c>
      <c r="Z352" s="36"/>
      <c r="AA352" s="36">
        <v>0</v>
      </c>
      <c r="AB352" s="36"/>
      <c r="AC352" s="36">
        <v>0</v>
      </c>
      <c r="AD352" s="36"/>
      <c r="AE352" s="36">
        <f t="shared" si="136"/>
        <v>1421378.8900000001</v>
      </c>
      <c r="AF352" s="36"/>
      <c r="AG352" s="36">
        <v>-12461.57</v>
      </c>
      <c r="AH352" s="36"/>
      <c r="AI352" s="36">
        <v>218517.44</v>
      </c>
      <c r="AJ352" s="36"/>
      <c r="AK352" s="36">
        <v>206055.87</v>
      </c>
      <c r="AL352" s="24">
        <f>+'Gen Rev'!AI351-'Gen Exp'!AE352+'Gen Exp'!AI352-AK352</f>
        <v>-2.9103830456733704E-10</v>
      </c>
      <c r="AM352" s="44" t="str">
        <f>'Gen Rev'!A351</f>
        <v>Madison</v>
      </c>
      <c r="AN352" s="21" t="str">
        <f t="shared" si="132"/>
        <v>Madison</v>
      </c>
      <c r="AO352" s="21" t="b">
        <f t="shared" si="133"/>
        <v>1</v>
      </c>
    </row>
    <row r="353" spans="1:41" ht="12.75">
      <c r="A353" s="1" t="s">
        <v>236</v>
      </c>
      <c r="C353" s="1" t="s">
        <v>819</v>
      </c>
      <c r="D353" s="23"/>
      <c r="E353" s="36">
        <v>3742.11</v>
      </c>
      <c r="F353" s="36"/>
      <c r="G353" s="36">
        <v>0</v>
      </c>
      <c r="H353" s="36"/>
      <c r="I353" s="36">
        <v>649.26</v>
      </c>
      <c r="J353" s="36"/>
      <c r="K353" s="36">
        <v>0</v>
      </c>
      <c r="L353" s="36"/>
      <c r="M353" s="36">
        <v>0</v>
      </c>
      <c r="N353" s="36"/>
      <c r="O353" s="36">
        <v>0</v>
      </c>
      <c r="P353" s="36"/>
      <c r="Q353" s="36">
        <v>16541.86</v>
      </c>
      <c r="R353" s="36"/>
      <c r="S353" s="36">
        <v>624.6</v>
      </c>
      <c r="T353" s="36"/>
      <c r="U353" s="36">
        <v>0</v>
      </c>
      <c r="V353" s="36"/>
      <c r="W353" s="36">
        <v>0</v>
      </c>
      <c r="X353" s="36"/>
      <c r="Y353" s="36">
        <v>0</v>
      </c>
      <c r="Z353" s="36"/>
      <c r="AA353" s="36">
        <v>0</v>
      </c>
      <c r="AB353" s="36"/>
      <c r="AC353" s="36">
        <v>25.99</v>
      </c>
      <c r="AD353" s="36"/>
      <c r="AE353" s="36">
        <f t="shared" si="136"/>
        <v>21583.82</v>
      </c>
      <c r="AF353" s="36"/>
      <c r="AG353" s="36">
        <v>12847.06</v>
      </c>
      <c r="AH353" s="36"/>
      <c r="AI353" s="36">
        <v>6929.51</v>
      </c>
      <c r="AJ353" s="36"/>
      <c r="AK353" s="36">
        <v>19776.57</v>
      </c>
      <c r="AL353" s="24">
        <f>+'Gen Rev'!AI352-'Gen Exp'!AE353+'Gen Exp'!AI353-AK353</f>
        <v>0</v>
      </c>
      <c r="AM353" s="44" t="str">
        <f>'Gen Rev'!A352</f>
        <v>Magnetic Springs</v>
      </c>
      <c r="AN353" s="21" t="str">
        <f t="shared" si="132"/>
        <v>Magnetic Springs</v>
      </c>
      <c r="AO353" s="21" t="b">
        <f t="shared" si="133"/>
        <v>1</v>
      </c>
    </row>
    <row r="354" spans="1:41" ht="12.75">
      <c r="A354" s="15" t="s">
        <v>546</v>
      </c>
      <c r="B354" s="15"/>
      <c r="C354" s="15" t="s">
        <v>542</v>
      </c>
      <c r="D354" s="15"/>
      <c r="E354" s="83">
        <v>169541.8</v>
      </c>
      <c r="F354" s="85"/>
      <c r="G354" s="83">
        <v>4620.43</v>
      </c>
      <c r="H354" s="85"/>
      <c r="I354" s="83">
        <v>15332.19</v>
      </c>
      <c r="J354" s="85"/>
      <c r="K354" s="83">
        <v>0</v>
      </c>
      <c r="L354" s="85"/>
      <c r="M354" s="83">
        <v>9844.52</v>
      </c>
      <c r="N354" s="85"/>
      <c r="O354" s="83">
        <v>12633.15</v>
      </c>
      <c r="P354" s="85"/>
      <c r="Q354" s="83">
        <v>49062.46</v>
      </c>
      <c r="R354" s="83"/>
      <c r="S354" s="83">
        <v>0</v>
      </c>
      <c r="T354" s="85"/>
      <c r="U354" s="83">
        <v>0</v>
      </c>
      <c r="V354" s="85"/>
      <c r="W354" s="83">
        <v>0</v>
      </c>
      <c r="X354" s="85"/>
      <c r="Y354" s="83">
        <v>2611.56</v>
      </c>
      <c r="Z354" s="85"/>
      <c r="AA354" s="83">
        <v>0</v>
      </c>
      <c r="AB354" s="85"/>
      <c r="AC354" s="83">
        <v>0</v>
      </c>
      <c r="AD354" s="85"/>
      <c r="AE354" s="83">
        <f t="shared" si="129"/>
        <v>263646.11</v>
      </c>
      <c r="AF354" s="83"/>
      <c r="AG354" s="83">
        <v>30950.16</v>
      </c>
      <c r="AH354" s="83"/>
      <c r="AI354" s="83">
        <v>70998.45</v>
      </c>
      <c r="AJ354" s="83"/>
      <c r="AK354" s="83">
        <v>101948.61</v>
      </c>
      <c r="AL354" s="24">
        <f>+'Gen Rev'!AI353-'Gen Exp'!AE354+'Gen Exp'!AI354-AK354</f>
        <v>0</v>
      </c>
      <c r="AM354" s="44" t="str">
        <f>'Gen Rev'!A353</f>
        <v>Magnolia</v>
      </c>
      <c r="AN354" s="21" t="str">
        <f t="shared" si="132"/>
        <v>Magnolia</v>
      </c>
      <c r="AO354" s="21" t="b">
        <f t="shared" si="133"/>
        <v>1</v>
      </c>
    </row>
    <row r="355" spans="1:41" s="10" customFormat="1" ht="12.75">
      <c r="A355" s="10" t="s">
        <v>242</v>
      </c>
      <c r="C355" s="10" t="s">
        <v>821</v>
      </c>
      <c r="D355" s="52"/>
      <c r="E355" s="36">
        <v>138125.55</v>
      </c>
      <c r="F355" s="36"/>
      <c r="G355" s="36">
        <v>0</v>
      </c>
      <c r="H355" s="36"/>
      <c r="I355" s="36">
        <v>0</v>
      </c>
      <c r="J355" s="36"/>
      <c r="K355" s="36">
        <v>652.1</v>
      </c>
      <c r="L355" s="36"/>
      <c r="M355" s="36">
        <v>71024.47</v>
      </c>
      <c r="N355" s="36"/>
      <c r="O355" s="36">
        <v>0</v>
      </c>
      <c r="P355" s="36"/>
      <c r="Q355" s="36">
        <v>190914.22</v>
      </c>
      <c r="R355" s="36"/>
      <c r="S355" s="36">
        <v>0</v>
      </c>
      <c r="T355" s="36"/>
      <c r="U355" s="36">
        <v>7051.7</v>
      </c>
      <c r="V355" s="36"/>
      <c r="W355" s="36">
        <v>438.1</v>
      </c>
      <c r="X355" s="36"/>
      <c r="Y355" s="36">
        <v>0</v>
      </c>
      <c r="Z355" s="36"/>
      <c r="AA355" s="36">
        <v>0</v>
      </c>
      <c r="AB355" s="36"/>
      <c r="AC355" s="36">
        <v>0</v>
      </c>
      <c r="AD355" s="36"/>
      <c r="AE355" s="36">
        <f aca="true" t="shared" si="137" ref="AE355:AE360">SUM(E355:AC355)</f>
        <v>408206.13999999996</v>
      </c>
      <c r="AF355" s="36"/>
      <c r="AG355" s="36">
        <v>28016.15</v>
      </c>
      <c r="AH355" s="36"/>
      <c r="AI355" s="36">
        <v>351747.37</v>
      </c>
      <c r="AJ355" s="36"/>
      <c r="AK355" s="36">
        <v>379763.52</v>
      </c>
      <c r="AL355" s="24">
        <f>+'Gen Rev'!AI354-'Gen Exp'!AE355+'Gen Exp'!AI355-AK355</f>
        <v>0</v>
      </c>
      <c r="AM355" s="44" t="str">
        <f>'Gen Rev'!A354</f>
        <v>Maineville</v>
      </c>
      <c r="AN355" s="21" t="str">
        <f t="shared" si="132"/>
        <v>Maineville</v>
      </c>
      <c r="AO355" s="21" t="b">
        <f t="shared" si="133"/>
        <v>1</v>
      </c>
    </row>
    <row r="356" spans="1:41" ht="12.75">
      <c r="A356" s="1" t="s">
        <v>107</v>
      </c>
      <c r="C356" s="1" t="s">
        <v>777</v>
      </c>
      <c r="D356" s="23"/>
      <c r="E356" s="36">
        <v>9958.36</v>
      </c>
      <c r="F356" s="36"/>
      <c r="G356" s="36">
        <v>0</v>
      </c>
      <c r="H356" s="36"/>
      <c r="I356" s="36">
        <v>2449.65</v>
      </c>
      <c r="J356" s="36"/>
      <c r="K356" s="36">
        <v>780</v>
      </c>
      <c r="L356" s="36"/>
      <c r="M356" s="36">
        <v>2195.2</v>
      </c>
      <c r="N356" s="36"/>
      <c r="O356" s="36">
        <v>1177.36</v>
      </c>
      <c r="P356" s="36"/>
      <c r="Q356" s="36">
        <v>51037.74</v>
      </c>
      <c r="R356" s="36"/>
      <c r="S356" s="36">
        <v>745</v>
      </c>
      <c r="T356" s="36"/>
      <c r="U356" s="36">
        <v>0</v>
      </c>
      <c r="V356" s="36"/>
      <c r="W356" s="36">
        <v>0</v>
      </c>
      <c r="X356" s="36"/>
      <c r="Y356" s="36">
        <v>0</v>
      </c>
      <c r="Z356" s="36"/>
      <c r="AA356" s="36">
        <v>0</v>
      </c>
      <c r="AB356" s="36"/>
      <c r="AC356" s="36">
        <v>580</v>
      </c>
      <c r="AD356" s="36"/>
      <c r="AE356" s="36">
        <f t="shared" si="137"/>
        <v>68923.31</v>
      </c>
      <c r="AF356" s="36"/>
      <c r="AG356" s="36">
        <v>-4381.94</v>
      </c>
      <c r="AH356" s="36"/>
      <c r="AI356" s="36">
        <v>39235.93</v>
      </c>
      <c r="AJ356" s="36"/>
      <c r="AK356" s="36">
        <v>34853.99</v>
      </c>
      <c r="AL356" s="24">
        <f>+'Gen Rev'!AI355-'Gen Exp'!AE356+'Gen Exp'!AI356-AK356</f>
        <v>0</v>
      </c>
      <c r="AM356" s="44" t="str">
        <f>'Gen Rev'!A355</f>
        <v>Malinta</v>
      </c>
      <c r="AN356" s="21" t="str">
        <f t="shared" si="132"/>
        <v>Malinta</v>
      </c>
      <c r="AO356" s="21" t="b">
        <f t="shared" si="133"/>
        <v>1</v>
      </c>
    </row>
    <row r="357" spans="1:41" ht="12.75">
      <c r="A357" s="1" t="s">
        <v>948</v>
      </c>
      <c r="C357" s="1" t="s">
        <v>798</v>
      </c>
      <c r="D357" s="23"/>
      <c r="E357" s="36">
        <v>235</v>
      </c>
      <c r="F357" s="36"/>
      <c r="G357" s="36">
        <v>0</v>
      </c>
      <c r="H357" s="36"/>
      <c r="I357" s="36">
        <v>0</v>
      </c>
      <c r="J357" s="36"/>
      <c r="K357" s="36">
        <v>0</v>
      </c>
      <c r="L357" s="36"/>
      <c r="M357" s="36">
        <v>0</v>
      </c>
      <c r="N357" s="36"/>
      <c r="O357" s="36">
        <v>0</v>
      </c>
      <c r="P357" s="36"/>
      <c r="Q357" s="36">
        <v>156965.17</v>
      </c>
      <c r="R357" s="36"/>
      <c r="S357" s="36">
        <v>0</v>
      </c>
      <c r="T357" s="36"/>
      <c r="U357" s="36">
        <v>0</v>
      </c>
      <c r="V357" s="36"/>
      <c r="W357" s="36">
        <v>0</v>
      </c>
      <c r="X357" s="36"/>
      <c r="Y357" s="36">
        <v>0</v>
      </c>
      <c r="Z357" s="36"/>
      <c r="AA357" s="36">
        <v>0</v>
      </c>
      <c r="AB357" s="36"/>
      <c r="AC357" s="36">
        <v>0</v>
      </c>
      <c r="AD357" s="36"/>
      <c r="AE357" s="36">
        <f t="shared" si="137"/>
        <v>157200.17</v>
      </c>
      <c r="AF357" s="36"/>
      <c r="AG357" s="36">
        <v>17343.31</v>
      </c>
      <c r="AH357" s="36"/>
      <c r="AI357" s="36">
        <v>50250.69</v>
      </c>
      <c r="AJ357" s="36"/>
      <c r="AK357" s="36">
        <v>67594</v>
      </c>
      <c r="AL357" s="24">
        <f>+'Gen Rev'!AI356-'Gen Exp'!AE357+'Gen Exp'!AI357-AK357</f>
        <v>0</v>
      </c>
      <c r="AM357" s="44" t="str">
        <f>'Gen Rev'!A356</f>
        <v>Malta</v>
      </c>
      <c r="AN357" s="21" t="str">
        <f t="shared" si="132"/>
        <v>Malta</v>
      </c>
      <c r="AO357" s="21" t="b">
        <f t="shared" si="133"/>
        <v>1</v>
      </c>
    </row>
    <row r="358" spans="1:41" ht="12.75">
      <c r="A358" s="1" t="s">
        <v>30</v>
      </c>
      <c r="C358" s="1" t="s">
        <v>753</v>
      </c>
      <c r="D358" s="23"/>
      <c r="E358" s="36">
        <v>30035.84</v>
      </c>
      <c r="F358" s="36"/>
      <c r="G358" s="36">
        <v>7375.38</v>
      </c>
      <c r="H358" s="36"/>
      <c r="I358" s="36">
        <v>39543.19</v>
      </c>
      <c r="J358" s="36"/>
      <c r="K358" s="36">
        <v>0</v>
      </c>
      <c r="L358" s="36"/>
      <c r="M358" s="36">
        <v>0</v>
      </c>
      <c r="N358" s="36"/>
      <c r="O358" s="36">
        <v>0</v>
      </c>
      <c r="P358" s="36"/>
      <c r="Q358" s="36">
        <v>131933.46</v>
      </c>
      <c r="R358" s="36"/>
      <c r="S358" s="36">
        <v>0</v>
      </c>
      <c r="T358" s="36"/>
      <c r="U358" s="36">
        <v>0</v>
      </c>
      <c r="V358" s="36"/>
      <c r="W358" s="36">
        <v>0</v>
      </c>
      <c r="X358" s="36"/>
      <c r="Y358" s="36">
        <v>10000</v>
      </c>
      <c r="Z358" s="36"/>
      <c r="AA358" s="36">
        <v>0</v>
      </c>
      <c r="AB358" s="36"/>
      <c r="AC358" s="36">
        <v>0</v>
      </c>
      <c r="AD358" s="36"/>
      <c r="AE358" s="36">
        <f t="shared" si="137"/>
        <v>218887.87</v>
      </c>
      <c r="AF358" s="36"/>
      <c r="AG358" s="36">
        <v>91128.97</v>
      </c>
      <c r="AH358" s="36"/>
      <c r="AI358" s="36">
        <v>89574.42</v>
      </c>
      <c r="AJ358" s="36"/>
      <c r="AK358" s="36">
        <v>180703.39</v>
      </c>
      <c r="AL358" s="24">
        <f>+'Gen Rev'!AI357-'Gen Exp'!AE358+'Gen Exp'!AI358-AK358</f>
        <v>0</v>
      </c>
      <c r="AM358" s="44" t="str">
        <f>'Gen Rev'!A357</f>
        <v>Malvern</v>
      </c>
      <c r="AN358" s="21" t="str">
        <f t="shared" si="132"/>
        <v>Malvern</v>
      </c>
      <c r="AO358" s="21" t="b">
        <f t="shared" si="133"/>
        <v>1</v>
      </c>
    </row>
    <row r="359" spans="1:41" ht="12.75">
      <c r="A359" s="1" t="s">
        <v>932</v>
      </c>
      <c r="C359" s="1" t="s">
        <v>662</v>
      </c>
      <c r="D359" s="23"/>
      <c r="E359" s="36">
        <v>1226.78</v>
      </c>
      <c r="F359" s="36"/>
      <c r="G359" s="36">
        <v>0</v>
      </c>
      <c r="H359" s="36"/>
      <c r="I359" s="36">
        <v>0</v>
      </c>
      <c r="J359" s="36"/>
      <c r="K359" s="36">
        <v>2550</v>
      </c>
      <c r="L359" s="36"/>
      <c r="M359" s="36">
        <v>0</v>
      </c>
      <c r="N359" s="36"/>
      <c r="O359" s="36">
        <v>0</v>
      </c>
      <c r="P359" s="36"/>
      <c r="Q359" s="36">
        <v>100577.29</v>
      </c>
      <c r="R359" s="36"/>
      <c r="S359" s="36">
        <v>0</v>
      </c>
      <c r="T359" s="36"/>
      <c r="U359" s="36">
        <v>0</v>
      </c>
      <c r="V359" s="36"/>
      <c r="W359" s="36">
        <v>0</v>
      </c>
      <c r="X359" s="36"/>
      <c r="Y359" s="36">
        <v>118000</v>
      </c>
      <c r="Z359" s="36"/>
      <c r="AA359" s="36">
        <v>0</v>
      </c>
      <c r="AB359" s="36"/>
      <c r="AC359" s="36">
        <v>0</v>
      </c>
      <c r="AD359" s="36"/>
      <c r="AE359" s="36">
        <f t="shared" si="137"/>
        <v>222354.07</v>
      </c>
      <c r="AF359" s="36"/>
      <c r="AG359" s="36">
        <v>56094.52</v>
      </c>
      <c r="AH359" s="36"/>
      <c r="AI359" s="36">
        <v>15083.52</v>
      </c>
      <c r="AJ359" s="36"/>
      <c r="AK359" s="36">
        <v>71178.04</v>
      </c>
      <c r="AL359" s="24">
        <f>+'Gen Rev'!AI358-'Gen Exp'!AE359+'Gen Exp'!AI359-AK359</f>
        <v>0</v>
      </c>
      <c r="AM359" s="44" t="str">
        <f>'Gen Rev'!A358</f>
        <v>Manchester</v>
      </c>
      <c r="AN359" s="21" t="str">
        <f t="shared" si="132"/>
        <v>Manchester</v>
      </c>
      <c r="AO359" s="21" t="b">
        <f t="shared" si="133"/>
        <v>1</v>
      </c>
    </row>
    <row r="360" spans="1:41" s="10" customFormat="1" ht="12.75">
      <c r="A360" s="10" t="s">
        <v>195</v>
      </c>
      <c r="C360" s="10" t="s">
        <v>806</v>
      </c>
      <c r="D360" s="52"/>
      <c r="E360" s="36">
        <v>407153.76</v>
      </c>
      <c r="F360" s="36"/>
      <c r="G360" s="36">
        <v>0</v>
      </c>
      <c r="H360" s="36"/>
      <c r="I360" s="36">
        <v>20813.63</v>
      </c>
      <c r="J360" s="36"/>
      <c r="K360" s="36">
        <v>5723.49</v>
      </c>
      <c r="L360" s="36"/>
      <c r="M360" s="36">
        <v>0</v>
      </c>
      <c r="N360" s="36"/>
      <c r="O360" s="36">
        <v>13553.73</v>
      </c>
      <c r="P360" s="36"/>
      <c r="Q360" s="36">
        <v>199134.05</v>
      </c>
      <c r="R360" s="36"/>
      <c r="S360" s="36">
        <v>0</v>
      </c>
      <c r="T360" s="36"/>
      <c r="U360" s="36">
        <v>17307</v>
      </c>
      <c r="V360" s="36"/>
      <c r="W360" s="36">
        <v>524</v>
      </c>
      <c r="X360" s="36"/>
      <c r="Y360" s="36">
        <v>0</v>
      </c>
      <c r="Z360" s="36"/>
      <c r="AA360" s="36">
        <v>8000</v>
      </c>
      <c r="AB360" s="36"/>
      <c r="AC360" s="36">
        <v>170.83</v>
      </c>
      <c r="AD360" s="36"/>
      <c r="AE360" s="36">
        <f t="shared" si="137"/>
        <v>672380.4899999999</v>
      </c>
      <c r="AF360" s="36"/>
      <c r="AG360" s="36">
        <v>30621.82</v>
      </c>
      <c r="AH360" s="36"/>
      <c r="AI360" s="36">
        <v>1938.38</v>
      </c>
      <c r="AJ360" s="36"/>
      <c r="AK360" s="36">
        <v>32560.2</v>
      </c>
      <c r="AL360" s="24">
        <f>+'Gen Rev'!AI359-'Gen Exp'!AE360+'Gen Exp'!AI360-AK360</f>
        <v>1.8189894035458565E-10</v>
      </c>
      <c r="AM360" s="44" t="str">
        <f>'Gen Rev'!A359</f>
        <v>Mantua</v>
      </c>
      <c r="AN360" s="21" t="str">
        <f t="shared" si="132"/>
        <v>Mantua</v>
      </c>
      <c r="AO360" s="21" t="b">
        <f t="shared" si="133"/>
        <v>1</v>
      </c>
    </row>
    <row r="361" spans="1:41" s="21" customFormat="1" ht="12.75">
      <c r="A361" s="1" t="s">
        <v>73</v>
      </c>
      <c r="B361" s="1"/>
      <c r="C361" s="1" t="s">
        <v>768</v>
      </c>
      <c r="D361" s="23"/>
      <c r="E361" s="95">
        <v>407596.7</v>
      </c>
      <c r="F361" s="95"/>
      <c r="G361" s="95">
        <v>8704.59</v>
      </c>
      <c r="H361" s="95"/>
      <c r="I361" s="95">
        <v>81524.37</v>
      </c>
      <c r="J361" s="95"/>
      <c r="K361" s="95">
        <v>738</v>
      </c>
      <c r="L361" s="95"/>
      <c r="M361" s="95">
        <v>91796.06</v>
      </c>
      <c r="N361" s="95"/>
      <c r="O361" s="95">
        <v>495</v>
      </c>
      <c r="P361" s="95"/>
      <c r="Q361" s="95">
        <v>288287.54</v>
      </c>
      <c r="R361" s="95"/>
      <c r="S361" s="95">
        <v>26444.44</v>
      </c>
      <c r="T361" s="95"/>
      <c r="U361" s="95">
        <v>0</v>
      </c>
      <c r="V361" s="95"/>
      <c r="W361" s="95">
        <v>0</v>
      </c>
      <c r="X361" s="95"/>
      <c r="Y361" s="95">
        <v>162889.95</v>
      </c>
      <c r="Z361" s="95"/>
      <c r="AA361" s="95">
        <v>0</v>
      </c>
      <c r="AB361" s="95"/>
      <c r="AC361" s="95">
        <v>0</v>
      </c>
      <c r="AD361" s="95"/>
      <c r="AE361" s="95">
        <f aca="true" t="shared" si="138" ref="AE361">SUM(E361:AC361)</f>
        <v>1068476.65</v>
      </c>
      <c r="AF361" s="95"/>
      <c r="AG361" s="95">
        <v>-118871.07</v>
      </c>
      <c r="AH361" s="95"/>
      <c r="AI361" s="95">
        <v>2094911.16</v>
      </c>
      <c r="AJ361" s="95"/>
      <c r="AK361" s="95">
        <v>1976040.09</v>
      </c>
      <c r="AL361" s="24">
        <f>+'Gen Rev'!AI360-'Gen Exp'!AE361+'Gen Exp'!AI361-AK361</f>
        <v>0</v>
      </c>
      <c r="AM361" s="44" t="str">
        <f>'Gen Rev'!A360</f>
        <v>Marble Cliff</v>
      </c>
      <c r="AN361" s="21" t="str">
        <f t="shared" si="132"/>
        <v>Marble Cliff</v>
      </c>
      <c r="AO361" s="21" t="b">
        <f t="shared" si="133"/>
        <v>1</v>
      </c>
    </row>
    <row r="362" spans="1:41" ht="12.75">
      <c r="A362" s="1" t="s">
        <v>841</v>
      </c>
      <c r="C362" s="1" t="s">
        <v>802</v>
      </c>
      <c r="D362" s="23"/>
      <c r="E362" s="36">
        <v>245545.64</v>
      </c>
      <c r="F362" s="36"/>
      <c r="G362" s="36">
        <v>17842.48</v>
      </c>
      <c r="H362" s="36"/>
      <c r="I362" s="36">
        <v>23476.75</v>
      </c>
      <c r="J362" s="36"/>
      <c r="K362" s="36">
        <v>0</v>
      </c>
      <c r="L362" s="36"/>
      <c r="M362" s="36">
        <v>0</v>
      </c>
      <c r="N362" s="36"/>
      <c r="O362" s="36">
        <v>32981.08</v>
      </c>
      <c r="P362" s="36"/>
      <c r="Q362" s="36">
        <v>107270.04</v>
      </c>
      <c r="R362" s="36"/>
      <c r="S362" s="36">
        <v>0</v>
      </c>
      <c r="T362" s="36"/>
      <c r="U362" s="36">
        <v>0</v>
      </c>
      <c r="V362" s="36"/>
      <c r="W362" s="36">
        <v>0</v>
      </c>
      <c r="X362" s="36"/>
      <c r="Y362" s="36">
        <v>42137</v>
      </c>
      <c r="Z362" s="36"/>
      <c r="AA362" s="36">
        <v>13480</v>
      </c>
      <c r="AB362" s="36"/>
      <c r="AC362" s="36">
        <v>1432.62</v>
      </c>
      <c r="AD362" s="36"/>
      <c r="AE362" s="36">
        <f aca="true" t="shared" si="139" ref="AE362:AE363">SUM(E362:AC362)</f>
        <v>484165.61</v>
      </c>
      <c r="AF362" s="36"/>
      <c r="AG362" s="36">
        <v>257923.93</v>
      </c>
      <c r="AH362" s="36"/>
      <c r="AI362" s="36">
        <v>1207913.07</v>
      </c>
      <c r="AJ362" s="36"/>
      <c r="AK362" s="36">
        <v>1465837</v>
      </c>
      <c r="AL362" s="24">
        <f>+'Gen Rev'!AI361-'Gen Exp'!AE362+'Gen Exp'!AI362-AK362</f>
        <v>0</v>
      </c>
      <c r="AM362" s="44" t="str">
        <f>'Gen Rev'!A361</f>
        <v>Marblehead</v>
      </c>
      <c r="AN362" s="21" t="str">
        <f t="shared" si="132"/>
        <v>Marblehead</v>
      </c>
      <c r="AO362" s="21" t="b">
        <f t="shared" si="133"/>
        <v>1</v>
      </c>
    </row>
    <row r="363" spans="1:41" s="21" customFormat="1" ht="12.75">
      <c r="A363" s="1" t="s">
        <v>173</v>
      </c>
      <c r="B363" s="1"/>
      <c r="C363" s="1" t="s">
        <v>243</v>
      </c>
      <c r="D363" s="1"/>
      <c r="E363" s="36">
        <v>0</v>
      </c>
      <c r="F363" s="36"/>
      <c r="G363" s="36">
        <v>0</v>
      </c>
      <c r="H363" s="36"/>
      <c r="I363" s="36">
        <v>0</v>
      </c>
      <c r="J363" s="36"/>
      <c r="K363" s="36">
        <v>0</v>
      </c>
      <c r="L363" s="36"/>
      <c r="M363" s="36">
        <v>0</v>
      </c>
      <c r="N363" s="36"/>
      <c r="O363" s="36">
        <v>0</v>
      </c>
      <c r="P363" s="36"/>
      <c r="Q363" s="36">
        <v>20945.82</v>
      </c>
      <c r="R363" s="36"/>
      <c r="S363" s="36">
        <v>0</v>
      </c>
      <c r="T363" s="36"/>
      <c r="U363" s="36">
        <v>0</v>
      </c>
      <c r="V363" s="36"/>
      <c r="W363" s="36">
        <v>0</v>
      </c>
      <c r="X363" s="36"/>
      <c r="Y363" s="36">
        <v>0</v>
      </c>
      <c r="Z363" s="36"/>
      <c r="AA363" s="36">
        <v>0</v>
      </c>
      <c r="AB363" s="36"/>
      <c r="AC363" s="36">
        <v>0</v>
      </c>
      <c r="AD363" s="36"/>
      <c r="AE363" s="36">
        <f t="shared" si="139"/>
        <v>20945.82</v>
      </c>
      <c r="AF363" s="36"/>
      <c r="AG363" s="36">
        <v>6521.89</v>
      </c>
      <c r="AH363" s="36"/>
      <c r="AI363" s="36">
        <v>59512.03</v>
      </c>
      <c r="AJ363" s="36"/>
      <c r="AK363" s="36">
        <v>66033.92</v>
      </c>
      <c r="AL363" s="24">
        <f>+'Gen Rev'!AI362-'Gen Exp'!AE363+'Gen Exp'!AI363-AK363</f>
        <v>0</v>
      </c>
      <c r="AM363" s="44" t="str">
        <f>'Gen Rev'!A362</f>
        <v>Marengo</v>
      </c>
      <c r="AN363" s="21" t="str">
        <f t="shared" si="132"/>
        <v>Marengo</v>
      </c>
      <c r="AO363" s="21" t="b">
        <f t="shared" si="133"/>
        <v>1</v>
      </c>
    </row>
    <row r="364" spans="1:41" s="21" customFormat="1" ht="12.75">
      <c r="A364" s="1" t="s">
        <v>384</v>
      </c>
      <c r="B364" s="1"/>
      <c r="C364" s="1" t="s">
        <v>378</v>
      </c>
      <c r="D364" s="1"/>
      <c r="E364" s="83">
        <v>1474683</v>
      </c>
      <c r="F364" s="83"/>
      <c r="G364" s="83">
        <v>7417</v>
      </c>
      <c r="H364" s="83"/>
      <c r="I364" s="83">
        <v>596981</v>
      </c>
      <c r="J364" s="83"/>
      <c r="K364" s="83">
        <v>84583</v>
      </c>
      <c r="L364" s="83"/>
      <c r="M364" s="83">
        <v>257163</v>
      </c>
      <c r="N364" s="83"/>
      <c r="O364" s="83">
        <v>15423</v>
      </c>
      <c r="P364" s="83"/>
      <c r="Q364" s="83">
        <v>577196</v>
      </c>
      <c r="R364" s="83"/>
      <c r="S364" s="83">
        <v>0</v>
      </c>
      <c r="T364" s="83"/>
      <c r="U364" s="83">
        <v>0</v>
      </c>
      <c r="V364" s="83"/>
      <c r="W364" s="83">
        <v>0</v>
      </c>
      <c r="X364" s="83"/>
      <c r="Y364" s="83">
        <v>0</v>
      </c>
      <c r="Z364" s="83"/>
      <c r="AA364" s="83">
        <v>0</v>
      </c>
      <c r="AB364" s="83"/>
      <c r="AC364" s="83">
        <v>0</v>
      </c>
      <c r="AD364" s="83"/>
      <c r="AE364" s="83">
        <f t="shared" si="129"/>
        <v>3013446</v>
      </c>
      <c r="AF364" s="83"/>
      <c r="AG364" s="83">
        <v>77915</v>
      </c>
      <c r="AH364" s="83"/>
      <c r="AI364" s="83">
        <v>1026525</v>
      </c>
      <c r="AJ364" s="83"/>
      <c r="AK364" s="83">
        <v>1104440</v>
      </c>
      <c r="AL364" s="24">
        <f>+'Gen Rev'!AI363-'Gen Exp'!AE364+'Gen Exp'!AI364-AK364</f>
        <v>0</v>
      </c>
      <c r="AM364" s="44" t="str">
        <f>'Gen Rev'!A363</f>
        <v>Mariemont</v>
      </c>
      <c r="AN364" s="21" t="str">
        <f t="shared" si="132"/>
        <v>Mariemont</v>
      </c>
      <c r="AO364" s="21" t="b">
        <f t="shared" si="133"/>
        <v>1</v>
      </c>
    </row>
    <row r="365" spans="1:41" ht="12.75" hidden="1">
      <c r="A365" s="1" t="s">
        <v>588</v>
      </c>
      <c r="C365" s="1" t="s">
        <v>587</v>
      </c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>
        <f t="shared" si="129"/>
        <v>0</v>
      </c>
      <c r="AF365" s="83"/>
      <c r="AG365" s="83"/>
      <c r="AH365" s="83"/>
      <c r="AI365" s="83"/>
      <c r="AJ365" s="83"/>
      <c r="AK365" s="83"/>
      <c r="AL365" s="24">
        <f>+'Gen Rev'!AI364-'Gen Exp'!AE365+'Gen Exp'!AI365-AK365</f>
        <v>0</v>
      </c>
      <c r="AM365" s="44" t="str">
        <f>'Gen Rev'!A364</f>
        <v>Marksburg</v>
      </c>
      <c r="AN365" s="21" t="str">
        <f t="shared" si="132"/>
        <v>Marksburg</v>
      </c>
      <c r="AO365" s="21" t="b">
        <f t="shared" si="133"/>
        <v>1</v>
      </c>
    </row>
    <row r="366" spans="1:41" ht="12.75">
      <c r="A366" s="1" t="s">
        <v>683</v>
      </c>
      <c r="C366" s="1" t="s">
        <v>590</v>
      </c>
      <c r="E366" s="83">
        <v>59189.97</v>
      </c>
      <c r="F366" s="83"/>
      <c r="G366" s="83">
        <v>1856.68</v>
      </c>
      <c r="H366" s="83"/>
      <c r="I366" s="83">
        <v>12862.27</v>
      </c>
      <c r="J366" s="83"/>
      <c r="K366" s="83">
        <v>0</v>
      </c>
      <c r="L366" s="83"/>
      <c r="M366" s="83">
        <v>0</v>
      </c>
      <c r="N366" s="83"/>
      <c r="O366" s="83">
        <v>168.17</v>
      </c>
      <c r="P366" s="83"/>
      <c r="Q366" s="83">
        <v>68426.06</v>
      </c>
      <c r="R366" s="83"/>
      <c r="S366" s="83">
        <v>0</v>
      </c>
      <c r="T366" s="83"/>
      <c r="U366" s="83">
        <v>0</v>
      </c>
      <c r="V366" s="83"/>
      <c r="W366" s="83">
        <v>0</v>
      </c>
      <c r="X366" s="83"/>
      <c r="Y366" s="83">
        <v>54000</v>
      </c>
      <c r="Z366" s="83"/>
      <c r="AA366" s="83">
        <v>0</v>
      </c>
      <c r="AB366" s="83"/>
      <c r="AC366" s="83">
        <v>513.11</v>
      </c>
      <c r="AD366" s="83"/>
      <c r="AE366" s="83">
        <f t="shared" si="129"/>
        <v>197016.25999999998</v>
      </c>
      <c r="AF366" s="83"/>
      <c r="AG366" s="83">
        <v>-18915.35</v>
      </c>
      <c r="AH366" s="83"/>
      <c r="AI366" s="83">
        <v>31087.59</v>
      </c>
      <c r="AJ366" s="83"/>
      <c r="AK366" s="83">
        <v>12172.24</v>
      </c>
      <c r="AL366" s="24">
        <f>+'Gen Rev'!AI365-'Gen Exp'!AE366+'Gen Exp'!AI366-AK366</f>
        <v>0</v>
      </c>
      <c r="AM366" s="44" t="str">
        <f>'Gen Rev'!A365</f>
        <v>Marshallville</v>
      </c>
      <c r="AN366" s="21" t="str">
        <f t="shared" si="132"/>
        <v>Marshallville</v>
      </c>
      <c r="AO366" s="21" t="b">
        <f t="shared" si="133"/>
        <v>1</v>
      </c>
    </row>
    <row r="367" spans="1:41" s="21" customFormat="1" ht="12.75">
      <c r="A367" s="1" t="s">
        <v>123</v>
      </c>
      <c r="B367" s="1"/>
      <c r="C367" s="1" t="s">
        <v>782</v>
      </c>
      <c r="D367" s="23"/>
      <c r="E367" s="36">
        <v>220</v>
      </c>
      <c r="F367" s="36"/>
      <c r="G367" s="36">
        <v>2120.3</v>
      </c>
      <c r="H367" s="36"/>
      <c r="I367" s="36">
        <v>423.49</v>
      </c>
      <c r="J367" s="36"/>
      <c r="K367" s="36">
        <v>0</v>
      </c>
      <c r="L367" s="36"/>
      <c r="M367" s="36">
        <v>0</v>
      </c>
      <c r="N367" s="36"/>
      <c r="O367" s="36">
        <v>0</v>
      </c>
      <c r="P367" s="36"/>
      <c r="Q367" s="36">
        <v>18731.27</v>
      </c>
      <c r="R367" s="36"/>
      <c r="S367" s="36">
        <v>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f aca="true" t="shared" si="140" ref="AE367:AE369">SUM(E367:AC367)</f>
        <v>21495.06</v>
      </c>
      <c r="AF367" s="36"/>
      <c r="AG367" s="36">
        <v>3733.85</v>
      </c>
      <c r="AH367" s="36"/>
      <c r="AI367" s="36">
        <v>4267.15</v>
      </c>
      <c r="AJ367" s="36"/>
      <c r="AK367" s="36">
        <v>8001</v>
      </c>
      <c r="AL367" s="24">
        <f>+'Gen Rev'!AI366-'Gen Exp'!AE367+'Gen Exp'!AI367-AK367</f>
        <v>0</v>
      </c>
      <c r="AM367" s="44" t="str">
        <f>'Gen Rev'!A366</f>
        <v>Martinsburg</v>
      </c>
      <c r="AN367" s="21" t="str">
        <f t="shared" si="132"/>
        <v>Martinsburg</v>
      </c>
      <c r="AO367" s="21" t="b">
        <f t="shared" si="133"/>
        <v>1</v>
      </c>
    </row>
    <row r="368" spans="1:41" s="21" customFormat="1" ht="12.6" customHeight="1">
      <c r="A368" s="1" t="s">
        <v>301</v>
      </c>
      <c r="B368" s="1"/>
      <c r="C368" s="1" t="s">
        <v>299</v>
      </c>
      <c r="D368" s="1"/>
      <c r="E368" s="36">
        <v>0</v>
      </c>
      <c r="F368" s="36"/>
      <c r="G368" s="36">
        <v>0</v>
      </c>
      <c r="H368" s="36"/>
      <c r="I368" s="36">
        <v>0</v>
      </c>
      <c r="J368" s="36"/>
      <c r="K368" s="36">
        <v>0</v>
      </c>
      <c r="L368" s="36"/>
      <c r="M368" s="36">
        <v>0</v>
      </c>
      <c r="N368" s="36"/>
      <c r="O368" s="36">
        <v>0</v>
      </c>
      <c r="P368" s="36"/>
      <c r="Q368" s="36">
        <v>35074.84</v>
      </c>
      <c r="R368" s="36"/>
      <c r="S368" s="36">
        <v>0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f t="shared" si="140"/>
        <v>35074.84</v>
      </c>
      <c r="AF368" s="36"/>
      <c r="AG368" s="36">
        <v>-4458.6</v>
      </c>
      <c r="AH368" s="36"/>
      <c r="AI368" s="36">
        <v>14170.92</v>
      </c>
      <c r="AJ368" s="36"/>
      <c r="AK368" s="36">
        <v>9712.32</v>
      </c>
      <c r="AL368" s="24">
        <f>+'Gen Rev'!AI367-'Gen Exp'!AE368+'Gen Exp'!AI368-AK368</f>
        <v>0</v>
      </c>
      <c r="AM368" s="44" t="str">
        <f>'Gen Rev'!A367</f>
        <v>Martinsville</v>
      </c>
      <c r="AN368" s="21" t="str">
        <f t="shared" si="132"/>
        <v>Martinsville</v>
      </c>
      <c r="AO368" s="21" t="b">
        <f t="shared" si="133"/>
        <v>1</v>
      </c>
    </row>
    <row r="369" spans="1:41" ht="12.75">
      <c r="A369" s="1" t="s">
        <v>247</v>
      </c>
      <c r="C369" s="1" t="s">
        <v>822</v>
      </c>
      <c r="D369" s="23"/>
      <c r="E369" s="36">
        <v>44838.15</v>
      </c>
      <c r="F369" s="36"/>
      <c r="G369" s="36">
        <v>1989.06</v>
      </c>
      <c r="H369" s="36"/>
      <c r="I369" s="36">
        <v>9258.2</v>
      </c>
      <c r="J369" s="36"/>
      <c r="K369" s="36">
        <v>0</v>
      </c>
      <c r="L369" s="36"/>
      <c r="M369" s="36">
        <v>11940.93</v>
      </c>
      <c r="N369" s="36"/>
      <c r="O369" s="36">
        <v>0</v>
      </c>
      <c r="P369" s="36"/>
      <c r="Q369" s="36">
        <v>46343.24</v>
      </c>
      <c r="R369" s="36"/>
      <c r="S369" s="36">
        <v>822.76</v>
      </c>
      <c r="T369" s="36"/>
      <c r="U369" s="36">
        <v>0</v>
      </c>
      <c r="V369" s="36"/>
      <c r="W369" s="36">
        <v>0</v>
      </c>
      <c r="X369" s="36"/>
      <c r="Y369" s="36">
        <v>0</v>
      </c>
      <c r="Z369" s="36"/>
      <c r="AA369" s="36">
        <v>0</v>
      </c>
      <c r="AB369" s="36"/>
      <c r="AC369" s="36">
        <v>0</v>
      </c>
      <c r="AD369" s="36"/>
      <c r="AE369" s="36">
        <f t="shared" si="140"/>
        <v>115192.33999999998</v>
      </c>
      <c r="AF369" s="36"/>
      <c r="AG369" s="36">
        <v>-20653.18</v>
      </c>
      <c r="AH369" s="36"/>
      <c r="AI369" s="36">
        <v>43339.62</v>
      </c>
      <c r="AJ369" s="36"/>
      <c r="AK369" s="36">
        <v>22686.44</v>
      </c>
      <c r="AL369" s="24">
        <f>+'Gen Rev'!AI368-'Gen Exp'!AE369+'Gen Exp'!AI369-AK369</f>
        <v>0</v>
      </c>
      <c r="AM369" s="44" t="str">
        <f>'Gen Rev'!A368</f>
        <v>Matamoras</v>
      </c>
      <c r="AN369" s="21" t="str">
        <f t="shared" si="132"/>
        <v>Matamoras</v>
      </c>
      <c r="AO369" s="21" t="b">
        <f t="shared" si="133"/>
        <v>1</v>
      </c>
    </row>
    <row r="370" spans="1:41" s="31" customFormat="1" ht="12.6" customHeight="1">
      <c r="A370" s="15" t="s">
        <v>322</v>
      </c>
      <c r="B370" s="15"/>
      <c r="C370" s="15" t="s">
        <v>316</v>
      </c>
      <c r="D370" s="15"/>
      <c r="E370" s="83">
        <v>5238616</v>
      </c>
      <c r="F370" s="85"/>
      <c r="G370" s="83">
        <v>12982</v>
      </c>
      <c r="H370" s="85"/>
      <c r="I370" s="83">
        <v>918964</v>
      </c>
      <c r="J370" s="85"/>
      <c r="K370" s="83">
        <v>372690</v>
      </c>
      <c r="L370" s="85"/>
      <c r="M370" s="83">
        <v>223284</v>
      </c>
      <c r="N370" s="85"/>
      <c r="O370" s="83">
        <v>1952946</v>
      </c>
      <c r="P370" s="85"/>
      <c r="Q370" s="83">
        <v>2353423</v>
      </c>
      <c r="R370" s="83"/>
      <c r="S370" s="83">
        <v>461175</v>
      </c>
      <c r="T370" s="85"/>
      <c r="U370" s="83">
        <v>0</v>
      </c>
      <c r="V370" s="85"/>
      <c r="W370" s="83">
        <v>0</v>
      </c>
      <c r="X370" s="85"/>
      <c r="Y370" s="83">
        <v>1663000</v>
      </c>
      <c r="Z370" s="85"/>
      <c r="AA370" s="83">
        <v>0</v>
      </c>
      <c r="AB370" s="85"/>
      <c r="AC370" s="83">
        <v>0</v>
      </c>
      <c r="AD370" s="85"/>
      <c r="AE370" s="83">
        <f t="shared" si="129"/>
        <v>13197080</v>
      </c>
      <c r="AF370" s="85"/>
      <c r="AG370" s="41">
        <v>4159442</v>
      </c>
      <c r="AH370" s="41"/>
      <c r="AI370" s="41">
        <v>3240682</v>
      </c>
      <c r="AJ370" s="41"/>
      <c r="AK370" s="41">
        <v>7400124</v>
      </c>
      <c r="AL370" s="24">
        <f>+'Gen Rev'!AI369-'Gen Exp'!AE370+'Gen Exp'!AI370-AK370</f>
        <v>0</v>
      </c>
      <c r="AM370" s="44" t="str">
        <f>'Gen Rev'!A369</f>
        <v>Mayfield</v>
      </c>
      <c r="AN370" s="21" t="str">
        <f t="shared" si="132"/>
        <v>Mayfield</v>
      </c>
      <c r="AO370" s="21" t="b">
        <f t="shared" si="133"/>
        <v>1</v>
      </c>
    </row>
    <row r="371" spans="1:41" s="10" customFormat="1" ht="12.75">
      <c r="A371" s="24" t="s">
        <v>302</v>
      </c>
      <c r="B371" s="24"/>
      <c r="C371" s="10" t="s">
        <v>82</v>
      </c>
      <c r="E371" s="36">
        <v>43964.41</v>
      </c>
      <c r="F371" s="36"/>
      <c r="G371" s="36">
        <v>540.06</v>
      </c>
      <c r="H371" s="36"/>
      <c r="I371" s="36">
        <v>0</v>
      </c>
      <c r="J371" s="36"/>
      <c r="K371" s="36">
        <v>0</v>
      </c>
      <c r="L371" s="36"/>
      <c r="M371" s="36">
        <v>0</v>
      </c>
      <c r="N371" s="36"/>
      <c r="O371" s="36">
        <v>0</v>
      </c>
      <c r="P371" s="36"/>
      <c r="Q371" s="36">
        <v>131912.54</v>
      </c>
      <c r="R371" s="36"/>
      <c r="S371" s="36">
        <v>0</v>
      </c>
      <c r="T371" s="36"/>
      <c r="U371" s="36">
        <v>66532.92</v>
      </c>
      <c r="V371" s="36"/>
      <c r="W371" s="36">
        <v>2363.08</v>
      </c>
      <c r="X371" s="36"/>
      <c r="Y371" s="36">
        <v>0</v>
      </c>
      <c r="Z371" s="36"/>
      <c r="AA371" s="36">
        <v>0</v>
      </c>
      <c r="AB371" s="36"/>
      <c r="AC371" s="36">
        <v>160</v>
      </c>
      <c r="AD371" s="36"/>
      <c r="AE371" s="36">
        <f aca="true" t="shared" si="141" ref="AE371:AE372">SUM(E371:AC371)</f>
        <v>245473.00999999998</v>
      </c>
      <c r="AF371" s="36"/>
      <c r="AG371" s="36">
        <v>14592.05</v>
      </c>
      <c r="AH371" s="36"/>
      <c r="AI371" s="36">
        <v>94148.69</v>
      </c>
      <c r="AJ371" s="36"/>
      <c r="AK371" s="36">
        <v>108740.74</v>
      </c>
      <c r="AL371" s="24">
        <f>+'Gen Rev'!AI370-'Gen Exp'!AE371+'Gen Exp'!AI371-AK371</f>
        <v>0</v>
      </c>
      <c r="AM371" s="44" t="str">
        <f>'Gen Rev'!A370</f>
        <v>McArthur</v>
      </c>
      <c r="AN371" s="21" t="str">
        <f t="shared" si="132"/>
        <v>McArthur</v>
      </c>
      <c r="AO371" s="21" t="b">
        <f t="shared" si="133"/>
        <v>1</v>
      </c>
    </row>
    <row r="372" spans="1:41" ht="12.75">
      <c r="A372" s="1" t="s">
        <v>108</v>
      </c>
      <c r="C372" s="1" t="s">
        <v>777</v>
      </c>
      <c r="D372" s="23"/>
      <c r="E372" s="36">
        <v>11332.41</v>
      </c>
      <c r="F372" s="36"/>
      <c r="G372" s="36">
        <v>0</v>
      </c>
      <c r="H372" s="36"/>
      <c r="I372" s="36">
        <v>2281.31</v>
      </c>
      <c r="J372" s="36"/>
      <c r="K372" s="36">
        <v>62.56</v>
      </c>
      <c r="L372" s="36"/>
      <c r="M372" s="36">
        <v>0</v>
      </c>
      <c r="N372" s="36"/>
      <c r="O372" s="36">
        <v>0</v>
      </c>
      <c r="P372" s="36"/>
      <c r="Q372" s="36">
        <v>86956.42</v>
      </c>
      <c r="R372" s="36"/>
      <c r="S372" s="36">
        <v>0</v>
      </c>
      <c r="T372" s="36"/>
      <c r="U372" s="36">
        <v>4218.54</v>
      </c>
      <c r="V372" s="36"/>
      <c r="W372" s="36">
        <v>4926.74</v>
      </c>
      <c r="X372" s="36"/>
      <c r="Y372" s="36">
        <v>67187.88</v>
      </c>
      <c r="Z372" s="36"/>
      <c r="AA372" s="36">
        <v>0</v>
      </c>
      <c r="AB372" s="36"/>
      <c r="AC372" s="36">
        <v>0</v>
      </c>
      <c r="AD372" s="36"/>
      <c r="AE372" s="36">
        <f t="shared" si="141"/>
        <v>176965.86</v>
      </c>
      <c r="AF372" s="36"/>
      <c r="AG372" s="36">
        <v>18583.62</v>
      </c>
      <c r="AH372" s="36"/>
      <c r="AI372" s="36">
        <v>-488.57</v>
      </c>
      <c r="AJ372" s="36"/>
      <c r="AK372" s="36">
        <v>18095.05</v>
      </c>
      <c r="AL372" s="24">
        <f>+'Gen Rev'!AI371-'Gen Exp'!AE372+'Gen Exp'!AI372-AK372</f>
        <v>0</v>
      </c>
      <c r="AM372" s="44" t="str">
        <f>'Gen Rev'!A371</f>
        <v>Mcclure</v>
      </c>
      <c r="AN372" s="21" t="str">
        <f t="shared" si="132"/>
        <v>Mcclure</v>
      </c>
      <c r="AO372" s="21" t="b">
        <f t="shared" si="133"/>
        <v>1</v>
      </c>
    </row>
    <row r="373" spans="1:41" s="21" customFormat="1" ht="12.75">
      <c r="A373" s="1" t="s">
        <v>389</v>
      </c>
      <c r="B373" s="1"/>
      <c r="C373" s="1" t="s">
        <v>388</v>
      </c>
      <c r="D373" s="1"/>
      <c r="E373" s="83">
        <v>233043</v>
      </c>
      <c r="F373" s="83"/>
      <c r="G373" s="83">
        <v>51116</v>
      </c>
      <c r="H373" s="83"/>
      <c r="I373" s="83">
        <v>91023</v>
      </c>
      <c r="J373" s="83"/>
      <c r="K373" s="83">
        <v>12644</v>
      </c>
      <c r="L373" s="83"/>
      <c r="M373" s="83">
        <v>1710</v>
      </c>
      <c r="N373" s="83"/>
      <c r="O373" s="83">
        <v>249774</v>
      </c>
      <c r="P373" s="83"/>
      <c r="Q373" s="83">
        <v>341451</v>
      </c>
      <c r="R373" s="83"/>
      <c r="S373" s="83">
        <v>78168</v>
      </c>
      <c r="T373" s="83"/>
      <c r="U373" s="83">
        <v>40889</v>
      </c>
      <c r="V373" s="83"/>
      <c r="W373" s="83">
        <v>24242</v>
      </c>
      <c r="X373" s="83"/>
      <c r="Y373" s="83">
        <v>20457</v>
      </c>
      <c r="Z373" s="83"/>
      <c r="AA373" s="83">
        <v>0</v>
      </c>
      <c r="AB373" s="83"/>
      <c r="AC373" s="83">
        <v>0</v>
      </c>
      <c r="AD373" s="83"/>
      <c r="AE373" s="83">
        <f t="shared" si="129"/>
        <v>1144517</v>
      </c>
      <c r="AF373" s="83"/>
      <c r="AG373" s="83">
        <v>105478</v>
      </c>
      <c r="AH373" s="83"/>
      <c r="AI373" s="83">
        <v>751655</v>
      </c>
      <c r="AJ373" s="83"/>
      <c r="AK373" s="83">
        <v>646177</v>
      </c>
      <c r="AL373" s="24">
        <f>+'Gen Rev'!AI372-'Gen Exp'!AE373+'Gen Exp'!AI373-AK373</f>
        <v>0</v>
      </c>
      <c r="AM373" s="44" t="str">
        <f>'Gen Rev'!A372</f>
        <v>McComb</v>
      </c>
      <c r="AN373" s="21" t="str">
        <f t="shared" si="132"/>
        <v>McComb</v>
      </c>
      <c r="AO373" s="21" t="b">
        <f t="shared" si="133"/>
        <v>1</v>
      </c>
    </row>
    <row r="374" spans="1:41" ht="12.75">
      <c r="A374" s="1" t="s">
        <v>168</v>
      </c>
      <c r="C374" s="1" t="s">
        <v>798</v>
      </c>
      <c r="D374" s="23"/>
      <c r="E374" s="36">
        <v>314331.29</v>
      </c>
      <c r="F374" s="36"/>
      <c r="G374" s="36">
        <v>10042.54</v>
      </c>
      <c r="H374" s="36"/>
      <c r="I374" s="36">
        <v>58267.36</v>
      </c>
      <c r="J374" s="36"/>
      <c r="K374" s="36">
        <v>0</v>
      </c>
      <c r="L374" s="36"/>
      <c r="M374" s="36">
        <v>0</v>
      </c>
      <c r="N374" s="36"/>
      <c r="O374" s="36">
        <v>17239.99</v>
      </c>
      <c r="P374" s="36"/>
      <c r="Q374" s="36">
        <v>209573.45</v>
      </c>
      <c r="R374" s="36"/>
      <c r="S374" s="36">
        <v>0</v>
      </c>
      <c r="T374" s="36"/>
      <c r="U374" s="36">
        <v>2192.88</v>
      </c>
      <c r="V374" s="36"/>
      <c r="W374" s="36">
        <v>317.46</v>
      </c>
      <c r="X374" s="36"/>
      <c r="Y374" s="36">
        <v>31750</v>
      </c>
      <c r="Z374" s="36"/>
      <c r="AA374" s="36">
        <v>0</v>
      </c>
      <c r="AB374" s="36"/>
      <c r="AC374" s="36">
        <v>29108.14</v>
      </c>
      <c r="AD374" s="36"/>
      <c r="AE374" s="36">
        <f aca="true" t="shared" si="142" ref="AE374">SUM(E374:AC374)</f>
        <v>672823.1099999999</v>
      </c>
      <c r="AF374" s="36"/>
      <c r="AG374" s="36">
        <v>4195.82</v>
      </c>
      <c r="AH374" s="36"/>
      <c r="AI374" s="36">
        <v>273376.46</v>
      </c>
      <c r="AJ374" s="36"/>
      <c r="AK374" s="36">
        <v>277572.28</v>
      </c>
      <c r="AL374" s="24">
        <f>+'Gen Rev'!AI373-'Gen Exp'!AE374+'Gen Exp'!AI374-AK374</f>
        <v>0</v>
      </c>
      <c r="AM374" s="44" t="str">
        <f>'Gen Rev'!A373</f>
        <v>Mcconnelsville</v>
      </c>
      <c r="AN374" s="21" t="str">
        <f t="shared" si="132"/>
        <v>Mcconnelsville</v>
      </c>
      <c r="AO374" s="21" t="b">
        <f t="shared" si="133"/>
        <v>1</v>
      </c>
    </row>
    <row r="375" spans="1:41" ht="12.75">
      <c r="A375" s="1" t="s">
        <v>560</v>
      </c>
      <c r="C375" s="1" t="s">
        <v>559</v>
      </c>
      <c r="E375" s="83">
        <v>413170</v>
      </c>
      <c r="F375" s="83"/>
      <c r="G375" s="83">
        <v>4339</v>
      </c>
      <c r="H375" s="83"/>
      <c r="I375" s="83">
        <v>20623</v>
      </c>
      <c r="J375" s="83"/>
      <c r="K375" s="83">
        <v>3590</v>
      </c>
      <c r="L375" s="83"/>
      <c r="M375" s="83">
        <v>143425</v>
      </c>
      <c r="N375" s="83"/>
      <c r="O375" s="83">
        <v>1750</v>
      </c>
      <c r="P375" s="83"/>
      <c r="Q375" s="83">
        <v>428806</v>
      </c>
      <c r="R375" s="83"/>
      <c r="S375" s="83">
        <v>0</v>
      </c>
      <c r="T375" s="83"/>
      <c r="U375" s="83">
        <v>0</v>
      </c>
      <c r="V375" s="83"/>
      <c r="W375" s="83">
        <v>0</v>
      </c>
      <c r="X375" s="83"/>
      <c r="Y375" s="83">
        <v>0</v>
      </c>
      <c r="Z375" s="83"/>
      <c r="AA375" s="83">
        <v>0</v>
      </c>
      <c r="AB375" s="83"/>
      <c r="AC375" s="83">
        <v>0</v>
      </c>
      <c r="AD375" s="83"/>
      <c r="AE375" s="83">
        <f t="shared" si="129"/>
        <v>1015703</v>
      </c>
      <c r="AF375" s="83"/>
      <c r="AG375" s="83">
        <v>18779</v>
      </c>
      <c r="AH375" s="83"/>
      <c r="AI375" s="83">
        <v>14674</v>
      </c>
      <c r="AJ375" s="83"/>
      <c r="AK375" s="83">
        <v>33454</v>
      </c>
      <c r="AL375" s="24">
        <f>+'Gen Rev'!AI374-'Gen Exp'!AE375+'Gen Exp'!AI375-AK375</f>
        <v>-2</v>
      </c>
      <c r="AM375" s="44" t="str">
        <f>'Gen Rev'!A374</f>
        <v>McDonald</v>
      </c>
      <c r="AN375" s="21" t="str">
        <f t="shared" si="132"/>
        <v>McDonald</v>
      </c>
      <c r="AO375" s="21" t="b">
        <f t="shared" si="133"/>
        <v>1</v>
      </c>
    </row>
    <row r="376" spans="1:41" ht="12.75">
      <c r="A376" s="1" t="s">
        <v>399</v>
      </c>
      <c r="C376" s="1" t="s">
        <v>396</v>
      </c>
      <c r="E376" s="83">
        <v>44518.34</v>
      </c>
      <c r="F376" s="83"/>
      <c r="G376" s="83">
        <v>1426</v>
      </c>
      <c r="H376" s="83"/>
      <c r="I376" s="83">
        <v>124.71</v>
      </c>
      <c r="J376" s="83"/>
      <c r="K376" s="83">
        <v>0</v>
      </c>
      <c r="L376" s="83"/>
      <c r="M376" s="83">
        <v>1786.47</v>
      </c>
      <c r="N376" s="83"/>
      <c r="O376" s="83">
        <v>1973.84</v>
      </c>
      <c r="P376" s="83"/>
      <c r="Q376" s="83">
        <v>37215.69</v>
      </c>
      <c r="R376" s="83"/>
      <c r="S376" s="83">
        <v>2583</v>
      </c>
      <c r="T376" s="83"/>
      <c r="U376" s="83">
        <v>0</v>
      </c>
      <c r="V376" s="83"/>
      <c r="W376" s="83">
        <v>0</v>
      </c>
      <c r="X376" s="83"/>
      <c r="Y376" s="83">
        <v>0</v>
      </c>
      <c r="Z376" s="83"/>
      <c r="AA376" s="83">
        <v>0</v>
      </c>
      <c r="AB376" s="83"/>
      <c r="AC376" s="83">
        <v>0</v>
      </c>
      <c r="AD376" s="83"/>
      <c r="AE376" s="83">
        <f t="shared" si="129"/>
        <v>89628.04999999999</v>
      </c>
      <c r="AF376" s="83"/>
      <c r="AG376" s="83">
        <v>8423.07</v>
      </c>
      <c r="AH376" s="83"/>
      <c r="AI376" s="83">
        <v>75594.81</v>
      </c>
      <c r="AJ376" s="83"/>
      <c r="AK376" s="83">
        <v>84017.88</v>
      </c>
      <c r="AL376" s="24">
        <f>+'Gen Rev'!AI375-'Gen Exp'!AE376+'Gen Exp'!AI376-AK376</f>
        <v>0</v>
      </c>
      <c r="AM376" s="44" t="str">
        <f>'Gen Rev'!A375</f>
        <v>Mcguffey</v>
      </c>
      <c r="AN376" s="21" t="str">
        <f t="shared" si="132"/>
        <v>Mcguffey</v>
      </c>
      <c r="AO376" s="21" t="b">
        <f t="shared" si="133"/>
        <v>1</v>
      </c>
    </row>
    <row r="377" spans="1:41" ht="12.6" customHeight="1" hidden="1">
      <c r="A377" s="1" t="s">
        <v>286</v>
      </c>
      <c r="C377" s="1" t="s">
        <v>287</v>
      </c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>
        <f t="shared" si="129"/>
        <v>0</v>
      </c>
      <c r="AF377" s="83"/>
      <c r="AG377" s="36"/>
      <c r="AH377" s="36"/>
      <c r="AI377" s="36"/>
      <c r="AJ377" s="36"/>
      <c r="AK377" s="36"/>
      <c r="AL377" s="24">
        <f>+'Gen Rev'!AI376-'Gen Exp'!AE377+'Gen Exp'!AI377-AK377</f>
        <v>0</v>
      </c>
      <c r="AM377" s="44" t="str">
        <f>'Gen Rev'!A376</f>
        <v>Mechanicsburg</v>
      </c>
      <c r="AN377" s="21" t="str">
        <f t="shared" si="132"/>
        <v>Mechanicsburg</v>
      </c>
      <c r="AO377" s="21" t="b">
        <f t="shared" si="133"/>
        <v>1</v>
      </c>
    </row>
    <row r="378" spans="1:41" ht="12.75">
      <c r="A378" s="1" t="s">
        <v>185</v>
      </c>
      <c r="C378" s="1" t="s">
        <v>803</v>
      </c>
      <c r="D378" s="23"/>
      <c r="E378" s="36">
        <v>0</v>
      </c>
      <c r="F378" s="36"/>
      <c r="G378" s="36">
        <v>0</v>
      </c>
      <c r="H378" s="36"/>
      <c r="I378" s="36">
        <v>0</v>
      </c>
      <c r="J378" s="36"/>
      <c r="K378" s="36">
        <v>0</v>
      </c>
      <c r="L378" s="36"/>
      <c r="M378" s="36">
        <v>0</v>
      </c>
      <c r="N378" s="36"/>
      <c r="O378" s="36">
        <v>0</v>
      </c>
      <c r="P378" s="36"/>
      <c r="Q378" s="36">
        <v>22326.04</v>
      </c>
      <c r="R378" s="36"/>
      <c r="S378" s="36">
        <v>0</v>
      </c>
      <c r="T378" s="36"/>
      <c r="U378" s="36">
        <v>1527.34</v>
      </c>
      <c r="V378" s="36"/>
      <c r="W378" s="36">
        <v>189</v>
      </c>
      <c r="X378" s="36"/>
      <c r="Y378" s="36">
        <v>0</v>
      </c>
      <c r="Z378" s="36"/>
      <c r="AA378" s="36">
        <v>0</v>
      </c>
      <c r="AB378" s="36"/>
      <c r="AC378" s="36">
        <v>0</v>
      </c>
      <c r="AD378" s="36"/>
      <c r="AE378" s="36">
        <f aca="true" t="shared" si="143" ref="AE378">SUM(E378:AC378)</f>
        <v>24042.38</v>
      </c>
      <c r="AF378" s="36"/>
      <c r="AG378" s="36">
        <v>15861.28</v>
      </c>
      <c r="AH378" s="36"/>
      <c r="AI378" s="36">
        <v>976.73</v>
      </c>
      <c r="AJ378" s="36"/>
      <c r="AK378" s="36">
        <v>16838.01</v>
      </c>
      <c r="AL378" s="24">
        <f>+'Gen Rev'!AI377-'Gen Exp'!AE378+'Gen Exp'!AI378-AK378</f>
        <v>0</v>
      </c>
      <c r="AM378" s="44" t="str">
        <f>'Gen Rev'!A377</f>
        <v>Melrose</v>
      </c>
      <c r="AN378" s="21" t="str">
        <f t="shared" si="132"/>
        <v>Melrose</v>
      </c>
      <c r="AO378" s="21" t="b">
        <f t="shared" si="133"/>
        <v>1</v>
      </c>
    </row>
    <row r="379" spans="1:41" ht="12.75">
      <c r="A379" s="1" t="s">
        <v>847</v>
      </c>
      <c r="C379" s="1" t="s">
        <v>794</v>
      </c>
      <c r="D379" s="23"/>
      <c r="E379" s="95">
        <v>11745.63</v>
      </c>
      <c r="F379" s="95"/>
      <c r="G379" s="95">
        <v>0</v>
      </c>
      <c r="H379" s="95"/>
      <c r="I379" s="95">
        <v>0</v>
      </c>
      <c r="J379" s="95"/>
      <c r="K379" s="95">
        <v>0</v>
      </c>
      <c r="L379" s="95"/>
      <c r="M379" s="95">
        <v>940</v>
      </c>
      <c r="N379" s="95"/>
      <c r="O379" s="95">
        <v>11692.01</v>
      </c>
      <c r="P379" s="95"/>
      <c r="Q379" s="95">
        <v>21797.04</v>
      </c>
      <c r="R379" s="95"/>
      <c r="S379" s="95">
        <v>0</v>
      </c>
      <c r="T379" s="95"/>
      <c r="U379" s="95">
        <v>0</v>
      </c>
      <c r="V379" s="95"/>
      <c r="W379" s="95">
        <v>0</v>
      </c>
      <c r="X379" s="95"/>
      <c r="Y379" s="95">
        <v>0</v>
      </c>
      <c r="Z379" s="95"/>
      <c r="AA379" s="95">
        <v>0</v>
      </c>
      <c r="AB379" s="95"/>
      <c r="AC379" s="95">
        <v>0</v>
      </c>
      <c r="AD379" s="95"/>
      <c r="AE379" s="95">
        <f aca="true" t="shared" si="144" ref="AE379">SUM(E379:AC379)</f>
        <v>46174.68</v>
      </c>
      <c r="AF379" s="95"/>
      <c r="AG379" s="95">
        <v>3405.58</v>
      </c>
      <c r="AH379" s="95"/>
      <c r="AI379" s="95">
        <v>5849.18</v>
      </c>
      <c r="AJ379" s="95"/>
      <c r="AK379" s="95">
        <v>9254.76</v>
      </c>
      <c r="AL379" s="24">
        <f>+'Gen Rev'!AI378-'Gen Exp'!AE379+'Gen Exp'!AI379-AK379</f>
        <v>0</v>
      </c>
      <c r="AM379" s="44" t="str">
        <f>'Gen Rev'!A378</f>
        <v>Mendon</v>
      </c>
      <c r="AN379" s="21" t="str">
        <f t="shared" si="132"/>
        <v>Mendon</v>
      </c>
      <c r="AO379" s="21" t="b">
        <f t="shared" si="133"/>
        <v>1</v>
      </c>
    </row>
    <row r="380" spans="1:41" s="21" customFormat="1" ht="12.75">
      <c r="A380" s="1" t="s">
        <v>361</v>
      </c>
      <c r="B380" s="1"/>
      <c r="C380" s="1" t="s">
        <v>358</v>
      </c>
      <c r="D380" s="1"/>
      <c r="E380" s="83">
        <v>15736</v>
      </c>
      <c r="F380" s="83"/>
      <c r="G380" s="83">
        <v>0</v>
      </c>
      <c r="H380" s="83"/>
      <c r="I380" s="83">
        <v>25300</v>
      </c>
      <c r="J380" s="83"/>
      <c r="K380" s="83">
        <v>11802</v>
      </c>
      <c r="L380" s="83"/>
      <c r="M380" s="83">
        <v>0</v>
      </c>
      <c r="N380" s="83"/>
      <c r="O380" s="83">
        <v>0</v>
      </c>
      <c r="P380" s="83"/>
      <c r="Q380" s="83">
        <v>171228</v>
      </c>
      <c r="R380" s="83"/>
      <c r="S380" s="83">
        <v>50540</v>
      </c>
      <c r="T380" s="83"/>
      <c r="U380" s="83">
        <v>0</v>
      </c>
      <c r="V380" s="83"/>
      <c r="W380" s="83">
        <v>0</v>
      </c>
      <c r="X380" s="83"/>
      <c r="Y380" s="83">
        <v>80000</v>
      </c>
      <c r="Z380" s="83"/>
      <c r="AA380" s="83">
        <v>0</v>
      </c>
      <c r="AB380" s="83"/>
      <c r="AC380" s="83">
        <v>0</v>
      </c>
      <c r="AD380" s="83"/>
      <c r="AE380" s="83">
        <f t="shared" si="129"/>
        <v>354606</v>
      </c>
      <c r="AF380" s="83"/>
      <c r="AG380" s="83">
        <v>-24828</v>
      </c>
      <c r="AH380" s="83"/>
      <c r="AI380" s="83">
        <v>169204</v>
      </c>
      <c r="AJ380" s="83"/>
      <c r="AK380" s="83">
        <v>144376</v>
      </c>
      <c r="AL380" s="24">
        <f>+'Gen Rev'!AI379-'Gen Exp'!AE380+'Gen Exp'!AI380-AK380</f>
        <v>-1</v>
      </c>
      <c r="AM380" s="44" t="str">
        <f>'Gen Rev'!A379</f>
        <v>Metamora</v>
      </c>
      <c r="AN380" s="21" t="str">
        <f t="shared" si="132"/>
        <v>Metamora</v>
      </c>
      <c r="AO380" s="21" t="b">
        <f t="shared" si="133"/>
        <v>1</v>
      </c>
    </row>
    <row r="381" spans="1:41" ht="12.75">
      <c r="A381" s="1" t="s">
        <v>227</v>
      </c>
      <c r="C381" s="1" t="s">
        <v>815</v>
      </c>
      <c r="D381" s="23"/>
      <c r="E381" s="95">
        <v>9890.17</v>
      </c>
      <c r="F381" s="95"/>
      <c r="G381" s="95">
        <v>2280</v>
      </c>
      <c r="H381" s="95"/>
      <c r="I381" s="95">
        <v>0</v>
      </c>
      <c r="J381" s="95"/>
      <c r="K381" s="95">
        <v>3536.44</v>
      </c>
      <c r="L381" s="95"/>
      <c r="M381" s="95">
        <v>18938.99</v>
      </c>
      <c r="N381" s="95"/>
      <c r="O381" s="95">
        <v>0</v>
      </c>
      <c r="P381" s="95"/>
      <c r="Q381" s="95">
        <v>55116.94</v>
      </c>
      <c r="R381" s="95"/>
      <c r="S381" s="95">
        <v>0</v>
      </c>
      <c r="T381" s="95"/>
      <c r="U381" s="95">
        <v>0</v>
      </c>
      <c r="V381" s="95"/>
      <c r="W381" s="95">
        <v>0</v>
      </c>
      <c r="X381" s="95"/>
      <c r="Y381" s="95">
        <v>0</v>
      </c>
      <c r="Z381" s="95"/>
      <c r="AA381" s="95">
        <v>0</v>
      </c>
      <c r="AB381" s="95"/>
      <c r="AC381" s="95">
        <v>336.82</v>
      </c>
      <c r="AD381" s="95"/>
      <c r="AE381" s="95">
        <f aca="true" t="shared" si="145" ref="AE381">SUM(E381:AC381)</f>
        <v>90099.36000000002</v>
      </c>
      <c r="AF381" s="95"/>
      <c r="AG381" s="95">
        <v>28308.95</v>
      </c>
      <c r="AH381" s="95"/>
      <c r="AI381" s="95">
        <v>259947.65</v>
      </c>
      <c r="AJ381" s="95"/>
      <c r="AK381" s="95">
        <v>288256.6</v>
      </c>
      <c r="AL381" s="24">
        <f>+'Gen Rev'!AI380-'Gen Exp'!AE381+'Gen Exp'!AI381-AK381</f>
        <v>0</v>
      </c>
      <c r="AM381" s="44" t="str">
        <f>'Gen Rev'!A380</f>
        <v>Meyers Lake</v>
      </c>
      <c r="AN381" s="21" t="str">
        <f t="shared" si="132"/>
        <v>Meyers Lake</v>
      </c>
      <c r="AO381" s="21" t="b">
        <f t="shared" si="133"/>
        <v>1</v>
      </c>
    </row>
    <row r="382" spans="1:41" ht="12.75">
      <c r="A382" s="1" t="s">
        <v>949</v>
      </c>
      <c r="C382" s="1" t="s">
        <v>574</v>
      </c>
      <c r="D382" s="23"/>
      <c r="E382" s="36">
        <v>8900.04</v>
      </c>
      <c r="F382" s="36"/>
      <c r="G382" s="36">
        <v>3573.28</v>
      </c>
      <c r="H382" s="36"/>
      <c r="I382" s="36">
        <v>0</v>
      </c>
      <c r="J382" s="36"/>
      <c r="K382" s="36">
        <v>6887</v>
      </c>
      <c r="L382" s="36"/>
      <c r="M382" s="36">
        <v>0</v>
      </c>
      <c r="N382" s="36"/>
      <c r="O382" s="36">
        <v>0</v>
      </c>
      <c r="P382" s="36"/>
      <c r="Q382" s="36">
        <v>75845.66</v>
      </c>
      <c r="R382" s="36"/>
      <c r="S382" s="36">
        <v>0</v>
      </c>
      <c r="T382" s="36"/>
      <c r="U382" s="36">
        <v>4406.79</v>
      </c>
      <c r="V382" s="36"/>
      <c r="W382" s="36">
        <v>4468.96</v>
      </c>
      <c r="X382" s="36"/>
      <c r="Y382" s="36">
        <v>0</v>
      </c>
      <c r="Z382" s="36"/>
      <c r="AA382" s="36">
        <v>0</v>
      </c>
      <c r="AB382" s="36"/>
      <c r="AC382" s="36">
        <v>0</v>
      </c>
      <c r="AD382" s="36"/>
      <c r="AE382" s="36">
        <f aca="true" t="shared" si="146" ref="AE382">SUM(E382:AC382)</f>
        <v>104081.73000000001</v>
      </c>
      <c r="AF382" s="36"/>
      <c r="AG382" s="36">
        <v>21595.78</v>
      </c>
      <c r="AH382" s="36"/>
      <c r="AI382" s="36">
        <v>71129</v>
      </c>
      <c r="AJ382" s="36"/>
      <c r="AK382" s="36">
        <v>92724.78</v>
      </c>
      <c r="AL382" s="24">
        <f>+'Gen Rev'!AI381-'Gen Exp'!AE382+'Gen Exp'!AI382-AK382</f>
        <v>0</v>
      </c>
      <c r="AM382" s="44" t="str">
        <f>'Gen Rev'!A381</f>
        <v>Middle Point</v>
      </c>
      <c r="AN382" s="21" t="str">
        <f t="shared" si="132"/>
        <v>Middle Point</v>
      </c>
      <c r="AO382" s="21" t="b">
        <f t="shared" si="133"/>
        <v>1</v>
      </c>
    </row>
    <row r="383" spans="1:41" s="21" customFormat="1" ht="12.75">
      <c r="A383" s="1" t="s">
        <v>367</v>
      </c>
      <c r="B383" s="1"/>
      <c r="C383" s="1" t="s">
        <v>368</v>
      </c>
      <c r="D383" s="1"/>
      <c r="E383" s="83">
        <v>1045797</v>
      </c>
      <c r="F383" s="83"/>
      <c r="G383" s="83">
        <v>0</v>
      </c>
      <c r="H383" s="83"/>
      <c r="I383" s="83">
        <v>106266</v>
      </c>
      <c r="J383" s="83"/>
      <c r="K383" s="83">
        <v>81394</v>
      </c>
      <c r="L383" s="83"/>
      <c r="M383" s="83">
        <v>11336</v>
      </c>
      <c r="N383" s="83"/>
      <c r="O383" s="83">
        <v>53843</v>
      </c>
      <c r="P383" s="83"/>
      <c r="Q383" s="83">
        <v>381706</v>
      </c>
      <c r="R383" s="83"/>
      <c r="S383" s="83">
        <v>0</v>
      </c>
      <c r="T383" s="83"/>
      <c r="U383" s="83">
        <v>0</v>
      </c>
      <c r="V383" s="83"/>
      <c r="W383" s="83">
        <v>0</v>
      </c>
      <c r="X383" s="83"/>
      <c r="Y383" s="83">
        <v>16500</v>
      </c>
      <c r="Z383" s="83"/>
      <c r="AA383" s="83">
        <v>0</v>
      </c>
      <c r="AB383" s="83"/>
      <c r="AC383" s="83">
        <v>0</v>
      </c>
      <c r="AD383" s="83"/>
      <c r="AE383" s="83">
        <f t="shared" si="129"/>
        <v>1696842</v>
      </c>
      <c r="AF383" s="83"/>
      <c r="AG383" s="83">
        <v>93559</v>
      </c>
      <c r="AH383" s="83"/>
      <c r="AI383" s="83">
        <v>106132</v>
      </c>
      <c r="AJ383" s="83"/>
      <c r="AK383" s="83">
        <v>199691</v>
      </c>
      <c r="AL383" s="24">
        <f>+'Gen Rev'!AI382-'Gen Exp'!AE383+'Gen Exp'!AI383-AK383</f>
        <v>0</v>
      </c>
      <c r="AM383" s="44" t="str">
        <f>'Gen Rev'!A382</f>
        <v>Middlefield</v>
      </c>
      <c r="AN383" s="21" t="str">
        <f t="shared" si="132"/>
        <v>Middlefield</v>
      </c>
      <c r="AO383" s="21" t="b">
        <f t="shared" si="133"/>
        <v>1</v>
      </c>
    </row>
    <row r="384" spans="1:41" ht="12.75">
      <c r="A384" s="1" t="s">
        <v>156</v>
      </c>
      <c r="C384" s="1" t="s">
        <v>464</v>
      </c>
      <c r="E384" s="36">
        <v>418569.17</v>
      </c>
      <c r="F384" s="36"/>
      <c r="G384" s="36">
        <v>0</v>
      </c>
      <c r="H384" s="36"/>
      <c r="I384" s="36">
        <v>0</v>
      </c>
      <c r="J384" s="36"/>
      <c r="K384" s="36">
        <v>0</v>
      </c>
      <c r="L384" s="36"/>
      <c r="M384" s="36">
        <v>0</v>
      </c>
      <c r="N384" s="36"/>
      <c r="O384" s="36">
        <v>0</v>
      </c>
      <c r="P384" s="36"/>
      <c r="Q384" s="36">
        <v>151478.21</v>
      </c>
      <c r="R384" s="36"/>
      <c r="S384" s="36">
        <v>0</v>
      </c>
      <c r="T384" s="36"/>
      <c r="U384" s="36">
        <v>4972.49</v>
      </c>
      <c r="V384" s="36"/>
      <c r="W384" s="36">
        <v>669.13</v>
      </c>
      <c r="X384" s="36"/>
      <c r="Y384" s="36">
        <v>0</v>
      </c>
      <c r="Z384" s="36"/>
      <c r="AA384" s="36">
        <v>0</v>
      </c>
      <c r="AB384" s="36"/>
      <c r="AC384" s="36">
        <v>142.22</v>
      </c>
      <c r="AD384" s="36"/>
      <c r="AE384" s="36">
        <f aca="true" t="shared" si="147" ref="AE384:AE386">SUM(E384:AC384)</f>
        <v>575831.22</v>
      </c>
      <c r="AF384" s="36"/>
      <c r="AG384" s="36">
        <v>33632.4</v>
      </c>
      <c r="AH384" s="36"/>
      <c r="AI384" s="36">
        <v>24166.61</v>
      </c>
      <c r="AJ384" s="36"/>
      <c r="AK384" s="36">
        <v>57799.01</v>
      </c>
      <c r="AL384" s="24">
        <f>+'Gen Rev'!AI383-'Gen Exp'!AE384+'Gen Exp'!AI384-AK384</f>
        <v>0</v>
      </c>
      <c r="AM384" s="44" t="str">
        <f>'Gen Rev'!A383</f>
        <v>Middleport</v>
      </c>
      <c r="AN384" s="21" t="str">
        <f t="shared" si="132"/>
        <v>Middleport</v>
      </c>
      <c r="AO384" s="21" t="b">
        <f t="shared" si="133"/>
        <v>1</v>
      </c>
    </row>
    <row r="385" spans="1:41" ht="12.75">
      <c r="A385" s="1" t="s">
        <v>906</v>
      </c>
      <c r="C385" s="1" t="s">
        <v>299</v>
      </c>
      <c r="D385" s="23"/>
      <c r="E385" s="36">
        <v>2729.8</v>
      </c>
      <c r="F385" s="36"/>
      <c r="G385" s="36">
        <v>0</v>
      </c>
      <c r="H385" s="36"/>
      <c r="I385" s="36">
        <v>0</v>
      </c>
      <c r="J385" s="36"/>
      <c r="K385" s="36">
        <v>0</v>
      </c>
      <c r="L385" s="36"/>
      <c r="M385" s="36">
        <v>488.65</v>
      </c>
      <c r="N385" s="36"/>
      <c r="O385" s="36">
        <v>0</v>
      </c>
      <c r="P385" s="36"/>
      <c r="Q385" s="36">
        <v>18708.68</v>
      </c>
      <c r="R385" s="36"/>
      <c r="S385" s="36">
        <v>0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8300</v>
      </c>
      <c r="AB385" s="36"/>
      <c r="AC385" s="36">
        <v>0</v>
      </c>
      <c r="AD385" s="36"/>
      <c r="AE385" s="36">
        <f t="shared" si="147"/>
        <v>30227.13</v>
      </c>
      <c r="AF385" s="36"/>
      <c r="AG385" s="36">
        <v>1241.41</v>
      </c>
      <c r="AH385" s="36"/>
      <c r="AI385" s="36">
        <v>4483.71</v>
      </c>
      <c r="AJ385" s="36"/>
      <c r="AK385" s="36">
        <v>5725.12</v>
      </c>
      <c r="AL385" s="24">
        <f>+'Gen Rev'!AI384-'Gen Exp'!AE385+'Gen Exp'!AI385-AK385</f>
        <v>0</v>
      </c>
      <c r="AM385" s="44" t="str">
        <f>'Gen Rev'!A384</f>
        <v>Midland</v>
      </c>
      <c r="AN385" s="21" t="str">
        <f t="shared" si="132"/>
        <v>Midland</v>
      </c>
      <c r="AO385" s="21" t="b">
        <f t="shared" si="133"/>
        <v>1</v>
      </c>
    </row>
    <row r="386" spans="1:41" ht="12.75">
      <c r="A386" s="1" t="s">
        <v>233</v>
      </c>
      <c r="C386" s="1" t="s">
        <v>818</v>
      </c>
      <c r="D386" s="23"/>
      <c r="E386" s="36">
        <v>46483.49</v>
      </c>
      <c r="F386" s="36"/>
      <c r="G386" s="36">
        <v>0</v>
      </c>
      <c r="H386" s="36"/>
      <c r="I386" s="36">
        <v>5143.96</v>
      </c>
      <c r="J386" s="36"/>
      <c r="K386" s="36">
        <v>0</v>
      </c>
      <c r="L386" s="36"/>
      <c r="M386" s="36">
        <v>2748.12</v>
      </c>
      <c r="N386" s="36"/>
      <c r="O386" s="36">
        <v>0</v>
      </c>
      <c r="P386" s="36"/>
      <c r="Q386" s="36">
        <v>125889.99</v>
      </c>
      <c r="R386" s="36"/>
      <c r="S386" s="36">
        <v>0</v>
      </c>
      <c r="T386" s="36"/>
      <c r="U386" s="36">
        <v>0</v>
      </c>
      <c r="V386" s="36"/>
      <c r="W386" s="36">
        <v>0</v>
      </c>
      <c r="X386" s="36"/>
      <c r="Y386" s="36">
        <v>12052.44</v>
      </c>
      <c r="Z386" s="36"/>
      <c r="AA386" s="36">
        <v>6000</v>
      </c>
      <c r="AB386" s="36"/>
      <c r="AC386" s="36">
        <v>0</v>
      </c>
      <c r="AD386" s="36"/>
      <c r="AE386" s="36">
        <f t="shared" si="147"/>
        <v>198318</v>
      </c>
      <c r="AF386" s="36"/>
      <c r="AG386" s="36">
        <v>17385.93</v>
      </c>
      <c r="AH386" s="36"/>
      <c r="AI386" s="36">
        <v>13723.19</v>
      </c>
      <c r="AJ386" s="36"/>
      <c r="AK386" s="36">
        <v>31109.12</v>
      </c>
      <c r="AL386" s="24">
        <f>+'Gen Rev'!AI385-'Gen Exp'!AE386+'Gen Exp'!AI386-AK386</f>
        <v>0</v>
      </c>
      <c r="AM386" s="44" t="str">
        <f>'Gen Rev'!A385</f>
        <v>Midvale</v>
      </c>
      <c r="AN386" s="21" t="str">
        <f t="shared" si="132"/>
        <v>Midvale</v>
      </c>
      <c r="AO386" s="21" t="b">
        <f t="shared" si="133"/>
        <v>1</v>
      </c>
    </row>
    <row r="387" spans="1:41" ht="12.75">
      <c r="A387" s="1" t="s">
        <v>459</v>
      </c>
      <c r="C387" s="1" t="s">
        <v>432</v>
      </c>
      <c r="E387" s="83">
        <v>0</v>
      </c>
      <c r="F387" s="83"/>
      <c r="G387" s="83">
        <v>0</v>
      </c>
      <c r="H387" s="83"/>
      <c r="I387" s="83">
        <v>8835.22</v>
      </c>
      <c r="J387" s="83"/>
      <c r="K387" s="83">
        <v>0</v>
      </c>
      <c r="L387" s="83"/>
      <c r="M387" s="83">
        <v>4316.64</v>
      </c>
      <c r="N387" s="83"/>
      <c r="O387" s="83">
        <v>12105.71</v>
      </c>
      <c r="P387" s="83"/>
      <c r="Q387" s="83">
        <v>28069.26</v>
      </c>
      <c r="R387" s="83"/>
      <c r="S387" s="83">
        <v>0</v>
      </c>
      <c r="T387" s="83"/>
      <c r="U387" s="83">
        <v>0</v>
      </c>
      <c r="V387" s="83"/>
      <c r="W387" s="83">
        <v>0</v>
      </c>
      <c r="X387" s="83"/>
      <c r="Y387" s="83">
        <v>0</v>
      </c>
      <c r="Z387" s="83"/>
      <c r="AA387" s="83">
        <v>0</v>
      </c>
      <c r="AB387" s="83"/>
      <c r="AC387" s="83">
        <v>0</v>
      </c>
      <c r="AD387" s="87"/>
      <c r="AE387" s="83">
        <f t="shared" si="129"/>
        <v>53326.83</v>
      </c>
      <c r="AF387" s="83"/>
      <c r="AG387" s="83">
        <v>-10230</v>
      </c>
      <c r="AH387" s="83"/>
      <c r="AI387" s="83"/>
      <c r="AJ387" s="83"/>
      <c r="AK387" s="83"/>
      <c r="AL387" s="24">
        <f>+'Gen Rev'!AI386-'Gen Exp'!AE387+'Gen Exp'!AI387-AK387</f>
        <v>-10229.600000000006</v>
      </c>
      <c r="AM387" s="44" t="str">
        <f>'Gen Rev'!A386</f>
        <v>Midway</v>
      </c>
      <c r="AN387" s="21" t="str">
        <f t="shared" si="132"/>
        <v>Midway</v>
      </c>
      <c r="AO387" s="21" t="b">
        <f t="shared" si="133"/>
        <v>1</v>
      </c>
    </row>
    <row r="388" spans="1:41" ht="12.75">
      <c r="A388" s="1" t="s">
        <v>8</v>
      </c>
      <c r="C388" s="1" t="s">
        <v>669</v>
      </c>
      <c r="D388" s="23"/>
      <c r="E388" s="36">
        <v>20400.01</v>
      </c>
      <c r="F388" s="36"/>
      <c r="G388" s="36">
        <v>950</v>
      </c>
      <c r="H388" s="36"/>
      <c r="I388" s="36">
        <v>40.95</v>
      </c>
      <c r="J388" s="36"/>
      <c r="K388" s="36">
        <v>3581.45</v>
      </c>
      <c r="L388" s="36"/>
      <c r="M388" s="36">
        <v>0</v>
      </c>
      <c r="N388" s="36"/>
      <c r="O388" s="36">
        <v>0</v>
      </c>
      <c r="P388" s="36"/>
      <c r="Q388" s="36">
        <v>32094.3</v>
      </c>
      <c r="R388" s="36"/>
      <c r="S388" s="36">
        <v>0</v>
      </c>
      <c r="T388" s="36"/>
      <c r="U388" s="36">
        <v>0</v>
      </c>
      <c r="V388" s="36"/>
      <c r="W388" s="36">
        <v>0</v>
      </c>
      <c r="X388" s="36"/>
      <c r="Y388" s="36">
        <v>0</v>
      </c>
      <c r="Z388" s="36"/>
      <c r="AA388" s="36">
        <v>0</v>
      </c>
      <c r="AB388" s="36"/>
      <c r="AC388" s="36">
        <v>0</v>
      </c>
      <c r="AD388" s="36"/>
      <c r="AE388" s="36">
        <f aca="true" t="shared" si="148" ref="AE388">SUM(E388:AC388)</f>
        <v>57066.71</v>
      </c>
      <c r="AF388" s="36"/>
      <c r="AG388" s="36">
        <v>2051.21</v>
      </c>
      <c r="AH388" s="36"/>
      <c r="AI388" s="36">
        <v>31873.49</v>
      </c>
      <c r="AJ388" s="36"/>
      <c r="AK388" s="36">
        <v>33924.7</v>
      </c>
      <c r="AL388" s="24">
        <f>+'Gen Rev'!AI387-'Gen Exp'!AE388+'Gen Exp'!AI388-AK388</f>
        <v>0</v>
      </c>
      <c r="AM388" s="44" t="str">
        <f>'Gen Rev'!A387</f>
        <v>Mifflin</v>
      </c>
      <c r="AN388" s="21" t="str">
        <f t="shared" si="132"/>
        <v>Mifflin</v>
      </c>
      <c r="AO388" s="21" t="b">
        <f t="shared" si="133"/>
        <v>1</v>
      </c>
    </row>
    <row r="389" spans="1:41" s="19" customFormat="1" ht="12.6" customHeight="1">
      <c r="A389" s="10" t="s">
        <v>347</v>
      </c>
      <c r="B389" s="10"/>
      <c r="C389" s="10" t="s">
        <v>348</v>
      </c>
      <c r="D389" s="10"/>
      <c r="E389" s="83">
        <v>335106</v>
      </c>
      <c r="F389" s="83"/>
      <c r="G389" s="83">
        <v>0</v>
      </c>
      <c r="H389" s="83"/>
      <c r="I389" s="83">
        <v>14311</v>
      </c>
      <c r="J389" s="83"/>
      <c r="K389" s="83">
        <v>2644</v>
      </c>
      <c r="L389" s="83"/>
      <c r="M389" s="83">
        <v>0</v>
      </c>
      <c r="N389" s="83"/>
      <c r="O389" s="83">
        <v>104655</v>
      </c>
      <c r="P389" s="83"/>
      <c r="Q389" s="83">
        <v>98879</v>
      </c>
      <c r="R389" s="83"/>
      <c r="S389" s="83">
        <v>0</v>
      </c>
      <c r="T389" s="83"/>
      <c r="U389" s="83">
        <v>0</v>
      </c>
      <c r="V389" s="83"/>
      <c r="W389" s="83">
        <v>0</v>
      </c>
      <c r="X389" s="83"/>
      <c r="Y389" s="83">
        <v>50862</v>
      </c>
      <c r="Z389" s="83"/>
      <c r="AA389" s="83">
        <v>0</v>
      </c>
      <c r="AB389" s="83"/>
      <c r="AC389" s="83">
        <v>0</v>
      </c>
      <c r="AD389" s="83"/>
      <c r="AE389" s="83">
        <f t="shared" si="129"/>
        <v>606457</v>
      </c>
      <c r="AF389" s="83"/>
      <c r="AG389" s="36">
        <v>83266</v>
      </c>
      <c r="AH389" s="36"/>
      <c r="AI389" s="36">
        <v>189607</v>
      </c>
      <c r="AJ389" s="36"/>
      <c r="AK389" s="36">
        <v>272873</v>
      </c>
      <c r="AL389" s="24">
        <f>+'Gen Rev'!AI388-'Gen Exp'!AE389+'Gen Exp'!AI389-AK389</f>
        <v>0</v>
      </c>
      <c r="AM389" s="44" t="str">
        <f>'Gen Rev'!A388</f>
        <v>Milan</v>
      </c>
      <c r="AN389" s="21" t="str">
        <f t="shared" si="132"/>
        <v>Milan</v>
      </c>
      <c r="AO389" s="21" t="b">
        <f t="shared" si="133"/>
        <v>1</v>
      </c>
    </row>
    <row r="390" spans="1:41" ht="12.75">
      <c r="A390" s="1" t="s">
        <v>237</v>
      </c>
      <c r="C390" s="1" t="s">
        <v>819</v>
      </c>
      <c r="D390" s="23"/>
      <c r="E390" s="36">
        <v>34042.95</v>
      </c>
      <c r="F390" s="36"/>
      <c r="G390" s="36">
        <v>0</v>
      </c>
      <c r="H390" s="36"/>
      <c r="I390" s="36">
        <v>7866.67</v>
      </c>
      <c r="J390" s="36"/>
      <c r="K390" s="36">
        <v>10368.88</v>
      </c>
      <c r="L390" s="36"/>
      <c r="M390" s="36">
        <v>19836.79</v>
      </c>
      <c r="N390" s="36"/>
      <c r="O390" s="36">
        <v>6799</v>
      </c>
      <c r="P390" s="36"/>
      <c r="Q390" s="36">
        <v>48363.38</v>
      </c>
      <c r="R390" s="36"/>
      <c r="S390" s="36">
        <v>0</v>
      </c>
      <c r="T390" s="36"/>
      <c r="U390" s="36">
        <v>0</v>
      </c>
      <c r="V390" s="36"/>
      <c r="W390" s="36">
        <v>6936.94</v>
      </c>
      <c r="X390" s="36"/>
      <c r="Y390" s="36">
        <v>44938.87</v>
      </c>
      <c r="Z390" s="36"/>
      <c r="AA390" s="36">
        <v>85000</v>
      </c>
      <c r="AB390" s="36"/>
      <c r="AC390" s="36">
        <v>10000</v>
      </c>
      <c r="AD390" s="36"/>
      <c r="AE390" s="36">
        <f aca="true" t="shared" si="149" ref="AE390:AE391">SUM(E390:AC390)</f>
        <v>274153.48</v>
      </c>
      <c r="AF390" s="36"/>
      <c r="AG390" s="36">
        <v>-164212.45</v>
      </c>
      <c r="AH390" s="36"/>
      <c r="AI390" s="36">
        <v>225157.72</v>
      </c>
      <c r="AJ390" s="36"/>
      <c r="AK390" s="36">
        <v>60945.27</v>
      </c>
      <c r="AL390" s="24">
        <f>+'Gen Rev'!AI389-'Gen Exp'!AE390+'Gen Exp'!AI390-AK390</f>
        <v>0</v>
      </c>
      <c r="AM390" s="44" t="str">
        <f>'Gen Rev'!A389</f>
        <v>Milford Center</v>
      </c>
      <c r="AN390" s="21" t="str">
        <f t="shared" si="132"/>
        <v>Milford Center</v>
      </c>
      <c r="AO390" s="21" t="b">
        <f t="shared" si="133"/>
        <v>1</v>
      </c>
    </row>
    <row r="391" spans="1:41" ht="12.75">
      <c r="A391" s="1" t="s">
        <v>258</v>
      </c>
      <c r="C391" s="1" t="s">
        <v>825</v>
      </c>
      <c r="D391" s="23"/>
      <c r="E391" s="36">
        <v>47707.94</v>
      </c>
      <c r="F391" s="36"/>
      <c r="G391" s="36">
        <v>0</v>
      </c>
      <c r="H391" s="36"/>
      <c r="I391" s="36">
        <v>25490.49</v>
      </c>
      <c r="J391" s="36"/>
      <c r="K391" s="36">
        <v>4381.57</v>
      </c>
      <c r="L391" s="36"/>
      <c r="M391" s="36">
        <v>66455.04</v>
      </c>
      <c r="N391" s="36"/>
      <c r="O391" s="36">
        <v>9448.19</v>
      </c>
      <c r="P391" s="36"/>
      <c r="Q391" s="36">
        <v>72778.67</v>
      </c>
      <c r="R391" s="36"/>
      <c r="S391" s="36">
        <v>0</v>
      </c>
      <c r="T391" s="36"/>
      <c r="U391" s="36">
        <v>19129.02</v>
      </c>
      <c r="V391" s="36"/>
      <c r="W391" s="36">
        <v>0</v>
      </c>
      <c r="X391" s="36"/>
      <c r="Y391" s="36">
        <v>25000</v>
      </c>
      <c r="Z391" s="36"/>
      <c r="AA391" s="36">
        <v>0</v>
      </c>
      <c r="AB391" s="36"/>
      <c r="AC391" s="36">
        <v>0</v>
      </c>
      <c r="AD391" s="36"/>
      <c r="AE391" s="36">
        <f t="shared" si="149"/>
        <v>270390.9199999999</v>
      </c>
      <c r="AF391" s="36"/>
      <c r="AG391" s="36">
        <v>-74264.26</v>
      </c>
      <c r="AH391" s="36"/>
      <c r="AI391" s="36">
        <v>267371.79</v>
      </c>
      <c r="AJ391" s="36"/>
      <c r="AK391" s="36">
        <v>193107.53</v>
      </c>
      <c r="AL391" s="24">
        <f>+'Gen Rev'!AI390-'Gen Exp'!AE391+'Gen Exp'!AI391-AK391</f>
        <v>0</v>
      </c>
      <c r="AM391" s="44" t="str">
        <f>'Gen Rev'!A390</f>
        <v>Millbury</v>
      </c>
      <c r="AN391" s="21" t="str">
        <f t="shared" si="132"/>
        <v>Millbury</v>
      </c>
      <c r="AO391" s="21" t="b">
        <f t="shared" si="133"/>
        <v>1</v>
      </c>
    </row>
    <row r="392" spans="1:41" ht="12.75">
      <c r="A392" s="1" t="s">
        <v>70</v>
      </c>
      <c r="C392" s="1" t="s">
        <v>767</v>
      </c>
      <c r="D392" s="23"/>
      <c r="E392" s="95">
        <v>4000</v>
      </c>
      <c r="F392" s="95"/>
      <c r="G392" s="95">
        <v>0</v>
      </c>
      <c r="H392" s="95"/>
      <c r="I392" s="95">
        <v>104.5</v>
      </c>
      <c r="J392" s="95"/>
      <c r="K392" s="95">
        <v>0</v>
      </c>
      <c r="L392" s="95"/>
      <c r="M392" s="95">
        <v>2311.22</v>
      </c>
      <c r="N392" s="95"/>
      <c r="O392" s="95">
        <v>0</v>
      </c>
      <c r="P392" s="95"/>
      <c r="Q392" s="95">
        <v>9385.3</v>
      </c>
      <c r="R392" s="95"/>
      <c r="S392" s="95">
        <v>0</v>
      </c>
      <c r="T392" s="95"/>
      <c r="U392" s="95">
        <v>0</v>
      </c>
      <c r="V392" s="95"/>
      <c r="W392" s="95">
        <v>0</v>
      </c>
      <c r="X392" s="95"/>
      <c r="Y392" s="95">
        <v>0</v>
      </c>
      <c r="Z392" s="95"/>
      <c r="AA392" s="95">
        <v>0</v>
      </c>
      <c r="AB392" s="95"/>
      <c r="AC392" s="95">
        <v>0</v>
      </c>
      <c r="AD392" s="95"/>
      <c r="AE392" s="95">
        <f aca="true" t="shared" si="150" ref="AE392">SUM(E392:AC392)</f>
        <v>15801.019999999999</v>
      </c>
      <c r="AF392" s="95"/>
      <c r="AG392" s="95">
        <v>-150.63</v>
      </c>
      <c r="AH392" s="95"/>
      <c r="AI392" s="95">
        <v>397.8</v>
      </c>
      <c r="AJ392" s="95"/>
      <c r="AK392" s="95">
        <v>247.17</v>
      </c>
      <c r="AL392" s="24">
        <f>+'Gen Rev'!AI391-'Gen Exp'!AE392+'Gen Exp'!AI392-AK392</f>
        <v>-9.947598300641403E-13</v>
      </c>
      <c r="AM392" s="44" t="str">
        <f>'Gen Rev'!A391</f>
        <v>Milledgeville</v>
      </c>
      <c r="AN392" s="21" t="str">
        <f t="shared" si="132"/>
        <v>Milledgeville</v>
      </c>
      <c r="AO392" s="21" t="b">
        <f t="shared" si="133"/>
        <v>1</v>
      </c>
    </row>
    <row r="393" spans="1:41" ht="12.75">
      <c r="A393" s="1" t="s">
        <v>206</v>
      </c>
      <c r="C393" s="1" t="s">
        <v>808</v>
      </c>
      <c r="D393" s="23"/>
      <c r="E393" s="36">
        <v>4464.7</v>
      </c>
      <c r="F393" s="36"/>
      <c r="G393" s="36">
        <v>0</v>
      </c>
      <c r="H393" s="36"/>
      <c r="I393" s="36">
        <v>0</v>
      </c>
      <c r="J393" s="36"/>
      <c r="K393" s="36">
        <v>321.53</v>
      </c>
      <c r="L393" s="36"/>
      <c r="M393" s="36">
        <v>6553.69</v>
      </c>
      <c r="N393" s="36"/>
      <c r="O393" s="36">
        <v>19718.77</v>
      </c>
      <c r="P393" s="36"/>
      <c r="Q393" s="36">
        <v>28960.33</v>
      </c>
      <c r="R393" s="36"/>
      <c r="S393" s="36">
        <v>0</v>
      </c>
      <c r="T393" s="36"/>
      <c r="U393" s="36">
        <v>2584.56</v>
      </c>
      <c r="V393" s="36"/>
      <c r="W393" s="36">
        <v>0</v>
      </c>
      <c r="X393" s="36"/>
      <c r="Y393" s="36">
        <v>0</v>
      </c>
      <c r="Z393" s="36"/>
      <c r="AA393" s="36">
        <v>0</v>
      </c>
      <c r="AB393" s="36"/>
      <c r="AC393" s="36">
        <v>89.35</v>
      </c>
      <c r="AD393" s="36"/>
      <c r="AE393" s="36">
        <f aca="true" t="shared" si="151" ref="AE393:AE395">SUM(E393:AC393)</f>
        <v>62692.93</v>
      </c>
      <c r="AF393" s="36"/>
      <c r="AG393" s="36">
        <v>17469.09</v>
      </c>
      <c r="AH393" s="36"/>
      <c r="AI393" s="36">
        <v>181769.92</v>
      </c>
      <c r="AJ393" s="36"/>
      <c r="AK393" s="36">
        <v>199239.01</v>
      </c>
      <c r="AL393" s="24">
        <f>+'Gen Rev'!AI392-'Gen Exp'!AE393+'Gen Exp'!AI393-AK393</f>
        <v>0</v>
      </c>
      <c r="AM393" s="44" t="str">
        <f>'Gen Rev'!A392</f>
        <v>Miller City</v>
      </c>
      <c r="AN393" s="21" t="str">
        <f t="shared" si="132"/>
        <v>Miller City</v>
      </c>
      <c r="AO393" s="21" t="b">
        <f t="shared" si="133"/>
        <v>1</v>
      </c>
    </row>
    <row r="394" spans="1:41" s="21" customFormat="1" ht="12.75">
      <c r="A394" s="1" t="s">
        <v>414</v>
      </c>
      <c r="B394" s="1"/>
      <c r="C394" s="1" t="s">
        <v>412</v>
      </c>
      <c r="D394" s="1"/>
      <c r="E394" s="36">
        <v>687259.65</v>
      </c>
      <c r="F394" s="36"/>
      <c r="G394" s="36">
        <v>15568.74</v>
      </c>
      <c r="H394" s="36"/>
      <c r="I394" s="36">
        <v>72820.72</v>
      </c>
      <c r="J394" s="36"/>
      <c r="K394" s="36">
        <v>23182.99</v>
      </c>
      <c r="L394" s="36"/>
      <c r="M394" s="36">
        <v>0</v>
      </c>
      <c r="N394" s="36"/>
      <c r="O394" s="36">
        <v>52133.86</v>
      </c>
      <c r="P394" s="36"/>
      <c r="Q394" s="36">
        <v>368173.49</v>
      </c>
      <c r="R394" s="36"/>
      <c r="S394" s="36">
        <v>0</v>
      </c>
      <c r="T394" s="36"/>
      <c r="U394" s="36">
        <v>0</v>
      </c>
      <c r="V394" s="36"/>
      <c r="W394" s="36">
        <v>0</v>
      </c>
      <c r="X394" s="36"/>
      <c r="Y394" s="36">
        <v>220000</v>
      </c>
      <c r="Z394" s="36"/>
      <c r="AA394" s="36">
        <v>0</v>
      </c>
      <c r="AB394" s="36"/>
      <c r="AC394" s="36">
        <v>0</v>
      </c>
      <c r="AD394" s="36"/>
      <c r="AE394" s="36">
        <f t="shared" si="151"/>
        <v>1439139.45</v>
      </c>
      <c r="AF394" s="36"/>
      <c r="AG394" s="36">
        <v>-70232.97</v>
      </c>
      <c r="AH394" s="36"/>
      <c r="AI394" s="36">
        <v>195298.34</v>
      </c>
      <c r="AJ394" s="36"/>
      <c r="AK394" s="36">
        <v>125065.37</v>
      </c>
      <c r="AL394" s="24">
        <f>+'Gen Rev'!AI393-'Gen Exp'!AE394+'Gen Exp'!AI394-AK394</f>
        <v>-2.0372681319713593E-10</v>
      </c>
      <c r="AM394" s="44" t="str">
        <f>'Gen Rev'!A393</f>
        <v>Millersburg</v>
      </c>
      <c r="AN394" s="21" t="str">
        <f t="shared" si="132"/>
        <v>Millersburg</v>
      </c>
      <c r="AO394" s="21" t="b">
        <f t="shared" si="133"/>
        <v>1</v>
      </c>
    </row>
    <row r="395" spans="1:41" ht="12.75">
      <c r="A395" s="1" t="s">
        <v>63</v>
      </c>
      <c r="C395" s="1" t="s">
        <v>766</v>
      </c>
      <c r="D395" s="23"/>
      <c r="E395" s="36">
        <v>90068.04</v>
      </c>
      <c r="F395" s="36"/>
      <c r="G395" s="36">
        <v>4652.1</v>
      </c>
      <c r="H395" s="36"/>
      <c r="I395" s="36">
        <v>44366.75</v>
      </c>
      <c r="J395" s="36"/>
      <c r="K395" s="36">
        <v>0</v>
      </c>
      <c r="L395" s="36"/>
      <c r="M395" s="36">
        <v>0</v>
      </c>
      <c r="N395" s="36"/>
      <c r="O395" s="36">
        <v>0</v>
      </c>
      <c r="P395" s="36"/>
      <c r="Q395" s="36">
        <v>85991.73</v>
      </c>
      <c r="R395" s="36"/>
      <c r="S395" s="36">
        <v>276000</v>
      </c>
      <c r="T395" s="36"/>
      <c r="U395" s="36">
        <v>0</v>
      </c>
      <c r="V395" s="36"/>
      <c r="W395" s="36">
        <v>0</v>
      </c>
      <c r="X395" s="36"/>
      <c r="Y395" s="36">
        <v>0</v>
      </c>
      <c r="Z395" s="36"/>
      <c r="AA395" s="36">
        <v>0</v>
      </c>
      <c r="AB395" s="36"/>
      <c r="AC395" s="36">
        <v>0</v>
      </c>
      <c r="AD395" s="36"/>
      <c r="AE395" s="36">
        <f t="shared" si="151"/>
        <v>501078.62</v>
      </c>
      <c r="AF395" s="36"/>
      <c r="AG395" s="36">
        <v>-4210.18</v>
      </c>
      <c r="AH395" s="36"/>
      <c r="AI395" s="36">
        <v>79287.46</v>
      </c>
      <c r="AJ395" s="36"/>
      <c r="AK395" s="36">
        <v>75077.28</v>
      </c>
      <c r="AL395" s="24">
        <f>+'Gen Rev'!AI394-'Gen Exp'!AE395+'Gen Exp'!AI395-AK395</f>
        <v>0</v>
      </c>
      <c r="AM395" s="44" t="str">
        <f>'Gen Rev'!A394</f>
        <v>Millersport</v>
      </c>
      <c r="AN395" s="21" t="str">
        <f t="shared" si="132"/>
        <v>Millersport</v>
      </c>
      <c r="AO395" s="21" t="b">
        <f t="shared" si="133"/>
        <v>1</v>
      </c>
    </row>
    <row r="396" spans="1:41" s="21" customFormat="1" ht="12.75" hidden="1">
      <c r="A396" s="1" t="s">
        <v>26</v>
      </c>
      <c r="B396" s="1"/>
      <c r="C396" s="1" t="s">
        <v>752</v>
      </c>
      <c r="D396" s="2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>
        <f t="shared" si="129"/>
        <v>0</v>
      </c>
      <c r="AF396" s="83"/>
      <c r="AG396" s="83"/>
      <c r="AH396" s="83"/>
      <c r="AI396" s="83"/>
      <c r="AJ396" s="83"/>
      <c r="AK396" s="83"/>
      <c r="AL396" s="24">
        <f>+'Gen Rev'!AI395-'Gen Exp'!AE396+'Gen Exp'!AI396-AK396</f>
        <v>0</v>
      </c>
      <c r="AM396" s="44" t="str">
        <f>'Gen Rev'!A395</f>
        <v>Millville</v>
      </c>
      <c r="AN396" s="21" t="str">
        <f t="shared" si="132"/>
        <v>Millville</v>
      </c>
      <c r="AO396" s="21" t="b">
        <f t="shared" si="133"/>
        <v>1</v>
      </c>
    </row>
    <row r="397" spans="1:41" s="21" customFormat="1" ht="12.75" hidden="1">
      <c r="A397" s="1" t="s">
        <v>684</v>
      </c>
      <c r="B397" s="1"/>
      <c r="C397" s="1" t="s">
        <v>603</v>
      </c>
      <c r="D397" s="1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>
        <f t="shared" si="129"/>
        <v>0</v>
      </c>
      <c r="AF397" s="83"/>
      <c r="AG397" s="83"/>
      <c r="AH397" s="83"/>
      <c r="AI397" s="83"/>
      <c r="AJ397" s="83"/>
      <c r="AK397" s="83"/>
      <c r="AL397" s="24">
        <f>+'Gen Rev'!AI396-'Gen Exp'!AE397+'Gen Exp'!AI397-AK397</f>
        <v>0</v>
      </c>
      <c r="AM397" s="44" t="str">
        <f>'Gen Rev'!A396</f>
        <v>Milton Center</v>
      </c>
      <c r="AN397" s="21" t="str">
        <f t="shared" si="132"/>
        <v>Milton Center</v>
      </c>
      <c r="AO397" s="21" t="b">
        <f t="shared" si="133"/>
        <v>1</v>
      </c>
    </row>
    <row r="398" spans="1:39" s="21" customFormat="1" ht="12.75">
      <c r="A398" s="1"/>
      <c r="B398" s="1"/>
      <c r="C398" s="1"/>
      <c r="D398" s="1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 t="s">
        <v>864</v>
      </c>
      <c r="AF398" s="83"/>
      <c r="AG398" s="83"/>
      <c r="AH398" s="83"/>
      <c r="AI398" s="83"/>
      <c r="AJ398" s="83"/>
      <c r="AK398" s="83"/>
      <c r="AL398" s="24"/>
      <c r="AM398" s="44"/>
    </row>
    <row r="399" spans="1:41" ht="12.75">
      <c r="A399" s="1" t="s">
        <v>476</v>
      </c>
      <c r="C399" s="1" t="s">
        <v>474</v>
      </c>
      <c r="E399" s="102">
        <v>911</v>
      </c>
      <c r="F399" s="102"/>
      <c r="G399" s="102">
        <v>142</v>
      </c>
      <c r="H399" s="102"/>
      <c r="I399" s="102">
        <v>0</v>
      </c>
      <c r="J399" s="102"/>
      <c r="K399" s="102">
        <v>0</v>
      </c>
      <c r="L399" s="102"/>
      <c r="M399" s="102">
        <v>387</v>
      </c>
      <c r="N399" s="102"/>
      <c r="O399" s="102">
        <v>0</v>
      </c>
      <c r="P399" s="102"/>
      <c r="Q399" s="102">
        <v>2859</v>
      </c>
      <c r="R399" s="102"/>
      <c r="S399" s="102">
        <v>0</v>
      </c>
      <c r="T399" s="102"/>
      <c r="U399" s="102">
        <v>0</v>
      </c>
      <c r="V399" s="102"/>
      <c r="W399" s="102">
        <v>0</v>
      </c>
      <c r="X399" s="102"/>
      <c r="Y399" s="102">
        <v>0</v>
      </c>
      <c r="Z399" s="102"/>
      <c r="AA399" s="102">
        <v>0</v>
      </c>
      <c r="AB399" s="102"/>
      <c r="AC399" s="102">
        <v>0</v>
      </c>
      <c r="AD399" s="102"/>
      <c r="AE399" s="102">
        <f t="shared" si="129"/>
        <v>4299</v>
      </c>
      <c r="AF399" s="83"/>
      <c r="AG399" s="83">
        <v>-1093</v>
      </c>
      <c r="AH399" s="83"/>
      <c r="AI399" s="83">
        <v>7588</v>
      </c>
      <c r="AJ399" s="83"/>
      <c r="AK399" s="83">
        <v>6495</v>
      </c>
      <c r="AL399" s="24">
        <f>+'Gen Rev'!AI397-'Gen Exp'!AE399+'Gen Exp'!AI399-AK399</f>
        <v>0</v>
      </c>
      <c r="AM399" s="44" t="str">
        <f>'Gen Rev'!A397</f>
        <v>Miltonsburg</v>
      </c>
      <c r="AN399" s="21" t="str">
        <f t="shared" si="132"/>
        <v>Miltonsburg</v>
      </c>
      <c r="AO399" s="21" t="b">
        <f t="shared" si="133"/>
        <v>1</v>
      </c>
    </row>
    <row r="400" spans="1:41" ht="12.75">
      <c r="A400" s="1" t="s">
        <v>234</v>
      </c>
      <c r="C400" s="1" t="s">
        <v>818</v>
      </c>
      <c r="D400" s="23"/>
      <c r="E400" s="36">
        <v>420</v>
      </c>
      <c r="F400" s="36"/>
      <c r="G400" s="36">
        <v>234.46</v>
      </c>
      <c r="H400" s="36"/>
      <c r="I400" s="36">
        <v>13448.66</v>
      </c>
      <c r="J400" s="36"/>
      <c r="K400" s="36">
        <v>3265.4</v>
      </c>
      <c r="L400" s="36"/>
      <c r="M400" s="36">
        <v>22583.7</v>
      </c>
      <c r="N400" s="36"/>
      <c r="O400" s="36">
        <v>495</v>
      </c>
      <c r="P400" s="36"/>
      <c r="Q400" s="36">
        <v>54132.22</v>
      </c>
      <c r="R400" s="36"/>
      <c r="S400" s="36">
        <v>0</v>
      </c>
      <c r="T400" s="36"/>
      <c r="U400" s="36">
        <v>0</v>
      </c>
      <c r="V400" s="36"/>
      <c r="W400" s="36">
        <v>0</v>
      </c>
      <c r="X400" s="36"/>
      <c r="Y400" s="36">
        <v>0</v>
      </c>
      <c r="Z400" s="36"/>
      <c r="AA400" s="36">
        <v>0</v>
      </c>
      <c r="AB400" s="36"/>
      <c r="AC400" s="36">
        <v>0</v>
      </c>
      <c r="AD400" s="36"/>
      <c r="AE400" s="36">
        <f aca="true" t="shared" si="152" ref="AE400">SUM(E400:AC400)</f>
        <v>94579.44</v>
      </c>
      <c r="AF400" s="36"/>
      <c r="AG400" s="36">
        <v>40395.07</v>
      </c>
      <c r="AH400" s="36"/>
      <c r="AI400" s="36">
        <v>190319.11</v>
      </c>
      <c r="AJ400" s="36"/>
      <c r="AK400" s="36">
        <v>230714.18</v>
      </c>
      <c r="AL400" s="24">
        <f>+'Gen Rev'!AI398-'Gen Exp'!AE400+'Gen Exp'!AI400-AK400</f>
        <v>0</v>
      </c>
      <c r="AM400" s="44" t="str">
        <f>'Gen Rev'!A398</f>
        <v>Mineral City</v>
      </c>
      <c r="AN400" s="21" t="str">
        <f t="shared" si="132"/>
        <v>Mineral City</v>
      </c>
      <c r="AO400" s="21" t="b">
        <f t="shared" si="133"/>
        <v>1</v>
      </c>
    </row>
    <row r="401" spans="1:41" s="21" customFormat="1" ht="12.75">
      <c r="A401" s="1" t="s">
        <v>547</v>
      </c>
      <c r="B401" s="1"/>
      <c r="C401" s="1" t="s">
        <v>542</v>
      </c>
      <c r="D401" s="1"/>
      <c r="E401" s="83">
        <v>1235590</v>
      </c>
      <c r="F401" s="83"/>
      <c r="G401" s="83">
        <v>20748</v>
      </c>
      <c r="H401" s="83"/>
      <c r="I401" s="83">
        <v>0</v>
      </c>
      <c r="J401" s="83"/>
      <c r="K401" s="83">
        <v>277</v>
      </c>
      <c r="L401" s="83"/>
      <c r="M401" s="83">
        <v>10298</v>
      </c>
      <c r="N401" s="83"/>
      <c r="O401" s="83">
        <v>0</v>
      </c>
      <c r="P401" s="83"/>
      <c r="Q401" s="83">
        <v>311479</v>
      </c>
      <c r="R401" s="83"/>
      <c r="S401" s="83">
        <v>0</v>
      </c>
      <c r="T401" s="83"/>
      <c r="U401" s="83">
        <v>0</v>
      </c>
      <c r="V401" s="83"/>
      <c r="W401" s="83">
        <v>0</v>
      </c>
      <c r="X401" s="83"/>
      <c r="Y401" s="83">
        <v>0</v>
      </c>
      <c r="Z401" s="83"/>
      <c r="AA401" s="83">
        <v>0</v>
      </c>
      <c r="AB401" s="83"/>
      <c r="AC401" s="83">
        <v>150313</v>
      </c>
      <c r="AD401" s="83"/>
      <c r="AE401" s="83">
        <f t="shared" si="129"/>
        <v>1728705</v>
      </c>
      <c r="AF401" s="83"/>
      <c r="AG401" s="83">
        <v>166109</v>
      </c>
      <c r="AH401" s="83"/>
      <c r="AI401" s="83">
        <v>1582408</v>
      </c>
      <c r="AJ401" s="83"/>
      <c r="AK401" s="83">
        <v>1748518</v>
      </c>
      <c r="AL401" s="24">
        <f>+'Gen Rev'!AI399-'Gen Exp'!AE401+'Gen Exp'!AI401-AK401</f>
        <v>-1</v>
      </c>
      <c r="AM401" s="44" t="str">
        <f>'Gen Rev'!A399</f>
        <v xml:space="preserve">Minerva  </v>
      </c>
      <c r="AN401" s="21" t="str">
        <f t="shared" si="132"/>
        <v xml:space="preserve">Minerva  </v>
      </c>
      <c r="AO401" s="21" t="b">
        <f t="shared" si="133"/>
        <v>1</v>
      </c>
    </row>
    <row r="402" spans="1:41" s="21" customFormat="1" ht="12.75">
      <c r="A402" s="1" t="s">
        <v>74</v>
      </c>
      <c r="B402" s="1"/>
      <c r="C402" s="1" t="s">
        <v>768</v>
      </c>
      <c r="D402" s="23"/>
      <c r="E402" s="96">
        <v>669385.31</v>
      </c>
      <c r="F402" s="96"/>
      <c r="G402" s="96">
        <v>0</v>
      </c>
      <c r="H402" s="96"/>
      <c r="I402" s="96">
        <v>116006.15</v>
      </c>
      <c r="J402" s="96"/>
      <c r="K402" s="96">
        <v>2630.03</v>
      </c>
      <c r="L402" s="96"/>
      <c r="M402" s="96">
        <v>131504.93</v>
      </c>
      <c r="N402" s="96"/>
      <c r="O402" s="96">
        <v>14900</v>
      </c>
      <c r="P402" s="96"/>
      <c r="Q402" s="96">
        <v>266193.96</v>
      </c>
      <c r="R402" s="96"/>
      <c r="S402" s="96">
        <v>0</v>
      </c>
      <c r="T402" s="96"/>
      <c r="U402" s="96">
        <v>0</v>
      </c>
      <c r="V402" s="96"/>
      <c r="W402" s="96">
        <v>0</v>
      </c>
      <c r="X402" s="96"/>
      <c r="Y402" s="96">
        <v>0</v>
      </c>
      <c r="Z402" s="96"/>
      <c r="AA402" s="96">
        <v>0</v>
      </c>
      <c r="AB402" s="96"/>
      <c r="AC402" s="96">
        <v>0</v>
      </c>
      <c r="AD402" s="96"/>
      <c r="AE402" s="96">
        <f aca="true" t="shared" si="153" ref="AE402">SUM(E402:AC402)</f>
        <v>1200620.3800000001</v>
      </c>
      <c r="AF402" s="36"/>
      <c r="AG402" s="36">
        <v>-61654.56</v>
      </c>
      <c r="AH402" s="36"/>
      <c r="AI402" s="36">
        <v>321987.18</v>
      </c>
      <c r="AJ402" s="36"/>
      <c r="AK402" s="36">
        <v>260332.62</v>
      </c>
      <c r="AL402" s="24">
        <f>+'Gen Rev'!AI400-'Gen Exp'!AE402+'Gen Exp'!AI402-AK402</f>
        <v>-2.9103830456733704E-10</v>
      </c>
      <c r="AM402" s="44" t="str">
        <f>'Gen Rev'!A400</f>
        <v>Minerva Park</v>
      </c>
      <c r="AN402" s="21" t="str">
        <f t="shared" si="132"/>
        <v>Minerva Park</v>
      </c>
      <c r="AO402" s="21" t="b">
        <f t="shared" si="133"/>
        <v>1</v>
      </c>
    </row>
    <row r="403" spans="1:41" s="21" customFormat="1" ht="12.75">
      <c r="A403" s="1" t="s">
        <v>423</v>
      </c>
      <c r="B403" s="1"/>
      <c r="C403" s="1" t="s">
        <v>420</v>
      </c>
      <c r="D403" s="1"/>
      <c r="E403" s="83">
        <v>500912.46</v>
      </c>
      <c r="F403" s="83"/>
      <c r="G403" s="83">
        <v>10572.25</v>
      </c>
      <c r="H403" s="83"/>
      <c r="I403" s="83">
        <v>0</v>
      </c>
      <c r="J403" s="83"/>
      <c r="K403" s="83">
        <v>0</v>
      </c>
      <c r="L403" s="83"/>
      <c r="M403" s="83">
        <v>1661.25</v>
      </c>
      <c r="N403" s="83"/>
      <c r="O403" s="83">
        <v>41602.04</v>
      </c>
      <c r="P403" s="83"/>
      <c r="Q403" s="83">
        <v>371121.3</v>
      </c>
      <c r="R403" s="83"/>
      <c r="S403" s="83">
        <v>550</v>
      </c>
      <c r="T403" s="83"/>
      <c r="U403" s="83">
        <v>0</v>
      </c>
      <c r="V403" s="83"/>
      <c r="W403" s="83">
        <v>0</v>
      </c>
      <c r="X403" s="83"/>
      <c r="Y403" s="83">
        <v>12000</v>
      </c>
      <c r="Z403" s="83"/>
      <c r="AA403" s="83">
        <v>0</v>
      </c>
      <c r="AB403" s="83"/>
      <c r="AC403" s="83">
        <v>512.46</v>
      </c>
      <c r="AD403" s="83"/>
      <c r="AE403" s="83">
        <f aca="true" t="shared" si="154" ref="AE403:AE468">SUM(E403:AC403)</f>
        <v>938931.76</v>
      </c>
      <c r="AF403" s="83"/>
      <c r="AG403" s="83">
        <v>175945.45</v>
      </c>
      <c r="AH403" s="83"/>
      <c r="AI403" s="83">
        <v>307432.67</v>
      </c>
      <c r="AJ403" s="83"/>
      <c r="AK403" s="83">
        <v>483378.12</v>
      </c>
      <c r="AL403" s="24">
        <f>+'Gen Rev'!AI401-'Gen Exp'!AE403+'Gen Exp'!AI403-AK403</f>
        <v>0</v>
      </c>
      <c r="AM403" s="44" t="str">
        <f>'Gen Rev'!A401</f>
        <v>Mingo Junction</v>
      </c>
      <c r="AN403" s="21" t="str">
        <f t="shared" si="132"/>
        <v>Mingo Junction</v>
      </c>
      <c r="AO403" s="21" t="b">
        <f t="shared" si="133"/>
        <v>1</v>
      </c>
    </row>
    <row r="404" spans="1:41" s="21" customFormat="1" ht="12.6" customHeight="1">
      <c r="A404" s="1" t="s">
        <v>276</v>
      </c>
      <c r="B404" s="1"/>
      <c r="C404" s="1" t="s">
        <v>275</v>
      </c>
      <c r="D404" s="1"/>
      <c r="E404" s="83">
        <v>634321</v>
      </c>
      <c r="F404" s="83"/>
      <c r="G404" s="83">
        <v>0</v>
      </c>
      <c r="H404" s="83"/>
      <c r="I404" s="83">
        <v>0</v>
      </c>
      <c r="J404" s="83"/>
      <c r="K404" s="83">
        <v>23166</v>
      </c>
      <c r="L404" s="83"/>
      <c r="M404" s="83">
        <v>0</v>
      </c>
      <c r="N404" s="83"/>
      <c r="O404" s="83">
        <v>0</v>
      </c>
      <c r="P404" s="83"/>
      <c r="Q404" s="83">
        <v>434832</v>
      </c>
      <c r="R404" s="83"/>
      <c r="S404" s="83">
        <v>197719</v>
      </c>
      <c r="T404" s="83"/>
      <c r="U404" s="83">
        <v>0</v>
      </c>
      <c r="V404" s="83"/>
      <c r="W404" s="83">
        <v>0</v>
      </c>
      <c r="X404" s="83"/>
      <c r="Y404" s="83">
        <v>2743421</v>
      </c>
      <c r="Z404" s="83"/>
      <c r="AA404" s="83">
        <v>0</v>
      </c>
      <c r="AB404" s="83"/>
      <c r="AC404" s="83">
        <v>0</v>
      </c>
      <c r="AD404" s="83"/>
      <c r="AE404" s="83">
        <f t="shared" si="154"/>
        <v>4033459</v>
      </c>
      <c r="AF404" s="83"/>
      <c r="AG404" s="36">
        <v>-77325</v>
      </c>
      <c r="AH404" s="36"/>
      <c r="AI404" s="36">
        <v>351576</v>
      </c>
      <c r="AJ404" s="36"/>
      <c r="AK404" s="36">
        <v>274251</v>
      </c>
      <c r="AL404" s="24">
        <f>+'Gen Rev'!AI402-'Gen Exp'!AE404+'Gen Exp'!AI404-AK404</f>
        <v>0</v>
      </c>
      <c r="AM404" s="44" t="str">
        <f>'Gen Rev'!A402</f>
        <v>Minster</v>
      </c>
      <c r="AN404" s="21" t="str">
        <f aca="true" t="shared" si="155" ref="AN404:AN469">A404</f>
        <v>Minster</v>
      </c>
      <c r="AO404" s="21" t="b">
        <f aca="true" t="shared" si="156" ref="AO404:AO469">AM404=AN404</f>
        <v>1</v>
      </c>
    </row>
    <row r="405" spans="1:41" s="21" customFormat="1" ht="12.75">
      <c r="A405" s="1" t="s">
        <v>552</v>
      </c>
      <c r="B405" s="1"/>
      <c r="C405" s="1" t="s">
        <v>551</v>
      </c>
      <c r="D405" s="1"/>
      <c r="E405" s="83">
        <v>1128620</v>
      </c>
      <c r="F405" s="83"/>
      <c r="G405" s="83">
        <v>20812</v>
      </c>
      <c r="H405" s="83"/>
      <c r="I405" s="83">
        <v>0</v>
      </c>
      <c r="J405" s="83"/>
      <c r="K405" s="83">
        <v>0</v>
      </c>
      <c r="L405" s="83"/>
      <c r="M405" s="83">
        <v>21408</v>
      </c>
      <c r="N405" s="83"/>
      <c r="O405" s="83">
        <v>0</v>
      </c>
      <c r="P405" s="83"/>
      <c r="Q405" s="83">
        <v>443968</v>
      </c>
      <c r="R405" s="83"/>
      <c r="S405" s="83">
        <v>30361</v>
      </c>
      <c r="T405" s="83"/>
      <c r="U405" s="83">
        <v>0</v>
      </c>
      <c r="V405" s="83"/>
      <c r="W405" s="83">
        <v>0</v>
      </c>
      <c r="X405" s="83"/>
      <c r="Y405" s="83">
        <v>0</v>
      </c>
      <c r="Z405" s="83"/>
      <c r="AA405" s="83">
        <v>0</v>
      </c>
      <c r="AB405" s="83"/>
      <c r="AC405" s="83">
        <v>0</v>
      </c>
      <c r="AD405" s="83"/>
      <c r="AE405" s="83">
        <f t="shared" si="154"/>
        <v>1645169</v>
      </c>
      <c r="AF405" s="83"/>
      <c r="AG405" s="83">
        <v>-25492</v>
      </c>
      <c r="AH405" s="83"/>
      <c r="AI405" s="83">
        <v>87370</v>
      </c>
      <c r="AJ405" s="83"/>
      <c r="AK405" s="83">
        <v>53958</v>
      </c>
      <c r="AL405" s="24">
        <f>+'Gen Rev'!AI403-'Gen Exp'!AE405+'Gen Exp'!AI405-AK405</f>
        <v>7920</v>
      </c>
      <c r="AM405" s="44" t="str">
        <f>'Gen Rev'!A403</f>
        <v>Mogadore</v>
      </c>
      <c r="AN405" s="21" t="str">
        <f t="shared" si="155"/>
        <v>Mogadore</v>
      </c>
      <c r="AO405" s="21" t="b">
        <f t="shared" si="156"/>
        <v>1</v>
      </c>
    </row>
    <row r="406" spans="1:41" s="21" customFormat="1" ht="12.75">
      <c r="A406" s="1" t="s">
        <v>415</v>
      </c>
      <c r="B406" s="1"/>
      <c r="C406" s="1" t="s">
        <v>416</v>
      </c>
      <c r="D406" s="1"/>
      <c r="E406" s="83">
        <v>356291</v>
      </c>
      <c r="F406" s="83"/>
      <c r="G406" s="83">
        <v>1292</v>
      </c>
      <c r="H406" s="83"/>
      <c r="I406" s="83">
        <v>42711</v>
      </c>
      <c r="J406" s="83"/>
      <c r="K406" s="83">
        <v>10724</v>
      </c>
      <c r="L406" s="83"/>
      <c r="M406" s="83">
        <v>0</v>
      </c>
      <c r="N406" s="83"/>
      <c r="O406" s="83">
        <v>77109</v>
      </c>
      <c r="P406" s="83"/>
      <c r="Q406" s="83">
        <v>154536</v>
      </c>
      <c r="R406" s="83"/>
      <c r="S406" s="83">
        <v>3670</v>
      </c>
      <c r="T406" s="83"/>
      <c r="U406" s="83">
        <v>0</v>
      </c>
      <c r="V406" s="83"/>
      <c r="W406" s="83">
        <v>0</v>
      </c>
      <c r="X406" s="83"/>
      <c r="Y406" s="83">
        <v>233547</v>
      </c>
      <c r="Z406" s="83"/>
      <c r="AA406" s="83">
        <v>564000</v>
      </c>
      <c r="AB406" s="83"/>
      <c r="AC406" s="83">
        <v>3900</v>
      </c>
      <c r="AD406" s="83"/>
      <c r="AE406" s="83">
        <f t="shared" si="154"/>
        <v>1447780</v>
      </c>
      <c r="AF406" s="83"/>
      <c r="AG406" s="83">
        <v>-308401</v>
      </c>
      <c r="AH406" s="83"/>
      <c r="AI406" s="83">
        <v>1253833</v>
      </c>
      <c r="AJ406" s="83"/>
      <c r="AK406" s="83">
        <v>945432</v>
      </c>
      <c r="AL406" s="24">
        <f>+'Gen Rev'!AI404-'Gen Exp'!AE406+'Gen Exp'!AI406-AK406</f>
        <v>0</v>
      </c>
      <c r="AM406" s="44" t="str">
        <f>'Gen Rev'!A404</f>
        <v>Monroeville</v>
      </c>
      <c r="AN406" s="21" t="str">
        <f t="shared" si="155"/>
        <v>Monroeville</v>
      </c>
      <c r="AO406" s="21" t="b">
        <f t="shared" si="156"/>
        <v>1</v>
      </c>
    </row>
    <row r="407" spans="1:41" ht="12.75">
      <c r="A407" s="1" t="s">
        <v>160</v>
      </c>
      <c r="C407" s="1" t="s">
        <v>794</v>
      </c>
      <c r="D407" s="23"/>
      <c r="E407" s="36">
        <v>362.5</v>
      </c>
      <c r="F407" s="36"/>
      <c r="G407" s="36">
        <v>1083.63</v>
      </c>
      <c r="H407" s="36"/>
      <c r="I407" s="36">
        <v>0</v>
      </c>
      <c r="J407" s="36"/>
      <c r="K407" s="36">
        <v>0</v>
      </c>
      <c r="L407" s="36"/>
      <c r="M407" s="36">
        <v>0</v>
      </c>
      <c r="N407" s="36"/>
      <c r="O407" s="36">
        <v>0</v>
      </c>
      <c r="P407" s="36"/>
      <c r="Q407" s="36">
        <v>11640.54</v>
      </c>
      <c r="R407" s="36"/>
      <c r="S407" s="36">
        <v>414.9</v>
      </c>
      <c r="T407" s="36"/>
      <c r="U407" s="36">
        <v>0</v>
      </c>
      <c r="V407" s="36"/>
      <c r="W407" s="36">
        <v>0</v>
      </c>
      <c r="X407" s="36"/>
      <c r="Y407" s="36">
        <v>0</v>
      </c>
      <c r="Z407" s="36"/>
      <c r="AA407" s="36">
        <v>0</v>
      </c>
      <c r="AB407" s="36"/>
      <c r="AC407" s="36">
        <v>0</v>
      </c>
      <c r="AD407" s="36"/>
      <c r="AE407" s="36">
        <f aca="true" t="shared" si="157" ref="AE407">SUM(E407:AC407)</f>
        <v>13501.570000000002</v>
      </c>
      <c r="AF407" s="36"/>
      <c r="AG407" s="36">
        <v>8346.33</v>
      </c>
      <c r="AH407" s="36"/>
      <c r="AI407" s="36">
        <v>9917.68</v>
      </c>
      <c r="AJ407" s="36"/>
      <c r="AK407" s="36">
        <v>18264.01</v>
      </c>
      <c r="AL407" s="24">
        <f>+'Gen Rev'!AI405-'Gen Exp'!AE407+'Gen Exp'!AI407-AK407</f>
        <v>0</v>
      </c>
      <c r="AM407" s="44" t="str">
        <f>'Gen Rev'!A405</f>
        <v>Montezuma</v>
      </c>
      <c r="AN407" s="21" t="str">
        <f t="shared" si="155"/>
        <v>Montezuma</v>
      </c>
      <c r="AO407" s="21" t="b">
        <f t="shared" si="156"/>
        <v>1</v>
      </c>
    </row>
    <row r="408" spans="1:41" ht="12.75">
      <c r="A408" s="1" t="s">
        <v>599</v>
      </c>
      <c r="C408" s="1" t="s">
        <v>598</v>
      </c>
      <c r="E408" s="83">
        <v>678420</v>
      </c>
      <c r="F408" s="83"/>
      <c r="G408" s="83">
        <v>21789</v>
      </c>
      <c r="H408" s="83"/>
      <c r="I408" s="83">
        <v>0</v>
      </c>
      <c r="J408" s="83"/>
      <c r="K408" s="83">
        <v>0</v>
      </c>
      <c r="L408" s="83"/>
      <c r="M408" s="83">
        <v>303305</v>
      </c>
      <c r="N408" s="83"/>
      <c r="O408" s="83">
        <v>217049</v>
      </c>
      <c r="P408" s="83"/>
      <c r="Q408" s="83">
        <v>206749</v>
      </c>
      <c r="R408" s="83"/>
      <c r="S408" s="83">
        <v>0</v>
      </c>
      <c r="T408" s="83"/>
      <c r="U408" s="83">
        <v>0</v>
      </c>
      <c r="V408" s="83"/>
      <c r="W408" s="83">
        <v>0</v>
      </c>
      <c r="X408" s="83"/>
      <c r="Y408" s="83">
        <v>45000</v>
      </c>
      <c r="Z408" s="83"/>
      <c r="AA408" s="83">
        <v>0</v>
      </c>
      <c r="AB408" s="83"/>
      <c r="AC408" s="83">
        <v>0</v>
      </c>
      <c r="AD408" s="83"/>
      <c r="AE408" s="83">
        <f t="shared" si="154"/>
        <v>1472312</v>
      </c>
      <c r="AF408" s="83"/>
      <c r="AG408" s="83">
        <v>291973</v>
      </c>
      <c r="AH408" s="83"/>
      <c r="AI408" s="83">
        <v>594887</v>
      </c>
      <c r="AJ408" s="83"/>
      <c r="AK408" s="83">
        <v>886860</v>
      </c>
      <c r="AL408" s="24">
        <f>+'Gen Rev'!AI406-'Gen Exp'!AE408+'Gen Exp'!AI408-AK408</f>
        <v>0</v>
      </c>
      <c r="AM408" s="44" t="str">
        <f>'Gen Rev'!A406</f>
        <v>Montpelier</v>
      </c>
      <c r="AN408" s="21" t="str">
        <f t="shared" si="155"/>
        <v>Montpelier</v>
      </c>
      <c r="AO408" s="21" t="b">
        <f t="shared" si="156"/>
        <v>1</v>
      </c>
    </row>
    <row r="409" spans="1:41" s="21" customFormat="1" ht="12.6" customHeight="1">
      <c r="A409" s="1" t="s">
        <v>323</v>
      </c>
      <c r="B409" s="1"/>
      <c r="C409" s="1" t="s">
        <v>316</v>
      </c>
      <c r="D409" s="1"/>
      <c r="E409" s="83">
        <v>0</v>
      </c>
      <c r="F409" s="83"/>
      <c r="G409" s="83">
        <v>17529</v>
      </c>
      <c r="H409" s="83"/>
      <c r="I409" s="83">
        <v>0</v>
      </c>
      <c r="J409" s="83"/>
      <c r="K409" s="83">
        <v>72602</v>
      </c>
      <c r="L409" s="83"/>
      <c r="M409" s="83">
        <v>1208395</v>
      </c>
      <c r="N409" s="83"/>
      <c r="O409" s="83">
        <v>125823</v>
      </c>
      <c r="P409" s="83"/>
      <c r="Q409" s="83">
        <v>1657218</v>
      </c>
      <c r="R409" s="83"/>
      <c r="S409" s="83">
        <v>0</v>
      </c>
      <c r="T409" s="83"/>
      <c r="U409" s="83">
        <v>0</v>
      </c>
      <c r="V409" s="83"/>
      <c r="W409" s="83">
        <v>0</v>
      </c>
      <c r="X409" s="83"/>
      <c r="Y409" s="83">
        <v>1371032</v>
      </c>
      <c r="Z409" s="83"/>
      <c r="AA409" s="83">
        <v>0</v>
      </c>
      <c r="AB409" s="83"/>
      <c r="AC409" s="83">
        <v>0</v>
      </c>
      <c r="AD409" s="83"/>
      <c r="AE409" s="83">
        <f t="shared" si="154"/>
        <v>4452599</v>
      </c>
      <c r="AF409" s="83"/>
      <c r="AG409" s="36">
        <v>707998</v>
      </c>
      <c r="AH409" s="36"/>
      <c r="AI409" s="36">
        <v>5200534</v>
      </c>
      <c r="AJ409" s="36"/>
      <c r="AK409" s="36">
        <v>5908532</v>
      </c>
      <c r="AL409" s="24">
        <f>+'Gen Rev'!AI407-'Gen Exp'!AE409+'Gen Exp'!AI409-AK409</f>
        <v>0</v>
      </c>
      <c r="AM409" s="44" t="str">
        <f>'Gen Rev'!A407</f>
        <v>Moreland Hills</v>
      </c>
      <c r="AN409" s="21" t="str">
        <f t="shared" si="155"/>
        <v>Moreland Hills</v>
      </c>
      <c r="AO409" s="21" t="b">
        <f t="shared" si="156"/>
        <v>1</v>
      </c>
    </row>
    <row r="410" spans="1:41" s="21" customFormat="1" ht="12.6" customHeight="1">
      <c r="A410" s="1" t="s">
        <v>950</v>
      </c>
      <c r="B410" s="1"/>
      <c r="C410" s="1" t="s">
        <v>463</v>
      </c>
      <c r="D410" s="1"/>
      <c r="E410" s="36">
        <v>7381.56</v>
      </c>
      <c r="F410" s="36"/>
      <c r="G410" s="36">
        <v>2953.6</v>
      </c>
      <c r="H410" s="36"/>
      <c r="I410" s="36">
        <v>0</v>
      </c>
      <c r="J410" s="36"/>
      <c r="K410" s="36">
        <v>0</v>
      </c>
      <c r="L410" s="36"/>
      <c r="M410" s="36">
        <v>0</v>
      </c>
      <c r="N410" s="36"/>
      <c r="O410" s="36">
        <v>0</v>
      </c>
      <c r="P410" s="36"/>
      <c r="Q410" s="36">
        <v>15168.16</v>
      </c>
      <c r="R410" s="36"/>
      <c r="S410" s="36">
        <v>0</v>
      </c>
      <c r="T410" s="36"/>
      <c r="U410" s="36">
        <v>0</v>
      </c>
      <c r="V410" s="36"/>
      <c r="W410" s="36">
        <v>0</v>
      </c>
      <c r="X410" s="36"/>
      <c r="Y410" s="36">
        <v>0</v>
      </c>
      <c r="Z410" s="36"/>
      <c r="AA410" s="36">
        <v>0</v>
      </c>
      <c r="AB410" s="36"/>
      <c r="AC410" s="36">
        <v>0</v>
      </c>
      <c r="AD410" s="36"/>
      <c r="AE410" s="36">
        <f aca="true" t="shared" si="158" ref="AE410:AE413">SUM(E410:AC410)</f>
        <v>25503.32</v>
      </c>
      <c r="AF410" s="36"/>
      <c r="AG410" s="36">
        <v>1536.18</v>
      </c>
      <c r="AH410" s="36"/>
      <c r="AI410" s="36">
        <v>1498.96</v>
      </c>
      <c r="AJ410" s="36"/>
      <c r="AK410" s="36">
        <v>3035.14</v>
      </c>
      <c r="AL410" s="24">
        <f>+'Gen Rev'!AI408-'Gen Exp'!AE410+'Gen Exp'!AI410-AK410</f>
        <v>0</v>
      </c>
      <c r="AM410" s="44" t="str">
        <f>'Gen Rev'!A408</f>
        <v>Morral</v>
      </c>
      <c r="AN410" s="21" t="str">
        <f t="shared" si="155"/>
        <v>Morral</v>
      </c>
      <c r="AO410" s="21" t="b">
        <f t="shared" si="156"/>
        <v>1</v>
      </c>
    </row>
    <row r="411" spans="1:41" ht="12.75">
      <c r="A411" s="1" t="s">
        <v>18</v>
      </c>
      <c r="C411" s="1" t="s">
        <v>750</v>
      </c>
      <c r="D411" s="23"/>
      <c r="E411" s="36">
        <v>5671.25</v>
      </c>
      <c r="F411" s="36"/>
      <c r="G411" s="36">
        <v>934.86</v>
      </c>
      <c r="H411" s="36"/>
      <c r="I411" s="36">
        <v>0</v>
      </c>
      <c r="J411" s="36"/>
      <c r="K411" s="36">
        <v>0</v>
      </c>
      <c r="L411" s="36"/>
      <c r="M411" s="36">
        <v>0</v>
      </c>
      <c r="N411" s="36"/>
      <c r="O411" s="36">
        <v>0</v>
      </c>
      <c r="P411" s="36"/>
      <c r="Q411" s="36">
        <v>24566.08</v>
      </c>
      <c r="R411" s="36"/>
      <c r="S411" s="36">
        <v>0</v>
      </c>
      <c r="T411" s="36"/>
      <c r="U411" s="36">
        <v>0</v>
      </c>
      <c r="V411" s="36"/>
      <c r="W411" s="36">
        <v>2851.44</v>
      </c>
      <c r="X411" s="36"/>
      <c r="Y411" s="36">
        <v>0</v>
      </c>
      <c r="Z411" s="36"/>
      <c r="AA411" s="36">
        <v>0</v>
      </c>
      <c r="AB411" s="36"/>
      <c r="AC411" s="36">
        <v>0</v>
      </c>
      <c r="AD411" s="36"/>
      <c r="AE411" s="36">
        <f t="shared" si="158"/>
        <v>34023.630000000005</v>
      </c>
      <c r="AF411" s="36"/>
      <c r="AG411" s="36">
        <v>-2871.93</v>
      </c>
      <c r="AH411" s="36"/>
      <c r="AI411" s="36">
        <v>3552</v>
      </c>
      <c r="AJ411" s="36"/>
      <c r="AK411" s="36">
        <v>680.07</v>
      </c>
      <c r="AL411" s="24">
        <f>+'Gen Rev'!AI410-'Gen Exp'!AE411+'Gen Exp'!AI411-AK411</f>
        <v>-3.979039320256561E-12</v>
      </c>
      <c r="AM411" s="44" t="str">
        <f>'Gen Rev'!A410</f>
        <v>Morristown</v>
      </c>
      <c r="AN411" s="21" t="str">
        <f t="shared" si="155"/>
        <v>Morristown</v>
      </c>
      <c r="AO411" s="21" t="b">
        <f t="shared" si="156"/>
        <v>1</v>
      </c>
    </row>
    <row r="412" spans="1:41" ht="12.75">
      <c r="A412" s="1" t="s">
        <v>243</v>
      </c>
      <c r="C412" s="1" t="s">
        <v>821</v>
      </c>
      <c r="D412" s="23"/>
      <c r="E412" s="36">
        <v>212102.17</v>
      </c>
      <c r="F412" s="36"/>
      <c r="G412" s="36">
        <v>719.94</v>
      </c>
      <c r="H412" s="36"/>
      <c r="I412" s="36">
        <v>643.66</v>
      </c>
      <c r="J412" s="36"/>
      <c r="K412" s="36">
        <v>4079.87</v>
      </c>
      <c r="L412" s="36"/>
      <c r="M412" s="36">
        <v>118375.2</v>
      </c>
      <c r="N412" s="36"/>
      <c r="O412" s="36">
        <v>0</v>
      </c>
      <c r="P412" s="36"/>
      <c r="Q412" s="36">
        <v>209685.71</v>
      </c>
      <c r="R412" s="36"/>
      <c r="S412" s="36">
        <v>0</v>
      </c>
      <c r="T412" s="36"/>
      <c r="U412" s="36">
        <v>2458.62</v>
      </c>
      <c r="V412" s="36"/>
      <c r="W412" s="36">
        <v>3469.72</v>
      </c>
      <c r="X412" s="36"/>
      <c r="Y412" s="36">
        <v>0</v>
      </c>
      <c r="Z412" s="36"/>
      <c r="AA412" s="36">
        <v>0</v>
      </c>
      <c r="AB412" s="36"/>
      <c r="AC412" s="36">
        <v>0</v>
      </c>
      <c r="AD412" s="36"/>
      <c r="AE412" s="36">
        <f t="shared" si="158"/>
        <v>551534.89</v>
      </c>
      <c r="AF412" s="36"/>
      <c r="AG412" s="36">
        <v>55547.33</v>
      </c>
      <c r="AH412" s="36"/>
      <c r="AI412" s="36">
        <v>106768.36</v>
      </c>
      <c r="AJ412" s="36"/>
      <c r="AK412" s="36">
        <v>162315.69</v>
      </c>
      <c r="AL412" s="24">
        <f>+'Gen Rev'!AI411-'Gen Exp'!AE412+'Gen Exp'!AI412-AK412</f>
        <v>0</v>
      </c>
      <c r="AM412" s="44" t="str">
        <f>'Gen Rev'!A411</f>
        <v>Morrow</v>
      </c>
      <c r="AN412" s="21" t="str">
        <f t="shared" si="155"/>
        <v>Morrow</v>
      </c>
      <c r="AO412" s="21" t="b">
        <f t="shared" si="156"/>
        <v>1</v>
      </c>
    </row>
    <row r="413" spans="1:41" s="19" customFormat="1" ht="12.6" customHeight="1">
      <c r="A413" s="10" t="s">
        <v>298</v>
      </c>
      <c r="B413" s="10"/>
      <c r="C413" s="10" t="s">
        <v>295</v>
      </c>
      <c r="D413" s="10"/>
      <c r="E413" s="36">
        <v>59527.67</v>
      </c>
      <c r="F413" s="36"/>
      <c r="G413" s="36">
        <v>8460.93</v>
      </c>
      <c r="H413" s="36"/>
      <c r="I413" s="36">
        <v>252112.42</v>
      </c>
      <c r="J413" s="36"/>
      <c r="K413" s="36">
        <v>2768.8</v>
      </c>
      <c r="L413" s="36"/>
      <c r="M413" s="36">
        <v>27706.61</v>
      </c>
      <c r="N413" s="36"/>
      <c r="O413" s="36">
        <v>0</v>
      </c>
      <c r="P413" s="36"/>
      <c r="Q413" s="36">
        <v>303815.79</v>
      </c>
      <c r="R413" s="36"/>
      <c r="S413" s="36">
        <v>0</v>
      </c>
      <c r="T413" s="36"/>
      <c r="U413" s="36">
        <v>0</v>
      </c>
      <c r="V413" s="36"/>
      <c r="W413" s="36">
        <v>0</v>
      </c>
      <c r="X413" s="36"/>
      <c r="Y413" s="36">
        <v>0</v>
      </c>
      <c r="Z413" s="36"/>
      <c r="AA413" s="36">
        <v>0</v>
      </c>
      <c r="AB413" s="36"/>
      <c r="AC413" s="36">
        <v>0</v>
      </c>
      <c r="AD413" s="36"/>
      <c r="AE413" s="36">
        <f t="shared" si="158"/>
        <v>654392.22</v>
      </c>
      <c r="AF413" s="36"/>
      <c r="AG413" s="36">
        <v>341634.86</v>
      </c>
      <c r="AH413" s="36"/>
      <c r="AI413" s="36">
        <v>577088.52</v>
      </c>
      <c r="AJ413" s="36"/>
      <c r="AK413" s="36">
        <v>918723.38</v>
      </c>
      <c r="AL413" s="24">
        <f>+'Gen Rev'!AI412-'Gen Exp'!AE413+'Gen Exp'!AI413-AK413</f>
        <v>0</v>
      </c>
      <c r="AM413" s="44" t="str">
        <f>'Gen Rev'!A412</f>
        <v>Moscow</v>
      </c>
      <c r="AN413" s="21" t="str">
        <f t="shared" si="155"/>
        <v>Moscow</v>
      </c>
      <c r="AO413" s="21" t="b">
        <f t="shared" si="156"/>
        <v>1</v>
      </c>
    </row>
    <row r="414" spans="1:41" ht="12.75">
      <c r="A414" s="1" t="s">
        <v>249</v>
      </c>
      <c r="C414" s="1" t="s">
        <v>823</v>
      </c>
      <c r="D414" s="23"/>
      <c r="E414" s="95">
        <v>88582.42</v>
      </c>
      <c r="F414" s="95"/>
      <c r="G414" s="95">
        <v>3627.98</v>
      </c>
      <c r="H414" s="95"/>
      <c r="I414" s="95">
        <v>1430.01</v>
      </c>
      <c r="J414" s="95"/>
      <c r="K414" s="95">
        <v>0</v>
      </c>
      <c r="L414" s="95"/>
      <c r="M414" s="95">
        <v>0</v>
      </c>
      <c r="N414" s="95"/>
      <c r="O414" s="95">
        <v>0</v>
      </c>
      <c r="P414" s="95"/>
      <c r="Q414" s="95">
        <v>69497.08</v>
      </c>
      <c r="R414" s="95"/>
      <c r="S414" s="95">
        <v>0</v>
      </c>
      <c r="T414" s="95"/>
      <c r="U414" s="95">
        <v>0</v>
      </c>
      <c r="V414" s="95"/>
      <c r="W414" s="95">
        <v>0</v>
      </c>
      <c r="X414" s="95"/>
      <c r="Y414" s="95">
        <v>45000</v>
      </c>
      <c r="Z414" s="95"/>
      <c r="AA414" s="95">
        <v>0</v>
      </c>
      <c r="AB414" s="95"/>
      <c r="AC414" s="95">
        <v>0</v>
      </c>
      <c r="AD414" s="95"/>
      <c r="AE414" s="95">
        <f aca="true" t="shared" si="159" ref="AE414:AE415">SUM(E414:AC414)</f>
        <v>208137.49</v>
      </c>
      <c r="AF414" s="95"/>
      <c r="AG414" s="95">
        <v>-11246.02</v>
      </c>
      <c r="AH414" s="95"/>
      <c r="AI414" s="95">
        <v>123318.11</v>
      </c>
      <c r="AJ414" s="95"/>
      <c r="AK414" s="95">
        <v>112072.09</v>
      </c>
      <c r="AL414" s="24">
        <f>+'Gen Rev'!AI413-'Gen Exp'!AE414+'Gen Exp'!AI414-AK414</f>
        <v>0</v>
      </c>
      <c r="AM414" s="44" t="str">
        <f>'Gen Rev'!A413</f>
        <v>Mount Eaton</v>
      </c>
      <c r="AN414" s="21" t="str">
        <f t="shared" si="155"/>
        <v>Mount Eaton</v>
      </c>
      <c r="AO414" s="21" t="b">
        <f t="shared" si="156"/>
        <v>1</v>
      </c>
    </row>
    <row r="415" spans="1:41" s="21" customFormat="1" ht="12.75">
      <c r="A415" s="1" t="s">
        <v>141</v>
      </c>
      <c r="B415" s="1"/>
      <c r="C415" s="1" t="s">
        <v>789</v>
      </c>
      <c r="D415" s="23"/>
      <c r="E415" s="95">
        <v>415837.32</v>
      </c>
      <c r="F415" s="95"/>
      <c r="G415" s="95">
        <v>0</v>
      </c>
      <c r="H415" s="95"/>
      <c r="I415" s="95">
        <v>6705.51</v>
      </c>
      <c r="J415" s="95"/>
      <c r="K415" s="95">
        <v>8957.72</v>
      </c>
      <c r="L415" s="95"/>
      <c r="M415" s="95">
        <v>0</v>
      </c>
      <c r="N415" s="95"/>
      <c r="O415" s="95">
        <v>0</v>
      </c>
      <c r="P415" s="95"/>
      <c r="Q415" s="95">
        <v>224063</v>
      </c>
      <c r="R415" s="95"/>
      <c r="S415" s="95">
        <v>17959.15</v>
      </c>
      <c r="T415" s="95"/>
      <c r="U415" s="95">
        <v>0</v>
      </c>
      <c r="V415" s="95"/>
      <c r="W415" s="95">
        <v>0</v>
      </c>
      <c r="X415" s="95"/>
      <c r="Y415" s="95">
        <v>0</v>
      </c>
      <c r="Z415" s="95"/>
      <c r="AA415" s="95">
        <v>0</v>
      </c>
      <c r="AB415" s="95"/>
      <c r="AC415" s="95">
        <v>0</v>
      </c>
      <c r="AD415" s="95"/>
      <c r="AE415" s="95">
        <f t="shared" si="159"/>
        <v>673522.7000000001</v>
      </c>
      <c r="AF415" s="95"/>
      <c r="AG415" s="95">
        <v>93170.98</v>
      </c>
      <c r="AH415" s="95"/>
      <c r="AI415" s="95">
        <v>1727.64</v>
      </c>
      <c r="AJ415" s="95"/>
      <c r="AK415" s="95">
        <v>94898.62</v>
      </c>
      <c r="AL415" s="24">
        <f>+'Gen Rev'!AI414-'Gen Exp'!AE415+'Gen Exp'!AI415-AK415</f>
        <v>-1.3096723705530167E-10</v>
      </c>
      <c r="AM415" s="44" t="str">
        <f>'Gen Rev'!A414</f>
        <v>Mount Sterling</v>
      </c>
      <c r="AN415" s="21" t="str">
        <f t="shared" si="155"/>
        <v>Mount Sterling</v>
      </c>
      <c r="AO415" s="21" t="b">
        <f t="shared" si="156"/>
        <v>1</v>
      </c>
    </row>
    <row r="416" spans="1:41" s="21" customFormat="1" ht="12.75" hidden="1">
      <c r="A416" s="1" t="s">
        <v>99</v>
      </c>
      <c r="B416" s="1"/>
      <c r="C416" s="1" t="s">
        <v>775</v>
      </c>
      <c r="D416" s="2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>
        <f t="shared" si="154"/>
        <v>0</v>
      </c>
      <c r="AF416" s="83"/>
      <c r="AG416" s="83"/>
      <c r="AH416" s="83"/>
      <c r="AI416" s="83"/>
      <c r="AJ416" s="83"/>
      <c r="AK416" s="83"/>
      <c r="AL416" s="24">
        <f>+'Gen Rev'!AI415-'Gen Exp'!AE416+'Gen Exp'!AI416-AK416</f>
        <v>0</v>
      </c>
      <c r="AM416" s="44" t="str">
        <f>'Gen Rev'!A415</f>
        <v>Mount Victory</v>
      </c>
      <c r="AN416" s="21" t="str">
        <f t="shared" si="155"/>
        <v>Mount Victory</v>
      </c>
      <c r="AO416" s="21" t="b">
        <f t="shared" si="156"/>
        <v>1</v>
      </c>
    </row>
    <row r="417" spans="1:41" ht="12.75">
      <c r="A417" s="1" t="s">
        <v>410</v>
      </c>
      <c r="C417" s="1" t="s">
        <v>409</v>
      </c>
      <c r="E417" s="95">
        <v>0</v>
      </c>
      <c r="F417" s="95"/>
      <c r="G417" s="95">
        <v>0</v>
      </c>
      <c r="H417" s="95"/>
      <c r="I417" s="95">
        <v>420.11</v>
      </c>
      <c r="J417" s="95"/>
      <c r="K417" s="95">
        <v>0</v>
      </c>
      <c r="L417" s="95"/>
      <c r="M417" s="95">
        <v>16404.01</v>
      </c>
      <c r="N417" s="95"/>
      <c r="O417" s="95">
        <v>0</v>
      </c>
      <c r="P417" s="95"/>
      <c r="Q417" s="95">
        <v>36536.52</v>
      </c>
      <c r="R417" s="95"/>
      <c r="S417" s="95">
        <v>0</v>
      </c>
      <c r="T417" s="95"/>
      <c r="U417" s="95">
        <v>0</v>
      </c>
      <c r="V417" s="95"/>
      <c r="W417" s="95">
        <v>0</v>
      </c>
      <c r="X417" s="95"/>
      <c r="Y417" s="95">
        <v>0</v>
      </c>
      <c r="Z417" s="95"/>
      <c r="AA417" s="95">
        <v>0</v>
      </c>
      <c r="AB417" s="95"/>
      <c r="AC417" s="95">
        <v>0</v>
      </c>
      <c r="AD417" s="95"/>
      <c r="AE417" s="95">
        <f aca="true" t="shared" si="160" ref="AE417">SUM(E417:AC417)</f>
        <v>53360.64</v>
      </c>
      <c r="AF417" s="95"/>
      <c r="AG417" s="95">
        <v>8740.69</v>
      </c>
      <c r="AH417" s="95"/>
      <c r="AI417" s="95">
        <v>6473.22</v>
      </c>
      <c r="AJ417" s="95"/>
      <c r="AK417" s="95">
        <v>15213.91</v>
      </c>
      <c r="AL417" s="24">
        <f>+'Gen Rev'!AI416-'Gen Exp'!AE417+'Gen Exp'!AI417-AK417</f>
        <v>0</v>
      </c>
      <c r="AM417" s="44" t="str">
        <f>'Gen Rev'!A416</f>
        <v>Mowrystown</v>
      </c>
      <c r="AN417" s="21" t="str">
        <f t="shared" si="155"/>
        <v>Mowrystown</v>
      </c>
      <c r="AO417" s="21" t="b">
        <f t="shared" si="156"/>
        <v>1</v>
      </c>
    </row>
    <row r="418" spans="1:41" s="50" customFormat="1" ht="12.75">
      <c r="A418" s="38" t="s">
        <v>390</v>
      </c>
      <c r="B418" s="38"/>
      <c r="C418" s="38" t="s">
        <v>388</v>
      </c>
      <c r="D418" s="38"/>
      <c r="E418" s="36">
        <v>0</v>
      </c>
      <c r="F418" s="36"/>
      <c r="G418" s="36">
        <v>3170</v>
      </c>
      <c r="H418" s="36"/>
      <c r="I418" s="36">
        <v>0</v>
      </c>
      <c r="J418" s="36"/>
      <c r="K418" s="36">
        <v>110</v>
      </c>
      <c r="L418" s="36"/>
      <c r="M418" s="36">
        <v>379.46</v>
      </c>
      <c r="N418" s="36"/>
      <c r="O418" s="36">
        <v>3447.06</v>
      </c>
      <c r="P418" s="36"/>
      <c r="Q418" s="36">
        <v>48689.76</v>
      </c>
      <c r="R418" s="36"/>
      <c r="S418" s="36">
        <v>0</v>
      </c>
      <c r="T418" s="36"/>
      <c r="U418" s="36">
        <v>4369.44</v>
      </c>
      <c r="V418" s="36"/>
      <c r="W418" s="36">
        <v>175.08</v>
      </c>
      <c r="X418" s="36"/>
      <c r="Y418" s="36">
        <v>14680</v>
      </c>
      <c r="Z418" s="36"/>
      <c r="AA418" s="36">
        <v>0</v>
      </c>
      <c r="AB418" s="36"/>
      <c r="AC418" s="36">
        <v>4992.13</v>
      </c>
      <c r="AD418" s="36"/>
      <c r="AE418" s="36">
        <f aca="true" t="shared" si="161" ref="AE418">SUM(E418:AC418)</f>
        <v>80012.93000000001</v>
      </c>
      <c r="AF418" s="36"/>
      <c r="AG418" s="36">
        <v>10397.11</v>
      </c>
      <c r="AH418" s="36"/>
      <c r="AI418" s="36">
        <v>16733.6</v>
      </c>
      <c r="AJ418" s="36"/>
      <c r="AK418" s="36">
        <v>27130.71</v>
      </c>
      <c r="AL418" s="24">
        <f>+'Gen Rev'!AI417-'Gen Exp'!AE418+'Gen Exp'!AI418-AK418</f>
        <v>0</v>
      </c>
      <c r="AM418" s="44" t="str">
        <f>'Gen Rev'!A417</f>
        <v>Mt. Blanchard</v>
      </c>
      <c r="AN418" s="21" t="str">
        <f t="shared" si="155"/>
        <v>Mt. Blanchard</v>
      </c>
      <c r="AO418" s="21" t="b">
        <f t="shared" si="156"/>
        <v>1</v>
      </c>
    </row>
    <row r="419" spans="1:41" ht="12.75">
      <c r="A419" s="1" t="s">
        <v>391</v>
      </c>
      <c r="C419" s="1" t="s">
        <v>388</v>
      </c>
      <c r="E419" s="83">
        <v>13737.01</v>
      </c>
      <c r="F419" s="83"/>
      <c r="G419" s="83">
        <v>913.76</v>
      </c>
      <c r="H419" s="83"/>
      <c r="I419" s="83">
        <v>5454.15</v>
      </c>
      <c r="J419" s="83"/>
      <c r="K419" s="83">
        <v>0</v>
      </c>
      <c r="L419" s="83"/>
      <c r="M419" s="83">
        <v>11453.96</v>
      </c>
      <c r="N419" s="83"/>
      <c r="O419" s="83">
        <v>0</v>
      </c>
      <c r="P419" s="83"/>
      <c r="Q419" s="83">
        <v>31064.06</v>
      </c>
      <c r="R419" s="83"/>
      <c r="S419" s="83">
        <v>0</v>
      </c>
      <c r="T419" s="83"/>
      <c r="U419" s="83">
        <v>0</v>
      </c>
      <c r="V419" s="83"/>
      <c r="W419" s="83">
        <v>0</v>
      </c>
      <c r="X419" s="83"/>
      <c r="Y419" s="83">
        <v>0</v>
      </c>
      <c r="Z419" s="83"/>
      <c r="AA419" s="83">
        <v>0</v>
      </c>
      <c r="AB419" s="83"/>
      <c r="AC419" s="83">
        <v>0</v>
      </c>
      <c r="AD419" s="87"/>
      <c r="AE419" s="83">
        <f t="shared" si="154"/>
        <v>62622.94</v>
      </c>
      <c r="AF419" s="83"/>
      <c r="AG419" s="83">
        <v>-11977</v>
      </c>
      <c r="AH419" s="83"/>
      <c r="AI419" s="83">
        <v>27279.9</v>
      </c>
      <c r="AJ419" s="83"/>
      <c r="AK419" s="83">
        <v>15302.9</v>
      </c>
      <c r="AL419" s="24">
        <f>+'Gen Rev'!AI418-'Gen Exp'!AE419+'Gen Exp'!AI419-AK419</f>
        <v>0</v>
      </c>
      <c r="AM419" s="44" t="str">
        <f>'Gen Rev'!A418</f>
        <v>Mt. Cory</v>
      </c>
      <c r="AN419" s="21" t="str">
        <f t="shared" si="155"/>
        <v>Mt. Cory</v>
      </c>
      <c r="AO419" s="21" t="b">
        <f t="shared" si="156"/>
        <v>1</v>
      </c>
    </row>
    <row r="420" spans="1:41" ht="12.75">
      <c r="A420" s="1" t="s">
        <v>483</v>
      </c>
      <c r="C420" s="1" t="s">
        <v>243</v>
      </c>
      <c r="E420" s="83">
        <v>497444</v>
      </c>
      <c r="F420" s="83"/>
      <c r="G420" s="83">
        <v>3332</v>
      </c>
      <c r="H420" s="83"/>
      <c r="I420" s="83">
        <v>0</v>
      </c>
      <c r="J420" s="83"/>
      <c r="K420" s="83">
        <v>26941</v>
      </c>
      <c r="L420" s="83"/>
      <c r="M420" s="83">
        <v>0</v>
      </c>
      <c r="N420" s="83"/>
      <c r="O420" s="83">
        <v>0</v>
      </c>
      <c r="P420" s="83"/>
      <c r="Q420" s="83">
        <v>358493</v>
      </c>
      <c r="R420" s="83"/>
      <c r="S420" s="83">
        <v>0</v>
      </c>
      <c r="T420" s="83"/>
      <c r="U420" s="83">
        <v>0</v>
      </c>
      <c r="V420" s="83"/>
      <c r="W420" s="83">
        <v>0</v>
      </c>
      <c r="X420" s="83"/>
      <c r="Y420" s="83">
        <v>341830</v>
      </c>
      <c r="Z420" s="83"/>
      <c r="AA420" s="83">
        <v>0</v>
      </c>
      <c r="AB420" s="83"/>
      <c r="AC420" s="83">
        <v>0</v>
      </c>
      <c r="AD420" s="83"/>
      <c r="AE420" s="83">
        <f t="shared" si="154"/>
        <v>1228040</v>
      </c>
      <c r="AF420" s="83"/>
      <c r="AG420" s="83">
        <v>-33240</v>
      </c>
      <c r="AH420" s="83"/>
      <c r="AI420" s="83">
        <v>2442127</v>
      </c>
      <c r="AJ420" s="83"/>
      <c r="AK420" s="83">
        <v>2408886</v>
      </c>
      <c r="AL420" s="24">
        <f>+'Gen Rev'!AI419-'Gen Exp'!AE420+'Gen Exp'!AI420-AK420</f>
        <v>0</v>
      </c>
      <c r="AM420" s="44" t="str">
        <f>'Gen Rev'!A419</f>
        <v>Mt. Giliad</v>
      </c>
      <c r="AN420" s="21" t="str">
        <f t="shared" si="155"/>
        <v>Mt. Giliad</v>
      </c>
      <c r="AO420" s="21" t="b">
        <f t="shared" si="156"/>
        <v>1</v>
      </c>
    </row>
    <row r="421" spans="1:41" ht="12.75">
      <c r="A421" s="1" t="s">
        <v>24</v>
      </c>
      <c r="C421" s="1" t="s">
        <v>751</v>
      </c>
      <c r="D421" s="23"/>
      <c r="E421" s="36">
        <v>688903.72</v>
      </c>
      <c r="F421" s="36"/>
      <c r="G421" s="36">
        <v>6102.52</v>
      </c>
      <c r="H421" s="36"/>
      <c r="I421" s="36">
        <v>37849.48</v>
      </c>
      <c r="J421" s="36"/>
      <c r="K421" s="36">
        <v>56971.88</v>
      </c>
      <c r="L421" s="36"/>
      <c r="M421" s="36">
        <v>0</v>
      </c>
      <c r="N421" s="36"/>
      <c r="O421" s="36">
        <v>336419.44</v>
      </c>
      <c r="P421" s="36"/>
      <c r="Q421" s="36">
        <v>222087.19</v>
      </c>
      <c r="R421" s="36"/>
      <c r="S421" s="36">
        <v>0</v>
      </c>
      <c r="T421" s="36"/>
      <c r="U421" s="36">
        <v>0</v>
      </c>
      <c r="V421" s="36"/>
      <c r="W421" s="36">
        <v>12709.6</v>
      </c>
      <c r="X421" s="36"/>
      <c r="Y421" s="36">
        <v>0</v>
      </c>
      <c r="Z421" s="36"/>
      <c r="AA421" s="36">
        <v>10000</v>
      </c>
      <c r="AB421" s="36"/>
      <c r="AC421" s="36">
        <v>13921.35</v>
      </c>
      <c r="AD421" s="36"/>
      <c r="AE421" s="36">
        <f aca="true" t="shared" si="162" ref="AE421">SUM(E421:AC421)</f>
        <v>1384965.1800000002</v>
      </c>
      <c r="AF421" s="36"/>
      <c r="AG421" s="36">
        <v>-121246.05</v>
      </c>
      <c r="AH421" s="36"/>
      <c r="AI421" s="36">
        <v>298532.95</v>
      </c>
      <c r="AJ421" s="36"/>
      <c r="AK421" s="36">
        <v>177286.9</v>
      </c>
      <c r="AL421" s="24">
        <f>+'Gen Rev'!AI420-'Gen Exp'!AE421+'Gen Exp'!AI421-AK421</f>
        <v>-2.6193447411060333E-10</v>
      </c>
      <c r="AM421" s="44" t="str">
        <f>'Gen Rev'!A420</f>
        <v>Mt. Orab</v>
      </c>
      <c r="AN421" s="21" t="str">
        <f t="shared" si="155"/>
        <v>Mt. Orab</v>
      </c>
      <c r="AO421" s="21" t="b">
        <f t="shared" si="156"/>
        <v>1</v>
      </c>
    </row>
    <row r="422" spans="1:41" s="21" customFormat="1" ht="12.75" hidden="1">
      <c r="A422" s="1" t="s">
        <v>112</v>
      </c>
      <c r="B422" s="1"/>
      <c r="C422" s="1" t="s">
        <v>779</v>
      </c>
      <c r="D422" s="2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>
        <f t="shared" si="154"/>
        <v>0</v>
      </c>
      <c r="AF422" s="83"/>
      <c r="AG422" s="83"/>
      <c r="AH422" s="83"/>
      <c r="AI422" s="83"/>
      <c r="AJ422" s="83"/>
      <c r="AK422" s="83"/>
      <c r="AL422" s="24">
        <f>+'Gen Rev'!AI421-'Gen Exp'!AE422+'Gen Exp'!AI422-AK422</f>
        <v>0</v>
      </c>
      <c r="AM422" s="44" t="str">
        <f>'Gen Rev'!A421</f>
        <v>Murray City</v>
      </c>
      <c r="AN422" s="21" t="str">
        <f t="shared" si="155"/>
        <v>Murray City</v>
      </c>
      <c r="AO422" s="21" t="b">
        <f t="shared" si="156"/>
        <v>1</v>
      </c>
    </row>
    <row r="423" spans="1:41" s="19" customFormat="1" ht="12.6" customHeight="1">
      <c r="A423" s="10" t="s">
        <v>288</v>
      </c>
      <c r="B423" s="10"/>
      <c r="C423" s="10" t="s">
        <v>287</v>
      </c>
      <c r="D423" s="10"/>
      <c r="E423" s="36">
        <v>2333.58</v>
      </c>
      <c r="F423" s="36"/>
      <c r="G423" s="36">
        <v>0</v>
      </c>
      <c r="H423" s="36"/>
      <c r="I423" s="36">
        <v>0</v>
      </c>
      <c r="J423" s="36"/>
      <c r="K423" s="36">
        <v>0</v>
      </c>
      <c r="L423" s="36"/>
      <c r="M423" s="36">
        <v>0</v>
      </c>
      <c r="N423" s="36"/>
      <c r="O423" s="36">
        <v>0</v>
      </c>
      <c r="P423" s="36"/>
      <c r="Q423" s="36">
        <v>5944.73</v>
      </c>
      <c r="R423" s="36"/>
      <c r="S423" s="36">
        <v>0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f aca="true" t="shared" si="163" ref="AE423:AE424">SUM(E423:AC423)</f>
        <v>8278.31</v>
      </c>
      <c r="AF423" s="36"/>
      <c r="AG423" s="36">
        <v>-512.39</v>
      </c>
      <c r="AH423" s="36"/>
      <c r="AI423" s="36">
        <v>16690.65</v>
      </c>
      <c r="AJ423" s="36"/>
      <c r="AK423" s="36">
        <v>16178.26</v>
      </c>
      <c r="AL423" s="24">
        <f>+'Gen Rev'!AI422-'Gen Exp'!AE423+'Gen Exp'!AI423-AK423</f>
        <v>0</v>
      </c>
      <c r="AM423" s="44" t="str">
        <f>'Gen Rev'!A422</f>
        <v>Mutual</v>
      </c>
      <c r="AN423" s="21" t="str">
        <f t="shared" si="155"/>
        <v>Mutual</v>
      </c>
      <c r="AO423" s="21" t="b">
        <f t="shared" si="156"/>
        <v>1</v>
      </c>
    </row>
    <row r="424" spans="1:41" s="19" customFormat="1" ht="12.6" customHeight="1">
      <c r="A424" s="10" t="s">
        <v>951</v>
      </c>
      <c r="B424" s="10"/>
      <c r="C424" s="10" t="s">
        <v>412</v>
      </c>
      <c r="D424" s="10"/>
      <c r="E424" s="36">
        <v>15671.46</v>
      </c>
      <c r="F424" s="36"/>
      <c r="G424" s="36">
        <v>753.48</v>
      </c>
      <c r="H424" s="36"/>
      <c r="I424" s="36">
        <v>0</v>
      </c>
      <c r="J424" s="36"/>
      <c r="K424" s="36">
        <v>0</v>
      </c>
      <c r="L424" s="36"/>
      <c r="M424" s="36">
        <v>0</v>
      </c>
      <c r="N424" s="36"/>
      <c r="O424" s="36">
        <v>0</v>
      </c>
      <c r="P424" s="36"/>
      <c r="Q424" s="36">
        <v>31508.77</v>
      </c>
      <c r="R424" s="36"/>
      <c r="S424" s="36">
        <v>3765</v>
      </c>
      <c r="T424" s="36"/>
      <c r="U424" s="36">
        <v>10212.51</v>
      </c>
      <c r="V424" s="36"/>
      <c r="W424" s="36">
        <v>1197.69</v>
      </c>
      <c r="X424" s="36"/>
      <c r="Y424" s="36">
        <v>0</v>
      </c>
      <c r="Z424" s="36"/>
      <c r="AA424" s="36">
        <v>28000</v>
      </c>
      <c r="AB424" s="36"/>
      <c r="AC424" s="36">
        <v>0</v>
      </c>
      <c r="AD424" s="36"/>
      <c r="AE424" s="36">
        <f t="shared" si="163"/>
        <v>91108.91</v>
      </c>
      <c r="AF424" s="36"/>
      <c r="AG424" s="36">
        <v>-10366.32</v>
      </c>
      <c r="AH424" s="36"/>
      <c r="AI424" s="36">
        <v>36010.82</v>
      </c>
      <c r="AJ424" s="36"/>
      <c r="AK424" s="36">
        <v>25644.5</v>
      </c>
      <c r="AL424" s="24">
        <f>+'Gen Rev'!AI423-'Gen Exp'!AE424+'Gen Exp'!AI424-AK424</f>
        <v>0</v>
      </c>
      <c r="AM424" s="44" t="str">
        <f>'Gen Rev'!A423</f>
        <v>Nashville</v>
      </c>
      <c r="AN424" s="21" t="str">
        <f t="shared" si="155"/>
        <v>Nashville</v>
      </c>
      <c r="AO424" s="21" t="b">
        <f t="shared" si="156"/>
        <v>1</v>
      </c>
    </row>
    <row r="425" spans="1:41" ht="12.75">
      <c r="A425" s="1" t="s">
        <v>548</v>
      </c>
      <c r="C425" s="1" t="s">
        <v>542</v>
      </c>
      <c r="E425" s="83">
        <v>455461</v>
      </c>
      <c r="F425" s="83"/>
      <c r="G425" s="83">
        <v>8200</v>
      </c>
      <c r="H425" s="83"/>
      <c r="I425" s="83">
        <v>25358</v>
      </c>
      <c r="J425" s="83"/>
      <c r="K425" s="83">
        <v>4403</v>
      </c>
      <c r="L425" s="83"/>
      <c r="M425" s="83">
        <v>2222</v>
      </c>
      <c r="N425" s="83"/>
      <c r="O425" s="83">
        <v>0</v>
      </c>
      <c r="P425" s="83"/>
      <c r="Q425" s="83">
        <v>200533</v>
      </c>
      <c r="R425" s="83"/>
      <c r="S425" s="83">
        <v>0</v>
      </c>
      <c r="T425" s="83"/>
      <c r="U425" s="83">
        <v>0</v>
      </c>
      <c r="V425" s="83"/>
      <c r="W425" s="83">
        <v>0</v>
      </c>
      <c r="X425" s="83"/>
      <c r="Y425" s="83">
        <v>0</v>
      </c>
      <c r="Z425" s="83"/>
      <c r="AA425" s="83">
        <v>0</v>
      </c>
      <c r="AB425" s="83"/>
      <c r="AC425" s="83">
        <v>0</v>
      </c>
      <c r="AD425" s="83"/>
      <c r="AE425" s="83">
        <f t="shared" si="154"/>
        <v>696177</v>
      </c>
      <c r="AF425" s="83"/>
      <c r="AG425" s="83">
        <v>-20307</v>
      </c>
      <c r="AH425" s="83"/>
      <c r="AI425" s="83">
        <v>82708</v>
      </c>
      <c r="AJ425" s="83"/>
      <c r="AK425" s="83">
        <v>62401</v>
      </c>
      <c r="AL425" s="24">
        <f>+'Gen Rev'!AI424-'Gen Exp'!AE425+'Gen Exp'!AI425-AK425</f>
        <v>0</v>
      </c>
      <c r="AM425" s="44" t="str">
        <f>'Gen Rev'!A424</f>
        <v>Navarre</v>
      </c>
      <c r="AN425" s="21" t="str">
        <f t="shared" si="155"/>
        <v>Navarre</v>
      </c>
      <c r="AO425" s="21" t="b">
        <f t="shared" si="156"/>
        <v>1</v>
      </c>
    </row>
    <row r="426" spans="1:41" s="21" customFormat="1" ht="12.75">
      <c r="A426" s="1" t="s">
        <v>309</v>
      </c>
      <c r="B426" s="1"/>
      <c r="C426" s="1" t="s">
        <v>308</v>
      </c>
      <c r="D426" s="1"/>
      <c r="E426" s="83">
        <v>550</v>
      </c>
      <c r="F426" s="83"/>
      <c r="G426" s="83">
        <v>300</v>
      </c>
      <c r="H426" s="83"/>
      <c r="I426" s="83">
        <v>0</v>
      </c>
      <c r="J426" s="83"/>
      <c r="K426" s="83">
        <v>62</v>
      </c>
      <c r="L426" s="83"/>
      <c r="M426" s="83">
        <v>8993</v>
      </c>
      <c r="N426" s="83"/>
      <c r="O426" s="83">
        <v>0</v>
      </c>
      <c r="P426" s="83"/>
      <c r="Q426" s="83">
        <v>4243</v>
      </c>
      <c r="R426" s="83"/>
      <c r="S426" s="83">
        <v>0</v>
      </c>
      <c r="T426" s="83"/>
      <c r="U426" s="83">
        <v>0</v>
      </c>
      <c r="V426" s="83"/>
      <c r="W426" s="83">
        <v>0</v>
      </c>
      <c r="X426" s="83"/>
      <c r="Y426" s="83">
        <v>0</v>
      </c>
      <c r="Z426" s="83"/>
      <c r="AA426" s="83">
        <v>0</v>
      </c>
      <c r="AB426" s="83"/>
      <c r="AC426" s="83">
        <v>0</v>
      </c>
      <c r="AD426" s="83"/>
      <c r="AE426" s="83">
        <f t="shared" si="154"/>
        <v>14148</v>
      </c>
      <c r="AF426" s="83"/>
      <c r="AG426" s="36"/>
      <c r="AH426" s="36"/>
      <c r="AI426" s="36">
        <v>4518</v>
      </c>
      <c r="AJ426" s="36"/>
      <c r="AK426" s="36">
        <v>4518</v>
      </c>
      <c r="AL426" s="24">
        <f>+'Gen Rev'!AI425-'Gen Exp'!AE426+'Gen Exp'!AI426-AK426</f>
        <v>632</v>
      </c>
      <c r="AM426" s="44" t="str">
        <f>'Gen Rev'!A425</f>
        <v>Nellie</v>
      </c>
      <c r="AN426" s="21" t="str">
        <f t="shared" si="155"/>
        <v>Nellie</v>
      </c>
      <c r="AO426" s="21" t="b">
        <f t="shared" si="156"/>
        <v>1</v>
      </c>
    </row>
    <row r="427" spans="1:41" ht="12.75">
      <c r="A427" s="1" t="s">
        <v>612</v>
      </c>
      <c r="C427" s="1" t="s">
        <v>611</v>
      </c>
      <c r="E427" s="83">
        <v>7901.48</v>
      </c>
      <c r="F427" s="83"/>
      <c r="G427" s="83">
        <v>3404.48</v>
      </c>
      <c r="H427" s="83"/>
      <c r="I427" s="83">
        <v>1499.28</v>
      </c>
      <c r="J427" s="83"/>
      <c r="K427" s="83">
        <v>289.93</v>
      </c>
      <c r="L427" s="83"/>
      <c r="M427" s="83">
        <v>0</v>
      </c>
      <c r="N427" s="83"/>
      <c r="O427" s="83">
        <v>16074.92</v>
      </c>
      <c r="P427" s="83"/>
      <c r="Q427" s="83">
        <v>49623.49</v>
      </c>
      <c r="R427" s="83"/>
      <c r="S427" s="83">
        <v>14950</v>
      </c>
      <c r="T427" s="83"/>
      <c r="U427" s="83">
        <v>83988.64</v>
      </c>
      <c r="V427" s="83"/>
      <c r="W427" s="83">
        <v>0</v>
      </c>
      <c r="X427" s="83"/>
      <c r="Y427" s="83">
        <v>0</v>
      </c>
      <c r="Z427" s="83"/>
      <c r="AA427" s="83">
        <v>0</v>
      </c>
      <c r="AB427" s="83"/>
      <c r="AC427" s="83">
        <v>0</v>
      </c>
      <c r="AD427" s="83"/>
      <c r="AE427" s="83">
        <f t="shared" si="154"/>
        <v>177732.22</v>
      </c>
      <c r="AF427" s="83"/>
      <c r="AG427" s="83">
        <v>-7424.62</v>
      </c>
      <c r="AH427" s="83"/>
      <c r="AI427" s="83">
        <v>243142.34</v>
      </c>
      <c r="AJ427" s="83"/>
      <c r="AK427" s="83">
        <v>235717.72</v>
      </c>
      <c r="AL427" s="24">
        <f>+'Gen Rev'!AI426-'Gen Exp'!AE427+'Gen Exp'!AI427-AK427</f>
        <v>0</v>
      </c>
      <c r="AM427" s="44" t="str">
        <f>'Gen Rev'!A426</f>
        <v>Nevada</v>
      </c>
      <c r="AN427" s="21" t="str">
        <f t="shared" si="155"/>
        <v>Nevada</v>
      </c>
      <c r="AO427" s="21" t="b">
        <f t="shared" si="156"/>
        <v>1</v>
      </c>
    </row>
    <row r="428" spans="1:41" s="21" customFormat="1" ht="12.75">
      <c r="A428" s="1" t="s">
        <v>37</v>
      </c>
      <c r="B428" s="1"/>
      <c r="C428" s="1" t="s">
        <v>756</v>
      </c>
      <c r="D428" s="23"/>
      <c r="E428" s="36">
        <v>2633.96</v>
      </c>
      <c r="F428" s="36"/>
      <c r="G428" s="36">
        <v>0</v>
      </c>
      <c r="H428" s="36"/>
      <c r="I428" s="36">
        <v>0</v>
      </c>
      <c r="J428" s="36"/>
      <c r="K428" s="36">
        <v>0</v>
      </c>
      <c r="L428" s="36"/>
      <c r="M428" s="36">
        <v>4980</v>
      </c>
      <c r="N428" s="36"/>
      <c r="O428" s="36">
        <v>0</v>
      </c>
      <c r="P428" s="36"/>
      <c r="Q428" s="36">
        <v>22831.6</v>
      </c>
      <c r="R428" s="36"/>
      <c r="S428" s="36">
        <v>0</v>
      </c>
      <c r="T428" s="36"/>
      <c r="U428" s="36">
        <v>0</v>
      </c>
      <c r="V428" s="36"/>
      <c r="W428" s="36">
        <v>0</v>
      </c>
      <c r="X428" s="36"/>
      <c r="Y428" s="36">
        <v>0</v>
      </c>
      <c r="Z428" s="36"/>
      <c r="AA428" s="36">
        <v>0</v>
      </c>
      <c r="AB428" s="36"/>
      <c r="AC428" s="36">
        <v>0</v>
      </c>
      <c r="AD428" s="36"/>
      <c r="AE428" s="36">
        <f aca="true" t="shared" si="164" ref="AE428">SUM(E428:AC428)</f>
        <v>30445.559999999998</v>
      </c>
      <c r="AF428" s="36"/>
      <c r="AG428" s="36">
        <v>-1087.92</v>
      </c>
      <c r="AH428" s="36"/>
      <c r="AI428" s="36">
        <v>14088.79</v>
      </c>
      <c r="AJ428" s="36"/>
      <c r="AK428" s="36">
        <v>13000.87</v>
      </c>
      <c r="AL428" s="24">
        <f>+'Gen Rev'!AI427-'Gen Exp'!AE428+'Gen Exp'!AI428-AK428</f>
        <v>0</v>
      </c>
      <c r="AM428" s="44" t="str">
        <f>'Gen Rev'!A427</f>
        <v>Neville</v>
      </c>
      <c r="AN428" s="21" t="str">
        <f t="shared" si="155"/>
        <v>Neville</v>
      </c>
      <c r="AO428" s="21" t="b">
        <f t="shared" si="156"/>
        <v>1</v>
      </c>
    </row>
    <row r="429" spans="1:41" s="31" customFormat="1" ht="12.6" customHeight="1" hidden="1">
      <c r="A429" s="15" t="s">
        <v>355</v>
      </c>
      <c r="B429" s="15"/>
      <c r="C429" s="15" t="s">
        <v>353</v>
      </c>
      <c r="D429" s="15"/>
      <c r="E429" s="83"/>
      <c r="F429" s="85"/>
      <c r="G429" s="83"/>
      <c r="H429" s="85"/>
      <c r="I429" s="83"/>
      <c r="J429" s="85"/>
      <c r="K429" s="83"/>
      <c r="L429" s="85"/>
      <c r="M429" s="83"/>
      <c r="N429" s="85"/>
      <c r="O429" s="83"/>
      <c r="P429" s="85"/>
      <c r="Q429" s="83"/>
      <c r="R429" s="83"/>
      <c r="S429" s="83"/>
      <c r="T429" s="85"/>
      <c r="U429" s="83"/>
      <c r="V429" s="85"/>
      <c r="W429" s="83"/>
      <c r="X429" s="85"/>
      <c r="Y429" s="83"/>
      <c r="Z429" s="85"/>
      <c r="AA429" s="83"/>
      <c r="AB429" s="85"/>
      <c r="AC429" s="83"/>
      <c r="AD429" s="85"/>
      <c r="AE429" s="83">
        <f t="shared" si="154"/>
        <v>0</v>
      </c>
      <c r="AF429" s="85"/>
      <c r="AG429" s="41"/>
      <c r="AH429" s="41"/>
      <c r="AI429" s="41"/>
      <c r="AJ429" s="41"/>
      <c r="AK429" s="41"/>
      <c r="AL429" s="24">
        <f>+'Gen Rev'!AI428-'Gen Exp'!AE429+'Gen Exp'!AI429-AK429</f>
        <v>0</v>
      </c>
      <c r="AM429" s="44" t="str">
        <f>'Gen Rev'!A428</f>
        <v>New Albany</v>
      </c>
      <c r="AN429" s="21" t="str">
        <f t="shared" si="155"/>
        <v>New Albany</v>
      </c>
      <c r="AO429" s="21" t="b">
        <f t="shared" si="156"/>
        <v>1</v>
      </c>
    </row>
    <row r="430" spans="1:41" ht="12.75">
      <c r="A430" s="1" t="s">
        <v>103</v>
      </c>
      <c r="C430" s="1" t="s">
        <v>776</v>
      </c>
      <c r="D430" s="23"/>
      <c r="E430" s="36">
        <v>15115.91</v>
      </c>
      <c r="F430" s="36"/>
      <c r="G430" s="36">
        <v>4336.7</v>
      </c>
      <c r="H430" s="36"/>
      <c r="I430" s="36">
        <v>0</v>
      </c>
      <c r="J430" s="36"/>
      <c r="K430" s="36">
        <v>0</v>
      </c>
      <c r="L430" s="36"/>
      <c r="M430" s="36">
        <v>0</v>
      </c>
      <c r="N430" s="36"/>
      <c r="O430" s="36">
        <v>0</v>
      </c>
      <c r="P430" s="36"/>
      <c r="Q430" s="36">
        <v>33995.13</v>
      </c>
      <c r="R430" s="36"/>
      <c r="S430" s="36">
        <v>0</v>
      </c>
      <c r="T430" s="36"/>
      <c r="U430" s="36">
        <v>0</v>
      </c>
      <c r="V430" s="36"/>
      <c r="W430" s="36">
        <v>0</v>
      </c>
      <c r="X430" s="36"/>
      <c r="Y430" s="36">
        <v>0</v>
      </c>
      <c r="Z430" s="36"/>
      <c r="AA430" s="36">
        <v>0</v>
      </c>
      <c r="AB430" s="36"/>
      <c r="AC430" s="36">
        <v>0</v>
      </c>
      <c r="AD430" s="36"/>
      <c r="AE430" s="36">
        <f aca="true" t="shared" si="165" ref="AE430">SUM(E430:AC430)</f>
        <v>53447.74</v>
      </c>
      <c r="AF430" s="36"/>
      <c r="AG430" s="36">
        <v>4484.46</v>
      </c>
      <c r="AH430" s="36"/>
      <c r="AI430" s="36">
        <v>449.69</v>
      </c>
      <c r="AJ430" s="36"/>
      <c r="AK430" s="36">
        <v>4934.15</v>
      </c>
      <c r="AL430" s="24">
        <f>+'Gen Rev'!AI429-'Gen Exp'!AE430+'Gen Exp'!AI430-AK430</f>
        <v>0</v>
      </c>
      <c r="AM430" s="44" t="str">
        <f>'Gen Rev'!A429</f>
        <v>New Athens</v>
      </c>
      <c r="AN430" s="21" t="str">
        <f t="shared" si="155"/>
        <v>New Athens</v>
      </c>
      <c r="AO430" s="21" t="b">
        <f t="shared" si="156"/>
        <v>1</v>
      </c>
    </row>
    <row r="431" spans="1:41" s="21" customFormat="1" ht="12.75">
      <c r="A431" s="1" t="s">
        <v>109</v>
      </c>
      <c r="B431" s="1"/>
      <c r="C431" s="1" t="s">
        <v>777</v>
      </c>
      <c r="D431" s="23"/>
      <c r="E431" s="95">
        <v>0</v>
      </c>
      <c r="F431" s="95"/>
      <c r="G431" s="95">
        <v>0</v>
      </c>
      <c r="H431" s="95"/>
      <c r="I431" s="95">
        <v>0</v>
      </c>
      <c r="J431" s="95"/>
      <c r="K431" s="95">
        <v>0</v>
      </c>
      <c r="L431" s="95"/>
      <c r="M431" s="95">
        <v>4629.87</v>
      </c>
      <c r="N431" s="95"/>
      <c r="O431" s="95">
        <v>340.67</v>
      </c>
      <c r="P431" s="95"/>
      <c r="Q431" s="95">
        <v>8383.77</v>
      </c>
      <c r="R431" s="95"/>
      <c r="S431" s="95">
        <v>0</v>
      </c>
      <c r="T431" s="95"/>
      <c r="U431" s="95">
        <v>0</v>
      </c>
      <c r="V431" s="95"/>
      <c r="W431" s="95">
        <v>0</v>
      </c>
      <c r="X431" s="95"/>
      <c r="Y431" s="95">
        <v>0</v>
      </c>
      <c r="Z431" s="95"/>
      <c r="AA431" s="95">
        <v>0</v>
      </c>
      <c r="AB431" s="95"/>
      <c r="AC431" s="95">
        <v>0</v>
      </c>
      <c r="AD431" s="95"/>
      <c r="AE431" s="95">
        <f aca="true" t="shared" si="166" ref="AE431">SUM(E431:AC431)</f>
        <v>13354.310000000001</v>
      </c>
      <c r="AF431" s="95"/>
      <c r="AG431" s="95">
        <v>1914.99</v>
      </c>
      <c r="AH431" s="95"/>
      <c r="AI431" s="95">
        <v>3028.56</v>
      </c>
      <c r="AJ431" s="95"/>
      <c r="AK431" s="95">
        <v>4943.55</v>
      </c>
      <c r="AL431" s="24">
        <f>+'Gen Rev'!AI430-'Gen Exp'!AE431+'Gen Exp'!AI431-AK431</f>
        <v>0</v>
      </c>
      <c r="AM431" s="44" t="str">
        <f>'Gen Rev'!A430</f>
        <v>New Bavaria</v>
      </c>
      <c r="AN431" s="21" t="str">
        <f t="shared" si="155"/>
        <v>New Bavaria</v>
      </c>
      <c r="AO431" s="21" t="b">
        <f t="shared" si="156"/>
        <v>1</v>
      </c>
    </row>
    <row r="432" spans="1:41" ht="12.75">
      <c r="A432" s="1" t="s">
        <v>149</v>
      </c>
      <c r="C432" s="1" t="s">
        <v>463</v>
      </c>
      <c r="E432" s="36">
        <v>8320.54</v>
      </c>
      <c r="F432" s="36"/>
      <c r="G432" s="36">
        <v>0</v>
      </c>
      <c r="H432" s="36"/>
      <c r="I432" s="36">
        <v>0</v>
      </c>
      <c r="J432" s="36"/>
      <c r="K432" s="36">
        <v>0</v>
      </c>
      <c r="L432" s="36"/>
      <c r="M432" s="36">
        <v>0</v>
      </c>
      <c r="N432" s="36"/>
      <c r="O432" s="36">
        <v>0</v>
      </c>
      <c r="P432" s="36"/>
      <c r="Q432" s="36">
        <v>28226.48</v>
      </c>
      <c r="R432" s="36"/>
      <c r="S432" s="36">
        <v>0</v>
      </c>
      <c r="T432" s="36"/>
      <c r="U432" s="36">
        <v>0</v>
      </c>
      <c r="V432" s="36"/>
      <c r="W432" s="36">
        <v>0</v>
      </c>
      <c r="X432" s="36"/>
      <c r="Y432" s="36">
        <v>51044.43</v>
      </c>
      <c r="Z432" s="36"/>
      <c r="AA432" s="36">
        <v>0</v>
      </c>
      <c r="AB432" s="36"/>
      <c r="AC432" s="36">
        <v>2705</v>
      </c>
      <c r="AD432" s="36"/>
      <c r="AE432" s="36">
        <f aca="true" t="shared" si="167" ref="AE432:AE433">SUM(E432:AC432)</f>
        <v>90296.45000000001</v>
      </c>
      <c r="AF432" s="36"/>
      <c r="AG432" s="36">
        <v>-39616.59</v>
      </c>
      <c r="AH432" s="36"/>
      <c r="AI432" s="36">
        <v>122764.72</v>
      </c>
      <c r="AJ432" s="36"/>
      <c r="AK432" s="36">
        <v>83148.13</v>
      </c>
      <c r="AL432" s="24">
        <f>+'Gen Rev'!AI431-'Gen Exp'!AE432+'Gen Exp'!AI432-AK432</f>
        <v>0</v>
      </c>
      <c r="AM432" s="44" t="str">
        <f>'Gen Rev'!A431</f>
        <v>New Bloomington</v>
      </c>
      <c r="AN432" s="21" t="str">
        <f t="shared" si="155"/>
        <v>New Bloomington</v>
      </c>
      <c r="AO432" s="21" t="b">
        <f t="shared" si="156"/>
        <v>1</v>
      </c>
    </row>
    <row r="433" spans="1:41" ht="12.75">
      <c r="A433" s="1" t="s">
        <v>530</v>
      </c>
      <c r="C433" s="1" t="s">
        <v>531</v>
      </c>
      <c r="E433" s="36">
        <v>399583.58</v>
      </c>
      <c r="F433" s="36"/>
      <c r="G433" s="36">
        <v>20119.28</v>
      </c>
      <c r="H433" s="36"/>
      <c r="I433" s="36">
        <v>19808.56</v>
      </c>
      <c r="J433" s="36"/>
      <c r="K433" s="36">
        <v>0</v>
      </c>
      <c r="L433" s="36"/>
      <c r="M433" s="36">
        <v>192299.5</v>
      </c>
      <c r="N433" s="36"/>
      <c r="O433" s="36">
        <v>47992.51</v>
      </c>
      <c r="P433" s="36"/>
      <c r="Q433" s="36">
        <v>935536.98</v>
      </c>
      <c r="R433" s="36"/>
      <c r="S433" s="36">
        <v>0</v>
      </c>
      <c r="T433" s="36"/>
      <c r="U433" s="36">
        <v>0</v>
      </c>
      <c r="V433" s="36"/>
      <c r="W433" s="36">
        <v>0</v>
      </c>
      <c r="X433" s="36"/>
      <c r="Y433" s="36">
        <v>41711.15</v>
      </c>
      <c r="Z433" s="36"/>
      <c r="AA433" s="36">
        <v>0</v>
      </c>
      <c r="AB433" s="36"/>
      <c r="AC433" s="36">
        <v>0</v>
      </c>
      <c r="AD433" s="36"/>
      <c r="AE433" s="36">
        <f t="shared" si="167"/>
        <v>1657051.5599999998</v>
      </c>
      <c r="AF433" s="36"/>
      <c r="AG433" s="36">
        <v>34477.23</v>
      </c>
      <c r="AH433" s="36"/>
      <c r="AI433" s="36">
        <v>237453.01</v>
      </c>
      <c r="AJ433" s="36"/>
      <c r="AK433" s="36">
        <v>271930.24</v>
      </c>
      <c r="AL433" s="24">
        <f>+'Gen Rev'!AI432-'Gen Exp'!AE433+'Gen Exp'!AI433-AK433</f>
        <v>0</v>
      </c>
      <c r="AM433" s="44" t="str">
        <f>'Gen Rev'!A432</f>
        <v>New Boston</v>
      </c>
      <c r="AN433" s="21" t="str">
        <f t="shared" si="155"/>
        <v>New Boston</v>
      </c>
      <c r="AO433" s="21" t="b">
        <f t="shared" si="156"/>
        <v>1</v>
      </c>
    </row>
    <row r="434" spans="1:41" s="21" customFormat="1" ht="12.6" customHeight="1">
      <c r="A434" s="1" t="s">
        <v>277</v>
      </c>
      <c r="B434" s="1"/>
      <c r="C434" s="1" t="s">
        <v>275</v>
      </c>
      <c r="D434" s="1"/>
      <c r="E434" s="83">
        <v>709273</v>
      </c>
      <c r="F434" s="83"/>
      <c r="G434" s="83">
        <v>295</v>
      </c>
      <c r="H434" s="83"/>
      <c r="I434" s="83">
        <v>190165</v>
      </c>
      <c r="J434" s="83"/>
      <c r="K434" s="83">
        <v>0</v>
      </c>
      <c r="L434" s="83"/>
      <c r="M434" s="83">
        <v>0</v>
      </c>
      <c r="N434" s="83"/>
      <c r="O434" s="83">
        <v>189448</v>
      </c>
      <c r="P434" s="83"/>
      <c r="Q434" s="83">
        <v>438122</v>
      </c>
      <c r="R434" s="83"/>
      <c r="S434" s="83">
        <v>1512060</v>
      </c>
      <c r="T434" s="83"/>
      <c r="U434" s="83">
        <v>0</v>
      </c>
      <c r="V434" s="83"/>
      <c r="W434" s="83">
        <v>0</v>
      </c>
      <c r="X434" s="83"/>
      <c r="Y434" s="83">
        <v>439000</v>
      </c>
      <c r="Z434" s="83"/>
      <c r="AA434" s="83">
        <v>0</v>
      </c>
      <c r="AB434" s="83"/>
      <c r="AC434" s="83">
        <v>0</v>
      </c>
      <c r="AD434" s="83"/>
      <c r="AE434" s="83">
        <f t="shared" si="154"/>
        <v>3478363</v>
      </c>
      <c r="AF434" s="83"/>
      <c r="AG434" s="36">
        <v>-215556</v>
      </c>
      <c r="AH434" s="36"/>
      <c r="AI434" s="36">
        <v>1624952</v>
      </c>
      <c r="AJ434" s="36"/>
      <c r="AK434" s="36">
        <v>1409396</v>
      </c>
      <c r="AL434" s="24">
        <f>+'Gen Rev'!AI433-'Gen Exp'!AE434+'Gen Exp'!AI434-AK434</f>
        <v>0</v>
      </c>
      <c r="AM434" s="44" t="str">
        <f>'Gen Rev'!A433</f>
        <v>New Bremen</v>
      </c>
      <c r="AN434" s="21" t="str">
        <f t="shared" si="155"/>
        <v>New Bremen</v>
      </c>
      <c r="AO434" s="21" t="b">
        <f t="shared" si="156"/>
        <v>1</v>
      </c>
    </row>
    <row r="435" spans="1:41" ht="12.75">
      <c r="A435" s="1" t="s">
        <v>487</v>
      </c>
      <c r="C435" s="1" t="s">
        <v>485</v>
      </c>
      <c r="E435" s="83">
        <v>458015.7</v>
      </c>
      <c r="F435" s="83"/>
      <c r="G435" s="83">
        <v>0</v>
      </c>
      <c r="H435" s="83"/>
      <c r="I435" s="83">
        <v>22938.39</v>
      </c>
      <c r="J435" s="83"/>
      <c r="K435" s="83">
        <v>0</v>
      </c>
      <c r="L435" s="83"/>
      <c r="M435" s="83">
        <v>0</v>
      </c>
      <c r="N435" s="83"/>
      <c r="O435" s="83">
        <v>200848.48</v>
      </c>
      <c r="P435" s="83"/>
      <c r="Q435" s="83">
        <v>290427.43</v>
      </c>
      <c r="R435" s="83"/>
      <c r="S435" s="83">
        <v>1089550.55</v>
      </c>
      <c r="T435" s="83"/>
      <c r="U435" s="83">
        <v>193270.42</v>
      </c>
      <c r="V435" s="83"/>
      <c r="W435" s="83">
        <v>0</v>
      </c>
      <c r="X435" s="83"/>
      <c r="Y435" s="83">
        <v>167080</v>
      </c>
      <c r="Z435" s="83"/>
      <c r="AA435" s="83">
        <v>0</v>
      </c>
      <c r="AB435" s="83"/>
      <c r="AC435" s="83">
        <v>1988</v>
      </c>
      <c r="AD435" s="83"/>
      <c r="AE435" s="83">
        <f t="shared" si="154"/>
        <v>2424118.97</v>
      </c>
      <c r="AF435" s="83"/>
      <c r="AG435" s="83">
        <v>103149.53</v>
      </c>
      <c r="AH435" s="83"/>
      <c r="AI435" s="83">
        <v>456576.89</v>
      </c>
      <c r="AJ435" s="83"/>
      <c r="AK435" s="83">
        <v>559726.42</v>
      </c>
      <c r="AL435" s="24">
        <f>+'Gen Rev'!AI434-'Gen Exp'!AE435+'Gen Exp'!AI435-AK435</f>
        <v>0</v>
      </c>
      <c r="AM435" s="44" t="str">
        <f>'Gen Rev'!A434</f>
        <v>New Concord</v>
      </c>
      <c r="AN435" s="21" t="str">
        <f t="shared" si="155"/>
        <v>New Concord</v>
      </c>
      <c r="AO435" s="21" t="b">
        <f t="shared" si="156"/>
        <v>1</v>
      </c>
    </row>
    <row r="436" spans="1:41" ht="12.75">
      <c r="A436" s="1" t="s">
        <v>189</v>
      </c>
      <c r="C436" s="1" t="s">
        <v>804</v>
      </c>
      <c r="D436" s="23"/>
      <c r="E436" s="36">
        <v>13765.85</v>
      </c>
      <c r="F436" s="36"/>
      <c r="G436" s="36">
        <v>2889.32</v>
      </c>
      <c r="H436" s="36"/>
      <c r="I436" s="36">
        <v>0</v>
      </c>
      <c r="J436" s="36"/>
      <c r="K436" s="36">
        <v>173.02</v>
      </c>
      <c r="L436" s="36"/>
      <c r="M436" s="36">
        <v>0</v>
      </c>
      <c r="N436" s="36"/>
      <c r="O436" s="36">
        <v>0</v>
      </c>
      <c r="P436" s="36"/>
      <c r="Q436" s="36">
        <v>38804.39</v>
      </c>
      <c r="R436" s="36"/>
      <c r="S436" s="36">
        <v>155.38</v>
      </c>
      <c r="T436" s="36"/>
      <c r="U436" s="36">
        <v>0</v>
      </c>
      <c r="V436" s="36"/>
      <c r="W436" s="36">
        <v>0</v>
      </c>
      <c r="X436" s="36"/>
      <c r="Y436" s="36">
        <v>0</v>
      </c>
      <c r="Z436" s="36"/>
      <c r="AA436" s="36">
        <v>0</v>
      </c>
      <c r="AB436" s="36"/>
      <c r="AC436" s="36">
        <v>0</v>
      </c>
      <c r="AD436" s="36"/>
      <c r="AE436" s="36">
        <f aca="true" t="shared" si="168" ref="AE436:AE437">SUM(E436:AC436)</f>
        <v>55787.96</v>
      </c>
      <c r="AF436" s="36"/>
      <c r="AG436" s="36">
        <v>6642.73</v>
      </c>
      <c r="AH436" s="36"/>
      <c r="AI436" s="36">
        <v>76197.3</v>
      </c>
      <c r="AJ436" s="36"/>
      <c r="AK436" s="36">
        <v>82840.03</v>
      </c>
      <c r="AL436" s="24">
        <f>+'Gen Rev'!AI435-'Gen Exp'!AE436+'Gen Exp'!AI436-AK436</f>
        <v>0</v>
      </c>
      <c r="AM436" s="44" t="str">
        <f>'Gen Rev'!A435</f>
        <v>New Holland</v>
      </c>
      <c r="AN436" s="21" t="str">
        <f t="shared" si="155"/>
        <v>New Holland</v>
      </c>
      <c r="AO436" s="21" t="b">
        <f t="shared" si="156"/>
        <v>1</v>
      </c>
    </row>
    <row r="437" spans="1:41" ht="12.75">
      <c r="A437" s="1" t="s">
        <v>12</v>
      </c>
      <c r="C437" s="1" t="s">
        <v>749</v>
      </c>
      <c r="D437" s="23"/>
      <c r="E437" s="36">
        <v>85705.85</v>
      </c>
      <c r="F437" s="36"/>
      <c r="G437" s="36">
        <v>51.9</v>
      </c>
      <c r="H437" s="36"/>
      <c r="I437" s="36">
        <v>36968.4</v>
      </c>
      <c r="J437" s="36"/>
      <c r="K437" s="36">
        <v>0</v>
      </c>
      <c r="L437" s="36"/>
      <c r="M437" s="36">
        <v>23215</v>
      </c>
      <c r="N437" s="36"/>
      <c r="O437" s="36">
        <v>0</v>
      </c>
      <c r="P437" s="36"/>
      <c r="Q437" s="36">
        <v>201686.02</v>
      </c>
      <c r="R437" s="36"/>
      <c r="S437" s="36">
        <v>15483.31</v>
      </c>
      <c r="T437" s="36"/>
      <c r="U437" s="36">
        <v>0</v>
      </c>
      <c r="V437" s="36"/>
      <c r="W437" s="36">
        <v>0</v>
      </c>
      <c r="X437" s="36"/>
      <c r="Y437" s="36">
        <v>101277.33</v>
      </c>
      <c r="Z437" s="36"/>
      <c r="AA437" s="36">
        <v>3000</v>
      </c>
      <c r="AB437" s="36"/>
      <c r="AC437" s="36">
        <v>0</v>
      </c>
      <c r="AD437" s="36"/>
      <c r="AE437" s="36">
        <f t="shared" si="168"/>
        <v>467387.81</v>
      </c>
      <c r="AF437" s="36"/>
      <c r="AG437" s="36">
        <v>65898.06</v>
      </c>
      <c r="AH437" s="36"/>
      <c r="AI437" s="36">
        <v>235087.09</v>
      </c>
      <c r="AJ437" s="36"/>
      <c r="AK437" s="36">
        <v>300985.15</v>
      </c>
      <c r="AL437" s="24">
        <f>+'Gen Rev'!AI436-'Gen Exp'!AE437+'Gen Exp'!AI437-AK437</f>
        <v>0</v>
      </c>
      <c r="AM437" s="44" t="str">
        <f>'Gen Rev'!A436</f>
        <v>New Knoxville</v>
      </c>
      <c r="AN437" s="21" t="str">
        <f t="shared" si="155"/>
        <v>New Knoxville</v>
      </c>
      <c r="AO437" s="21" t="b">
        <f t="shared" si="156"/>
        <v>1</v>
      </c>
    </row>
    <row r="438" spans="1:41" s="15" customFormat="1" ht="12.75">
      <c r="A438" s="15" t="s">
        <v>481</v>
      </c>
      <c r="C438" s="15" t="s">
        <v>479</v>
      </c>
      <c r="E438" s="85">
        <v>0</v>
      </c>
      <c r="F438" s="85"/>
      <c r="G438" s="85">
        <v>0</v>
      </c>
      <c r="H438" s="85"/>
      <c r="I438" s="85">
        <v>93647</v>
      </c>
      <c r="J438" s="85"/>
      <c r="K438" s="85">
        <v>25828</v>
      </c>
      <c r="L438" s="85"/>
      <c r="M438" s="85">
        <v>0</v>
      </c>
      <c r="N438" s="85"/>
      <c r="O438" s="85">
        <v>0</v>
      </c>
      <c r="P438" s="85"/>
      <c r="Q438" s="85">
        <v>146664</v>
      </c>
      <c r="R438" s="85"/>
      <c r="S438" s="85">
        <v>0</v>
      </c>
      <c r="T438" s="85"/>
      <c r="U438" s="85">
        <v>262500</v>
      </c>
      <c r="V438" s="85"/>
      <c r="W438" s="85">
        <v>5563</v>
      </c>
      <c r="X438" s="85"/>
      <c r="Y438" s="85">
        <v>286969</v>
      </c>
      <c r="Z438" s="85"/>
      <c r="AA438" s="85">
        <v>0</v>
      </c>
      <c r="AB438" s="85"/>
      <c r="AC438" s="85">
        <v>5042</v>
      </c>
      <c r="AD438" s="85"/>
      <c r="AE438" s="83">
        <f t="shared" si="154"/>
        <v>826213</v>
      </c>
      <c r="AF438" s="85"/>
      <c r="AG438" s="85">
        <v>103243</v>
      </c>
      <c r="AH438" s="85"/>
      <c r="AI438" s="85">
        <v>868981</v>
      </c>
      <c r="AJ438" s="85"/>
      <c r="AK438" s="85">
        <v>972224</v>
      </c>
      <c r="AL438" s="24">
        <f>+'Gen Rev'!AI437-'Gen Exp'!AE438+'Gen Exp'!AI438-AK438</f>
        <v>0</v>
      </c>
      <c r="AM438" s="44" t="str">
        <f>'Gen Rev'!A437</f>
        <v>New Lebanon</v>
      </c>
      <c r="AN438" s="21" t="str">
        <f t="shared" si="155"/>
        <v>New Lebanon</v>
      </c>
      <c r="AO438" s="21" t="b">
        <f t="shared" si="156"/>
        <v>1</v>
      </c>
    </row>
    <row r="439" spans="1:41" s="50" customFormat="1" ht="12.75">
      <c r="A439" s="38" t="s">
        <v>417</v>
      </c>
      <c r="B439" s="38"/>
      <c r="C439" s="38" t="s">
        <v>416</v>
      </c>
      <c r="D439" s="38"/>
      <c r="E439" s="83">
        <v>307870</v>
      </c>
      <c r="F439" s="83"/>
      <c r="G439" s="83">
        <v>1816</v>
      </c>
      <c r="H439" s="83"/>
      <c r="I439" s="83">
        <v>0</v>
      </c>
      <c r="J439" s="83"/>
      <c r="K439" s="83">
        <v>2941</v>
      </c>
      <c r="L439" s="83"/>
      <c r="M439" s="83">
        <v>0</v>
      </c>
      <c r="N439" s="83"/>
      <c r="O439" s="83">
        <v>0</v>
      </c>
      <c r="P439" s="83"/>
      <c r="Q439" s="83">
        <v>208128</v>
      </c>
      <c r="R439" s="83"/>
      <c r="S439" s="83">
        <v>6400</v>
      </c>
      <c r="T439" s="83"/>
      <c r="U439" s="83">
        <v>0</v>
      </c>
      <c r="V439" s="83"/>
      <c r="W439" s="83">
        <v>0</v>
      </c>
      <c r="X439" s="83"/>
      <c r="Y439" s="83">
        <v>23207</v>
      </c>
      <c r="Z439" s="83"/>
      <c r="AA439" s="83">
        <v>90000</v>
      </c>
      <c r="AB439" s="83"/>
      <c r="AC439" s="83">
        <v>0</v>
      </c>
      <c r="AD439" s="83"/>
      <c r="AE439" s="83">
        <f t="shared" si="154"/>
        <v>640362</v>
      </c>
      <c r="AF439" s="83"/>
      <c r="AG439" s="83">
        <v>12642</v>
      </c>
      <c r="AH439" s="83"/>
      <c r="AI439" s="83">
        <v>438590</v>
      </c>
      <c r="AJ439" s="83"/>
      <c r="AK439" s="83">
        <v>451232</v>
      </c>
      <c r="AL439" s="24">
        <f>+'Gen Rev'!AI438-'Gen Exp'!AE439+'Gen Exp'!AI439-AK439</f>
        <v>0</v>
      </c>
      <c r="AM439" s="44" t="str">
        <f>'Gen Rev'!A438</f>
        <v>New London</v>
      </c>
      <c r="AN439" s="21" t="str">
        <f t="shared" si="155"/>
        <v>New London</v>
      </c>
      <c r="AO439" s="21" t="b">
        <f t="shared" si="156"/>
        <v>1</v>
      </c>
    </row>
    <row r="440" spans="1:41" ht="12.75">
      <c r="A440" s="1" t="s">
        <v>53</v>
      </c>
      <c r="C440" s="1" t="s">
        <v>762</v>
      </c>
      <c r="D440" s="23"/>
      <c r="E440" s="36">
        <v>28123.67</v>
      </c>
      <c r="F440" s="36"/>
      <c r="G440" s="36">
        <v>0</v>
      </c>
      <c r="H440" s="36"/>
      <c r="I440" s="36">
        <v>0</v>
      </c>
      <c r="J440" s="36"/>
      <c r="K440" s="36">
        <v>79093.93</v>
      </c>
      <c r="L440" s="36"/>
      <c r="M440" s="36">
        <v>68694.25</v>
      </c>
      <c r="N440" s="36"/>
      <c r="O440" s="36">
        <v>160202.73</v>
      </c>
      <c r="P440" s="36"/>
      <c r="Q440" s="36">
        <v>30032.73</v>
      </c>
      <c r="R440" s="36"/>
      <c r="S440" s="36">
        <v>0</v>
      </c>
      <c r="T440" s="36"/>
      <c r="U440" s="36">
        <v>0</v>
      </c>
      <c r="V440" s="36"/>
      <c r="W440" s="36">
        <v>0</v>
      </c>
      <c r="X440" s="36"/>
      <c r="Y440" s="36">
        <v>0</v>
      </c>
      <c r="Z440" s="36"/>
      <c r="AA440" s="36">
        <v>0</v>
      </c>
      <c r="AB440" s="36"/>
      <c r="AC440" s="36">
        <v>0</v>
      </c>
      <c r="AD440" s="36"/>
      <c r="AE440" s="36">
        <f aca="true" t="shared" si="169" ref="AE440:AE443">SUM(E440:AC440)</f>
        <v>366147.30999999994</v>
      </c>
      <c r="AF440" s="36"/>
      <c r="AG440" s="36">
        <v>29018.72</v>
      </c>
      <c r="AH440" s="36"/>
      <c r="AI440" s="36">
        <v>312461.16</v>
      </c>
      <c r="AJ440" s="36"/>
      <c r="AK440" s="36">
        <v>341479.88</v>
      </c>
      <c r="AL440" s="24">
        <f>+'Gen Rev'!AI439-'Gen Exp'!AE440+'Gen Exp'!AI440-AK440</f>
        <v>0</v>
      </c>
      <c r="AM440" s="44" t="str">
        <f>'Gen Rev'!A439</f>
        <v>New Madison</v>
      </c>
      <c r="AN440" s="21" t="str">
        <f t="shared" si="155"/>
        <v>New Madison</v>
      </c>
      <c r="AO440" s="21" t="b">
        <f t="shared" si="156"/>
        <v>1</v>
      </c>
    </row>
    <row r="441" spans="1:41" ht="12.75">
      <c r="A441" s="1" t="s">
        <v>952</v>
      </c>
      <c r="C441" s="1" t="s">
        <v>519</v>
      </c>
      <c r="D441" s="23"/>
      <c r="E441" s="36">
        <v>61225.68</v>
      </c>
      <c r="F441" s="36"/>
      <c r="G441" s="36">
        <v>481.84</v>
      </c>
      <c r="H441" s="36"/>
      <c r="I441" s="36">
        <v>35241.7</v>
      </c>
      <c r="J441" s="36"/>
      <c r="K441" s="36">
        <v>0</v>
      </c>
      <c r="L441" s="36"/>
      <c r="M441" s="36">
        <v>0</v>
      </c>
      <c r="N441" s="36"/>
      <c r="O441" s="36">
        <v>42629.92</v>
      </c>
      <c r="P441" s="36"/>
      <c r="Q441" s="36">
        <v>133352.18</v>
      </c>
      <c r="R441" s="36"/>
      <c r="S441" s="36">
        <v>0</v>
      </c>
      <c r="T441" s="36"/>
      <c r="U441" s="36">
        <v>0</v>
      </c>
      <c r="V441" s="36"/>
      <c r="W441" s="36">
        <v>0</v>
      </c>
      <c r="X441" s="36"/>
      <c r="Y441" s="36">
        <v>0</v>
      </c>
      <c r="Z441" s="36"/>
      <c r="AA441" s="36">
        <v>628.16</v>
      </c>
      <c r="AB441" s="36"/>
      <c r="AC441" s="36">
        <v>0</v>
      </c>
      <c r="AD441" s="36"/>
      <c r="AE441" s="36">
        <f t="shared" si="169"/>
        <v>273559.48</v>
      </c>
      <c r="AF441" s="36"/>
      <c r="AG441" s="36">
        <v>128609.1</v>
      </c>
      <c r="AH441" s="36"/>
      <c r="AI441" s="36">
        <v>322027.43</v>
      </c>
      <c r="AJ441" s="36"/>
      <c r="AK441" s="36">
        <v>450636.53</v>
      </c>
      <c r="AL441" s="24">
        <f>+'Gen Rev'!AI440-'Gen Exp'!AE441+'Gen Exp'!AI441-AK441</f>
        <v>0</v>
      </c>
      <c r="AM441" s="44" t="str">
        <f>'Gen Rev'!A440</f>
        <v>New Miami</v>
      </c>
      <c r="AN441" s="21" t="str">
        <f t="shared" si="155"/>
        <v>New Miami</v>
      </c>
      <c r="AO441" s="21" t="b">
        <f t="shared" si="156"/>
        <v>1</v>
      </c>
    </row>
    <row r="442" spans="1:41" ht="12.75">
      <c r="A442" s="1" t="s">
        <v>145</v>
      </c>
      <c r="C442" s="1" t="s">
        <v>790</v>
      </c>
      <c r="D442" s="23"/>
      <c r="E442" s="36">
        <v>1681.32</v>
      </c>
      <c r="F442" s="36"/>
      <c r="G442" s="36">
        <v>6747</v>
      </c>
      <c r="H442" s="36"/>
      <c r="I442" s="36">
        <v>2002.14</v>
      </c>
      <c r="J442" s="36"/>
      <c r="K442" s="36">
        <v>4200.7</v>
      </c>
      <c r="L442" s="36"/>
      <c r="M442" s="36">
        <v>0</v>
      </c>
      <c r="N442" s="36"/>
      <c r="O442" s="36">
        <v>0</v>
      </c>
      <c r="P442" s="36"/>
      <c r="Q442" s="36">
        <v>127894.19</v>
      </c>
      <c r="R442" s="36"/>
      <c r="S442" s="36">
        <v>0</v>
      </c>
      <c r="T442" s="36"/>
      <c r="U442" s="36">
        <v>0</v>
      </c>
      <c r="V442" s="36"/>
      <c r="W442" s="36">
        <v>0</v>
      </c>
      <c r="X442" s="36"/>
      <c r="Y442" s="36">
        <v>50000</v>
      </c>
      <c r="Z442" s="36"/>
      <c r="AA442" s="36">
        <v>45000</v>
      </c>
      <c r="AB442" s="36"/>
      <c r="AC442" s="36">
        <v>0</v>
      </c>
      <c r="AD442" s="36"/>
      <c r="AE442" s="36">
        <f t="shared" si="169"/>
        <v>237525.35</v>
      </c>
      <c r="AF442" s="36"/>
      <c r="AG442" s="36">
        <v>110118.46</v>
      </c>
      <c r="AH442" s="36"/>
      <c r="AI442" s="36">
        <v>198195.19</v>
      </c>
      <c r="AJ442" s="36"/>
      <c r="AK442" s="36">
        <v>308313.65</v>
      </c>
      <c r="AL442" s="24">
        <f>+'Gen Rev'!AI441-'Gen Exp'!AE442+'Gen Exp'!AI442-AK442</f>
        <v>0</v>
      </c>
      <c r="AM442" s="44" t="str">
        <f>'Gen Rev'!A441</f>
        <v>New Middleton</v>
      </c>
      <c r="AN442" s="21" t="str">
        <f t="shared" si="155"/>
        <v>New Middleton</v>
      </c>
      <c r="AO442" s="21" t="b">
        <f t="shared" si="156"/>
        <v>1</v>
      </c>
    </row>
    <row r="443" spans="1:41" ht="12.75">
      <c r="A443" s="1" t="s">
        <v>511</v>
      </c>
      <c r="C443" s="1" t="s">
        <v>510</v>
      </c>
      <c r="E443" s="36">
        <v>17284.96</v>
      </c>
      <c r="F443" s="36"/>
      <c r="G443" s="36">
        <v>0</v>
      </c>
      <c r="H443" s="36"/>
      <c r="I443" s="36">
        <v>0</v>
      </c>
      <c r="J443" s="36"/>
      <c r="K443" s="36">
        <v>2223.95</v>
      </c>
      <c r="L443" s="36"/>
      <c r="M443" s="36">
        <v>0</v>
      </c>
      <c r="N443" s="36"/>
      <c r="O443" s="36">
        <v>0</v>
      </c>
      <c r="P443" s="36"/>
      <c r="Q443" s="36">
        <v>62037.91</v>
      </c>
      <c r="R443" s="36"/>
      <c r="S443" s="36">
        <v>500</v>
      </c>
      <c r="T443" s="36"/>
      <c r="U443" s="36">
        <v>2744</v>
      </c>
      <c r="V443" s="36"/>
      <c r="W443" s="36">
        <v>4274.74</v>
      </c>
      <c r="X443" s="36"/>
      <c r="Y443" s="36">
        <v>106483.37</v>
      </c>
      <c r="Z443" s="36"/>
      <c r="AA443" s="36">
        <v>0</v>
      </c>
      <c r="AB443" s="36"/>
      <c r="AC443" s="36">
        <v>0</v>
      </c>
      <c r="AD443" s="36"/>
      <c r="AE443" s="36">
        <f t="shared" si="169"/>
        <v>195548.93</v>
      </c>
      <c r="AF443" s="36"/>
      <c r="AG443" s="36">
        <v>24535.01</v>
      </c>
      <c r="AH443" s="36"/>
      <c r="AI443" s="36">
        <v>49004.89</v>
      </c>
      <c r="AJ443" s="36"/>
      <c r="AK443" s="36">
        <v>73539.9</v>
      </c>
      <c r="AL443" s="24">
        <f>+'Gen Rev'!AI442-'Gen Exp'!AE443+'Gen Exp'!AI443-AK443</f>
        <v>0</v>
      </c>
      <c r="AM443" s="44" t="str">
        <f>'Gen Rev'!A442</f>
        <v>New Paris</v>
      </c>
      <c r="AN443" s="21" t="str">
        <f t="shared" si="155"/>
        <v>New Paris</v>
      </c>
      <c r="AO443" s="21" t="b">
        <f t="shared" si="156"/>
        <v>1</v>
      </c>
    </row>
    <row r="444" spans="1:41" s="10" customFormat="1" ht="12.75">
      <c r="A444" s="10" t="s">
        <v>38</v>
      </c>
      <c r="C444" s="10" t="s">
        <v>756</v>
      </c>
      <c r="D444" s="52"/>
      <c r="E444" s="95">
        <v>37500</v>
      </c>
      <c r="F444" s="95"/>
      <c r="G444" s="95">
        <v>0</v>
      </c>
      <c r="H444" s="95"/>
      <c r="I444" s="95">
        <v>12893.59</v>
      </c>
      <c r="J444" s="95"/>
      <c r="K444" s="95">
        <v>47789.17</v>
      </c>
      <c r="L444" s="95"/>
      <c r="M444" s="95">
        <v>0</v>
      </c>
      <c r="N444" s="95"/>
      <c r="O444" s="95">
        <v>0</v>
      </c>
      <c r="P444" s="95"/>
      <c r="Q444" s="95">
        <v>417536.39</v>
      </c>
      <c r="R444" s="95"/>
      <c r="S444" s="95">
        <v>54246.32</v>
      </c>
      <c r="T444" s="95"/>
      <c r="U444" s="95">
        <v>0</v>
      </c>
      <c r="V444" s="95"/>
      <c r="W444" s="95">
        <v>0</v>
      </c>
      <c r="X444" s="95"/>
      <c r="Y444" s="95">
        <v>172096.94</v>
      </c>
      <c r="Z444" s="95"/>
      <c r="AA444" s="95">
        <v>141391.08</v>
      </c>
      <c r="AB444" s="95"/>
      <c r="AC444" s="95">
        <v>0</v>
      </c>
      <c r="AD444" s="95"/>
      <c r="AE444" s="95">
        <f aca="true" t="shared" si="170" ref="AE444">SUM(E444:AC444)</f>
        <v>883453.4899999999</v>
      </c>
      <c r="AF444" s="95"/>
      <c r="AG444" s="95">
        <v>316708.68</v>
      </c>
      <c r="AH444" s="95"/>
      <c r="AI444" s="95">
        <v>207050.18</v>
      </c>
      <c r="AJ444" s="95"/>
      <c r="AK444" s="95">
        <v>523758.86</v>
      </c>
      <c r="AL444" s="24">
        <f>+'Gen Rev'!AI443-'Gen Exp'!AE444+'Gen Exp'!AI444-AK444</f>
        <v>0</v>
      </c>
      <c r="AM444" s="44" t="str">
        <f>'Gen Rev'!A443</f>
        <v>New Richmond</v>
      </c>
      <c r="AN444" s="21" t="str">
        <f t="shared" si="155"/>
        <v>New Richmond</v>
      </c>
      <c r="AO444" s="21" t="b">
        <f t="shared" si="156"/>
        <v>1</v>
      </c>
    </row>
    <row r="445" spans="1:41" s="21" customFormat="1" ht="12.75">
      <c r="A445" s="1" t="s">
        <v>220</v>
      </c>
      <c r="B445" s="1"/>
      <c r="C445" s="1" t="s">
        <v>813</v>
      </c>
      <c r="D445" s="23"/>
      <c r="E445" s="36">
        <v>23854.14</v>
      </c>
      <c r="F445" s="36"/>
      <c r="G445" s="36">
        <v>0</v>
      </c>
      <c r="H445" s="36"/>
      <c r="I445" s="36">
        <v>900</v>
      </c>
      <c r="J445" s="36"/>
      <c r="K445" s="36">
        <v>0</v>
      </c>
      <c r="L445" s="36"/>
      <c r="M445" s="36">
        <v>11906.27</v>
      </c>
      <c r="N445" s="36"/>
      <c r="O445" s="36">
        <v>0</v>
      </c>
      <c r="P445" s="36"/>
      <c r="Q445" s="36">
        <v>69221.29</v>
      </c>
      <c r="R445" s="36"/>
      <c r="S445" s="36">
        <v>0</v>
      </c>
      <c r="T445" s="36"/>
      <c r="U445" s="36">
        <v>0</v>
      </c>
      <c r="V445" s="36"/>
      <c r="W445" s="36">
        <v>0</v>
      </c>
      <c r="X445" s="36"/>
      <c r="Y445" s="36">
        <v>0</v>
      </c>
      <c r="Z445" s="36"/>
      <c r="AA445" s="36">
        <v>0</v>
      </c>
      <c r="AB445" s="36"/>
      <c r="AC445" s="36">
        <v>0</v>
      </c>
      <c r="AD445" s="36"/>
      <c r="AE445" s="36">
        <f aca="true" t="shared" si="171" ref="AE445">SUM(E445:AC445)</f>
        <v>105881.7</v>
      </c>
      <c r="AF445" s="36"/>
      <c r="AG445" s="36">
        <v>188149.74</v>
      </c>
      <c r="AH445" s="36"/>
      <c r="AI445" s="36">
        <v>82831.76</v>
      </c>
      <c r="AJ445" s="36"/>
      <c r="AK445" s="36">
        <v>270981.5</v>
      </c>
      <c r="AL445" s="24">
        <f>+'Gen Rev'!AI444-'Gen Exp'!AE445+'Gen Exp'!AI445-AK445</f>
        <v>0</v>
      </c>
      <c r="AM445" s="44" t="str">
        <f>'Gen Rev'!A444</f>
        <v>New Riegel</v>
      </c>
      <c r="AN445" s="21" t="str">
        <f t="shared" si="155"/>
        <v>New Riegel</v>
      </c>
      <c r="AO445" s="21" t="b">
        <f t="shared" si="156"/>
        <v>1</v>
      </c>
    </row>
    <row r="446" spans="1:41" s="15" customFormat="1" ht="12.75">
      <c r="A446" s="15" t="s">
        <v>707</v>
      </c>
      <c r="C446" s="15" t="s">
        <v>501</v>
      </c>
      <c r="D446" s="28"/>
      <c r="E446" s="85">
        <v>21000</v>
      </c>
      <c r="F446" s="85"/>
      <c r="G446" s="85">
        <v>0</v>
      </c>
      <c r="H446" s="85"/>
      <c r="I446" s="85">
        <v>1197</v>
      </c>
      <c r="J446" s="85"/>
      <c r="K446" s="85">
        <v>0</v>
      </c>
      <c r="L446" s="85"/>
      <c r="M446" s="85">
        <v>5490</v>
      </c>
      <c r="N446" s="85"/>
      <c r="O446" s="85">
        <v>0</v>
      </c>
      <c r="P446" s="85"/>
      <c r="Q446" s="85">
        <v>32585</v>
      </c>
      <c r="R446" s="85"/>
      <c r="S446" s="85">
        <v>0</v>
      </c>
      <c r="T446" s="85"/>
      <c r="U446" s="85">
        <v>0</v>
      </c>
      <c r="V446" s="85"/>
      <c r="W446" s="85">
        <v>0</v>
      </c>
      <c r="X446" s="85"/>
      <c r="Y446" s="85">
        <v>0</v>
      </c>
      <c r="Z446" s="85"/>
      <c r="AA446" s="85">
        <v>0</v>
      </c>
      <c r="AB446" s="85"/>
      <c r="AC446" s="83">
        <v>0</v>
      </c>
      <c r="AD446" s="85"/>
      <c r="AE446" s="83">
        <f t="shared" si="154"/>
        <v>60272</v>
      </c>
      <c r="AF446" s="85"/>
      <c r="AG446" s="41">
        <v>-8592</v>
      </c>
      <c r="AH446" s="41"/>
      <c r="AI446" s="41">
        <v>12105</v>
      </c>
      <c r="AJ446" s="41"/>
      <c r="AK446" s="41">
        <v>3513</v>
      </c>
      <c r="AL446" s="24">
        <f>+'Gen Rev'!AI445-'Gen Exp'!AE446+'Gen Exp'!AI446-AK446</f>
        <v>0</v>
      </c>
      <c r="AM446" s="44" t="str">
        <f>'Gen Rev'!A445</f>
        <v>New Straitsville</v>
      </c>
      <c r="AN446" s="21" t="str">
        <f t="shared" si="155"/>
        <v>New Straitsville</v>
      </c>
      <c r="AO446" s="21" t="b">
        <f t="shared" si="156"/>
        <v>1</v>
      </c>
    </row>
    <row r="447" spans="1:41" ht="12.75">
      <c r="A447" s="1" t="s">
        <v>41</v>
      </c>
      <c r="C447" s="1" t="s">
        <v>757</v>
      </c>
      <c r="D447" s="23"/>
      <c r="E447" s="36">
        <v>18743.95</v>
      </c>
      <c r="F447" s="36"/>
      <c r="G447" s="36">
        <v>0</v>
      </c>
      <c r="H447" s="36"/>
      <c r="I447" s="36">
        <v>0</v>
      </c>
      <c r="J447" s="36"/>
      <c r="K447" s="36">
        <v>0</v>
      </c>
      <c r="L447" s="36"/>
      <c r="M447" s="36">
        <v>2734.71</v>
      </c>
      <c r="N447" s="36"/>
      <c r="O447" s="36">
        <v>0</v>
      </c>
      <c r="P447" s="36"/>
      <c r="Q447" s="36">
        <v>39672.49</v>
      </c>
      <c r="R447" s="36"/>
      <c r="S447" s="36">
        <v>0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0</v>
      </c>
      <c r="AB447" s="36"/>
      <c r="AC447" s="36">
        <v>0</v>
      </c>
      <c r="AD447" s="36"/>
      <c r="AE447" s="36">
        <f aca="true" t="shared" si="172" ref="AE447:AE449">SUM(E447:AC447)</f>
        <v>61151.149999999994</v>
      </c>
      <c r="AF447" s="36"/>
      <c r="AG447" s="36">
        <v>20920.61</v>
      </c>
      <c r="AH447" s="36"/>
      <c r="AI447" s="36">
        <v>65159.91</v>
      </c>
      <c r="AJ447" s="36"/>
      <c r="AK447" s="36">
        <v>86080.52</v>
      </c>
      <c r="AL447" s="24">
        <f>+'Gen Rev'!AI446-'Gen Exp'!AE447+'Gen Exp'!AI447-AK447</f>
        <v>0</v>
      </c>
      <c r="AM447" s="44" t="str">
        <f>'Gen Rev'!A446</f>
        <v>New Vienna</v>
      </c>
      <c r="AN447" s="21" t="str">
        <f t="shared" si="155"/>
        <v>New Vienna</v>
      </c>
      <c r="AO447" s="21" t="b">
        <f t="shared" si="156"/>
        <v>1</v>
      </c>
    </row>
    <row r="448" spans="1:41" s="21" customFormat="1" ht="12.6" customHeight="1">
      <c r="A448" s="1" t="s">
        <v>313</v>
      </c>
      <c r="B448" s="1"/>
      <c r="C448" s="1" t="s">
        <v>312</v>
      </c>
      <c r="D448" s="1"/>
      <c r="E448" s="36">
        <v>108039.48</v>
      </c>
      <c r="F448" s="36"/>
      <c r="G448" s="36">
        <v>4827.84</v>
      </c>
      <c r="H448" s="36"/>
      <c r="I448" s="36">
        <v>22814.34</v>
      </c>
      <c r="J448" s="36"/>
      <c r="K448" s="36">
        <v>723.6</v>
      </c>
      <c r="L448" s="36"/>
      <c r="M448" s="36">
        <v>0</v>
      </c>
      <c r="N448" s="36"/>
      <c r="O448" s="36">
        <v>0</v>
      </c>
      <c r="P448" s="36"/>
      <c r="Q448" s="36">
        <v>151023.21</v>
      </c>
      <c r="R448" s="36"/>
      <c r="S448" s="36">
        <v>0</v>
      </c>
      <c r="T448" s="36"/>
      <c r="U448" s="36">
        <v>0</v>
      </c>
      <c r="V448" s="36"/>
      <c r="W448" s="36">
        <v>0</v>
      </c>
      <c r="X448" s="36"/>
      <c r="Y448" s="36">
        <v>60000</v>
      </c>
      <c r="Z448" s="36"/>
      <c r="AA448" s="36">
        <v>26384.8</v>
      </c>
      <c r="AB448" s="36"/>
      <c r="AC448" s="36">
        <v>0</v>
      </c>
      <c r="AD448" s="36"/>
      <c r="AE448" s="36">
        <f t="shared" si="172"/>
        <v>373813.26999999996</v>
      </c>
      <c r="AF448" s="36"/>
      <c r="AG448" s="36">
        <v>57931.81</v>
      </c>
      <c r="AH448" s="36"/>
      <c r="AI448" s="36">
        <v>141266.73</v>
      </c>
      <c r="AJ448" s="36"/>
      <c r="AK448" s="36">
        <v>199198.54</v>
      </c>
      <c r="AL448" s="24">
        <f>+'Gen Rev'!AI447-'Gen Exp'!AE448+'Gen Exp'!AI448-AK448</f>
        <v>0</v>
      </c>
      <c r="AM448" s="44" t="str">
        <f>'Gen Rev'!A447</f>
        <v>New Washington</v>
      </c>
      <c r="AN448" s="21" t="str">
        <f t="shared" si="155"/>
        <v>New Washington</v>
      </c>
      <c r="AO448" s="21" t="b">
        <f t="shared" si="156"/>
        <v>1</v>
      </c>
    </row>
    <row r="449" spans="1:41" s="21" customFormat="1" ht="12.75">
      <c r="A449" s="1" t="s">
        <v>854</v>
      </c>
      <c r="B449" s="1"/>
      <c r="C449" s="1" t="s">
        <v>758</v>
      </c>
      <c r="D449" s="23"/>
      <c r="E449" s="36">
        <v>185967.05</v>
      </c>
      <c r="F449" s="36"/>
      <c r="G449" s="36">
        <v>0</v>
      </c>
      <c r="H449" s="36"/>
      <c r="I449" s="36">
        <v>8399.9</v>
      </c>
      <c r="J449" s="36"/>
      <c r="K449" s="36">
        <v>0</v>
      </c>
      <c r="L449" s="36"/>
      <c r="M449" s="36">
        <v>0</v>
      </c>
      <c r="N449" s="36"/>
      <c r="O449" s="36">
        <v>0</v>
      </c>
      <c r="P449" s="36"/>
      <c r="Q449" s="36">
        <v>57599.76</v>
      </c>
      <c r="R449" s="36"/>
      <c r="S449" s="36">
        <v>0</v>
      </c>
      <c r="T449" s="36"/>
      <c r="U449" s="36">
        <v>2359.25</v>
      </c>
      <c r="V449" s="36"/>
      <c r="W449" s="36">
        <v>341.2</v>
      </c>
      <c r="X449" s="36"/>
      <c r="Y449" s="36">
        <v>0</v>
      </c>
      <c r="Z449" s="36"/>
      <c r="AA449" s="36">
        <v>0</v>
      </c>
      <c r="AB449" s="36"/>
      <c r="AC449" s="36">
        <v>0</v>
      </c>
      <c r="AD449" s="36"/>
      <c r="AE449" s="36">
        <f t="shared" si="172"/>
        <v>254667.16</v>
      </c>
      <c r="AF449" s="36"/>
      <c r="AG449" s="36">
        <v>-18491.1</v>
      </c>
      <c r="AH449" s="36"/>
      <c r="AI449" s="36">
        <v>21368.88</v>
      </c>
      <c r="AJ449" s="36"/>
      <c r="AK449" s="36">
        <v>2877.78</v>
      </c>
      <c r="AL449" s="24">
        <f>+'Gen Rev'!AI448-'Gen Exp'!AE449+'Gen Exp'!AI449-AK449</f>
        <v>-5.002220859751105E-12</v>
      </c>
      <c r="AM449" s="44" t="str">
        <f>'Gen Rev'!A448</f>
        <v>New Waterford</v>
      </c>
      <c r="AN449" s="21" t="str">
        <f t="shared" si="155"/>
        <v>New Waterford</v>
      </c>
      <c r="AO449" s="21" t="b">
        <f t="shared" si="156"/>
        <v>1</v>
      </c>
    </row>
    <row r="450" spans="1:41" s="21" customFormat="1" ht="12.6" customHeight="1">
      <c r="A450" s="1" t="s">
        <v>333</v>
      </c>
      <c r="B450" s="1"/>
      <c r="C450" s="1" t="s">
        <v>329</v>
      </c>
      <c r="D450" s="1"/>
      <c r="E450" s="83">
        <v>4591</v>
      </c>
      <c r="F450" s="83"/>
      <c r="G450" s="83">
        <v>548</v>
      </c>
      <c r="H450" s="83"/>
      <c r="I450" s="83">
        <v>2020</v>
      </c>
      <c r="J450" s="83"/>
      <c r="K450" s="83">
        <v>388</v>
      </c>
      <c r="L450" s="83"/>
      <c r="M450" s="83">
        <v>10688</v>
      </c>
      <c r="N450" s="83"/>
      <c r="O450" s="83">
        <v>1320</v>
      </c>
      <c r="P450" s="83"/>
      <c r="Q450" s="83">
        <v>18298</v>
      </c>
      <c r="R450" s="83"/>
      <c r="S450" s="83">
        <v>0</v>
      </c>
      <c r="T450" s="83"/>
      <c r="U450" s="83">
        <v>0</v>
      </c>
      <c r="V450" s="83"/>
      <c r="W450" s="83">
        <v>0</v>
      </c>
      <c r="X450" s="83"/>
      <c r="Y450" s="83">
        <v>0</v>
      </c>
      <c r="Z450" s="83"/>
      <c r="AA450" s="83">
        <v>0</v>
      </c>
      <c r="AB450" s="83"/>
      <c r="AC450" s="83">
        <v>0</v>
      </c>
      <c r="AD450" s="83"/>
      <c r="AE450" s="83">
        <f t="shared" si="154"/>
        <v>37853</v>
      </c>
      <c r="AF450" s="83"/>
      <c r="AG450" s="36"/>
      <c r="AH450" s="36"/>
      <c r="AI450" s="36">
        <v>79302</v>
      </c>
      <c r="AJ450" s="36"/>
      <c r="AK450" s="36">
        <v>71710</v>
      </c>
      <c r="AL450" s="24">
        <f>+'Gen Rev'!AI449-'Gen Exp'!AE450+'Gen Exp'!AI450-AK450</f>
        <v>0</v>
      </c>
      <c r="AM450" s="44" t="str">
        <f>'Gen Rev'!A449</f>
        <v>New Weston</v>
      </c>
      <c r="AN450" s="21" t="str">
        <f t="shared" si="155"/>
        <v>New Weston</v>
      </c>
      <c r="AO450" s="21" t="b">
        <f t="shared" si="156"/>
        <v>1</v>
      </c>
    </row>
    <row r="451" spans="1:41" s="21" customFormat="1" ht="12.6" customHeight="1">
      <c r="A451" s="1" t="s">
        <v>324</v>
      </c>
      <c r="B451" s="1"/>
      <c r="C451" s="1" t="s">
        <v>316</v>
      </c>
      <c r="D451" s="1"/>
      <c r="E451" s="83">
        <v>555130</v>
      </c>
      <c r="F451" s="83"/>
      <c r="G451" s="83">
        <v>1857</v>
      </c>
      <c r="H451" s="83"/>
      <c r="I451" s="83">
        <v>12248</v>
      </c>
      <c r="J451" s="83"/>
      <c r="K451" s="83">
        <v>0</v>
      </c>
      <c r="L451" s="83"/>
      <c r="M451" s="83">
        <v>121785</v>
      </c>
      <c r="N451" s="83"/>
      <c r="O451" s="83">
        <v>129365</v>
      </c>
      <c r="P451" s="83"/>
      <c r="Q451" s="83">
        <v>627444</v>
      </c>
      <c r="R451" s="83"/>
      <c r="S451" s="83">
        <v>0</v>
      </c>
      <c r="T451" s="83"/>
      <c r="U451" s="83">
        <v>0</v>
      </c>
      <c r="V451" s="83"/>
      <c r="W451" s="83">
        <v>0</v>
      </c>
      <c r="X451" s="83"/>
      <c r="Y451" s="83">
        <v>0</v>
      </c>
      <c r="Z451" s="83"/>
      <c r="AA451" s="83">
        <v>0</v>
      </c>
      <c r="AB451" s="83"/>
      <c r="AC451" s="83">
        <v>0</v>
      </c>
      <c r="AD451" s="83"/>
      <c r="AE451" s="83">
        <f t="shared" si="154"/>
        <v>1447829</v>
      </c>
      <c r="AF451" s="83"/>
      <c r="AG451" s="36">
        <v>-62373</v>
      </c>
      <c r="AH451" s="36"/>
      <c r="AI451" s="36">
        <v>6831</v>
      </c>
      <c r="AJ451" s="36"/>
      <c r="AK451" s="36">
        <v>-55543</v>
      </c>
      <c r="AL451" s="24">
        <f>+'Gen Rev'!AI450-'Gen Exp'!AE451+'Gen Exp'!AI451-AK451</f>
        <v>-1</v>
      </c>
      <c r="AM451" s="44" t="str">
        <f>'Gen Rev'!A450</f>
        <v>Newburgh Heights</v>
      </c>
      <c r="AN451" s="21" t="str">
        <f t="shared" si="155"/>
        <v>Newburgh Heights</v>
      </c>
      <c r="AO451" s="21" t="b">
        <f t="shared" si="156"/>
        <v>1</v>
      </c>
    </row>
    <row r="452" spans="1:41" ht="12.75">
      <c r="A452" s="1" t="s">
        <v>566</v>
      </c>
      <c r="C452" s="1" t="s">
        <v>562</v>
      </c>
      <c r="E452" s="83">
        <v>456045</v>
      </c>
      <c r="F452" s="83"/>
      <c r="G452" s="83">
        <v>1760</v>
      </c>
      <c r="H452" s="83"/>
      <c r="I452" s="83">
        <v>38336</v>
      </c>
      <c r="J452" s="83"/>
      <c r="K452" s="83">
        <v>25218</v>
      </c>
      <c r="L452" s="83"/>
      <c r="M452" s="83">
        <v>3299</v>
      </c>
      <c r="N452" s="83"/>
      <c r="O452" s="83">
        <v>0</v>
      </c>
      <c r="P452" s="83"/>
      <c r="Q452" s="83">
        <v>401237</v>
      </c>
      <c r="R452" s="83"/>
      <c r="S452" s="83">
        <v>0</v>
      </c>
      <c r="T452" s="83"/>
      <c r="U452" s="83">
        <v>0</v>
      </c>
      <c r="V452" s="83"/>
      <c r="W452" s="83">
        <v>0</v>
      </c>
      <c r="X452" s="83"/>
      <c r="Y452" s="83">
        <v>37000</v>
      </c>
      <c r="Z452" s="83"/>
      <c r="AA452" s="83">
        <v>0</v>
      </c>
      <c r="AB452" s="83"/>
      <c r="AC452" s="83">
        <v>0</v>
      </c>
      <c r="AD452" s="83"/>
      <c r="AE452" s="83">
        <f t="shared" si="154"/>
        <v>962895</v>
      </c>
      <c r="AF452" s="83"/>
      <c r="AG452" s="83">
        <v>161480</v>
      </c>
      <c r="AH452" s="83"/>
      <c r="AI452" s="83">
        <v>-177410</v>
      </c>
      <c r="AJ452" s="83"/>
      <c r="AK452" s="83">
        <v>-15930</v>
      </c>
      <c r="AL452" s="24">
        <f>+'Gen Rev'!AI451-'Gen Exp'!AE452+'Gen Exp'!AI452-AK452</f>
        <v>0</v>
      </c>
      <c r="AM452" s="44" t="str">
        <f>'Gen Rev'!A451</f>
        <v>Newcomerstown</v>
      </c>
      <c r="AN452" s="21" t="str">
        <f t="shared" si="155"/>
        <v>Newcomerstown</v>
      </c>
      <c r="AO452" s="21" t="b">
        <f t="shared" si="156"/>
        <v>1</v>
      </c>
    </row>
    <row r="453" spans="1:41" ht="12.75">
      <c r="A453" s="1" t="s">
        <v>964</v>
      </c>
      <c r="C453" s="1" t="s">
        <v>559</v>
      </c>
      <c r="E453" s="83">
        <v>1162238</v>
      </c>
      <c r="F453" s="83"/>
      <c r="G453" s="83">
        <v>0</v>
      </c>
      <c r="H453" s="83"/>
      <c r="I453" s="83">
        <v>0</v>
      </c>
      <c r="J453" s="83"/>
      <c r="K453" s="83">
        <v>33443</v>
      </c>
      <c r="L453" s="83"/>
      <c r="M453" s="83">
        <v>0</v>
      </c>
      <c r="N453" s="83"/>
      <c r="O453" s="83">
        <v>0</v>
      </c>
      <c r="P453" s="83"/>
      <c r="Q453" s="83">
        <v>1419887</v>
      </c>
      <c r="R453" s="83"/>
      <c r="S453" s="83">
        <v>0</v>
      </c>
      <c r="T453" s="83"/>
      <c r="U453" s="83">
        <v>0</v>
      </c>
      <c r="V453" s="83"/>
      <c r="W453" s="83">
        <v>0</v>
      </c>
      <c r="X453" s="83"/>
      <c r="Y453" s="83">
        <v>136021</v>
      </c>
      <c r="Z453" s="83"/>
      <c r="AA453" s="83">
        <v>0</v>
      </c>
      <c r="AB453" s="83"/>
      <c r="AC453" s="83">
        <v>0</v>
      </c>
      <c r="AD453" s="83"/>
      <c r="AE453" s="83">
        <f t="shared" si="154"/>
        <v>2751589</v>
      </c>
      <c r="AF453" s="83"/>
      <c r="AG453" s="83">
        <v>-228253</v>
      </c>
      <c r="AH453" s="83"/>
      <c r="AI453" s="83">
        <v>481353</v>
      </c>
      <c r="AJ453" s="83"/>
      <c r="AK453" s="83">
        <v>253100</v>
      </c>
      <c r="AL453" s="24">
        <f>+'Gen Rev'!AI452-'Gen Exp'!AE453+'Gen Exp'!AI453-AK453</f>
        <v>0</v>
      </c>
      <c r="AM453" s="44" t="str">
        <f>'Gen Rev'!A452</f>
        <v>Newton Falls</v>
      </c>
      <c r="AN453" s="21" t="str">
        <f t="shared" si="155"/>
        <v>Newton Falls</v>
      </c>
      <c r="AO453" s="21" t="b">
        <f t="shared" si="156"/>
        <v>1</v>
      </c>
    </row>
    <row r="454" spans="1:41" s="21" customFormat="1" ht="12.6" customHeight="1">
      <c r="A454" s="1" t="s">
        <v>688</v>
      </c>
      <c r="B454" s="1"/>
      <c r="C454" s="1" t="s">
        <v>295</v>
      </c>
      <c r="D454" s="1"/>
      <c r="E454" s="95">
        <v>31989.95</v>
      </c>
      <c r="F454" s="95"/>
      <c r="G454" s="95">
        <v>0</v>
      </c>
      <c r="H454" s="95"/>
      <c r="I454" s="95">
        <v>0</v>
      </c>
      <c r="J454" s="95"/>
      <c r="K454" s="95">
        <v>0</v>
      </c>
      <c r="L454" s="95"/>
      <c r="M454" s="95">
        <v>0</v>
      </c>
      <c r="N454" s="95"/>
      <c r="O454" s="95">
        <v>0</v>
      </c>
      <c r="P454" s="95"/>
      <c r="Q454" s="95">
        <v>29681.07</v>
      </c>
      <c r="R454" s="95"/>
      <c r="S454" s="95">
        <v>0</v>
      </c>
      <c r="T454" s="95"/>
      <c r="U454" s="95">
        <v>0</v>
      </c>
      <c r="V454" s="95"/>
      <c r="W454" s="95">
        <v>0</v>
      </c>
      <c r="X454" s="95"/>
      <c r="Y454" s="95">
        <v>0</v>
      </c>
      <c r="Z454" s="95"/>
      <c r="AA454" s="95">
        <v>0</v>
      </c>
      <c r="AB454" s="95"/>
      <c r="AC454" s="95">
        <v>1973.53</v>
      </c>
      <c r="AD454" s="95"/>
      <c r="AE454" s="95">
        <f aca="true" t="shared" si="173" ref="AE454">SUM(E454:AC454)</f>
        <v>63644.55</v>
      </c>
      <c r="AF454" s="95"/>
      <c r="AG454" s="95">
        <v>-10690.7</v>
      </c>
      <c r="AH454" s="95"/>
      <c r="AI454" s="95">
        <v>42957.02</v>
      </c>
      <c r="AJ454" s="95"/>
      <c r="AK454" s="95">
        <v>32266.32</v>
      </c>
      <c r="AL454" s="24">
        <f>+'Gen Rev'!AI453-'Gen Exp'!AE454+'Gen Exp'!AI454-AK454</f>
        <v>0</v>
      </c>
      <c r="AM454" s="44" t="str">
        <f>'Gen Rev'!A453</f>
        <v>Newtonville</v>
      </c>
      <c r="AN454" s="21" t="str">
        <f t="shared" si="155"/>
        <v>Newtonville</v>
      </c>
      <c r="AO454" s="21" t="b">
        <f t="shared" si="156"/>
        <v>1</v>
      </c>
    </row>
    <row r="455" spans="1:41" s="21" customFormat="1" ht="12.75">
      <c r="A455" s="1" t="s">
        <v>96</v>
      </c>
      <c r="B455" s="1"/>
      <c r="C455" s="1" t="s">
        <v>773</v>
      </c>
      <c r="D455" s="23"/>
      <c r="E455" s="36">
        <v>650662.67</v>
      </c>
      <c r="F455" s="36"/>
      <c r="G455" s="36">
        <v>0</v>
      </c>
      <c r="H455" s="36"/>
      <c r="I455" s="36">
        <v>0</v>
      </c>
      <c r="J455" s="36"/>
      <c r="K455" s="36">
        <v>0</v>
      </c>
      <c r="L455" s="36"/>
      <c r="M455" s="36">
        <v>122810.64</v>
      </c>
      <c r="N455" s="36"/>
      <c r="O455" s="36">
        <v>157355.16</v>
      </c>
      <c r="P455" s="36"/>
      <c r="Q455" s="36">
        <v>706869.17</v>
      </c>
      <c r="R455" s="36"/>
      <c r="S455" s="36">
        <v>0</v>
      </c>
      <c r="T455" s="36"/>
      <c r="U455" s="36">
        <v>0</v>
      </c>
      <c r="V455" s="36"/>
      <c r="W455" s="36">
        <v>0</v>
      </c>
      <c r="X455" s="36"/>
      <c r="Y455" s="36">
        <v>109143.23</v>
      </c>
      <c r="Z455" s="36"/>
      <c r="AA455" s="36">
        <v>5287.52</v>
      </c>
      <c r="AB455" s="36"/>
      <c r="AC455" s="36">
        <v>0</v>
      </c>
      <c r="AD455" s="36"/>
      <c r="AE455" s="36">
        <f aca="true" t="shared" si="174" ref="AE455:AE456">SUM(E455:AC455)</f>
        <v>1752128.3900000001</v>
      </c>
      <c r="AF455" s="36"/>
      <c r="AG455" s="36">
        <v>107909.99</v>
      </c>
      <c r="AH455" s="36"/>
      <c r="AI455" s="36">
        <v>1180385.79</v>
      </c>
      <c r="AJ455" s="36"/>
      <c r="AK455" s="36">
        <v>1288295.78</v>
      </c>
      <c r="AL455" s="24">
        <f>+'Gen Rev'!AI454-'Gen Exp'!AE455+'Gen Exp'!AI455-AK455</f>
        <v>0</v>
      </c>
      <c r="AM455" s="44" t="str">
        <f>'Gen Rev'!A454</f>
        <v>Newtown</v>
      </c>
      <c r="AN455" s="21" t="str">
        <f t="shared" si="155"/>
        <v>Newtown</v>
      </c>
      <c r="AO455" s="21" t="b">
        <f t="shared" si="156"/>
        <v>1</v>
      </c>
    </row>
    <row r="456" spans="1:41" ht="12.75">
      <c r="A456" s="1" t="s">
        <v>55</v>
      </c>
      <c r="C456" s="1" t="s">
        <v>763</v>
      </c>
      <c r="D456" s="23"/>
      <c r="E456" s="36">
        <v>4960</v>
      </c>
      <c r="F456" s="36"/>
      <c r="G456" s="36">
        <v>2203.8</v>
      </c>
      <c r="H456" s="36"/>
      <c r="I456" s="36">
        <v>927.19</v>
      </c>
      <c r="J456" s="36"/>
      <c r="K456" s="36">
        <v>0</v>
      </c>
      <c r="L456" s="36"/>
      <c r="M456" s="36">
        <v>2854.42</v>
      </c>
      <c r="N456" s="36"/>
      <c r="O456" s="36">
        <v>24464.94</v>
      </c>
      <c r="P456" s="36"/>
      <c r="Q456" s="36">
        <v>59688.38</v>
      </c>
      <c r="R456" s="36"/>
      <c r="S456" s="36">
        <v>0</v>
      </c>
      <c r="T456" s="36"/>
      <c r="U456" s="36">
        <v>0</v>
      </c>
      <c r="V456" s="36"/>
      <c r="W456" s="36">
        <v>0</v>
      </c>
      <c r="X456" s="36"/>
      <c r="Y456" s="36">
        <v>0</v>
      </c>
      <c r="Z456" s="36"/>
      <c r="AA456" s="36">
        <v>0</v>
      </c>
      <c r="AB456" s="36"/>
      <c r="AC456" s="36">
        <v>4500</v>
      </c>
      <c r="AD456" s="36"/>
      <c r="AE456" s="36">
        <f t="shared" si="174"/>
        <v>99598.73</v>
      </c>
      <c r="AF456" s="36"/>
      <c r="AG456" s="36">
        <v>-33697.84</v>
      </c>
      <c r="AH456" s="36"/>
      <c r="AI456" s="36">
        <v>118834.68</v>
      </c>
      <c r="AJ456" s="36"/>
      <c r="AK456" s="36">
        <v>85136.84</v>
      </c>
      <c r="AL456" s="24">
        <f>+'Gen Rev'!AI455-'Gen Exp'!AE456+'Gen Exp'!AI456-AK456</f>
        <v>0</v>
      </c>
      <c r="AM456" s="44" t="str">
        <f>'Gen Rev'!A455</f>
        <v>Ney</v>
      </c>
      <c r="AN456" s="21" t="str">
        <f t="shared" si="155"/>
        <v>Ney</v>
      </c>
      <c r="AO456" s="21" t="b">
        <f t="shared" si="156"/>
        <v>1</v>
      </c>
    </row>
    <row r="457" spans="1:41" ht="12.75">
      <c r="A457" s="1" t="s">
        <v>607</v>
      </c>
      <c r="C457" s="1" t="s">
        <v>603</v>
      </c>
      <c r="E457" s="83">
        <v>430570</v>
      </c>
      <c r="F457" s="83"/>
      <c r="G457" s="83">
        <v>169945</v>
      </c>
      <c r="H457" s="83"/>
      <c r="I457" s="83">
        <v>0</v>
      </c>
      <c r="J457" s="83"/>
      <c r="K457" s="83">
        <v>2333</v>
      </c>
      <c r="L457" s="83"/>
      <c r="M457" s="83">
        <v>0</v>
      </c>
      <c r="N457" s="83"/>
      <c r="O457" s="83">
        <v>0</v>
      </c>
      <c r="P457" s="83"/>
      <c r="Q457" s="83">
        <v>247154</v>
      </c>
      <c r="R457" s="83"/>
      <c r="S457" s="83">
        <v>0</v>
      </c>
      <c r="T457" s="83"/>
      <c r="U457" s="83">
        <v>0</v>
      </c>
      <c r="V457" s="83"/>
      <c r="W457" s="83">
        <v>0</v>
      </c>
      <c r="X457" s="83"/>
      <c r="Y457" s="83">
        <v>226660</v>
      </c>
      <c r="Z457" s="83"/>
      <c r="AA457" s="83">
        <v>0</v>
      </c>
      <c r="AB457" s="83"/>
      <c r="AC457" s="83">
        <v>0</v>
      </c>
      <c r="AD457" s="83"/>
      <c r="AE457" s="83">
        <f t="shared" si="154"/>
        <v>1076662</v>
      </c>
      <c r="AF457" s="83"/>
      <c r="AG457" s="83">
        <v>-92158</v>
      </c>
      <c r="AH457" s="83"/>
      <c r="AI457" s="83">
        <v>1377767</v>
      </c>
      <c r="AJ457" s="83"/>
      <c r="AK457" s="83">
        <v>1285609</v>
      </c>
      <c r="AL457" s="24">
        <f>+'Gen Rev'!AI456-'Gen Exp'!AE457+'Gen Exp'!AI457-AK457</f>
        <v>0</v>
      </c>
      <c r="AM457" s="44" t="str">
        <f>'Gen Rev'!A456</f>
        <v>North Baltimore</v>
      </c>
      <c r="AN457" s="21" t="str">
        <f t="shared" si="155"/>
        <v>North Baltimore</v>
      </c>
      <c r="AO457" s="21" t="b">
        <f t="shared" si="156"/>
        <v>1</v>
      </c>
    </row>
    <row r="458" spans="1:41" ht="12.75">
      <c r="A458" s="1" t="s">
        <v>97</v>
      </c>
      <c r="C458" s="1" t="s">
        <v>773</v>
      </c>
      <c r="D458" s="23"/>
      <c r="E458" s="36">
        <v>95435.61</v>
      </c>
      <c r="F458" s="36"/>
      <c r="G458" s="36">
        <v>0</v>
      </c>
      <c r="H458" s="36"/>
      <c r="I458" s="36">
        <v>2619.04</v>
      </c>
      <c r="J458" s="36"/>
      <c r="K458" s="36">
        <v>2024</v>
      </c>
      <c r="L458" s="36"/>
      <c r="M458" s="36">
        <v>16964.42</v>
      </c>
      <c r="N458" s="36"/>
      <c r="O458" s="36">
        <v>0</v>
      </c>
      <c r="P458" s="36"/>
      <c r="Q458" s="36">
        <v>137857.39</v>
      </c>
      <c r="R458" s="36"/>
      <c r="S458" s="36">
        <v>0</v>
      </c>
      <c r="T458" s="36"/>
      <c r="U458" s="36">
        <v>0</v>
      </c>
      <c r="V458" s="36"/>
      <c r="W458" s="36">
        <v>0</v>
      </c>
      <c r="X458" s="36"/>
      <c r="Y458" s="36">
        <v>80000</v>
      </c>
      <c r="Z458" s="36"/>
      <c r="AA458" s="36">
        <v>0</v>
      </c>
      <c r="AB458" s="36"/>
      <c r="AC458" s="36">
        <v>0</v>
      </c>
      <c r="AD458" s="36"/>
      <c r="AE458" s="36">
        <f aca="true" t="shared" si="175" ref="AE458:AE464">SUM(E458:AC458)</f>
        <v>334900.46</v>
      </c>
      <c r="AF458" s="36"/>
      <c r="AG458" s="36">
        <v>51712.68</v>
      </c>
      <c r="AH458" s="36"/>
      <c r="AI458" s="36">
        <v>706564.86</v>
      </c>
      <c r="AJ458" s="36"/>
      <c r="AK458" s="36">
        <v>758277.54</v>
      </c>
      <c r="AL458" s="24">
        <f>+'Gen Rev'!AI457-'Gen Exp'!AE458+'Gen Exp'!AI458-AK458</f>
        <v>0</v>
      </c>
      <c r="AM458" s="44" t="str">
        <f>'Gen Rev'!A457</f>
        <v>North Bend</v>
      </c>
      <c r="AN458" s="21" t="str">
        <f t="shared" si="155"/>
        <v>North Bend</v>
      </c>
      <c r="AO458" s="21" t="b">
        <f t="shared" si="156"/>
        <v>1</v>
      </c>
    </row>
    <row r="459" spans="1:41" s="21" customFormat="1" ht="12.75">
      <c r="A459" s="1" t="s">
        <v>418</v>
      </c>
      <c r="B459" s="1"/>
      <c r="C459" s="1" t="s">
        <v>780</v>
      </c>
      <c r="D459" s="23"/>
      <c r="E459" s="36">
        <v>7778.17</v>
      </c>
      <c r="F459" s="36"/>
      <c r="G459" s="36">
        <v>0</v>
      </c>
      <c r="H459" s="36"/>
      <c r="I459" s="36">
        <v>7252.56</v>
      </c>
      <c r="J459" s="36"/>
      <c r="K459" s="36">
        <v>3261.6</v>
      </c>
      <c r="L459" s="36"/>
      <c r="M459" s="36">
        <v>20460.72</v>
      </c>
      <c r="N459" s="36"/>
      <c r="O459" s="36">
        <v>0</v>
      </c>
      <c r="P459" s="36"/>
      <c r="Q459" s="36">
        <v>52534.13</v>
      </c>
      <c r="R459" s="36"/>
      <c r="S459" s="36">
        <v>0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f t="shared" si="175"/>
        <v>91287.18</v>
      </c>
      <c r="AF459" s="36"/>
      <c r="AG459" s="36">
        <v>7316.87</v>
      </c>
      <c r="AH459" s="36"/>
      <c r="AI459" s="36">
        <v>80525.15</v>
      </c>
      <c r="AJ459" s="36"/>
      <c r="AK459" s="36">
        <v>87842.02</v>
      </c>
      <c r="AL459" s="24">
        <f>+'Gen Rev'!AI458-'Gen Exp'!AE459+'Gen Exp'!AI459-AK459</f>
        <v>0</v>
      </c>
      <c r="AM459" s="44" t="str">
        <f>'Gen Rev'!A458</f>
        <v>North Fairfield</v>
      </c>
      <c r="AN459" s="21" t="str">
        <f t="shared" si="155"/>
        <v>North Fairfield</v>
      </c>
      <c r="AO459" s="21" t="b">
        <f t="shared" si="156"/>
        <v>1</v>
      </c>
    </row>
    <row r="460" spans="1:41" ht="12.6" customHeight="1">
      <c r="A460" s="1" t="s">
        <v>293</v>
      </c>
      <c r="C460" s="1" t="s">
        <v>292</v>
      </c>
      <c r="E460" s="36">
        <v>134380.29</v>
      </c>
      <c r="F460" s="36"/>
      <c r="G460" s="36">
        <v>0</v>
      </c>
      <c r="H460" s="36"/>
      <c r="I460" s="36">
        <v>4063.16</v>
      </c>
      <c r="J460" s="36"/>
      <c r="K460" s="36">
        <v>0</v>
      </c>
      <c r="L460" s="36"/>
      <c r="M460" s="36">
        <v>0</v>
      </c>
      <c r="N460" s="36"/>
      <c r="O460" s="36">
        <v>0</v>
      </c>
      <c r="P460" s="36"/>
      <c r="Q460" s="36">
        <v>85132.53</v>
      </c>
      <c r="R460" s="36"/>
      <c r="S460" s="36">
        <v>0</v>
      </c>
      <c r="T460" s="36"/>
      <c r="U460" s="36">
        <v>0</v>
      </c>
      <c r="V460" s="36"/>
      <c r="W460" s="36">
        <v>0</v>
      </c>
      <c r="X460" s="36"/>
      <c r="Y460" s="36">
        <v>0</v>
      </c>
      <c r="Z460" s="36"/>
      <c r="AA460" s="36">
        <v>0</v>
      </c>
      <c r="AB460" s="36"/>
      <c r="AC460" s="36">
        <v>0</v>
      </c>
      <c r="AD460" s="36"/>
      <c r="AE460" s="36">
        <f t="shared" si="175"/>
        <v>223575.98</v>
      </c>
      <c r="AF460" s="36"/>
      <c r="AG460" s="36">
        <v>-9710.95</v>
      </c>
      <c r="AH460" s="36"/>
      <c r="AI460" s="36">
        <v>10409.4</v>
      </c>
      <c r="AJ460" s="36"/>
      <c r="AK460" s="36">
        <v>698.45</v>
      </c>
      <c r="AL460" s="24">
        <f>+'Gen Rev'!AI459-'Gen Exp'!AE460+'Gen Exp'!AI460-AK460</f>
        <v>-1.2050804798491299E-11</v>
      </c>
      <c r="AM460" s="44" t="str">
        <f>'Gen Rev'!A459</f>
        <v>North Hampton</v>
      </c>
      <c r="AN460" s="21" t="str">
        <f t="shared" si="155"/>
        <v>North Hampton</v>
      </c>
      <c r="AO460" s="21" t="b">
        <f t="shared" si="156"/>
        <v>1</v>
      </c>
    </row>
    <row r="461" spans="1:41" s="21" customFormat="1" ht="12.6" customHeight="1">
      <c r="A461" s="1" t="s">
        <v>689</v>
      </c>
      <c r="B461" s="1"/>
      <c r="C461" s="1" t="s">
        <v>674</v>
      </c>
      <c r="D461" s="1"/>
      <c r="E461" s="36">
        <v>483951.44</v>
      </c>
      <c r="F461" s="36"/>
      <c r="G461" s="36">
        <v>30920.44</v>
      </c>
      <c r="H461" s="36"/>
      <c r="I461" s="36">
        <v>0</v>
      </c>
      <c r="J461" s="36"/>
      <c r="K461" s="36">
        <v>3271.82</v>
      </c>
      <c r="L461" s="36"/>
      <c r="M461" s="36">
        <v>0</v>
      </c>
      <c r="N461" s="36"/>
      <c r="O461" s="36">
        <v>0</v>
      </c>
      <c r="P461" s="36"/>
      <c r="Q461" s="36">
        <v>372281.06</v>
      </c>
      <c r="R461" s="36"/>
      <c r="S461" s="36">
        <v>0</v>
      </c>
      <c r="T461" s="36"/>
      <c r="U461" s="36">
        <v>0</v>
      </c>
      <c r="V461" s="36"/>
      <c r="W461" s="36">
        <v>0</v>
      </c>
      <c r="X461" s="36"/>
      <c r="Y461" s="36">
        <v>36408.77</v>
      </c>
      <c r="Z461" s="36"/>
      <c r="AA461" s="36">
        <v>2800</v>
      </c>
      <c r="AB461" s="36"/>
      <c r="AC461" s="36">
        <v>0</v>
      </c>
      <c r="AD461" s="36"/>
      <c r="AE461" s="36">
        <f t="shared" si="175"/>
        <v>929633.53</v>
      </c>
      <c r="AF461" s="36"/>
      <c r="AG461" s="36">
        <v>56815.81</v>
      </c>
      <c r="AH461" s="36"/>
      <c r="AI461" s="36">
        <v>538895.29</v>
      </c>
      <c r="AJ461" s="36"/>
      <c r="AK461" s="36">
        <v>595711.1</v>
      </c>
      <c r="AL461" s="24">
        <f>+'Gen Rev'!AI460-'Gen Exp'!AE461+'Gen Exp'!AI461-AK461</f>
        <v>0</v>
      </c>
      <c r="AM461" s="44" t="str">
        <f>'Gen Rev'!A460</f>
        <v>North Kingsville</v>
      </c>
      <c r="AN461" s="21" t="str">
        <f t="shared" si="155"/>
        <v>North Kingsville</v>
      </c>
      <c r="AO461" s="21" t="b">
        <f t="shared" si="156"/>
        <v>1</v>
      </c>
    </row>
    <row r="462" spans="5:41" ht="12.75"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 t="s">
        <v>864</v>
      </c>
      <c r="AF462" s="83"/>
      <c r="AG462" s="83"/>
      <c r="AH462" s="83"/>
      <c r="AI462" s="83"/>
      <c r="AJ462" s="83"/>
      <c r="AK462" s="83"/>
      <c r="AL462" s="24"/>
      <c r="AM462" s="44"/>
      <c r="AN462" s="21"/>
      <c r="AO462" s="21"/>
    </row>
    <row r="463" spans="1:41" ht="12.6" customHeight="1">
      <c r="A463" s="1" t="s">
        <v>289</v>
      </c>
      <c r="C463" s="1" t="s">
        <v>287</v>
      </c>
      <c r="E463" s="102">
        <v>120932.18</v>
      </c>
      <c r="F463" s="102"/>
      <c r="G463" s="102">
        <v>335.89</v>
      </c>
      <c r="H463" s="102"/>
      <c r="I463" s="102">
        <v>2768.76</v>
      </c>
      <c r="J463" s="102"/>
      <c r="K463" s="102">
        <v>0</v>
      </c>
      <c r="L463" s="102"/>
      <c r="M463" s="102">
        <v>9399.25</v>
      </c>
      <c r="N463" s="102"/>
      <c r="O463" s="102">
        <v>0</v>
      </c>
      <c r="P463" s="102"/>
      <c r="Q463" s="102">
        <v>160062.56</v>
      </c>
      <c r="R463" s="102"/>
      <c r="S463" s="102">
        <v>10232.55</v>
      </c>
      <c r="T463" s="102"/>
      <c r="U463" s="102">
        <v>0</v>
      </c>
      <c r="V463" s="102"/>
      <c r="W463" s="102">
        <v>0</v>
      </c>
      <c r="X463" s="102"/>
      <c r="Y463" s="102">
        <v>0</v>
      </c>
      <c r="Z463" s="102"/>
      <c r="AA463" s="102">
        <v>0</v>
      </c>
      <c r="AB463" s="102"/>
      <c r="AC463" s="102">
        <v>7837.67</v>
      </c>
      <c r="AD463" s="102"/>
      <c r="AE463" s="102">
        <f t="shared" si="175"/>
        <v>311568.86</v>
      </c>
      <c r="AF463" s="36"/>
      <c r="AG463" s="36">
        <v>-11589.71</v>
      </c>
      <c r="AH463" s="36"/>
      <c r="AI463" s="36">
        <v>332844.49</v>
      </c>
      <c r="AJ463" s="36"/>
      <c r="AK463" s="36">
        <v>321254.78</v>
      </c>
      <c r="AL463" s="24">
        <f>+'Gen Rev'!AI461-'Gen Exp'!AE463+'Gen Exp'!AI463-AK463</f>
        <v>0</v>
      </c>
      <c r="AM463" s="44" t="str">
        <f>'Gen Rev'!A461</f>
        <v>North Lewisburg</v>
      </c>
      <c r="AN463" s="21" t="str">
        <f t="shared" si="155"/>
        <v>North Lewisburg</v>
      </c>
      <c r="AO463" s="21" t="b">
        <f t="shared" si="156"/>
        <v>1</v>
      </c>
    </row>
    <row r="464" spans="1:41" s="21" customFormat="1" ht="12.75">
      <c r="A464" s="1" t="s">
        <v>124</v>
      </c>
      <c r="B464" s="1"/>
      <c r="C464" s="1" t="s">
        <v>783</v>
      </c>
      <c r="D464" s="23"/>
      <c r="E464" s="36">
        <v>208728.02</v>
      </c>
      <c r="F464" s="36"/>
      <c r="G464" s="36">
        <v>88175</v>
      </c>
      <c r="H464" s="36"/>
      <c r="I464" s="36">
        <v>1334100.02</v>
      </c>
      <c r="J464" s="36"/>
      <c r="K464" s="36">
        <v>20748.24</v>
      </c>
      <c r="L464" s="36"/>
      <c r="M464" s="36">
        <v>288240.44</v>
      </c>
      <c r="N464" s="36"/>
      <c r="O464" s="36">
        <v>0</v>
      </c>
      <c r="P464" s="36"/>
      <c r="Q464" s="36">
        <v>446021.6</v>
      </c>
      <c r="R464" s="36"/>
      <c r="S464" s="36">
        <v>0</v>
      </c>
      <c r="T464" s="36"/>
      <c r="U464" s="36">
        <v>0</v>
      </c>
      <c r="V464" s="36"/>
      <c r="W464" s="36">
        <v>0</v>
      </c>
      <c r="X464" s="36"/>
      <c r="Y464" s="36">
        <v>662262.5</v>
      </c>
      <c r="Z464" s="36"/>
      <c r="AA464" s="36">
        <v>0</v>
      </c>
      <c r="AB464" s="36"/>
      <c r="AC464" s="36">
        <v>0</v>
      </c>
      <c r="AD464" s="36"/>
      <c r="AE464" s="36">
        <f t="shared" si="175"/>
        <v>3048275.82</v>
      </c>
      <c r="AF464" s="36"/>
      <c r="AG464" s="36">
        <v>-478016.88</v>
      </c>
      <c r="AH464" s="36"/>
      <c r="AI464" s="36">
        <v>7590241.1</v>
      </c>
      <c r="AJ464" s="36"/>
      <c r="AK464" s="36">
        <v>7112224.22</v>
      </c>
      <c r="AL464" s="24">
        <f>+'Gen Rev'!AI462-'Gen Exp'!AE464+'Gen Exp'!AI464-AK464</f>
        <v>0</v>
      </c>
      <c r="AM464" s="44" t="str">
        <f>'Gen Rev'!A462</f>
        <v>North Perry</v>
      </c>
      <c r="AN464" s="21" t="str">
        <f t="shared" si="155"/>
        <v>North Perry</v>
      </c>
      <c r="AO464" s="21" t="b">
        <f t="shared" si="156"/>
        <v>1</v>
      </c>
    </row>
    <row r="465" spans="1:41" s="31" customFormat="1" ht="12.75">
      <c r="A465" s="15" t="s">
        <v>844</v>
      </c>
      <c r="B465" s="15"/>
      <c r="C465" s="15" t="s">
        <v>761</v>
      </c>
      <c r="D465" s="28"/>
      <c r="E465" s="83">
        <v>640164</v>
      </c>
      <c r="F465" s="85"/>
      <c r="G465" s="83">
        <v>0</v>
      </c>
      <c r="H465" s="85"/>
      <c r="I465" s="83">
        <v>13714</v>
      </c>
      <c r="J465" s="85"/>
      <c r="K465" s="83">
        <v>75322</v>
      </c>
      <c r="L465" s="85"/>
      <c r="M465" s="83">
        <v>72989</v>
      </c>
      <c r="N465" s="85"/>
      <c r="O465" s="83">
        <v>0</v>
      </c>
      <c r="P465" s="85"/>
      <c r="Q465" s="83">
        <v>595119</v>
      </c>
      <c r="R465" s="83"/>
      <c r="S465" s="83">
        <v>0</v>
      </c>
      <c r="T465" s="85"/>
      <c r="U465" s="83">
        <v>0</v>
      </c>
      <c r="V465" s="85"/>
      <c r="W465" s="83">
        <v>0</v>
      </c>
      <c r="X465" s="85"/>
      <c r="Y465" s="83">
        <v>0</v>
      </c>
      <c r="Z465" s="85"/>
      <c r="AA465" s="83">
        <v>0</v>
      </c>
      <c r="AB465" s="85"/>
      <c r="AC465" s="83">
        <v>0</v>
      </c>
      <c r="AD465" s="85"/>
      <c r="AE465" s="83">
        <f t="shared" si="154"/>
        <v>1397308</v>
      </c>
      <c r="AF465" s="85"/>
      <c r="AG465" s="41">
        <v>81287</v>
      </c>
      <c r="AH465" s="41"/>
      <c r="AI465" s="41">
        <v>-12269</v>
      </c>
      <c r="AJ465" s="41"/>
      <c r="AK465" s="41">
        <v>69018</v>
      </c>
      <c r="AL465" s="24">
        <f>+'Gen Rev'!AI463-'Gen Exp'!AE465+'Gen Exp'!AI465-AK465</f>
        <v>-1</v>
      </c>
      <c r="AM465" s="44" t="str">
        <f>'Gen Rev'!A463</f>
        <v>North Randall</v>
      </c>
      <c r="AN465" s="21" t="str">
        <f t="shared" si="155"/>
        <v>North Randall</v>
      </c>
      <c r="AO465" s="21" t="b">
        <f t="shared" si="156"/>
        <v>1</v>
      </c>
    </row>
    <row r="466" spans="1:41" s="21" customFormat="1" ht="12.6" customHeight="1">
      <c r="A466" s="1" t="s">
        <v>314</v>
      </c>
      <c r="B466" s="1"/>
      <c r="C466" s="1" t="s">
        <v>312</v>
      </c>
      <c r="D466" s="1"/>
      <c r="E466" s="83">
        <v>5043.33</v>
      </c>
      <c r="F466" s="83"/>
      <c r="G466" s="83">
        <v>679.36</v>
      </c>
      <c r="H466" s="83"/>
      <c r="I466" s="83">
        <v>0</v>
      </c>
      <c r="J466" s="83"/>
      <c r="K466" s="83">
        <v>0</v>
      </c>
      <c r="L466" s="83"/>
      <c r="M466" s="83">
        <v>1676.07</v>
      </c>
      <c r="N466" s="83"/>
      <c r="O466" s="83">
        <v>0</v>
      </c>
      <c r="P466" s="83"/>
      <c r="Q466" s="83">
        <v>18669.46</v>
      </c>
      <c r="R466" s="83"/>
      <c r="S466" s="83">
        <v>0</v>
      </c>
      <c r="T466" s="83"/>
      <c r="U466" s="83">
        <v>0</v>
      </c>
      <c r="V466" s="83"/>
      <c r="W466" s="83">
        <v>0</v>
      </c>
      <c r="X466" s="83"/>
      <c r="Y466" s="83">
        <v>0</v>
      </c>
      <c r="Z466" s="83"/>
      <c r="AA466" s="83">
        <v>0</v>
      </c>
      <c r="AB466" s="83"/>
      <c r="AC466" s="83">
        <v>0</v>
      </c>
      <c r="AD466" s="83"/>
      <c r="AE466" s="83">
        <f t="shared" si="154"/>
        <v>26068.219999999998</v>
      </c>
      <c r="AF466" s="83"/>
      <c r="AG466" s="36"/>
      <c r="AH466" s="36"/>
      <c r="AI466" s="36">
        <v>25103.98</v>
      </c>
      <c r="AJ466" s="36"/>
      <c r="AK466" s="36">
        <v>19561.08</v>
      </c>
      <c r="AL466" s="24">
        <f>+'Gen Rev'!AI464-'Gen Exp'!AE466+'Gen Exp'!AI466-AK466</f>
        <v>-0.059999999997671694</v>
      </c>
      <c r="AM466" s="44" t="str">
        <f>'Gen Rev'!A464</f>
        <v>North Robinson</v>
      </c>
      <c r="AN466" s="21" t="str">
        <f t="shared" si="155"/>
        <v>North Robinson</v>
      </c>
      <c r="AO466" s="21" t="b">
        <f t="shared" si="156"/>
        <v>1</v>
      </c>
    </row>
    <row r="467" spans="1:41" ht="12.6" customHeight="1" hidden="1">
      <c r="A467" s="1" t="s">
        <v>334</v>
      </c>
      <c r="C467" s="1" t="s">
        <v>329</v>
      </c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>
        <f t="shared" si="154"/>
        <v>0</v>
      </c>
      <c r="AF467" s="83"/>
      <c r="AG467" s="36"/>
      <c r="AH467" s="36"/>
      <c r="AI467" s="36"/>
      <c r="AJ467" s="36"/>
      <c r="AK467" s="36"/>
      <c r="AL467" s="24">
        <f>+'Gen Rev'!AI465-'Gen Exp'!AE467+'Gen Exp'!AI467-AK467</f>
        <v>0</v>
      </c>
      <c r="AM467" s="44" t="str">
        <f>'Gen Rev'!A465</f>
        <v xml:space="preserve">North Star </v>
      </c>
      <c r="AN467" s="21" t="str">
        <f t="shared" si="155"/>
        <v xml:space="preserve">North Star </v>
      </c>
      <c r="AO467" s="21" t="b">
        <f t="shared" si="156"/>
        <v>1</v>
      </c>
    </row>
    <row r="468" spans="1:41" ht="12.75">
      <c r="A468" s="1" t="s">
        <v>553</v>
      </c>
      <c r="C468" s="1" t="s">
        <v>551</v>
      </c>
      <c r="E468" s="83">
        <v>35889.18</v>
      </c>
      <c r="F468" s="83"/>
      <c r="G468" s="83">
        <v>74778.62</v>
      </c>
      <c r="H468" s="83"/>
      <c r="I468" s="83">
        <v>4509.97</v>
      </c>
      <c r="J468" s="83"/>
      <c r="K468" s="83">
        <v>0</v>
      </c>
      <c r="L468" s="83"/>
      <c r="M468" s="83">
        <v>0</v>
      </c>
      <c r="N468" s="83"/>
      <c r="O468" s="83">
        <v>319900.11</v>
      </c>
      <c r="P468" s="83"/>
      <c r="Q468" s="83">
        <v>606856.59</v>
      </c>
      <c r="R468" s="83"/>
      <c r="S468" s="83">
        <v>0</v>
      </c>
      <c r="T468" s="83"/>
      <c r="U468" s="83">
        <v>0</v>
      </c>
      <c r="V468" s="83"/>
      <c r="W468" s="83">
        <v>0</v>
      </c>
      <c r="X468" s="83"/>
      <c r="Y468" s="83">
        <v>0</v>
      </c>
      <c r="Z468" s="83"/>
      <c r="AA468" s="83">
        <v>0</v>
      </c>
      <c r="AB468" s="83"/>
      <c r="AC468" s="83">
        <v>0</v>
      </c>
      <c r="AD468" s="83"/>
      <c r="AE468" s="83">
        <f t="shared" si="154"/>
        <v>1041934.47</v>
      </c>
      <c r="AF468" s="83"/>
      <c r="AG468" s="83">
        <v>31731.2</v>
      </c>
      <c r="AH468" s="83"/>
      <c r="AI468" s="83">
        <v>313809.39</v>
      </c>
      <c r="AJ468" s="83"/>
      <c r="AK468" s="83">
        <v>345540.59</v>
      </c>
      <c r="AL468" s="24">
        <f>+'Gen Rev'!AI466-'Gen Exp'!AE468+'Gen Exp'!AI468-AK468</f>
        <v>975951.8499999999</v>
      </c>
      <c r="AM468" s="44" t="str">
        <f>'Gen Rev'!A466</f>
        <v>Northfield</v>
      </c>
      <c r="AN468" s="21" t="str">
        <f t="shared" si="155"/>
        <v>Northfield</v>
      </c>
      <c r="AO468" s="21" t="b">
        <f t="shared" si="156"/>
        <v>1</v>
      </c>
    </row>
    <row r="469" spans="1:41" ht="12.75">
      <c r="A469" s="1" t="s">
        <v>176</v>
      </c>
      <c r="C469" s="1" t="s">
        <v>800</v>
      </c>
      <c r="D469" s="23"/>
      <c r="E469" s="96">
        <v>1889.51</v>
      </c>
      <c r="F469" s="96"/>
      <c r="G469" s="96">
        <v>0</v>
      </c>
      <c r="H469" s="96"/>
      <c r="I469" s="96">
        <v>0</v>
      </c>
      <c r="J469" s="96"/>
      <c r="K469" s="96">
        <v>0</v>
      </c>
      <c r="L469" s="96"/>
      <c r="M469" s="96">
        <v>0</v>
      </c>
      <c r="N469" s="96"/>
      <c r="O469" s="96">
        <v>293.53</v>
      </c>
      <c r="P469" s="96"/>
      <c r="Q469" s="96">
        <v>12402.2</v>
      </c>
      <c r="R469" s="96"/>
      <c r="S469" s="96">
        <v>2074.81</v>
      </c>
      <c r="T469" s="96"/>
      <c r="U469" s="96">
        <v>0</v>
      </c>
      <c r="V469" s="96"/>
      <c r="W469" s="96">
        <v>0</v>
      </c>
      <c r="X469" s="96"/>
      <c r="Y469" s="96">
        <v>0</v>
      </c>
      <c r="Z469" s="96"/>
      <c r="AA469" s="96">
        <v>0</v>
      </c>
      <c r="AB469" s="96"/>
      <c r="AC469" s="96">
        <v>60</v>
      </c>
      <c r="AD469" s="96"/>
      <c r="AE469" s="96">
        <f aca="true" t="shared" si="176" ref="AE469">SUM(E469:AC469)</f>
        <v>16720.050000000003</v>
      </c>
      <c r="AF469" s="36"/>
      <c r="AG469" s="36">
        <v>17820.65</v>
      </c>
      <c r="AH469" s="36"/>
      <c r="AI469" s="36">
        <v>81526.22</v>
      </c>
      <c r="AJ469" s="36"/>
      <c r="AK469" s="36">
        <v>99346.87</v>
      </c>
      <c r="AL469" s="24">
        <f>+'Gen Rev'!AI467-'Gen Exp'!AE469+'Gen Exp'!AI469-AK469</f>
        <v>0</v>
      </c>
      <c r="AM469" s="44" t="str">
        <f>'Gen Rev'!A467</f>
        <v>Norwich</v>
      </c>
      <c r="AN469" s="21" t="str">
        <f t="shared" si="155"/>
        <v>Norwich</v>
      </c>
      <c r="AO469" s="21" t="b">
        <f t="shared" si="156"/>
        <v>1</v>
      </c>
    </row>
    <row r="470" spans="1:41" s="15" customFormat="1" ht="12.75">
      <c r="A470" s="15" t="s">
        <v>495</v>
      </c>
      <c r="C470" s="15" t="s">
        <v>207</v>
      </c>
      <c r="E470" s="85">
        <v>629372</v>
      </c>
      <c r="F470" s="85"/>
      <c r="G470" s="85">
        <v>8108</v>
      </c>
      <c r="H470" s="85"/>
      <c r="I470" s="85">
        <v>39682</v>
      </c>
      <c r="J470" s="85"/>
      <c r="K470" s="85">
        <v>1511</v>
      </c>
      <c r="L470" s="85"/>
      <c r="M470" s="85">
        <v>0</v>
      </c>
      <c r="N470" s="85"/>
      <c r="O470" s="85">
        <v>223991</v>
      </c>
      <c r="P470" s="85"/>
      <c r="Q470" s="85">
        <v>227958</v>
      </c>
      <c r="R470" s="85"/>
      <c r="S470" s="85">
        <v>54374</v>
      </c>
      <c r="T470" s="85"/>
      <c r="U470" s="85">
        <v>0</v>
      </c>
      <c r="V470" s="85"/>
      <c r="W470" s="85">
        <v>0</v>
      </c>
      <c r="X470" s="85"/>
      <c r="Y470" s="85">
        <v>60000</v>
      </c>
      <c r="Z470" s="85"/>
      <c r="AA470" s="85">
        <v>0</v>
      </c>
      <c r="AB470" s="85"/>
      <c r="AC470" s="85">
        <v>12555</v>
      </c>
      <c r="AD470" s="85"/>
      <c r="AE470" s="83">
        <f aca="true" t="shared" si="177" ref="AE470:AE533">SUM(E470:AC470)</f>
        <v>1257551</v>
      </c>
      <c r="AF470" s="85"/>
      <c r="AG470" s="85">
        <v>-35509</v>
      </c>
      <c r="AH470" s="85"/>
      <c r="AI470" s="85">
        <v>954567</v>
      </c>
      <c r="AJ470" s="85"/>
      <c r="AK470" s="85">
        <v>919058</v>
      </c>
      <c r="AL470" s="24">
        <f>+'Gen Rev'!AI468-'Gen Exp'!AE470+'Gen Exp'!AI470-AK470</f>
        <v>-885</v>
      </c>
      <c r="AM470" s="44" t="str">
        <f>'Gen Rev'!A468</f>
        <v>Oak Harbor</v>
      </c>
      <c r="AN470" s="21" t="str">
        <f aca="true" t="shared" si="178" ref="AN470:AN536">A470</f>
        <v>Oak Harbor</v>
      </c>
      <c r="AO470" s="21" t="b">
        <f aca="true" t="shared" si="179" ref="AO470:AO536">AM470=AN470</f>
        <v>1</v>
      </c>
    </row>
    <row r="471" spans="1:41" ht="12.75">
      <c r="A471" s="1" t="s">
        <v>114</v>
      </c>
      <c r="C471" s="1" t="s">
        <v>666</v>
      </c>
      <c r="D471" s="23"/>
      <c r="E471" s="36">
        <v>216956.59</v>
      </c>
      <c r="F471" s="36"/>
      <c r="G471" s="36">
        <v>0</v>
      </c>
      <c r="H471" s="36"/>
      <c r="I471" s="36">
        <v>0</v>
      </c>
      <c r="J471" s="36"/>
      <c r="K471" s="36">
        <v>0</v>
      </c>
      <c r="L471" s="36"/>
      <c r="M471" s="36">
        <v>5843.63</v>
      </c>
      <c r="N471" s="36"/>
      <c r="O471" s="36">
        <v>0</v>
      </c>
      <c r="P471" s="36"/>
      <c r="Q471" s="36">
        <v>31578.18</v>
      </c>
      <c r="R471" s="36"/>
      <c r="S471" s="36">
        <v>0</v>
      </c>
      <c r="T471" s="36"/>
      <c r="U471" s="36">
        <v>0</v>
      </c>
      <c r="V471" s="36"/>
      <c r="W471" s="36">
        <v>0</v>
      </c>
      <c r="X471" s="36"/>
      <c r="Y471" s="36">
        <v>0</v>
      </c>
      <c r="Z471" s="36"/>
      <c r="AA471" s="36">
        <v>52500</v>
      </c>
      <c r="AB471" s="36"/>
      <c r="AC471" s="36">
        <v>0</v>
      </c>
      <c r="AD471" s="36"/>
      <c r="AE471" s="36">
        <f aca="true" t="shared" si="180" ref="AE471">SUM(E471:AC471)</f>
        <v>306878.4</v>
      </c>
      <c r="AF471" s="36"/>
      <c r="AG471" s="36">
        <v>36612.98</v>
      </c>
      <c r="AH471" s="36"/>
      <c r="AI471" s="36">
        <v>-4901.78</v>
      </c>
      <c r="AJ471" s="36"/>
      <c r="AK471" s="36">
        <v>31711.2</v>
      </c>
      <c r="AL471" s="24">
        <f>+'Gen Rev'!AI469-'Gen Exp'!AE471+'Gen Exp'!AI471-AK471</f>
        <v>-7.639755494892597E-11</v>
      </c>
      <c r="AM471" s="44" t="str">
        <f>'Gen Rev'!A469</f>
        <v>Oak Hill</v>
      </c>
      <c r="AN471" s="21" t="str">
        <f t="shared" si="178"/>
        <v>Oak Hill</v>
      </c>
      <c r="AO471" s="21" t="b">
        <f t="shared" si="179"/>
        <v>1</v>
      </c>
    </row>
    <row r="472" spans="1:41" s="21" customFormat="1" ht="12.6" customHeight="1">
      <c r="A472" s="1" t="s">
        <v>325</v>
      </c>
      <c r="B472" s="1"/>
      <c r="C472" s="1" t="s">
        <v>316</v>
      </c>
      <c r="D472" s="1"/>
      <c r="E472" s="83">
        <v>2891061</v>
      </c>
      <c r="F472" s="83"/>
      <c r="G472" s="83">
        <v>0</v>
      </c>
      <c r="H472" s="83"/>
      <c r="I472" s="83">
        <v>0</v>
      </c>
      <c r="J472" s="83"/>
      <c r="K472" s="83">
        <v>232112</v>
      </c>
      <c r="L472" s="83"/>
      <c r="M472" s="83">
        <v>210741</v>
      </c>
      <c r="N472" s="83"/>
      <c r="O472" s="83">
        <v>27936</v>
      </c>
      <c r="P472" s="83"/>
      <c r="Q472" s="83">
        <v>2591496</v>
      </c>
      <c r="R472" s="83"/>
      <c r="S472" s="83">
        <v>0</v>
      </c>
      <c r="T472" s="83"/>
      <c r="U472" s="83">
        <v>0</v>
      </c>
      <c r="V472" s="83"/>
      <c r="W472" s="83">
        <v>0</v>
      </c>
      <c r="X472" s="83"/>
      <c r="Y472" s="83">
        <v>296600</v>
      </c>
      <c r="Z472" s="83"/>
      <c r="AA472" s="83">
        <v>0</v>
      </c>
      <c r="AB472" s="83"/>
      <c r="AC472" s="83">
        <v>0</v>
      </c>
      <c r="AD472" s="83"/>
      <c r="AE472" s="83">
        <f t="shared" si="177"/>
        <v>6249946</v>
      </c>
      <c r="AF472" s="83"/>
      <c r="AG472" s="36">
        <v>12680</v>
      </c>
      <c r="AH472" s="36"/>
      <c r="AI472" s="36">
        <v>184142</v>
      </c>
      <c r="AJ472" s="36"/>
      <c r="AK472" s="36">
        <v>196822</v>
      </c>
      <c r="AL472" s="24">
        <f>+'Gen Rev'!AI470-'Gen Exp'!AE472+'Gen Exp'!AI472-AK472</f>
        <v>0</v>
      </c>
      <c r="AM472" s="44" t="str">
        <f>'Gen Rev'!A470</f>
        <v>Oakwood</v>
      </c>
      <c r="AN472" s="21" t="str">
        <f t="shared" si="178"/>
        <v>Oakwood</v>
      </c>
      <c r="AO472" s="21" t="b">
        <f t="shared" si="179"/>
        <v>1</v>
      </c>
    </row>
    <row r="473" spans="1:41" ht="12.75">
      <c r="A473" s="1" t="s">
        <v>325</v>
      </c>
      <c r="C473" s="1" t="s">
        <v>497</v>
      </c>
      <c r="E473" s="83">
        <v>0</v>
      </c>
      <c r="F473" s="83"/>
      <c r="G473" s="83">
        <v>0</v>
      </c>
      <c r="H473" s="83"/>
      <c r="I473" s="83">
        <v>0</v>
      </c>
      <c r="J473" s="83"/>
      <c r="K473" s="83">
        <v>0</v>
      </c>
      <c r="L473" s="83"/>
      <c r="M473" s="83">
        <v>0</v>
      </c>
      <c r="N473" s="83"/>
      <c r="O473" s="83">
        <v>0</v>
      </c>
      <c r="P473" s="83"/>
      <c r="Q473" s="83">
        <v>61005.2</v>
      </c>
      <c r="R473" s="83"/>
      <c r="S473" s="83">
        <v>6891.63</v>
      </c>
      <c r="T473" s="83"/>
      <c r="U473" s="83">
        <v>0</v>
      </c>
      <c r="V473" s="83"/>
      <c r="W473" s="83">
        <v>0</v>
      </c>
      <c r="X473" s="83"/>
      <c r="Y473" s="83">
        <v>25000</v>
      </c>
      <c r="Z473" s="83"/>
      <c r="AA473" s="83">
        <v>0</v>
      </c>
      <c r="AB473" s="83"/>
      <c r="AC473" s="83">
        <v>12000</v>
      </c>
      <c r="AD473" s="83"/>
      <c r="AE473" s="83">
        <f t="shared" si="177"/>
        <v>104896.83</v>
      </c>
      <c r="AF473" s="83"/>
      <c r="AG473" s="83">
        <v>18223.36</v>
      </c>
      <c r="AH473" s="83"/>
      <c r="AI473" s="83">
        <v>29430.19</v>
      </c>
      <c r="AJ473" s="83"/>
      <c r="AK473" s="83">
        <v>47653.55</v>
      </c>
      <c r="AL473" s="24">
        <f>+'Gen Rev'!AI471-'Gen Exp'!AE473+'Gen Exp'!AI473-AK473</f>
        <v>0</v>
      </c>
      <c r="AM473" s="44" t="str">
        <f>'Gen Rev'!A471</f>
        <v>Oakwood</v>
      </c>
      <c r="AN473" s="21" t="str">
        <f t="shared" si="178"/>
        <v>Oakwood</v>
      </c>
      <c r="AO473" s="21" t="b">
        <f t="shared" si="179"/>
        <v>1</v>
      </c>
    </row>
    <row r="474" spans="1:41" ht="12.75">
      <c r="A474" s="1" t="s">
        <v>75</v>
      </c>
      <c r="C474" s="1" t="s">
        <v>768</v>
      </c>
      <c r="D474" s="23"/>
      <c r="E474" s="83">
        <v>1452313</v>
      </c>
      <c r="F474" s="83"/>
      <c r="G474" s="83">
        <v>22304</v>
      </c>
      <c r="H474" s="83"/>
      <c r="I474" s="83">
        <v>866279</v>
      </c>
      <c r="J474" s="83"/>
      <c r="K474" s="83">
        <v>280288</v>
      </c>
      <c r="L474" s="83"/>
      <c r="M474" s="83">
        <v>0</v>
      </c>
      <c r="N474" s="83"/>
      <c r="O474" s="83">
        <v>63204</v>
      </c>
      <c r="P474" s="83"/>
      <c r="Q474" s="83">
        <v>985988</v>
      </c>
      <c r="R474" s="83"/>
      <c r="S474" s="83">
        <v>247106</v>
      </c>
      <c r="T474" s="83"/>
      <c r="U474" s="83">
        <v>0</v>
      </c>
      <c r="V474" s="83"/>
      <c r="W474" s="83">
        <v>199309</v>
      </c>
      <c r="X474" s="83"/>
      <c r="Y474" s="83">
        <v>150000</v>
      </c>
      <c r="Z474" s="83"/>
      <c r="AA474" s="83">
        <v>0</v>
      </c>
      <c r="AB474" s="83"/>
      <c r="AC474" s="83">
        <v>0</v>
      </c>
      <c r="AD474" s="83"/>
      <c r="AE474" s="83">
        <f t="shared" si="177"/>
        <v>4266791</v>
      </c>
      <c r="AF474" s="83"/>
      <c r="AG474" s="83">
        <v>633172</v>
      </c>
      <c r="AH474" s="83"/>
      <c r="AI474" s="83">
        <v>1895017</v>
      </c>
      <c r="AJ474" s="83"/>
      <c r="AK474" s="83">
        <v>2528189</v>
      </c>
      <c r="AL474" s="24">
        <f>+'Gen Rev'!AI472-'Gen Exp'!AE474+'Gen Exp'!AI474-AK474</f>
        <v>0</v>
      </c>
      <c r="AM474" s="44" t="str">
        <f>'Gen Rev'!A472</f>
        <v>Obetz</v>
      </c>
      <c r="AN474" s="21" t="str">
        <f t="shared" si="178"/>
        <v>Obetz</v>
      </c>
      <c r="AO474" s="21" t="b">
        <f t="shared" si="179"/>
        <v>1</v>
      </c>
    </row>
    <row r="475" spans="1:41" ht="12.75">
      <c r="A475" s="1" t="s">
        <v>71</v>
      </c>
      <c r="C475" s="1" t="s">
        <v>767</v>
      </c>
      <c r="D475" s="23"/>
      <c r="E475" s="36">
        <v>6488.11</v>
      </c>
      <c r="F475" s="36"/>
      <c r="G475" s="36">
        <v>0</v>
      </c>
      <c r="H475" s="36"/>
      <c r="I475" s="36">
        <v>1379.54</v>
      </c>
      <c r="J475" s="36"/>
      <c r="K475" s="36">
        <v>1383.94</v>
      </c>
      <c r="L475" s="36"/>
      <c r="M475" s="36">
        <v>4698.62</v>
      </c>
      <c r="N475" s="36"/>
      <c r="O475" s="36">
        <v>1712.5</v>
      </c>
      <c r="P475" s="36"/>
      <c r="Q475" s="36">
        <v>51152.91</v>
      </c>
      <c r="R475" s="36"/>
      <c r="S475" s="36">
        <v>4692.74</v>
      </c>
      <c r="T475" s="36"/>
      <c r="U475" s="36">
        <v>2069.4</v>
      </c>
      <c r="V475" s="36"/>
      <c r="W475" s="36">
        <v>102.33</v>
      </c>
      <c r="X475" s="36"/>
      <c r="Y475" s="36">
        <v>0</v>
      </c>
      <c r="Z475" s="36"/>
      <c r="AA475" s="36">
        <v>622.45</v>
      </c>
      <c r="AB475" s="36"/>
      <c r="AC475" s="36">
        <v>0</v>
      </c>
      <c r="AD475" s="36"/>
      <c r="AE475" s="36">
        <f aca="true" t="shared" si="181" ref="AE475">SUM(E475:AC475)</f>
        <v>74302.54</v>
      </c>
      <c r="AF475" s="36"/>
      <c r="AG475" s="36">
        <v>-1088.75</v>
      </c>
      <c r="AH475" s="36"/>
      <c r="AI475" s="36">
        <v>3672.34</v>
      </c>
      <c r="AJ475" s="36"/>
      <c r="AK475" s="36">
        <v>2583.59</v>
      </c>
      <c r="AL475" s="24">
        <f>+'Gen Rev'!AI473-'Gen Exp'!AE475+'Gen Exp'!AI475-AK475</f>
        <v>1.4551915228366852E-11</v>
      </c>
      <c r="AM475" s="44" t="str">
        <f>'Gen Rev'!A473</f>
        <v>Octa</v>
      </c>
      <c r="AN475" s="21" t="str">
        <f t="shared" si="178"/>
        <v>Octa</v>
      </c>
      <c r="AO475" s="21" t="b">
        <f t="shared" si="179"/>
        <v>1</v>
      </c>
    </row>
    <row r="476" spans="1:41" ht="12.75">
      <c r="A476" s="1" t="s">
        <v>575</v>
      </c>
      <c r="C476" s="1" t="s">
        <v>574</v>
      </c>
      <c r="E476" s="83">
        <v>35976</v>
      </c>
      <c r="F476" s="83"/>
      <c r="G476" s="83">
        <v>4613</v>
      </c>
      <c r="H476" s="83"/>
      <c r="I476" s="83">
        <v>7058</v>
      </c>
      <c r="J476" s="83"/>
      <c r="K476" s="83">
        <v>0</v>
      </c>
      <c r="L476" s="83"/>
      <c r="M476" s="83">
        <v>12196</v>
      </c>
      <c r="N476" s="83"/>
      <c r="O476" s="83">
        <v>0</v>
      </c>
      <c r="P476" s="83"/>
      <c r="Q476" s="83">
        <v>136596</v>
      </c>
      <c r="R476" s="83"/>
      <c r="S476" s="83">
        <v>57748</v>
      </c>
      <c r="T476" s="83"/>
      <c r="U476" s="83">
        <v>0</v>
      </c>
      <c r="V476" s="83"/>
      <c r="W476" s="83">
        <v>0</v>
      </c>
      <c r="X476" s="83"/>
      <c r="Y476" s="83">
        <v>51569</v>
      </c>
      <c r="Z476" s="83"/>
      <c r="AA476" s="83">
        <v>0</v>
      </c>
      <c r="AB476" s="83"/>
      <c r="AC476" s="83">
        <v>0</v>
      </c>
      <c r="AD476" s="83"/>
      <c r="AE476" s="83">
        <f t="shared" si="177"/>
        <v>305756</v>
      </c>
      <c r="AF476" s="83"/>
      <c r="AG476" s="83">
        <v>-119564</v>
      </c>
      <c r="AH476" s="83"/>
      <c r="AI476" s="83">
        <v>260985</v>
      </c>
      <c r="AJ476" s="83"/>
      <c r="AK476" s="83">
        <v>141421</v>
      </c>
      <c r="AL476" s="24">
        <f>+'Gen Rev'!AI474-'Gen Exp'!AE476+'Gen Exp'!AI476-AK476</f>
        <v>0</v>
      </c>
      <c r="AM476" s="44" t="str">
        <f>'Gen Rev'!A474</f>
        <v xml:space="preserve">Ohio City </v>
      </c>
      <c r="AN476" s="21" t="str">
        <f t="shared" si="178"/>
        <v xml:space="preserve">Ohio City </v>
      </c>
      <c r="AO476" s="21" t="b">
        <f t="shared" si="179"/>
        <v>1</v>
      </c>
    </row>
    <row r="477" spans="1:41" ht="12.75">
      <c r="A477" s="1" t="s">
        <v>972</v>
      </c>
      <c r="C477" s="1" t="s">
        <v>375</v>
      </c>
      <c r="E477" s="95">
        <v>5844.95</v>
      </c>
      <c r="F477" s="95"/>
      <c r="G477" s="95">
        <v>17.2</v>
      </c>
      <c r="H477" s="95"/>
      <c r="I477" s="95">
        <v>0</v>
      </c>
      <c r="J477" s="95"/>
      <c r="K477" s="95">
        <v>0</v>
      </c>
      <c r="L477" s="95"/>
      <c r="M477" s="95">
        <v>531.99</v>
      </c>
      <c r="N477" s="95"/>
      <c r="O477" s="95">
        <v>5083.04</v>
      </c>
      <c r="P477" s="95"/>
      <c r="Q477" s="95">
        <v>28218.34</v>
      </c>
      <c r="R477" s="95"/>
      <c r="S477" s="95">
        <v>0</v>
      </c>
      <c r="T477" s="95"/>
      <c r="U477" s="95">
        <v>0</v>
      </c>
      <c r="V477" s="95"/>
      <c r="W477" s="95">
        <v>0</v>
      </c>
      <c r="X477" s="95"/>
      <c r="Y477" s="95">
        <v>0</v>
      </c>
      <c r="Z477" s="95"/>
      <c r="AA477" s="95">
        <v>0</v>
      </c>
      <c r="AB477" s="95"/>
      <c r="AC477" s="95">
        <v>0</v>
      </c>
      <c r="AD477" s="95"/>
      <c r="AE477" s="95">
        <f aca="true" t="shared" si="182" ref="AE477">SUM(E477:AC477)</f>
        <v>39695.520000000004</v>
      </c>
      <c r="AF477" s="95"/>
      <c r="AG477" s="95">
        <v>6932</v>
      </c>
      <c r="AH477" s="95"/>
      <c r="AI477" s="95">
        <v>63791.26</v>
      </c>
      <c r="AJ477" s="95"/>
      <c r="AK477" s="95">
        <v>70723.26</v>
      </c>
      <c r="AL477" s="24">
        <f>+'Gen Rev'!AI475-'Gen Exp'!AE477+'Gen Exp'!AI477-AK477</f>
        <v>0</v>
      </c>
      <c r="AM477" s="44" t="str">
        <f>'Gen Rev'!A475</f>
        <v>Old Washington</v>
      </c>
      <c r="AN477" s="21" t="str">
        <f t="shared" si="178"/>
        <v>Old Washington</v>
      </c>
      <c r="AO477" s="21" t="b">
        <f t="shared" si="179"/>
        <v>1</v>
      </c>
    </row>
    <row r="478" spans="1:41" ht="12.75">
      <c r="A478" s="1" t="s">
        <v>922</v>
      </c>
      <c r="C478" s="1" t="s">
        <v>316</v>
      </c>
      <c r="E478" s="83">
        <v>2349016</v>
      </c>
      <c r="F478" s="83"/>
      <c r="G478" s="83">
        <v>0</v>
      </c>
      <c r="H478" s="83"/>
      <c r="I478" s="83">
        <v>0</v>
      </c>
      <c r="J478" s="83"/>
      <c r="K478" s="83">
        <v>198732</v>
      </c>
      <c r="L478" s="83"/>
      <c r="M478" s="83">
        <v>165158</v>
      </c>
      <c r="N478" s="83"/>
      <c r="O478" s="83">
        <v>693026</v>
      </c>
      <c r="P478" s="83"/>
      <c r="Q478" s="83">
        <v>1238698</v>
      </c>
      <c r="R478" s="83"/>
      <c r="S478" s="83">
        <v>0</v>
      </c>
      <c r="T478" s="83"/>
      <c r="U478" s="83">
        <v>0</v>
      </c>
      <c r="V478" s="83"/>
      <c r="W478" s="83">
        <v>0</v>
      </c>
      <c r="X478" s="83"/>
      <c r="Y478" s="83">
        <v>511071</v>
      </c>
      <c r="Z478" s="83"/>
      <c r="AA478" s="83">
        <v>0</v>
      </c>
      <c r="AB478" s="83"/>
      <c r="AC478" s="83">
        <v>0</v>
      </c>
      <c r="AD478" s="83"/>
      <c r="AE478" s="83">
        <f t="shared" si="177"/>
        <v>5155701</v>
      </c>
      <c r="AF478" s="83"/>
      <c r="AG478" s="83">
        <v>57848</v>
      </c>
      <c r="AH478" s="83"/>
      <c r="AI478" s="83">
        <v>2006396</v>
      </c>
      <c r="AJ478" s="83"/>
      <c r="AK478" s="83">
        <v>2064244</v>
      </c>
      <c r="AL478" s="24">
        <f>+'Gen Rev'!AI476-'Gen Exp'!AE478+'Gen Exp'!AI478-AK478</f>
        <v>0</v>
      </c>
      <c r="AM478" s="44" t="str">
        <f>'Gen Rev'!A476</f>
        <v xml:space="preserve">Orange </v>
      </c>
      <c r="AN478" s="21" t="str">
        <f t="shared" si="178"/>
        <v xml:space="preserve">Orange </v>
      </c>
      <c r="AO478" s="21" t="b">
        <f t="shared" si="179"/>
        <v>1</v>
      </c>
    </row>
    <row r="479" spans="1:41" ht="12.75">
      <c r="A479" s="1" t="s">
        <v>229</v>
      </c>
      <c r="C479" s="1" t="s">
        <v>817</v>
      </c>
      <c r="D479" s="23"/>
      <c r="E479" s="95">
        <v>3918.94</v>
      </c>
      <c r="F479" s="95"/>
      <c r="G479" s="95">
        <v>0</v>
      </c>
      <c r="H479" s="95"/>
      <c r="I479" s="95">
        <v>0</v>
      </c>
      <c r="J479" s="95"/>
      <c r="K479" s="95">
        <v>0</v>
      </c>
      <c r="L479" s="95"/>
      <c r="M479" s="95">
        <v>0</v>
      </c>
      <c r="N479" s="95"/>
      <c r="O479" s="95">
        <v>0</v>
      </c>
      <c r="P479" s="95"/>
      <c r="Q479" s="95">
        <v>16061.31</v>
      </c>
      <c r="R479" s="95"/>
      <c r="S479" s="95">
        <v>0</v>
      </c>
      <c r="T479" s="95"/>
      <c r="U479" s="95">
        <v>0</v>
      </c>
      <c r="V479" s="95"/>
      <c r="W479" s="95">
        <v>0</v>
      </c>
      <c r="X479" s="95"/>
      <c r="Y479" s="95">
        <v>0</v>
      </c>
      <c r="Z479" s="95"/>
      <c r="AA479" s="95">
        <v>0</v>
      </c>
      <c r="AB479" s="95"/>
      <c r="AC479" s="95">
        <v>0</v>
      </c>
      <c r="AD479" s="95"/>
      <c r="AE479" s="95">
        <f aca="true" t="shared" si="183" ref="AE479">SUM(E479:AC479)</f>
        <v>19980.25</v>
      </c>
      <c r="AF479" s="95"/>
      <c r="AG479" s="95">
        <v>1293.74</v>
      </c>
      <c r="AH479" s="95"/>
      <c r="AI479" s="95">
        <v>34785.62</v>
      </c>
      <c r="AJ479" s="95"/>
      <c r="AK479" s="95">
        <v>36079.36</v>
      </c>
      <c r="AL479" s="24">
        <f>+'Gen Rev'!AI477-'Gen Exp'!AE479+'Gen Exp'!AI479-AK479</f>
        <v>0</v>
      </c>
      <c r="AM479" s="44" t="str">
        <f>'Gen Rev'!A477</f>
        <v>Orangeville</v>
      </c>
      <c r="AN479" s="21" t="str">
        <f t="shared" si="178"/>
        <v>Orangeville</v>
      </c>
      <c r="AO479" s="21" t="b">
        <f t="shared" si="179"/>
        <v>1</v>
      </c>
    </row>
    <row r="480" spans="1:41" ht="12.75">
      <c r="A480" s="1" t="s">
        <v>190</v>
      </c>
      <c r="C480" s="1" t="s">
        <v>804</v>
      </c>
      <c r="D480" s="23"/>
      <c r="E480" s="36">
        <v>3750</v>
      </c>
      <c r="F480" s="36"/>
      <c r="G480" s="36">
        <v>724.49</v>
      </c>
      <c r="H480" s="36"/>
      <c r="I480" s="36">
        <v>0</v>
      </c>
      <c r="J480" s="36"/>
      <c r="K480" s="36">
        <v>0</v>
      </c>
      <c r="L480" s="36"/>
      <c r="M480" s="36">
        <v>0</v>
      </c>
      <c r="N480" s="36"/>
      <c r="O480" s="36">
        <v>0</v>
      </c>
      <c r="P480" s="36"/>
      <c r="Q480" s="36">
        <v>16185.43</v>
      </c>
      <c r="R480" s="36"/>
      <c r="S480" s="36">
        <v>0</v>
      </c>
      <c r="T480" s="36"/>
      <c r="U480" s="36">
        <v>0</v>
      </c>
      <c r="V480" s="36"/>
      <c r="W480" s="36">
        <v>0</v>
      </c>
      <c r="X480" s="36"/>
      <c r="Y480" s="36">
        <v>0</v>
      </c>
      <c r="Z480" s="36"/>
      <c r="AA480" s="36">
        <v>0</v>
      </c>
      <c r="AB480" s="36"/>
      <c r="AC480" s="36">
        <v>0</v>
      </c>
      <c r="AD480" s="36"/>
      <c r="AE480" s="36">
        <f aca="true" t="shared" si="184" ref="AE480">SUM(E480:AC480)</f>
        <v>20659.92</v>
      </c>
      <c r="AF480" s="36"/>
      <c r="AG480" s="36">
        <v>13510.62</v>
      </c>
      <c r="AH480" s="36"/>
      <c r="AI480" s="36">
        <v>12883.02</v>
      </c>
      <c r="AJ480" s="36"/>
      <c r="AK480" s="36">
        <v>26393.64</v>
      </c>
      <c r="AL480" s="24">
        <f>+'Gen Rev'!AI478-'Gen Exp'!AE480+'Gen Exp'!AI480-AK480</f>
        <v>0</v>
      </c>
      <c r="AM480" s="44" t="str">
        <f>'Gen Rev'!A478</f>
        <v>Orient</v>
      </c>
      <c r="AN480" s="21" t="str">
        <f t="shared" si="178"/>
        <v>Orient</v>
      </c>
      <c r="AO480" s="21" t="b">
        <f t="shared" si="179"/>
        <v>1</v>
      </c>
    </row>
    <row r="481" spans="1:41" s="21" customFormat="1" ht="12.75">
      <c r="A481" s="1" t="s">
        <v>678</v>
      </c>
      <c r="B481" s="1"/>
      <c r="C481" s="1" t="s">
        <v>674</v>
      </c>
      <c r="D481" s="23"/>
      <c r="E481" s="83">
        <v>560130</v>
      </c>
      <c r="F481" s="83"/>
      <c r="G481" s="83">
        <v>27282</v>
      </c>
      <c r="H481" s="83"/>
      <c r="I481" s="83">
        <v>6343</v>
      </c>
      <c r="J481" s="83"/>
      <c r="K481" s="83">
        <v>6591</v>
      </c>
      <c r="L481" s="83"/>
      <c r="M481" s="83">
        <v>15759</v>
      </c>
      <c r="N481" s="83"/>
      <c r="O481" s="83">
        <v>2221</v>
      </c>
      <c r="P481" s="83"/>
      <c r="Q481" s="83">
        <v>932626</v>
      </c>
      <c r="R481" s="83"/>
      <c r="S481" s="83">
        <v>0</v>
      </c>
      <c r="T481" s="83"/>
      <c r="U481" s="83">
        <v>0</v>
      </c>
      <c r="V481" s="83"/>
      <c r="W481" s="83">
        <v>0</v>
      </c>
      <c r="X481" s="83"/>
      <c r="Y481" s="83">
        <v>0</v>
      </c>
      <c r="Z481" s="83"/>
      <c r="AA481" s="83">
        <v>0</v>
      </c>
      <c r="AB481" s="83"/>
      <c r="AC481" s="83">
        <v>64620</v>
      </c>
      <c r="AD481" s="83"/>
      <c r="AE481" s="83">
        <f t="shared" si="177"/>
        <v>1615572</v>
      </c>
      <c r="AF481" s="83"/>
      <c r="AG481" s="36">
        <v>-22272</v>
      </c>
      <c r="AH481" s="36"/>
      <c r="AI481" s="36">
        <v>1002757</v>
      </c>
      <c r="AJ481" s="36"/>
      <c r="AK481" s="36">
        <v>473700</v>
      </c>
      <c r="AL481" s="24">
        <f>+'Gen Rev'!AI479-'Gen Exp'!AE481+'Gen Exp'!AI481-AK481</f>
        <v>506785</v>
      </c>
      <c r="AM481" s="44" t="str">
        <f>'Gen Rev'!A479</f>
        <v>Orwell</v>
      </c>
      <c r="AN481" s="21" t="str">
        <f t="shared" si="178"/>
        <v>Orwell</v>
      </c>
      <c r="AO481" s="21" t="b">
        <f t="shared" si="179"/>
        <v>1</v>
      </c>
    </row>
    <row r="482" spans="1:41" ht="12.6" customHeight="1">
      <c r="A482" s="1" t="s">
        <v>335</v>
      </c>
      <c r="C482" s="1" t="s">
        <v>329</v>
      </c>
      <c r="E482" s="83">
        <v>7235</v>
      </c>
      <c r="F482" s="83"/>
      <c r="G482" s="83">
        <v>1844</v>
      </c>
      <c r="H482" s="83"/>
      <c r="I482" s="83">
        <v>4374</v>
      </c>
      <c r="J482" s="83"/>
      <c r="K482" s="83">
        <v>0</v>
      </c>
      <c r="L482" s="83"/>
      <c r="M482" s="83">
        <v>0</v>
      </c>
      <c r="N482" s="83"/>
      <c r="O482" s="83">
        <v>0</v>
      </c>
      <c r="P482" s="83"/>
      <c r="Q482" s="83">
        <v>37954</v>
      </c>
      <c r="R482" s="83"/>
      <c r="S482" s="83">
        <v>0</v>
      </c>
      <c r="T482" s="83"/>
      <c r="U482" s="83">
        <v>0</v>
      </c>
      <c r="V482" s="83"/>
      <c r="W482" s="83">
        <v>0</v>
      </c>
      <c r="X482" s="83"/>
      <c r="Y482" s="83">
        <v>0</v>
      </c>
      <c r="Z482" s="83"/>
      <c r="AA482" s="83">
        <v>95000</v>
      </c>
      <c r="AB482" s="83"/>
      <c r="AC482" s="83">
        <v>0</v>
      </c>
      <c r="AD482" s="83"/>
      <c r="AE482" s="83">
        <f t="shared" si="177"/>
        <v>146407</v>
      </c>
      <c r="AF482" s="83"/>
      <c r="AG482" s="36">
        <v>-44707</v>
      </c>
      <c r="AH482" s="36"/>
      <c r="AI482" s="36">
        <v>449634</v>
      </c>
      <c r="AJ482" s="36"/>
      <c r="AK482" s="36">
        <v>404927</v>
      </c>
      <c r="AL482" s="24">
        <f>+'Gen Rev'!AI480-'Gen Exp'!AE482+'Gen Exp'!AI482-AK482</f>
        <v>-3</v>
      </c>
      <c r="AM482" s="44" t="str">
        <f>'Gen Rev'!A480</f>
        <v>Osgood</v>
      </c>
      <c r="AN482" s="21" t="str">
        <f t="shared" si="178"/>
        <v>Osgood</v>
      </c>
      <c r="AO482" s="21" t="b">
        <f t="shared" si="179"/>
        <v>1</v>
      </c>
    </row>
    <row r="483" spans="1:41" s="21" customFormat="1" ht="12.6" customHeight="1">
      <c r="A483" s="1" t="s">
        <v>344</v>
      </c>
      <c r="B483" s="1"/>
      <c r="C483" s="1" t="s">
        <v>343</v>
      </c>
      <c r="D483" s="1"/>
      <c r="E483" s="83">
        <v>14013</v>
      </c>
      <c r="F483" s="83"/>
      <c r="G483" s="83">
        <v>657</v>
      </c>
      <c r="H483" s="83"/>
      <c r="I483" s="83">
        <v>0</v>
      </c>
      <c r="J483" s="83"/>
      <c r="K483" s="83">
        <v>11087</v>
      </c>
      <c r="L483" s="83"/>
      <c r="M483" s="83">
        <v>0</v>
      </c>
      <c r="N483" s="83"/>
      <c r="O483" s="83">
        <v>0</v>
      </c>
      <c r="P483" s="83"/>
      <c r="Q483" s="83">
        <v>36284</v>
      </c>
      <c r="R483" s="83"/>
      <c r="S483" s="83">
        <v>442</v>
      </c>
      <c r="T483" s="83"/>
      <c r="U483" s="83">
        <v>0</v>
      </c>
      <c r="V483" s="83"/>
      <c r="W483" s="83">
        <v>0</v>
      </c>
      <c r="X483" s="83"/>
      <c r="Y483" s="83">
        <v>12000</v>
      </c>
      <c r="Z483" s="83"/>
      <c r="AA483" s="83">
        <v>0</v>
      </c>
      <c r="AB483" s="83"/>
      <c r="AC483" s="83">
        <v>0</v>
      </c>
      <c r="AD483" s="83"/>
      <c r="AE483" s="83">
        <f t="shared" si="177"/>
        <v>74483</v>
      </c>
      <c r="AF483" s="83"/>
      <c r="AG483" s="36">
        <v>-2752</v>
      </c>
      <c r="AH483" s="36"/>
      <c r="AI483" s="36">
        <v>38477</v>
      </c>
      <c r="AJ483" s="36"/>
      <c r="AK483" s="36">
        <v>35725</v>
      </c>
      <c r="AL483" s="24">
        <f>+'Gen Rev'!AI481-'Gen Exp'!AE483+'Gen Exp'!AI483-AK483</f>
        <v>2</v>
      </c>
      <c r="AM483" s="44" t="str">
        <f>'Gen Rev'!A481</f>
        <v>Ostrander</v>
      </c>
      <c r="AN483" s="21" t="str">
        <f t="shared" si="178"/>
        <v>Ostrander</v>
      </c>
      <c r="AO483" s="21" t="b">
        <f t="shared" si="179"/>
        <v>1</v>
      </c>
    </row>
    <row r="484" spans="1:41" ht="12.75">
      <c r="A484" s="1" t="s">
        <v>207</v>
      </c>
      <c r="C484" s="1" t="s">
        <v>808</v>
      </c>
      <c r="D484" s="23"/>
      <c r="E484" s="36">
        <v>109375.37</v>
      </c>
      <c r="F484" s="36"/>
      <c r="G484" s="36">
        <v>0</v>
      </c>
      <c r="H484" s="36"/>
      <c r="I484" s="36">
        <v>110202.17</v>
      </c>
      <c r="J484" s="36"/>
      <c r="K484" s="36">
        <v>22487.07</v>
      </c>
      <c r="L484" s="36"/>
      <c r="M484" s="36">
        <v>0</v>
      </c>
      <c r="N484" s="36"/>
      <c r="O484" s="36">
        <v>0</v>
      </c>
      <c r="P484" s="36"/>
      <c r="Q484" s="36">
        <v>181373.16</v>
      </c>
      <c r="R484" s="36"/>
      <c r="S484" s="36">
        <v>549.29</v>
      </c>
      <c r="T484" s="36"/>
      <c r="U484" s="36">
        <v>0</v>
      </c>
      <c r="V484" s="36"/>
      <c r="W484" s="36">
        <v>0</v>
      </c>
      <c r="X484" s="36"/>
      <c r="Y484" s="36">
        <v>0</v>
      </c>
      <c r="Z484" s="36"/>
      <c r="AA484" s="36">
        <v>0</v>
      </c>
      <c r="AB484" s="36"/>
      <c r="AC484" s="36">
        <v>109.53</v>
      </c>
      <c r="AD484" s="36"/>
      <c r="AE484" s="36">
        <f aca="true" t="shared" si="185" ref="AE484">SUM(E484:AC484)</f>
        <v>424096.59</v>
      </c>
      <c r="AF484" s="36"/>
      <c r="AG484" s="36">
        <v>255081.01</v>
      </c>
      <c r="AH484" s="36"/>
      <c r="AI484" s="36">
        <v>823474.46</v>
      </c>
      <c r="AJ484" s="36"/>
      <c r="AK484" s="36">
        <v>1078555.47</v>
      </c>
      <c r="AL484" s="24">
        <f>+'Gen Rev'!AI482-'Gen Exp'!AE484+'Gen Exp'!AI484-AK484</f>
        <v>0</v>
      </c>
      <c r="AM484" s="44" t="str">
        <f>'Gen Rev'!A482</f>
        <v>Ottawa</v>
      </c>
      <c r="AN484" s="21" t="str">
        <f t="shared" si="178"/>
        <v>Ottawa</v>
      </c>
      <c r="AO484" s="21" t="b">
        <f t="shared" si="179"/>
        <v>1</v>
      </c>
    </row>
    <row r="485" spans="1:41" ht="12.75">
      <c r="A485" s="1" t="s">
        <v>456</v>
      </c>
      <c r="C485" s="1" t="s">
        <v>455</v>
      </c>
      <c r="E485" s="83">
        <v>1898818</v>
      </c>
      <c r="F485" s="83"/>
      <c r="G485" s="83">
        <v>36479</v>
      </c>
      <c r="H485" s="83"/>
      <c r="I485" s="83">
        <v>348734</v>
      </c>
      <c r="J485" s="83"/>
      <c r="K485" s="83">
        <v>0</v>
      </c>
      <c r="L485" s="83"/>
      <c r="M485" s="83">
        <v>492305</v>
      </c>
      <c r="N485" s="83"/>
      <c r="O485" s="83">
        <v>351311</v>
      </c>
      <c r="P485" s="83"/>
      <c r="Q485" s="83">
        <v>828245</v>
      </c>
      <c r="R485" s="83"/>
      <c r="S485" s="83">
        <v>0</v>
      </c>
      <c r="T485" s="83"/>
      <c r="U485" s="83">
        <v>0</v>
      </c>
      <c r="V485" s="83"/>
      <c r="W485" s="83">
        <v>0</v>
      </c>
      <c r="X485" s="83"/>
      <c r="Y485" s="83">
        <v>1122000</v>
      </c>
      <c r="Z485" s="83"/>
      <c r="AA485" s="83">
        <v>0</v>
      </c>
      <c r="AB485" s="83"/>
      <c r="AC485" s="83">
        <v>0</v>
      </c>
      <c r="AD485" s="83"/>
      <c r="AE485" s="83">
        <f t="shared" si="177"/>
        <v>5077892</v>
      </c>
      <c r="AF485" s="83"/>
      <c r="AG485" s="83">
        <v>-34254</v>
      </c>
      <c r="AH485" s="83"/>
      <c r="AI485" s="83">
        <v>6860056</v>
      </c>
      <c r="AJ485" s="83"/>
      <c r="AK485" s="83">
        <v>6825802</v>
      </c>
      <c r="AL485" s="24">
        <f>+'Gen Rev'!AI483-'Gen Exp'!AE485+'Gen Exp'!AI485-AK485</f>
        <v>0</v>
      </c>
      <c r="AM485" s="44" t="str">
        <f>'Gen Rev'!A483</f>
        <v>Ottawa Hills</v>
      </c>
      <c r="AN485" s="21" t="str">
        <f t="shared" si="178"/>
        <v>Ottawa Hills</v>
      </c>
      <c r="AO485" s="21" t="b">
        <f t="shared" si="179"/>
        <v>1</v>
      </c>
    </row>
    <row r="486" spans="1:41" ht="12.75">
      <c r="A486" s="1" t="s">
        <v>517</v>
      </c>
      <c r="C486" s="1" t="s">
        <v>514</v>
      </c>
      <c r="E486" s="36">
        <v>156568.51</v>
      </c>
      <c r="F486" s="36"/>
      <c r="G486" s="36">
        <v>0</v>
      </c>
      <c r="H486" s="36"/>
      <c r="I486" s="36">
        <v>0</v>
      </c>
      <c r="J486" s="36"/>
      <c r="K486" s="36">
        <v>0</v>
      </c>
      <c r="L486" s="36"/>
      <c r="M486" s="36">
        <v>0</v>
      </c>
      <c r="N486" s="36"/>
      <c r="O486" s="36">
        <v>172140.4</v>
      </c>
      <c r="P486" s="36"/>
      <c r="Q486" s="36">
        <v>152348.53</v>
      </c>
      <c r="R486" s="36"/>
      <c r="S486" s="36">
        <v>78835.28</v>
      </c>
      <c r="T486" s="36"/>
      <c r="U486" s="36">
        <v>0</v>
      </c>
      <c r="V486" s="36"/>
      <c r="W486" s="36">
        <v>0</v>
      </c>
      <c r="X486" s="36"/>
      <c r="Y486" s="36">
        <v>142034.75</v>
      </c>
      <c r="Z486" s="36"/>
      <c r="AA486" s="36">
        <v>0</v>
      </c>
      <c r="AB486" s="36"/>
      <c r="AC486" s="36">
        <v>0</v>
      </c>
      <c r="AD486" s="36"/>
      <c r="AE486" s="36">
        <f aca="true" t="shared" si="186" ref="AE486:AE488">SUM(E486:AC486)</f>
        <v>701927.4700000001</v>
      </c>
      <c r="AF486" s="36"/>
      <c r="AG486" s="36">
        <v>-110136.7</v>
      </c>
      <c r="AH486" s="36"/>
      <c r="AI486" s="36">
        <v>358696.05</v>
      </c>
      <c r="AJ486" s="36"/>
      <c r="AK486" s="36">
        <v>248559.35</v>
      </c>
      <c r="AL486" s="24">
        <f>+'Gen Rev'!AI484-'Gen Exp'!AE486+'Gen Exp'!AI486-AK486</f>
        <v>0</v>
      </c>
      <c r="AM486" s="44" t="str">
        <f>'Gen Rev'!A484</f>
        <v>Ottoville</v>
      </c>
      <c r="AN486" s="21" t="str">
        <f t="shared" si="178"/>
        <v>Ottoville</v>
      </c>
      <c r="AO486" s="21" t="b">
        <f t="shared" si="179"/>
        <v>1</v>
      </c>
    </row>
    <row r="487" spans="1:41" ht="12.75">
      <c r="A487" s="1" t="s">
        <v>216</v>
      </c>
      <c r="C487" s="1" t="s">
        <v>812</v>
      </c>
      <c r="D487" s="23"/>
      <c r="E487" s="36">
        <v>0</v>
      </c>
      <c r="F487" s="36"/>
      <c r="G487" s="36">
        <v>0</v>
      </c>
      <c r="H487" s="36"/>
      <c r="I487" s="36">
        <v>0</v>
      </c>
      <c r="J487" s="36"/>
      <c r="K487" s="36">
        <v>0</v>
      </c>
      <c r="L487" s="36"/>
      <c r="M487" s="36">
        <v>936.03</v>
      </c>
      <c r="N487" s="36"/>
      <c r="O487" s="36">
        <v>0</v>
      </c>
      <c r="P487" s="36"/>
      <c r="Q487" s="36">
        <v>6629.08</v>
      </c>
      <c r="R487" s="36"/>
      <c r="S487" s="36">
        <v>0</v>
      </c>
      <c r="T487" s="36"/>
      <c r="U487" s="36">
        <v>0</v>
      </c>
      <c r="V487" s="36"/>
      <c r="W487" s="36">
        <v>0</v>
      </c>
      <c r="X487" s="36"/>
      <c r="Y487" s="36">
        <v>0</v>
      </c>
      <c r="Z487" s="36"/>
      <c r="AA487" s="36">
        <v>0</v>
      </c>
      <c r="AB487" s="36"/>
      <c r="AC487" s="36">
        <v>0</v>
      </c>
      <c r="AD487" s="36"/>
      <c r="AE487" s="36">
        <f t="shared" si="186"/>
        <v>7565.11</v>
      </c>
      <c r="AF487" s="36"/>
      <c r="AG487" s="36">
        <v>-2692.59</v>
      </c>
      <c r="AH487" s="36"/>
      <c r="AI487" s="36">
        <v>2725.66</v>
      </c>
      <c r="AJ487" s="36"/>
      <c r="AK487" s="36">
        <v>33.07</v>
      </c>
      <c r="AL487" s="24">
        <f>+'Gen Rev'!AI485-'Gen Exp'!AE487+'Gen Exp'!AI487-AK487</f>
        <v>6.181721801112872E-13</v>
      </c>
      <c r="AM487" s="44" t="str">
        <f>'Gen Rev'!A485</f>
        <v>Otway</v>
      </c>
      <c r="AN487" s="21" t="str">
        <f t="shared" si="178"/>
        <v>Otway</v>
      </c>
      <c r="AO487" s="21" t="b">
        <f t="shared" si="179"/>
        <v>1</v>
      </c>
    </row>
    <row r="488" spans="1:41" s="21" customFormat="1" ht="12.75">
      <c r="A488" s="1" t="s">
        <v>39</v>
      </c>
      <c r="B488" s="1"/>
      <c r="C488" s="1" t="s">
        <v>756</v>
      </c>
      <c r="D488" s="23"/>
      <c r="E488" s="36">
        <v>219352</v>
      </c>
      <c r="F488" s="36"/>
      <c r="G488" s="36">
        <v>2800</v>
      </c>
      <c r="H488" s="36"/>
      <c r="I488" s="36">
        <v>8756.44</v>
      </c>
      <c r="J488" s="36"/>
      <c r="K488" s="36">
        <v>0</v>
      </c>
      <c r="L488" s="36"/>
      <c r="M488" s="36">
        <v>0</v>
      </c>
      <c r="N488" s="36"/>
      <c r="O488" s="36">
        <v>0</v>
      </c>
      <c r="P488" s="36"/>
      <c r="Q488" s="36">
        <v>165306.71</v>
      </c>
      <c r="R488" s="36"/>
      <c r="S488" s="36">
        <v>3897.25</v>
      </c>
      <c r="T488" s="36"/>
      <c r="U488" s="36">
        <v>0</v>
      </c>
      <c r="V488" s="36"/>
      <c r="W488" s="36">
        <v>0</v>
      </c>
      <c r="X488" s="36"/>
      <c r="Y488" s="36">
        <v>0</v>
      </c>
      <c r="Z488" s="36"/>
      <c r="AA488" s="36">
        <v>0</v>
      </c>
      <c r="AB488" s="36"/>
      <c r="AC488" s="36">
        <v>11.73</v>
      </c>
      <c r="AD488" s="36"/>
      <c r="AE488" s="36">
        <f t="shared" si="186"/>
        <v>400124.13</v>
      </c>
      <c r="AF488" s="36"/>
      <c r="AG488" s="36">
        <v>-5536.49</v>
      </c>
      <c r="AH488" s="36"/>
      <c r="AI488" s="36">
        <v>480238.33</v>
      </c>
      <c r="AJ488" s="36"/>
      <c r="AK488" s="36">
        <v>474701.84</v>
      </c>
      <c r="AL488" s="24">
        <f>+'Gen Rev'!AI486-'Gen Exp'!AE488+'Gen Exp'!AI488-AK488</f>
        <v>0</v>
      </c>
      <c r="AM488" s="44" t="str">
        <f>'Gen Rev'!A486</f>
        <v>Owensville</v>
      </c>
      <c r="AN488" s="21" t="str">
        <f t="shared" si="178"/>
        <v>Owensville</v>
      </c>
      <c r="AO488" s="21" t="b">
        <f t="shared" si="179"/>
        <v>1</v>
      </c>
    </row>
    <row r="489" spans="1:41" ht="12.75" hidden="1">
      <c r="A489" s="1" t="s">
        <v>907</v>
      </c>
      <c r="C489" s="1" t="s">
        <v>329</v>
      </c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>
        <f t="shared" si="177"/>
        <v>0</v>
      </c>
      <c r="AF489" s="83"/>
      <c r="AG489" s="83"/>
      <c r="AH489" s="83"/>
      <c r="AI489" s="83"/>
      <c r="AJ489" s="83"/>
      <c r="AK489" s="83"/>
      <c r="AL489" s="24">
        <f>+'Gen Rev'!AI487-'Gen Exp'!AE489+'Gen Exp'!AI489-AK489</f>
        <v>0</v>
      </c>
      <c r="AM489" s="44" t="str">
        <f>'Gen Rev'!A487</f>
        <v>Palestine</v>
      </c>
      <c r="AN489" s="21" t="str">
        <f t="shared" si="178"/>
        <v>Palestine</v>
      </c>
      <c r="AO489" s="21" t="b">
        <f t="shared" si="179"/>
        <v>1</v>
      </c>
    </row>
    <row r="490" spans="1:41" ht="12.75">
      <c r="A490" s="1" t="s">
        <v>518</v>
      </c>
      <c r="C490" s="1" t="s">
        <v>514</v>
      </c>
      <c r="E490" s="83">
        <v>182475</v>
      </c>
      <c r="F490" s="83"/>
      <c r="G490" s="83">
        <v>7766</v>
      </c>
      <c r="H490" s="83"/>
      <c r="I490" s="83">
        <v>0</v>
      </c>
      <c r="J490" s="83"/>
      <c r="K490" s="83">
        <v>0</v>
      </c>
      <c r="L490" s="83"/>
      <c r="M490" s="83">
        <v>20477</v>
      </c>
      <c r="N490" s="83"/>
      <c r="O490" s="83">
        <v>22821</v>
      </c>
      <c r="P490" s="83"/>
      <c r="Q490" s="83">
        <v>144060</v>
      </c>
      <c r="R490" s="83"/>
      <c r="S490" s="83">
        <v>6129</v>
      </c>
      <c r="T490" s="83"/>
      <c r="U490" s="83">
        <v>9749</v>
      </c>
      <c r="V490" s="83"/>
      <c r="W490" s="83">
        <v>903</v>
      </c>
      <c r="X490" s="83"/>
      <c r="Y490" s="83">
        <v>36000</v>
      </c>
      <c r="Z490" s="83"/>
      <c r="AA490" s="83">
        <v>0</v>
      </c>
      <c r="AB490" s="83"/>
      <c r="AC490" s="83">
        <v>0</v>
      </c>
      <c r="AD490" s="83"/>
      <c r="AE490" s="83">
        <f t="shared" si="177"/>
        <v>430380</v>
      </c>
      <c r="AF490" s="83"/>
      <c r="AG490" s="83">
        <v>-114227</v>
      </c>
      <c r="AH490" s="83"/>
      <c r="AI490" s="83">
        <v>147366</v>
      </c>
      <c r="AJ490" s="83"/>
      <c r="AK490" s="83">
        <v>33139</v>
      </c>
      <c r="AL490" s="24">
        <f>+'Gen Rev'!AI488-'Gen Exp'!AE490+'Gen Exp'!AI490-AK490</f>
        <v>0</v>
      </c>
      <c r="AM490" s="44" t="str">
        <f>'Gen Rev'!A488</f>
        <v>Pandora</v>
      </c>
      <c r="AN490" s="21" t="str">
        <f t="shared" si="178"/>
        <v>Pandora</v>
      </c>
      <c r="AO490" s="21" t="b">
        <f t="shared" si="179"/>
        <v>1</v>
      </c>
    </row>
    <row r="491" spans="1:41" s="10" customFormat="1" ht="12.75">
      <c r="A491" s="10" t="s">
        <v>567</v>
      </c>
      <c r="C491" s="10" t="s">
        <v>562</v>
      </c>
      <c r="E491" s="83">
        <v>2906</v>
      </c>
      <c r="F491" s="83"/>
      <c r="G491" s="83">
        <v>142</v>
      </c>
      <c r="H491" s="83"/>
      <c r="I491" s="83">
        <v>0</v>
      </c>
      <c r="J491" s="83"/>
      <c r="K491" s="83">
        <v>34</v>
      </c>
      <c r="L491" s="83"/>
      <c r="M491" s="83">
        <v>0</v>
      </c>
      <c r="N491" s="83"/>
      <c r="O491" s="83">
        <v>0</v>
      </c>
      <c r="P491" s="83"/>
      <c r="Q491" s="83">
        <v>19837</v>
      </c>
      <c r="R491" s="83"/>
      <c r="S491" s="83">
        <v>15000</v>
      </c>
      <c r="T491" s="83"/>
      <c r="U491" s="83">
        <v>0</v>
      </c>
      <c r="V491" s="83"/>
      <c r="W491" s="83">
        <v>0</v>
      </c>
      <c r="X491" s="83"/>
      <c r="Y491" s="10">
        <v>0</v>
      </c>
      <c r="Z491" s="83"/>
      <c r="AA491" s="83">
        <v>15000</v>
      </c>
      <c r="AB491" s="83"/>
      <c r="AC491" s="83">
        <v>0</v>
      </c>
      <c r="AD491" s="83"/>
      <c r="AE491" s="83">
        <f t="shared" si="177"/>
        <v>52919</v>
      </c>
      <c r="AF491" s="83"/>
      <c r="AG491" s="83">
        <v>-18242</v>
      </c>
      <c r="AH491" s="83"/>
      <c r="AI491" s="83">
        <v>80040</v>
      </c>
      <c r="AJ491" s="83"/>
      <c r="AK491" s="83">
        <v>61828</v>
      </c>
      <c r="AL491" s="24">
        <f>+'Gen Rev'!AI489-'Gen Exp'!AE491+'Gen Exp'!AI491-AK491</f>
        <v>-14773</v>
      </c>
      <c r="AM491" s="44" t="str">
        <f>'Gen Rev'!A489</f>
        <v>Parral</v>
      </c>
      <c r="AN491" s="21" t="str">
        <f t="shared" si="178"/>
        <v>Parral</v>
      </c>
      <c r="AO491" s="21" t="b">
        <f t="shared" si="179"/>
        <v>1</v>
      </c>
    </row>
    <row r="492" spans="1:41" s="19" customFormat="1" ht="12.75">
      <c r="A492" s="10" t="s">
        <v>400</v>
      </c>
      <c r="B492" s="10"/>
      <c r="C492" s="10" t="s">
        <v>396</v>
      </c>
      <c r="D492" s="10"/>
      <c r="E492" s="83">
        <v>1508</v>
      </c>
      <c r="F492" s="83"/>
      <c r="G492" s="83">
        <v>308</v>
      </c>
      <c r="H492" s="83"/>
      <c r="I492" s="83">
        <v>0</v>
      </c>
      <c r="J492" s="83"/>
      <c r="K492" s="83">
        <v>0</v>
      </c>
      <c r="L492" s="83"/>
      <c r="M492" s="83">
        <v>0</v>
      </c>
      <c r="N492" s="83"/>
      <c r="O492" s="83">
        <v>0</v>
      </c>
      <c r="P492" s="83"/>
      <c r="Q492" s="83">
        <v>4066</v>
      </c>
      <c r="R492" s="83"/>
      <c r="S492" s="83">
        <v>0</v>
      </c>
      <c r="T492" s="83"/>
      <c r="U492" s="83">
        <v>0</v>
      </c>
      <c r="V492" s="83"/>
      <c r="W492" s="83">
        <v>0</v>
      </c>
      <c r="X492" s="83"/>
      <c r="Y492" s="83">
        <v>0</v>
      </c>
      <c r="Z492" s="83"/>
      <c r="AA492" s="83">
        <v>0</v>
      </c>
      <c r="AB492" s="83"/>
      <c r="AC492" s="83">
        <v>0</v>
      </c>
      <c r="AD492" s="83"/>
      <c r="AE492" s="83">
        <f t="shared" si="177"/>
        <v>5882</v>
      </c>
      <c r="AF492" s="83"/>
      <c r="AG492" s="83">
        <v>-380</v>
      </c>
      <c r="AH492" s="83"/>
      <c r="AI492" s="83">
        <v>720</v>
      </c>
      <c r="AJ492" s="83"/>
      <c r="AK492" s="83">
        <v>340</v>
      </c>
      <c r="AL492" s="24">
        <f>+'Gen Rev'!AI491-'Gen Exp'!AE492+'Gen Exp'!AI492-AK492</f>
        <v>0</v>
      </c>
      <c r="AM492" s="44" t="str">
        <f>'Gen Rev'!A491</f>
        <v>Patterson</v>
      </c>
      <c r="AN492" s="21" t="str">
        <f t="shared" si="178"/>
        <v>Patterson</v>
      </c>
      <c r="AO492" s="21" t="b">
        <f t="shared" si="179"/>
        <v>1</v>
      </c>
    </row>
    <row r="493" spans="1:41" ht="12.75">
      <c r="A493" s="1" t="s">
        <v>497</v>
      </c>
      <c r="C493" s="1" t="s">
        <v>497</v>
      </c>
      <c r="E493" s="83">
        <v>72827</v>
      </c>
      <c r="F493" s="83"/>
      <c r="G493" s="83">
        <v>19752</v>
      </c>
      <c r="H493" s="83"/>
      <c r="I493" s="83">
        <v>52645</v>
      </c>
      <c r="J493" s="83"/>
      <c r="K493" s="83">
        <v>6941</v>
      </c>
      <c r="L493" s="83"/>
      <c r="M493" s="83">
        <v>13619</v>
      </c>
      <c r="N493" s="83"/>
      <c r="O493" s="83">
        <v>10393</v>
      </c>
      <c r="P493" s="83"/>
      <c r="Q493" s="83">
        <v>222518</v>
      </c>
      <c r="R493" s="83"/>
      <c r="S493" s="83">
        <v>3861</v>
      </c>
      <c r="T493" s="83"/>
      <c r="U493" s="83">
        <v>0</v>
      </c>
      <c r="V493" s="83"/>
      <c r="W493" s="83">
        <v>0</v>
      </c>
      <c r="X493" s="83"/>
      <c r="Y493" s="83">
        <v>0</v>
      </c>
      <c r="Z493" s="83"/>
      <c r="AA493" s="83">
        <v>0</v>
      </c>
      <c r="AB493" s="83"/>
      <c r="AC493" s="83">
        <v>421589</v>
      </c>
      <c r="AD493" s="83"/>
      <c r="AE493" s="83">
        <f t="shared" si="177"/>
        <v>824145</v>
      </c>
      <c r="AF493" s="83"/>
      <c r="AG493" s="83">
        <v>-58852</v>
      </c>
      <c r="AH493" s="83"/>
      <c r="AI493" s="83">
        <v>549365</v>
      </c>
      <c r="AJ493" s="83"/>
      <c r="AK493" s="83">
        <v>490513</v>
      </c>
      <c r="AL493" s="24">
        <f>+'Gen Rev'!AI492-'Gen Exp'!AE493+'Gen Exp'!AI493-AK493</f>
        <v>0</v>
      </c>
      <c r="AM493" s="44" t="str">
        <f>'Gen Rev'!A492</f>
        <v>Paulding</v>
      </c>
      <c r="AN493" s="21" t="str">
        <f t="shared" si="178"/>
        <v>Paulding</v>
      </c>
      <c r="AO493" s="21" t="b">
        <f t="shared" si="179"/>
        <v>1</v>
      </c>
    </row>
    <row r="494" spans="1:41" ht="12.75">
      <c r="A494" s="1" t="s">
        <v>499</v>
      </c>
      <c r="C494" s="1" t="s">
        <v>497</v>
      </c>
      <c r="E494" s="36">
        <v>0</v>
      </c>
      <c r="F494" s="36"/>
      <c r="G494" s="36">
        <v>1950</v>
      </c>
      <c r="H494" s="36"/>
      <c r="I494" s="36">
        <v>7734.01</v>
      </c>
      <c r="J494" s="36"/>
      <c r="K494" s="36">
        <v>0</v>
      </c>
      <c r="L494" s="36"/>
      <c r="M494" s="36">
        <v>0</v>
      </c>
      <c r="N494" s="36"/>
      <c r="O494" s="36">
        <v>56</v>
      </c>
      <c r="P494" s="36"/>
      <c r="Q494" s="36">
        <v>103180.94</v>
      </c>
      <c r="R494" s="36"/>
      <c r="S494" s="36">
        <v>35000</v>
      </c>
      <c r="T494" s="36"/>
      <c r="U494" s="36">
        <v>0</v>
      </c>
      <c r="V494" s="36"/>
      <c r="W494" s="36">
        <v>0</v>
      </c>
      <c r="X494" s="36"/>
      <c r="Y494" s="36">
        <v>46000</v>
      </c>
      <c r="Z494" s="36"/>
      <c r="AA494" s="36">
        <v>0</v>
      </c>
      <c r="AB494" s="36"/>
      <c r="AC494" s="36">
        <v>0</v>
      </c>
      <c r="AD494" s="36"/>
      <c r="AE494" s="36">
        <f aca="true" t="shared" si="187" ref="AE494">SUM(E494:AC494)</f>
        <v>193920.95</v>
      </c>
      <c r="AF494" s="36"/>
      <c r="AG494" s="36">
        <v>-19898.4</v>
      </c>
      <c r="AH494" s="36"/>
      <c r="AI494" s="36">
        <v>178653.09</v>
      </c>
      <c r="AJ494" s="36"/>
      <c r="AK494" s="36">
        <v>158754.69</v>
      </c>
      <c r="AL494" s="24">
        <f>+'Gen Rev'!AI493-'Gen Exp'!AE494+'Gen Exp'!AI494-AK494</f>
        <v>0</v>
      </c>
      <c r="AM494" s="44" t="str">
        <f>'Gen Rev'!A493</f>
        <v>Payne</v>
      </c>
      <c r="AN494" s="21" t="str">
        <f t="shared" si="178"/>
        <v>Payne</v>
      </c>
      <c r="AO494" s="21" t="b">
        <f t="shared" si="179"/>
        <v>1</v>
      </c>
    </row>
    <row r="495" spans="1:41" ht="12.75">
      <c r="A495" s="1" t="s">
        <v>679</v>
      </c>
      <c r="C495" s="1" t="s">
        <v>662</v>
      </c>
      <c r="D495" s="23"/>
      <c r="E495" s="95">
        <v>98000</v>
      </c>
      <c r="F495" s="95"/>
      <c r="G495" s="95">
        <v>0</v>
      </c>
      <c r="H495" s="95"/>
      <c r="I495" s="95">
        <v>0</v>
      </c>
      <c r="J495" s="95"/>
      <c r="K495" s="95">
        <v>0</v>
      </c>
      <c r="L495" s="95"/>
      <c r="M495" s="95">
        <v>0</v>
      </c>
      <c r="N495" s="95"/>
      <c r="O495" s="95">
        <v>0</v>
      </c>
      <c r="P495" s="95"/>
      <c r="Q495" s="95">
        <v>181548.79</v>
      </c>
      <c r="R495" s="95"/>
      <c r="S495" s="95">
        <v>0</v>
      </c>
      <c r="T495" s="95"/>
      <c r="U495" s="95">
        <v>0</v>
      </c>
      <c r="V495" s="95"/>
      <c r="W495" s="95">
        <v>0</v>
      </c>
      <c r="X495" s="95"/>
      <c r="Y495" s="95">
        <v>0</v>
      </c>
      <c r="Z495" s="95"/>
      <c r="AA495" s="95">
        <v>0</v>
      </c>
      <c r="AB495" s="95"/>
      <c r="AC495" s="95">
        <v>0</v>
      </c>
      <c r="AD495" s="95"/>
      <c r="AE495" s="95">
        <f aca="true" t="shared" si="188" ref="AE495">SUM(E495:AC495)</f>
        <v>279548.79000000004</v>
      </c>
      <c r="AF495" s="95"/>
      <c r="AG495" s="95">
        <v>-4345.64</v>
      </c>
      <c r="AH495" s="95"/>
      <c r="AI495" s="95">
        <v>71740.36</v>
      </c>
      <c r="AJ495" s="95"/>
      <c r="AK495" s="95">
        <v>67394.72</v>
      </c>
      <c r="AL495" s="24">
        <f>+'Gen Rev'!AI494-'Gen Exp'!AE495+'Gen Exp'!AI495-AK495</f>
        <v>0</v>
      </c>
      <c r="AM495" s="44" t="str">
        <f>'Gen Rev'!A494</f>
        <v>Peebles</v>
      </c>
      <c r="AN495" s="21" t="str">
        <f t="shared" si="178"/>
        <v>Peebles</v>
      </c>
      <c r="AO495" s="21" t="b">
        <f t="shared" si="179"/>
        <v>1</v>
      </c>
    </row>
    <row r="496" spans="1:41" ht="12.75">
      <c r="A496" s="1" t="s">
        <v>608</v>
      </c>
      <c r="C496" s="1" t="s">
        <v>603</v>
      </c>
      <c r="E496" s="36">
        <v>175792.71</v>
      </c>
      <c r="F496" s="36"/>
      <c r="G496" s="36">
        <v>3610.46</v>
      </c>
      <c r="H496" s="36"/>
      <c r="I496" s="36">
        <v>0</v>
      </c>
      <c r="J496" s="36"/>
      <c r="K496" s="36">
        <v>0</v>
      </c>
      <c r="L496" s="36"/>
      <c r="M496" s="36">
        <v>73.2</v>
      </c>
      <c r="N496" s="36"/>
      <c r="O496" s="36">
        <v>0</v>
      </c>
      <c r="P496" s="36"/>
      <c r="Q496" s="36">
        <v>164651.61</v>
      </c>
      <c r="R496" s="36"/>
      <c r="S496" s="36">
        <v>0</v>
      </c>
      <c r="T496" s="36"/>
      <c r="U496" s="36">
        <v>0</v>
      </c>
      <c r="V496" s="36"/>
      <c r="W496" s="36">
        <v>0</v>
      </c>
      <c r="X496" s="36"/>
      <c r="Y496" s="36">
        <v>0</v>
      </c>
      <c r="Z496" s="36"/>
      <c r="AA496" s="36">
        <v>0</v>
      </c>
      <c r="AB496" s="36"/>
      <c r="AC496" s="36">
        <v>1000</v>
      </c>
      <c r="AD496" s="36"/>
      <c r="AE496" s="36">
        <f aca="true" t="shared" si="189" ref="AE496:AE497">SUM(E496:AC496)</f>
        <v>345127.98</v>
      </c>
      <c r="AF496" s="36"/>
      <c r="AG496" s="36">
        <v>43562.15</v>
      </c>
      <c r="AH496" s="36"/>
      <c r="AI496" s="36">
        <v>447956.18</v>
      </c>
      <c r="AJ496" s="36"/>
      <c r="AK496" s="36">
        <v>491518.33</v>
      </c>
      <c r="AL496" s="24">
        <f>+'Gen Rev'!AI495-'Gen Exp'!AE496+'Gen Exp'!AI496-AK496</f>
        <v>0</v>
      </c>
      <c r="AM496" s="44" t="str">
        <f>'Gen Rev'!A495</f>
        <v>Pemberville</v>
      </c>
      <c r="AN496" s="21" t="str">
        <f t="shared" si="178"/>
        <v>Pemberville</v>
      </c>
      <c r="AO496" s="21" t="b">
        <f t="shared" si="179"/>
        <v>1</v>
      </c>
    </row>
    <row r="497" spans="1:41" ht="12.75">
      <c r="A497" s="1" t="s">
        <v>554</v>
      </c>
      <c r="C497" s="1" t="s">
        <v>551</v>
      </c>
      <c r="E497" s="36">
        <v>404095.85</v>
      </c>
      <c r="F497" s="36"/>
      <c r="G497" s="36">
        <v>6818.66</v>
      </c>
      <c r="H497" s="36"/>
      <c r="I497" s="36">
        <v>0</v>
      </c>
      <c r="J497" s="36"/>
      <c r="K497" s="36">
        <v>4221.11</v>
      </c>
      <c r="L497" s="36"/>
      <c r="M497" s="36">
        <v>0</v>
      </c>
      <c r="N497" s="36"/>
      <c r="O497" s="36">
        <v>87663.59</v>
      </c>
      <c r="P497" s="36"/>
      <c r="Q497" s="36">
        <v>191717.16</v>
      </c>
      <c r="R497" s="36"/>
      <c r="S497" s="36">
        <v>0</v>
      </c>
      <c r="T497" s="36"/>
      <c r="U497" s="36">
        <v>0</v>
      </c>
      <c r="V497" s="36"/>
      <c r="W497" s="36">
        <v>0</v>
      </c>
      <c r="X497" s="36"/>
      <c r="Y497" s="36">
        <v>0</v>
      </c>
      <c r="Z497" s="36"/>
      <c r="AA497" s="36">
        <v>0</v>
      </c>
      <c r="AB497" s="36"/>
      <c r="AC497" s="36">
        <v>0</v>
      </c>
      <c r="AD497" s="36"/>
      <c r="AE497" s="36">
        <f t="shared" si="189"/>
        <v>694516.37</v>
      </c>
      <c r="AF497" s="36"/>
      <c r="AG497" s="36">
        <v>25335.51</v>
      </c>
      <c r="AH497" s="36"/>
      <c r="AI497" s="36">
        <v>56696.98</v>
      </c>
      <c r="AJ497" s="36"/>
      <c r="AK497" s="36">
        <v>82032.49</v>
      </c>
      <c r="AL497" s="24">
        <f>+'Gen Rev'!AI496-'Gen Exp'!AE497+'Gen Exp'!AI497-AK497</f>
        <v>0</v>
      </c>
      <c r="AM497" s="44" t="str">
        <f>'Gen Rev'!A496</f>
        <v>Peninsula</v>
      </c>
      <c r="AN497" s="21" t="str">
        <f t="shared" si="178"/>
        <v>Peninsula</v>
      </c>
      <c r="AO497" s="21" t="b">
        <f t="shared" si="179"/>
        <v>1</v>
      </c>
    </row>
    <row r="498" spans="1:41" s="21" customFormat="1" ht="12.75">
      <c r="A498" s="1" t="s">
        <v>433</v>
      </c>
      <c r="B498" s="1"/>
      <c r="C498" s="1" t="s">
        <v>430</v>
      </c>
      <c r="D498" s="1"/>
      <c r="E498" s="83">
        <v>532269</v>
      </c>
      <c r="F498" s="83"/>
      <c r="G498" s="83">
        <v>11974</v>
      </c>
      <c r="H498" s="83"/>
      <c r="I498" s="83">
        <v>17648</v>
      </c>
      <c r="J498" s="83"/>
      <c r="K498" s="83">
        <v>8413</v>
      </c>
      <c r="L498" s="83"/>
      <c r="M498" s="83">
        <v>0</v>
      </c>
      <c r="N498" s="83"/>
      <c r="O498" s="83">
        <v>122009</v>
      </c>
      <c r="P498" s="83"/>
      <c r="Q498" s="83">
        <v>192136</v>
      </c>
      <c r="R498" s="83"/>
      <c r="S498" s="83">
        <v>0</v>
      </c>
      <c r="T498" s="83"/>
      <c r="U498" s="83">
        <v>0</v>
      </c>
      <c r="V498" s="83"/>
      <c r="W498" s="83">
        <v>0</v>
      </c>
      <c r="X498" s="83"/>
      <c r="Y498" s="83">
        <v>12313</v>
      </c>
      <c r="Z498" s="83"/>
      <c r="AA498" s="83">
        <v>20754</v>
      </c>
      <c r="AB498" s="83"/>
      <c r="AC498" s="83">
        <v>0</v>
      </c>
      <c r="AD498" s="83"/>
      <c r="AE498" s="83">
        <f t="shared" si="177"/>
        <v>917516</v>
      </c>
      <c r="AF498" s="83"/>
      <c r="AG498" s="83">
        <v>54597</v>
      </c>
      <c r="AH498" s="83"/>
      <c r="AI498" s="83">
        <v>78918</v>
      </c>
      <c r="AJ498" s="83"/>
      <c r="AK498" s="83">
        <v>133515</v>
      </c>
      <c r="AL498" s="24">
        <f>+'Gen Rev'!AI497-'Gen Exp'!AE498+'Gen Exp'!AI498-AK498</f>
        <v>0</v>
      </c>
      <c r="AM498" s="44" t="str">
        <f>'Gen Rev'!A497</f>
        <v xml:space="preserve">Perry </v>
      </c>
      <c r="AN498" s="21" t="str">
        <f t="shared" si="178"/>
        <v xml:space="preserve">Perry </v>
      </c>
      <c r="AO498" s="21" t="b">
        <f t="shared" si="179"/>
        <v>1</v>
      </c>
    </row>
    <row r="499" spans="1:41" ht="12.75">
      <c r="A499" s="1" t="s">
        <v>680</v>
      </c>
      <c r="C499" s="1" t="s">
        <v>669</v>
      </c>
      <c r="D499" s="23"/>
      <c r="E499" s="36">
        <v>117039.37</v>
      </c>
      <c r="F499" s="36"/>
      <c r="G499" s="36">
        <v>345.18</v>
      </c>
      <c r="H499" s="36"/>
      <c r="I499" s="36">
        <v>2764.05</v>
      </c>
      <c r="J499" s="36"/>
      <c r="K499" s="36">
        <v>0</v>
      </c>
      <c r="L499" s="36"/>
      <c r="M499" s="36">
        <v>0</v>
      </c>
      <c r="N499" s="36"/>
      <c r="O499" s="36">
        <v>3420</v>
      </c>
      <c r="P499" s="36"/>
      <c r="Q499" s="36">
        <v>173622.62</v>
      </c>
      <c r="R499" s="36"/>
      <c r="S499" s="36">
        <v>0</v>
      </c>
      <c r="T499" s="36"/>
      <c r="U499" s="36">
        <v>0</v>
      </c>
      <c r="V499" s="36"/>
      <c r="W499" s="36">
        <v>0</v>
      </c>
      <c r="X499" s="36"/>
      <c r="Y499" s="36">
        <v>5000</v>
      </c>
      <c r="Z499" s="36"/>
      <c r="AA499" s="36">
        <v>0</v>
      </c>
      <c r="AB499" s="36"/>
      <c r="AC499" s="36">
        <v>0</v>
      </c>
      <c r="AD499" s="36"/>
      <c r="AE499" s="36">
        <f aca="true" t="shared" si="190" ref="AE499">SUM(E499:AC499)</f>
        <v>302191.22</v>
      </c>
      <c r="AF499" s="36"/>
      <c r="AG499" s="36">
        <v>-55323.06</v>
      </c>
      <c r="AH499" s="36"/>
      <c r="AI499" s="36">
        <v>131121.49</v>
      </c>
      <c r="AJ499" s="36"/>
      <c r="AK499" s="36">
        <v>75798.43</v>
      </c>
      <c r="AL499" s="24">
        <f>+'Gen Rev'!AI498-'Gen Exp'!AE499+'Gen Exp'!AI499-AK499</f>
        <v>0</v>
      </c>
      <c r="AM499" s="44" t="str">
        <f>'Gen Rev'!A498</f>
        <v>Perrysville</v>
      </c>
      <c r="AN499" s="21" t="str">
        <f t="shared" si="178"/>
        <v>Perrysville</v>
      </c>
      <c r="AO499" s="21" t="b">
        <f t="shared" si="179"/>
        <v>1</v>
      </c>
    </row>
    <row r="500" spans="1:41" ht="12.75">
      <c r="A500" s="1" t="s">
        <v>482</v>
      </c>
      <c r="C500" s="1" t="s">
        <v>479</v>
      </c>
      <c r="E500" s="83">
        <v>155</v>
      </c>
      <c r="F500" s="83"/>
      <c r="G500" s="83">
        <v>0</v>
      </c>
      <c r="H500" s="83"/>
      <c r="I500" s="83">
        <v>0</v>
      </c>
      <c r="J500" s="83"/>
      <c r="K500" s="83">
        <v>2694</v>
      </c>
      <c r="L500" s="83"/>
      <c r="M500" s="83">
        <v>0</v>
      </c>
      <c r="N500" s="83"/>
      <c r="O500" s="83">
        <v>36441</v>
      </c>
      <c r="P500" s="83"/>
      <c r="Q500" s="83">
        <v>94589</v>
      </c>
      <c r="R500" s="83"/>
      <c r="S500" s="83">
        <v>180</v>
      </c>
      <c r="T500" s="83"/>
      <c r="U500" s="83">
        <v>0</v>
      </c>
      <c r="V500" s="83"/>
      <c r="W500" s="83">
        <v>0</v>
      </c>
      <c r="X500" s="83"/>
      <c r="Y500" s="83">
        <v>1000</v>
      </c>
      <c r="Z500" s="83"/>
      <c r="AA500" s="83">
        <v>0</v>
      </c>
      <c r="AB500" s="83"/>
      <c r="AC500" s="83">
        <v>73732</v>
      </c>
      <c r="AD500" s="83"/>
      <c r="AE500" s="83">
        <f t="shared" si="177"/>
        <v>208791</v>
      </c>
      <c r="AF500" s="83"/>
      <c r="AG500" s="83">
        <v>-62630</v>
      </c>
      <c r="AH500" s="83"/>
      <c r="AI500" s="83">
        <v>203422</v>
      </c>
      <c r="AJ500" s="83"/>
      <c r="AK500" s="83">
        <v>140792</v>
      </c>
      <c r="AL500" s="24">
        <f>+'Gen Rev'!AI499-'Gen Exp'!AE500+'Gen Exp'!AI500-AK500</f>
        <v>0</v>
      </c>
      <c r="AM500" s="44" t="str">
        <f>'Gen Rev'!A499</f>
        <v>Phillipsburg</v>
      </c>
      <c r="AN500" s="21" t="str">
        <f t="shared" si="178"/>
        <v>Phillipsburg</v>
      </c>
      <c r="AO500" s="21" t="b">
        <f t="shared" si="179"/>
        <v>1</v>
      </c>
    </row>
    <row r="501" spans="1:41" ht="12.75">
      <c r="A501" s="1" t="s">
        <v>488</v>
      </c>
      <c r="C501" s="1" t="s">
        <v>485</v>
      </c>
      <c r="E501" s="83">
        <v>8094</v>
      </c>
      <c r="F501" s="83"/>
      <c r="G501" s="83">
        <v>0</v>
      </c>
      <c r="H501" s="83"/>
      <c r="I501" s="83">
        <v>0</v>
      </c>
      <c r="J501" s="83"/>
      <c r="K501" s="83">
        <v>0</v>
      </c>
      <c r="L501" s="83"/>
      <c r="M501" s="83">
        <v>21700</v>
      </c>
      <c r="N501" s="83"/>
      <c r="O501" s="83">
        <v>48452</v>
      </c>
      <c r="P501" s="83"/>
      <c r="Q501" s="83">
        <v>75007</v>
      </c>
      <c r="R501" s="83"/>
      <c r="S501" s="83">
        <v>0</v>
      </c>
      <c r="T501" s="83"/>
      <c r="U501" s="83">
        <v>0</v>
      </c>
      <c r="V501" s="83"/>
      <c r="W501" s="83">
        <v>0</v>
      </c>
      <c r="X501" s="83"/>
      <c r="Y501" s="83">
        <v>0</v>
      </c>
      <c r="Z501" s="83"/>
      <c r="AA501" s="83">
        <v>0</v>
      </c>
      <c r="AB501" s="83"/>
      <c r="AC501" s="83">
        <v>0</v>
      </c>
      <c r="AD501" s="83"/>
      <c r="AE501" s="83">
        <f t="shared" si="177"/>
        <v>153253</v>
      </c>
      <c r="AF501" s="83"/>
      <c r="AG501" s="83">
        <v>-45810</v>
      </c>
      <c r="AH501" s="83"/>
      <c r="AI501" s="83">
        <v>72606</v>
      </c>
      <c r="AJ501" s="83"/>
      <c r="AK501" s="83">
        <v>26796</v>
      </c>
      <c r="AL501" s="24">
        <f>+'Gen Rev'!AI500-'Gen Exp'!AE501+'Gen Exp'!AI501-AK501</f>
        <v>0</v>
      </c>
      <c r="AM501" s="44" t="str">
        <f>'Gen Rev'!A500</f>
        <v>Philo</v>
      </c>
      <c r="AN501" s="21" t="str">
        <f t="shared" si="178"/>
        <v>Philo</v>
      </c>
      <c r="AO501" s="21" t="b">
        <f t="shared" si="179"/>
        <v>1</v>
      </c>
    </row>
    <row r="502" spans="1:41" ht="12.75">
      <c r="A502" s="1" t="s">
        <v>506</v>
      </c>
      <c r="C502" s="1" t="s">
        <v>507</v>
      </c>
      <c r="E502" s="36">
        <v>22949.79</v>
      </c>
      <c r="F502" s="36"/>
      <c r="G502" s="36">
        <v>0</v>
      </c>
      <c r="H502" s="36"/>
      <c r="I502" s="36">
        <v>0</v>
      </c>
      <c r="J502" s="36"/>
      <c r="K502" s="36">
        <v>9756.21</v>
      </c>
      <c r="L502" s="36"/>
      <c r="M502" s="36">
        <v>0</v>
      </c>
      <c r="N502" s="36"/>
      <c r="O502" s="36">
        <v>77216.51</v>
      </c>
      <c r="P502" s="36"/>
      <c r="Q502" s="36">
        <v>217436.37</v>
      </c>
      <c r="R502" s="36"/>
      <c r="S502" s="36">
        <v>0</v>
      </c>
      <c r="T502" s="36"/>
      <c r="U502" s="36">
        <v>6662.38</v>
      </c>
      <c r="V502" s="36"/>
      <c r="W502" s="36">
        <v>8832.6</v>
      </c>
      <c r="X502" s="36"/>
      <c r="Y502" s="36">
        <v>0</v>
      </c>
      <c r="Z502" s="36"/>
      <c r="AA502" s="36">
        <v>0</v>
      </c>
      <c r="AB502" s="36"/>
      <c r="AC502" s="36">
        <v>0</v>
      </c>
      <c r="AD502" s="36"/>
      <c r="AE502" s="36">
        <f aca="true" t="shared" si="191" ref="AE502">SUM(E502:AC502)</f>
        <v>342853.86</v>
      </c>
      <c r="AF502" s="36"/>
      <c r="AG502" s="36">
        <v>15230.52</v>
      </c>
      <c r="AH502" s="36"/>
      <c r="AI502" s="36">
        <v>371853.53</v>
      </c>
      <c r="AJ502" s="36"/>
      <c r="AK502" s="36">
        <v>387084.05</v>
      </c>
      <c r="AL502" s="24">
        <f>+'Gen Rev'!AI501-'Gen Exp'!AE502+'Gen Exp'!AI502-AK502</f>
        <v>0</v>
      </c>
      <c r="AM502" s="44" t="str">
        <f>'Gen Rev'!A501</f>
        <v>Piketon</v>
      </c>
      <c r="AN502" s="21" t="str">
        <f t="shared" si="178"/>
        <v>Piketon</v>
      </c>
      <c r="AO502" s="21" t="b">
        <f t="shared" si="179"/>
        <v>1</v>
      </c>
    </row>
    <row r="503" spans="1:41" s="21" customFormat="1" ht="12.75">
      <c r="A503" s="1" t="s">
        <v>908</v>
      </c>
      <c r="B503" s="1"/>
      <c r="C503" s="1" t="s">
        <v>598</v>
      </c>
      <c r="D503" s="23"/>
      <c r="E503" s="83">
        <v>342427.07</v>
      </c>
      <c r="F503" s="83"/>
      <c r="G503" s="83">
        <v>5352</v>
      </c>
      <c r="H503" s="83"/>
      <c r="I503" s="83">
        <v>33881.7</v>
      </c>
      <c r="J503" s="83"/>
      <c r="K503" s="83">
        <v>19269.89</v>
      </c>
      <c r="L503" s="83"/>
      <c r="M503" s="83">
        <v>1989.61</v>
      </c>
      <c r="N503" s="83"/>
      <c r="O503" s="83">
        <v>36755.41</v>
      </c>
      <c r="P503" s="83"/>
      <c r="Q503" s="83">
        <v>166041.01</v>
      </c>
      <c r="R503" s="83"/>
      <c r="S503" s="83">
        <v>47998.35</v>
      </c>
      <c r="T503" s="83"/>
      <c r="U503" s="83">
        <v>0</v>
      </c>
      <c r="V503" s="83"/>
      <c r="W503" s="83">
        <v>0</v>
      </c>
      <c r="X503" s="83"/>
      <c r="Y503" s="83">
        <v>0</v>
      </c>
      <c r="Z503" s="83"/>
      <c r="AA503" s="83">
        <v>0</v>
      </c>
      <c r="AB503" s="83"/>
      <c r="AC503" s="83">
        <v>0</v>
      </c>
      <c r="AD503" s="83"/>
      <c r="AE503" s="83">
        <f t="shared" si="177"/>
        <v>653715.04</v>
      </c>
      <c r="AF503" s="83"/>
      <c r="AG503" s="36">
        <v>146596</v>
      </c>
      <c r="AH503" s="36"/>
      <c r="AI503" s="36">
        <v>185091.23</v>
      </c>
      <c r="AJ503" s="36"/>
      <c r="AK503" s="36">
        <v>331687.34</v>
      </c>
      <c r="AL503" s="24">
        <f>+'Gen Rev'!AI502-'Gen Exp'!AE503+'Gen Exp'!AI503-AK503</f>
        <v>0</v>
      </c>
      <c r="AM503" s="44" t="str">
        <f>'Gen Rev'!A502</f>
        <v>Pioneer</v>
      </c>
      <c r="AN503" s="21" t="str">
        <f t="shared" si="178"/>
        <v>Pioneer</v>
      </c>
      <c r="AO503" s="21" t="b">
        <f t="shared" si="179"/>
        <v>1</v>
      </c>
    </row>
    <row r="504" spans="1:41" s="21" customFormat="1" ht="12.75">
      <c r="A504" s="1" t="s">
        <v>54</v>
      </c>
      <c r="B504" s="1"/>
      <c r="C504" s="1" t="s">
        <v>762</v>
      </c>
      <c r="D504" s="23"/>
      <c r="E504" s="36">
        <v>15505.91</v>
      </c>
      <c r="F504" s="36"/>
      <c r="G504" s="36">
        <v>0</v>
      </c>
      <c r="H504" s="36"/>
      <c r="I504" s="36">
        <v>3370.95</v>
      </c>
      <c r="J504" s="36"/>
      <c r="K504" s="36">
        <v>0</v>
      </c>
      <c r="L504" s="36"/>
      <c r="M504" s="36">
        <v>1086.96</v>
      </c>
      <c r="N504" s="36"/>
      <c r="O504" s="36">
        <v>0</v>
      </c>
      <c r="P504" s="36"/>
      <c r="Q504" s="36">
        <v>56381.68</v>
      </c>
      <c r="R504" s="36"/>
      <c r="S504" s="36">
        <v>0</v>
      </c>
      <c r="T504" s="36"/>
      <c r="U504" s="36">
        <v>0</v>
      </c>
      <c r="V504" s="36"/>
      <c r="W504" s="36">
        <v>0</v>
      </c>
      <c r="X504" s="36"/>
      <c r="Y504" s="36">
        <v>0</v>
      </c>
      <c r="Z504" s="36"/>
      <c r="AA504" s="36">
        <v>580.94</v>
      </c>
      <c r="AB504" s="36"/>
      <c r="AC504" s="36">
        <v>0</v>
      </c>
      <c r="AD504" s="36"/>
      <c r="AE504" s="36">
        <f aca="true" t="shared" si="192" ref="AE504">SUM(E504:AC504)</f>
        <v>76926.44</v>
      </c>
      <c r="AF504" s="36"/>
      <c r="AG504" s="36">
        <v>-4874.04</v>
      </c>
      <c r="AH504" s="36"/>
      <c r="AI504" s="36">
        <v>63975.71</v>
      </c>
      <c r="AJ504" s="36"/>
      <c r="AK504" s="36">
        <v>59101.67</v>
      </c>
      <c r="AL504" s="24">
        <f>+'Gen Rev'!AI503-'Gen Exp'!AE504+'Gen Exp'!AI504-AK504</f>
        <v>0</v>
      </c>
      <c r="AM504" s="44" t="str">
        <f>'Gen Rev'!A503</f>
        <v>Pitsburg</v>
      </c>
      <c r="AN504" s="21" t="str">
        <f t="shared" si="178"/>
        <v>Pitsburg</v>
      </c>
      <c r="AO504" s="21" t="b">
        <f t="shared" si="179"/>
        <v>1</v>
      </c>
    </row>
    <row r="505" spans="1:41" ht="12.75">
      <c r="A505" s="1" t="s">
        <v>460</v>
      </c>
      <c r="C505" s="1" t="s">
        <v>432</v>
      </c>
      <c r="E505" s="95">
        <v>374192.1</v>
      </c>
      <c r="F505" s="95"/>
      <c r="G505" s="95">
        <v>0</v>
      </c>
      <c r="H505" s="95"/>
      <c r="I505" s="95">
        <v>35547.9</v>
      </c>
      <c r="J505" s="95"/>
      <c r="K505" s="95">
        <v>0</v>
      </c>
      <c r="L505" s="95"/>
      <c r="M505" s="95">
        <v>257373.21</v>
      </c>
      <c r="N505" s="95"/>
      <c r="O505" s="95">
        <v>0</v>
      </c>
      <c r="P505" s="95"/>
      <c r="Q505" s="95">
        <v>839937.9</v>
      </c>
      <c r="R505" s="95"/>
      <c r="S505" s="95">
        <v>0</v>
      </c>
      <c r="T505" s="95"/>
      <c r="U505" s="95">
        <v>0</v>
      </c>
      <c r="V505" s="95"/>
      <c r="W505" s="95">
        <v>0</v>
      </c>
      <c r="X505" s="95"/>
      <c r="Y505" s="95">
        <v>0</v>
      </c>
      <c r="Z505" s="95"/>
      <c r="AA505" s="95">
        <v>0</v>
      </c>
      <c r="AB505" s="95"/>
      <c r="AC505" s="95">
        <v>0</v>
      </c>
      <c r="AD505" s="95"/>
      <c r="AE505" s="95">
        <f aca="true" t="shared" si="193" ref="AE505">SUM(E505:AC505)</f>
        <v>1507051.1099999999</v>
      </c>
      <c r="AF505" s="95"/>
      <c r="AG505" s="95">
        <v>38216.5</v>
      </c>
      <c r="AH505" s="95"/>
      <c r="AI505" s="95">
        <v>1309115.2</v>
      </c>
      <c r="AJ505" s="95"/>
      <c r="AK505" s="95">
        <v>1347331.7</v>
      </c>
      <c r="AL505" s="24">
        <f>+'Gen Rev'!AI504-'Gen Exp'!AE505+'Gen Exp'!AI505-AK505</f>
        <v>0</v>
      </c>
      <c r="AM505" s="44" t="str">
        <f>'Gen Rev'!A504</f>
        <v>Plain City</v>
      </c>
      <c r="AN505" s="21" t="str">
        <f t="shared" si="178"/>
        <v>Plain City</v>
      </c>
      <c r="AO505" s="21" t="b">
        <f t="shared" si="179"/>
        <v>1</v>
      </c>
    </row>
    <row r="506" spans="1:41" ht="12.75">
      <c r="A506" s="1" t="s">
        <v>909</v>
      </c>
      <c r="C506" s="1" t="s">
        <v>910</v>
      </c>
      <c r="E506" s="83">
        <v>2606.57</v>
      </c>
      <c r="F506" s="83"/>
      <c r="G506" s="83">
        <v>0</v>
      </c>
      <c r="H506" s="83"/>
      <c r="I506" s="83">
        <v>5685.55</v>
      </c>
      <c r="J506" s="83"/>
      <c r="K506" s="83">
        <v>0</v>
      </c>
      <c r="L506" s="83"/>
      <c r="M506" s="83">
        <v>0</v>
      </c>
      <c r="N506" s="83"/>
      <c r="O506" s="83">
        <v>0</v>
      </c>
      <c r="P506" s="83"/>
      <c r="Q506" s="83">
        <v>8656.43</v>
      </c>
      <c r="R506" s="83"/>
      <c r="S506" s="83">
        <v>5487.11</v>
      </c>
      <c r="T506" s="83"/>
      <c r="U506" s="83">
        <v>0</v>
      </c>
      <c r="V506" s="83"/>
      <c r="W506" s="83">
        <v>0</v>
      </c>
      <c r="X506" s="83"/>
      <c r="Y506" s="83">
        <v>0</v>
      </c>
      <c r="Z506" s="83"/>
      <c r="AA506" s="83">
        <v>0</v>
      </c>
      <c r="AB506" s="83"/>
      <c r="AC506" s="83">
        <v>0</v>
      </c>
      <c r="AD506" s="83"/>
      <c r="AE506" s="83">
        <f t="shared" si="177"/>
        <v>22435.660000000003</v>
      </c>
      <c r="AF506" s="83"/>
      <c r="AG506" s="83">
        <v>-15419.77</v>
      </c>
      <c r="AH506" s="83"/>
      <c r="AI506" s="83">
        <v>82424.17</v>
      </c>
      <c r="AJ506" s="83"/>
      <c r="AK506" s="83">
        <v>67004.4</v>
      </c>
      <c r="AL506" s="24">
        <f>+'Gen Rev'!AI505-'Gen Exp'!AE506+'Gen Exp'!AI506-AK506</f>
        <v>-177</v>
      </c>
      <c r="AM506" s="44" t="str">
        <f>'Gen Rev'!A505</f>
        <v>Plainfield</v>
      </c>
      <c r="AN506" s="21" t="str">
        <f t="shared" si="178"/>
        <v>Plainfield</v>
      </c>
      <c r="AO506" s="21" t="b">
        <f t="shared" si="179"/>
        <v>1</v>
      </c>
    </row>
    <row r="507" spans="1:41" ht="12.75">
      <c r="A507" s="1" t="s">
        <v>376</v>
      </c>
      <c r="C507" s="1" t="s">
        <v>375</v>
      </c>
      <c r="E507" s="36">
        <v>8207.87</v>
      </c>
      <c r="F507" s="36"/>
      <c r="G507" s="36">
        <v>1412.81</v>
      </c>
      <c r="H507" s="36"/>
      <c r="I507" s="36">
        <v>0</v>
      </c>
      <c r="J507" s="36"/>
      <c r="K507" s="36">
        <v>0</v>
      </c>
      <c r="L507" s="36"/>
      <c r="M507" s="36">
        <v>1210.15</v>
      </c>
      <c r="N507" s="36"/>
      <c r="O507" s="36">
        <v>1289.65</v>
      </c>
      <c r="P507" s="36"/>
      <c r="Q507" s="36">
        <v>33012.02</v>
      </c>
      <c r="R507" s="36"/>
      <c r="S507" s="36">
        <v>0</v>
      </c>
      <c r="T507" s="36"/>
      <c r="U507" s="36">
        <v>0</v>
      </c>
      <c r="V507" s="36"/>
      <c r="W507" s="36">
        <v>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f aca="true" t="shared" si="194" ref="AE507:AE514">SUM(E507:AC507)</f>
        <v>45132.5</v>
      </c>
      <c r="AF507" s="36"/>
      <c r="AG507" s="36">
        <v>514.05</v>
      </c>
      <c r="AH507" s="36"/>
      <c r="AI507" s="36">
        <v>29311.3</v>
      </c>
      <c r="AJ507" s="36"/>
      <c r="AK507" s="36">
        <v>29825.35</v>
      </c>
      <c r="AL507" s="24">
        <f>+'Gen Rev'!AI506-'Gen Exp'!AE507+'Gen Exp'!AI507-AK507</f>
        <v>0</v>
      </c>
      <c r="AM507" s="44" t="str">
        <f>'Gen Rev'!A506</f>
        <v>Pleasant City</v>
      </c>
      <c r="AN507" s="21" t="str">
        <f t="shared" si="178"/>
        <v>Pleasant City</v>
      </c>
      <c r="AO507" s="21" t="b">
        <f t="shared" si="179"/>
        <v>1</v>
      </c>
    </row>
    <row r="508" spans="1:41" ht="12.75">
      <c r="A508" s="1" t="s">
        <v>163</v>
      </c>
      <c r="C508" s="1" t="s">
        <v>795</v>
      </c>
      <c r="D508" s="23"/>
      <c r="E508" s="36">
        <v>25000</v>
      </c>
      <c r="F508" s="36"/>
      <c r="G508" s="36">
        <v>0</v>
      </c>
      <c r="H508" s="36"/>
      <c r="I508" s="36">
        <v>27999.42</v>
      </c>
      <c r="J508" s="36"/>
      <c r="K508" s="36">
        <v>0</v>
      </c>
      <c r="L508" s="36"/>
      <c r="M508" s="36">
        <v>0</v>
      </c>
      <c r="N508" s="36"/>
      <c r="O508" s="36">
        <v>8670.5</v>
      </c>
      <c r="P508" s="36"/>
      <c r="Q508" s="36">
        <v>107703.27</v>
      </c>
      <c r="R508" s="36"/>
      <c r="S508" s="36">
        <v>246612.03</v>
      </c>
      <c r="T508" s="36"/>
      <c r="U508" s="36">
        <v>20902.8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f t="shared" si="194"/>
        <v>436888.01999999996</v>
      </c>
      <c r="AF508" s="36"/>
      <c r="AG508" s="36">
        <v>-126749.62</v>
      </c>
      <c r="AH508" s="36"/>
      <c r="AI508" s="36">
        <v>510399.41</v>
      </c>
      <c r="AJ508" s="36"/>
      <c r="AK508" s="36">
        <v>383649.79</v>
      </c>
      <c r="AL508" s="24">
        <f>+'Gen Rev'!AI507-'Gen Exp'!AE508+'Gen Exp'!AI508-AK508</f>
        <v>0</v>
      </c>
      <c r="AM508" s="44" t="str">
        <f>'Gen Rev'!A507</f>
        <v>Pleasant Hill</v>
      </c>
      <c r="AN508" s="21" t="str">
        <f t="shared" si="178"/>
        <v>Pleasant Hill</v>
      </c>
      <c r="AO508" s="21" t="b">
        <f t="shared" si="179"/>
        <v>1</v>
      </c>
    </row>
    <row r="509" spans="1:41" ht="12.75">
      <c r="A509" s="1" t="s">
        <v>244</v>
      </c>
      <c r="C509" s="1" t="s">
        <v>821</v>
      </c>
      <c r="D509" s="23"/>
      <c r="E509" s="36">
        <v>2142.57</v>
      </c>
      <c r="F509" s="36"/>
      <c r="G509" s="36">
        <v>0</v>
      </c>
      <c r="H509" s="36"/>
      <c r="I509" s="36">
        <v>0</v>
      </c>
      <c r="J509" s="36"/>
      <c r="K509" s="36">
        <v>0</v>
      </c>
      <c r="L509" s="36"/>
      <c r="M509" s="36">
        <v>153.88</v>
      </c>
      <c r="N509" s="36"/>
      <c r="O509" s="36">
        <v>0</v>
      </c>
      <c r="P509" s="36"/>
      <c r="Q509" s="36">
        <v>11507.59</v>
      </c>
      <c r="R509" s="36"/>
      <c r="S509" s="36">
        <v>0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0</v>
      </c>
      <c r="AB509" s="36"/>
      <c r="AC509" s="36">
        <v>0</v>
      </c>
      <c r="AD509" s="36"/>
      <c r="AE509" s="36">
        <f t="shared" si="194"/>
        <v>13804.04</v>
      </c>
      <c r="AF509" s="36"/>
      <c r="AG509" s="36">
        <v>-634.28</v>
      </c>
      <c r="AH509" s="36"/>
      <c r="AI509" s="36">
        <v>14838.15</v>
      </c>
      <c r="AJ509" s="36"/>
      <c r="AK509" s="36">
        <v>14203.87</v>
      </c>
      <c r="AL509" s="24">
        <f>+'Gen Rev'!AI508-'Gen Exp'!AE509+'Gen Exp'!AI509-AK509</f>
        <v>0</v>
      </c>
      <c r="AM509" s="44" t="str">
        <f>'Gen Rev'!A508</f>
        <v>Pleasant Plain</v>
      </c>
      <c r="AN509" s="21" t="str">
        <f t="shared" si="178"/>
        <v>Pleasant Plain</v>
      </c>
      <c r="AO509" s="21" t="b">
        <f t="shared" si="179"/>
        <v>1</v>
      </c>
    </row>
    <row r="510" spans="1:41" s="21" customFormat="1" ht="12.75">
      <c r="A510" s="1" t="s">
        <v>64</v>
      </c>
      <c r="B510" s="1"/>
      <c r="C510" s="1" t="s">
        <v>766</v>
      </c>
      <c r="D510" s="23"/>
      <c r="E510" s="36">
        <v>20460.61</v>
      </c>
      <c r="F510" s="36"/>
      <c r="G510" s="36">
        <v>3679.32</v>
      </c>
      <c r="H510" s="36"/>
      <c r="I510" s="36">
        <v>0</v>
      </c>
      <c r="J510" s="36"/>
      <c r="K510" s="36">
        <v>3380.71</v>
      </c>
      <c r="L510" s="36"/>
      <c r="M510" s="36">
        <v>0</v>
      </c>
      <c r="N510" s="36"/>
      <c r="O510" s="36">
        <v>0</v>
      </c>
      <c r="P510" s="36"/>
      <c r="Q510" s="36">
        <v>45640.97</v>
      </c>
      <c r="R510" s="36"/>
      <c r="S510" s="36">
        <v>0</v>
      </c>
      <c r="T510" s="36"/>
      <c r="U510" s="36">
        <v>0</v>
      </c>
      <c r="V510" s="36"/>
      <c r="W510" s="36">
        <v>0</v>
      </c>
      <c r="X510" s="36"/>
      <c r="Y510" s="36">
        <v>13565.44</v>
      </c>
      <c r="Z510" s="36"/>
      <c r="AA510" s="36">
        <v>0</v>
      </c>
      <c r="AB510" s="36"/>
      <c r="AC510" s="36">
        <v>0</v>
      </c>
      <c r="AD510" s="36"/>
      <c r="AE510" s="36">
        <f t="shared" si="194"/>
        <v>86727.05</v>
      </c>
      <c r="AF510" s="36"/>
      <c r="AG510" s="36">
        <v>-731.04</v>
      </c>
      <c r="AH510" s="36"/>
      <c r="AI510" s="36">
        <v>46788.61</v>
      </c>
      <c r="AJ510" s="36"/>
      <c r="AK510" s="36">
        <v>46057.57</v>
      </c>
      <c r="AL510" s="24">
        <f>+'Gen Rev'!AI509-'Gen Exp'!AE510+'Gen Exp'!AI510-AK510</f>
        <v>0</v>
      </c>
      <c r="AM510" s="44" t="str">
        <f>'Gen Rev'!A509</f>
        <v>Pleasantville</v>
      </c>
      <c r="AN510" s="21" t="str">
        <f t="shared" si="178"/>
        <v>Pleasantville</v>
      </c>
      <c r="AO510" s="21" t="b">
        <f t="shared" si="179"/>
        <v>1</v>
      </c>
    </row>
    <row r="511" spans="1:41" s="38" customFormat="1" ht="12.75">
      <c r="A511" s="38" t="s">
        <v>209</v>
      </c>
      <c r="C511" s="38" t="s">
        <v>809</v>
      </c>
      <c r="D511" s="51"/>
      <c r="E511" s="36">
        <v>342038.86</v>
      </c>
      <c r="F511" s="36"/>
      <c r="G511" s="36">
        <v>0</v>
      </c>
      <c r="H511" s="36"/>
      <c r="I511" s="36">
        <v>0</v>
      </c>
      <c r="J511" s="36"/>
      <c r="K511" s="36">
        <v>0</v>
      </c>
      <c r="L511" s="36"/>
      <c r="M511" s="36">
        <v>0</v>
      </c>
      <c r="N511" s="36"/>
      <c r="O511" s="36">
        <v>0</v>
      </c>
      <c r="P511" s="36"/>
      <c r="Q511" s="36">
        <v>135124.36</v>
      </c>
      <c r="R511" s="36"/>
      <c r="S511" s="36">
        <v>0</v>
      </c>
      <c r="T511" s="36"/>
      <c r="U511" s="36">
        <v>0</v>
      </c>
      <c r="V511" s="36"/>
      <c r="W511" s="36">
        <v>0</v>
      </c>
      <c r="X511" s="36"/>
      <c r="Y511" s="36">
        <v>15468.54</v>
      </c>
      <c r="Z511" s="36"/>
      <c r="AA511" s="36">
        <v>0</v>
      </c>
      <c r="AB511" s="36"/>
      <c r="AC511" s="36">
        <v>1000</v>
      </c>
      <c r="AD511" s="36"/>
      <c r="AE511" s="36">
        <f t="shared" si="194"/>
        <v>493631.75999999995</v>
      </c>
      <c r="AF511" s="36"/>
      <c r="AG511" s="36">
        <v>34074.64</v>
      </c>
      <c r="AH511" s="36"/>
      <c r="AI511" s="36">
        <v>110074.05</v>
      </c>
      <c r="AJ511" s="36"/>
      <c r="AK511" s="36">
        <v>144148.69</v>
      </c>
      <c r="AL511" s="24">
        <f>+'Gen Rev'!AI510-'Gen Exp'!AE511+'Gen Exp'!AI511-AK511</f>
        <v>0</v>
      </c>
      <c r="AM511" s="44" t="str">
        <f>'Gen Rev'!A510</f>
        <v>Plymouth</v>
      </c>
      <c r="AN511" s="21" t="str">
        <f t="shared" si="178"/>
        <v>Plymouth</v>
      </c>
      <c r="AO511" s="21" t="b">
        <f t="shared" si="179"/>
        <v>1</v>
      </c>
    </row>
    <row r="512" spans="1:41" ht="12.75">
      <c r="A512" s="1" t="s">
        <v>146</v>
      </c>
      <c r="C512" s="1" t="s">
        <v>790</v>
      </c>
      <c r="D512" s="23"/>
      <c r="E512" s="36">
        <v>407702.98</v>
      </c>
      <c r="F512" s="36"/>
      <c r="G512" s="36">
        <v>16586.63</v>
      </c>
      <c r="H512" s="36"/>
      <c r="I512" s="36">
        <v>350</v>
      </c>
      <c r="J512" s="36"/>
      <c r="K512" s="36">
        <v>9176.72</v>
      </c>
      <c r="L512" s="36"/>
      <c r="M512" s="36">
        <v>0</v>
      </c>
      <c r="N512" s="36"/>
      <c r="O512" s="36">
        <v>27172</v>
      </c>
      <c r="P512" s="36"/>
      <c r="Q512" s="36">
        <v>233389.59</v>
      </c>
      <c r="R512" s="36"/>
      <c r="S512" s="36">
        <v>0</v>
      </c>
      <c r="T512" s="36"/>
      <c r="U512" s="36">
        <v>0</v>
      </c>
      <c r="V512" s="36"/>
      <c r="W512" s="36">
        <v>0</v>
      </c>
      <c r="X512" s="36"/>
      <c r="Y512" s="36">
        <v>20004.73</v>
      </c>
      <c r="Z512" s="36"/>
      <c r="AA512" s="36">
        <v>0</v>
      </c>
      <c r="AB512" s="36"/>
      <c r="AC512" s="36">
        <v>0</v>
      </c>
      <c r="AD512" s="36"/>
      <c r="AE512" s="36">
        <f t="shared" si="194"/>
        <v>714382.6499999999</v>
      </c>
      <c r="AF512" s="36"/>
      <c r="AG512" s="36">
        <v>-41884.73</v>
      </c>
      <c r="AH512" s="36"/>
      <c r="AI512" s="36">
        <v>1293018.22</v>
      </c>
      <c r="AJ512" s="36"/>
      <c r="AK512" s="36">
        <v>1251133.49</v>
      </c>
      <c r="AL512" s="24">
        <f>+'Gen Rev'!AI511-'Gen Exp'!AE512+'Gen Exp'!AI512-AK512</f>
        <v>0</v>
      </c>
      <c r="AM512" s="44" t="str">
        <f>'Gen Rev'!A511</f>
        <v>Poland</v>
      </c>
      <c r="AN512" s="21" t="str">
        <f t="shared" si="178"/>
        <v>Poland</v>
      </c>
      <c r="AO512" s="21" t="b">
        <f t="shared" si="179"/>
        <v>1</v>
      </c>
    </row>
    <row r="513" spans="1:41" ht="12.75">
      <c r="A513" s="1" t="s">
        <v>681</v>
      </c>
      <c r="C513" s="1" t="s">
        <v>669</v>
      </c>
      <c r="D513" s="23"/>
      <c r="E513" s="36">
        <v>4437.03</v>
      </c>
      <c r="F513" s="36"/>
      <c r="G513" s="36">
        <v>0</v>
      </c>
      <c r="H513" s="36"/>
      <c r="I513" s="36">
        <v>738.06</v>
      </c>
      <c r="J513" s="36"/>
      <c r="K513" s="36">
        <v>2739.62</v>
      </c>
      <c r="L513" s="36"/>
      <c r="M513" s="36">
        <v>276.64</v>
      </c>
      <c r="N513" s="36"/>
      <c r="O513" s="36">
        <v>1492.6</v>
      </c>
      <c r="P513" s="36"/>
      <c r="Q513" s="36">
        <v>34501.83</v>
      </c>
      <c r="R513" s="36"/>
      <c r="S513" s="36">
        <v>0</v>
      </c>
      <c r="T513" s="36"/>
      <c r="U513" s="36">
        <v>0</v>
      </c>
      <c r="V513" s="36"/>
      <c r="W513" s="36">
        <v>0</v>
      </c>
      <c r="X513" s="36"/>
      <c r="Y513" s="36">
        <v>0</v>
      </c>
      <c r="Z513" s="36"/>
      <c r="AA513" s="36">
        <v>0</v>
      </c>
      <c r="AB513" s="36"/>
      <c r="AC513" s="36">
        <v>0</v>
      </c>
      <c r="AD513" s="36"/>
      <c r="AE513" s="36">
        <f t="shared" si="194"/>
        <v>44185.78</v>
      </c>
      <c r="AF513" s="36"/>
      <c r="AG513" s="36">
        <v>-1000.41</v>
      </c>
      <c r="AH513" s="36"/>
      <c r="AI513" s="36">
        <v>20059.86</v>
      </c>
      <c r="AJ513" s="36"/>
      <c r="AK513" s="36">
        <v>19059.45</v>
      </c>
      <c r="AL513" s="24">
        <f>+'Gen Rev'!AI512-'Gen Exp'!AE513+'Gen Exp'!AI513-AK513</f>
        <v>0</v>
      </c>
      <c r="AM513" s="44" t="str">
        <f>'Gen Rev'!A512</f>
        <v>Polk</v>
      </c>
      <c r="AN513" s="21" t="str">
        <f t="shared" si="178"/>
        <v>Polk</v>
      </c>
      <c r="AO513" s="21" t="b">
        <f t="shared" si="179"/>
        <v>1</v>
      </c>
    </row>
    <row r="514" spans="1:41" ht="12.75">
      <c r="A514" s="1" t="s">
        <v>157</v>
      </c>
      <c r="C514" s="1" t="s">
        <v>793</v>
      </c>
      <c r="D514" s="23"/>
      <c r="E514" s="36">
        <v>478730.97</v>
      </c>
      <c r="F514" s="36"/>
      <c r="G514" s="36">
        <v>0</v>
      </c>
      <c r="H514" s="36"/>
      <c r="I514" s="36">
        <v>0</v>
      </c>
      <c r="J514" s="36"/>
      <c r="K514" s="36">
        <v>0</v>
      </c>
      <c r="L514" s="36"/>
      <c r="M514" s="36">
        <v>11143.63</v>
      </c>
      <c r="N514" s="36"/>
      <c r="O514" s="36">
        <v>0</v>
      </c>
      <c r="P514" s="36"/>
      <c r="Q514" s="36">
        <v>161612.51</v>
      </c>
      <c r="R514" s="36"/>
      <c r="S514" s="36">
        <v>0</v>
      </c>
      <c r="T514" s="36"/>
      <c r="U514" s="36">
        <v>30533.5</v>
      </c>
      <c r="V514" s="36"/>
      <c r="W514" s="36">
        <v>24663.2</v>
      </c>
      <c r="X514" s="36"/>
      <c r="Y514" s="36">
        <v>66032</v>
      </c>
      <c r="Z514" s="36"/>
      <c r="AA514" s="36">
        <v>0</v>
      </c>
      <c r="AB514" s="36"/>
      <c r="AC514" s="36">
        <v>2</v>
      </c>
      <c r="AD514" s="36"/>
      <c r="AE514" s="36">
        <f t="shared" si="194"/>
        <v>772717.8099999999</v>
      </c>
      <c r="AF514" s="36"/>
      <c r="AG514" s="36">
        <v>-85739.75</v>
      </c>
      <c r="AH514" s="36"/>
      <c r="AI514" s="36">
        <v>102881.51</v>
      </c>
      <c r="AJ514" s="36"/>
      <c r="AK514" s="36">
        <v>17141.76</v>
      </c>
      <c r="AL514" s="24">
        <f>+'Gen Rev'!AI513-'Gen Exp'!AE514+'Gen Exp'!AI514-AK514</f>
        <v>1.127773430198431E-10</v>
      </c>
      <c r="AM514" s="44" t="str">
        <f>'Gen Rev'!A513</f>
        <v>Pomeroy</v>
      </c>
      <c r="AN514" s="21" t="str">
        <f t="shared" si="178"/>
        <v>Pomeroy</v>
      </c>
      <c r="AO514" s="21" t="b">
        <f t="shared" si="179"/>
        <v>1</v>
      </c>
    </row>
    <row r="515" spans="1:41" ht="12.75">
      <c r="A515" s="1" t="s">
        <v>911</v>
      </c>
      <c r="C515" s="1" t="s">
        <v>538</v>
      </c>
      <c r="E515" s="83">
        <v>25563</v>
      </c>
      <c r="F515" s="83"/>
      <c r="G515" s="83">
        <v>1044</v>
      </c>
      <c r="H515" s="83"/>
      <c r="I515" s="83">
        <v>0</v>
      </c>
      <c r="J515" s="83"/>
      <c r="K515" s="83">
        <v>128</v>
      </c>
      <c r="L515" s="83"/>
      <c r="M515" s="83">
        <v>1725</v>
      </c>
      <c r="N515" s="83"/>
      <c r="O515" s="83">
        <v>0</v>
      </c>
      <c r="P515" s="83"/>
      <c r="Q515" s="83">
        <v>0</v>
      </c>
      <c r="R515" s="83"/>
      <c r="S515" s="83">
        <v>0</v>
      </c>
      <c r="T515" s="83"/>
      <c r="U515" s="83">
        <v>0</v>
      </c>
      <c r="V515" s="83"/>
      <c r="W515" s="83">
        <v>0</v>
      </c>
      <c r="X515" s="83"/>
      <c r="Y515" s="83">
        <v>0</v>
      </c>
      <c r="Z515" s="83"/>
      <c r="AA515" s="83">
        <v>0</v>
      </c>
      <c r="AB515" s="83"/>
      <c r="AC515" s="83">
        <v>0</v>
      </c>
      <c r="AD515" s="83"/>
      <c r="AE515" s="83">
        <f t="shared" si="177"/>
        <v>28460</v>
      </c>
      <c r="AF515" s="83"/>
      <c r="AG515" s="83"/>
      <c r="AH515" s="83"/>
      <c r="AI515" s="83">
        <v>23299</v>
      </c>
      <c r="AJ515" s="83"/>
      <c r="AK515" s="83">
        <v>24965</v>
      </c>
      <c r="AL515" s="24">
        <f>+'Gen Rev'!AI514-'Gen Exp'!AE515+'Gen Exp'!AI515-AK515</f>
        <v>29514</v>
      </c>
      <c r="AM515" s="44" t="str">
        <f>'Gen Rev'!A514</f>
        <v>Port Jefferson</v>
      </c>
      <c r="AN515" s="21" t="str">
        <f t="shared" si="178"/>
        <v>Port Jefferson</v>
      </c>
      <c r="AO515" s="21" t="b">
        <f t="shared" si="179"/>
        <v>1</v>
      </c>
    </row>
    <row r="516" spans="1:41" ht="12.75">
      <c r="A516" s="1" t="s">
        <v>682</v>
      </c>
      <c r="C516" s="1" t="s">
        <v>562</v>
      </c>
      <c r="E516" s="36">
        <v>24719.19</v>
      </c>
      <c r="F516" s="36"/>
      <c r="G516" s="36">
        <v>2567.67</v>
      </c>
      <c r="H516" s="36"/>
      <c r="I516" s="36">
        <v>543.49</v>
      </c>
      <c r="J516" s="36"/>
      <c r="K516" s="36">
        <v>1199.84</v>
      </c>
      <c r="L516" s="36"/>
      <c r="M516" s="36">
        <v>0</v>
      </c>
      <c r="N516" s="36"/>
      <c r="O516" s="36">
        <v>0</v>
      </c>
      <c r="P516" s="36"/>
      <c r="Q516" s="36">
        <v>66879.98</v>
      </c>
      <c r="R516" s="36"/>
      <c r="S516" s="36">
        <v>0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0</v>
      </c>
      <c r="AB516" s="36"/>
      <c r="AC516" s="36">
        <v>0</v>
      </c>
      <c r="AD516" s="36"/>
      <c r="AE516" s="36">
        <f aca="true" t="shared" si="195" ref="AE516:AE524">SUM(E516:AC516)</f>
        <v>95910.17</v>
      </c>
      <c r="AF516" s="36"/>
      <c r="AG516" s="36">
        <v>14885.4</v>
      </c>
      <c r="AH516" s="36"/>
      <c r="AI516" s="36">
        <v>17055.19</v>
      </c>
      <c r="AJ516" s="36"/>
      <c r="AK516" s="36">
        <v>31940.59</v>
      </c>
      <c r="AL516" s="24">
        <f>+'Gen Rev'!AI515-'Gen Exp'!AE516+'Gen Exp'!AI516-AK516</f>
        <v>0</v>
      </c>
      <c r="AM516" s="44" t="str">
        <f>'Gen Rev'!A515</f>
        <v>Port Washington</v>
      </c>
      <c r="AN516" s="21" t="str">
        <f t="shared" si="178"/>
        <v>Port Washington</v>
      </c>
      <c r="AO516" s="21" t="b">
        <f t="shared" si="179"/>
        <v>1</v>
      </c>
    </row>
    <row r="517" spans="1:41" s="21" customFormat="1" ht="12.6" customHeight="1">
      <c r="A517" s="1" t="s">
        <v>303</v>
      </c>
      <c r="B517" s="1"/>
      <c r="C517" s="1" t="s">
        <v>299</v>
      </c>
      <c r="D517" s="1"/>
      <c r="E517" s="36">
        <v>22626.51</v>
      </c>
      <c r="F517" s="36"/>
      <c r="G517" s="36">
        <v>0</v>
      </c>
      <c r="H517" s="36"/>
      <c r="I517" s="36">
        <v>0</v>
      </c>
      <c r="J517" s="36"/>
      <c r="K517" s="36">
        <v>0</v>
      </c>
      <c r="L517" s="36"/>
      <c r="M517" s="36">
        <v>0</v>
      </c>
      <c r="N517" s="36"/>
      <c r="O517" s="36">
        <v>0</v>
      </c>
      <c r="P517" s="36"/>
      <c r="Q517" s="36">
        <v>18003.41</v>
      </c>
      <c r="R517" s="36"/>
      <c r="S517" s="36">
        <v>0</v>
      </c>
      <c r="T517" s="36"/>
      <c r="U517" s="36">
        <v>0</v>
      </c>
      <c r="V517" s="36"/>
      <c r="W517" s="36">
        <v>0</v>
      </c>
      <c r="X517" s="36"/>
      <c r="Y517" s="36">
        <v>5035.66</v>
      </c>
      <c r="Z517" s="36"/>
      <c r="AA517" s="36">
        <v>0</v>
      </c>
      <c r="AB517" s="36"/>
      <c r="AC517" s="36">
        <v>0</v>
      </c>
      <c r="AD517" s="36"/>
      <c r="AE517" s="36">
        <f t="shared" si="195"/>
        <v>45665.58</v>
      </c>
      <c r="AF517" s="36"/>
      <c r="AG517" s="36">
        <v>-1799.06</v>
      </c>
      <c r="AH517" s="36"/>
      <c r="AI517" s="36">
        <v>15318.19</v>
      </c>
      <c r="AJ517" s="36"/>
      <c r="AK517" s="36">
        <v>13519.13</v>
      </c>
      <c r="AL517" s="24">
        <f>+'Gen Rev'!AI516-'Gen Exp'!AE517+'Gen Exp'!AI517-AK517</f>
        <v>0</v>
      </c>
      <c r="AM517" s="44" t="str">
        <f>'Gen Rev'!A516</f>
        <v>Port William</v>
      </c>
      <c r="AN517" s="21" t="str">
        <f t="shared" si="178"/>
        <v>Port William</v>
      </c>
      <c r="AO517" s="21" t="b">
        <f t="shared" si="179"/>
        <v>1</v>
      </c>
    </row>
    <row r="518" spans="1:41" ht="12.75">
      <c r="A518" s="1" t="s">
        <v>259</v>
      </c>
      <c r="C518" s="1" t="s">
        <v>825</v>
      </c>
      <c r="D518" s="23"/>
      <c r="E518" s="36">
        <v>5633.55</v>
      </c>
      <c r="F518" s="36"/>
      <c r="G518" s="36">
        <v>379.6</v>
      </c>
      <c r="H518" s="36"/>
      <c r="I518" s="36">
        <v>0</v>
      </c>
      <c r="J518" s="36"/>
      <c r="K518" s="36">
        <v>613.54</v>
      </c>
      <c r="L518" s="36"/>
      <c r="M518" s="36">
        <v>0</v>
      </c>
      <c r="N518" s="36"/>
      <c r="O518" s="36">
        <v>0</v>
      </c>
      <c r="P518" s="36"/>
      <c r="Q518" s="36">
        <v>49406.73</v>
      </c>
      <c r="R518" s="36"/>
      <c r="S518" s="36">
        <v>0</v>
      </c>
      <c r="T518" s="36"/>
      <c r="U518" s="36">
        <v>4635.54</v>
      </c>
      <c r="V518" s="36"/>
      <c r="W518" s="36">
        <v>1098.54</v>
      </c>
      <c r="X518" s="36"/>
      <c r="Y518" s="36">
        <v>215</v>
      </c>
      <c r="Z518" s="36"/>
      <c r="AA518" s="36">
        <v>0</v>
      </c>
      <c r="AB518" s="36"/>
      <c r="AC518" s="36">
        <v>0</v>
      </c>
      <c r="AD518" s="36"/>
      <c r="AE518" s="36">
        <f t="shared" si="195"/>
        <v>61982.50000000001</v>
      </c>
      <c r="AF518" s="36"/>
      <c r="AG518" s="36">
        <v>48131.73</v>
      </c>
      <c r="AH518" s="36"/>
      <c r="AI518" s="36">
        <v>-151703.84</v>
      </c>
      <c r="AJ518" s="36"/>
      <c r="AK518" s="36">
        <v>-103572.11</v>
      </c>
      <c r="AL518" s="24">
        <f>+'Gen Rev'!AI517-'Gen Exp'!AE518+'Gen Exp'!AI518-AK518</f>
        <v>0</v>
      </c>
      <c r="AM518" s="44" t="str">
        <f>'Gen Rev'!A517</f>
        <v>Portage</v>
      </c>
      <c r="AN518" s="21" t="str">
        <f t="shared" si="178"/>
        <v>Portage</v>
      </c>
      <c r="AO518" s="21" t="b">
        <f t="shared" si="179"/>
        <v>1</v>
      </c>
    </row>
    <row r="519" spans="1:41" ht="12.75">
      <c r="A519" s="1" t="s">
        <v>471</v>
      </c>
      <c r="C519" s="1" t="s">
        <v>470</v>
      </c>
      <c r="E519" s="36">
        <v>2000</v>
      </c>
      <c r="F519" s="36"/>
      <c r="G519" s="36">
        <v>0</v>
      </c>
      <c r="H519" s="36"/>
      <c r="I519" s="36">
        <v>1605</v>
      </c>
      <c r="J519" s="36"/>
      <c r="K519" s="36">
        <v>0</v>
      </c>
      <c r="L519" s="36"/>
      <c r="M519" s="36">
        <v>0</v>
      </c>
      <c r="N519" s="36"/>
      <c r="O519" s="36">
        <v>0</v>
      </c>
      <c r="P519" s="36"/>
      <c r="Q519" s="36">
        <v>11853.79</v>
      </c>
      <c r="R519" s="36"/>
      <c r="S519" s="36">
        <v>0</v>
      </c>
      <c r="T519" s="36"/>
      <c r="U519" s="36">
        <v>0</v>
      </c>
      <c r="V519" s="36"/>
      <c r="W519" s="36">
        <v>0</v>
      </c>
      <c r="X519" s="36"/>
      <c r="Y519" s="36">
        <v>8200</v>
      </c>
      <c r="Z519" s="36"/>
      <c r="AA519" s="36">
        <v>0</v>
      </c>
      <c r="AB519" s="36"/>
      <c r="AC519" s="36">
        <v>41</v>
      </c>
      <c r="AD519" s="36"/>
      <c r="AE519" s="36">
        <f t="shared" si="195"/>
        <v>23699.79</v>
      </c>
      <c r="AF519" s="36"/>
      <c r="AG519" s="36">
        <v>5133.74</v>
      </c>
      <c r="AH519" s="36"/>
      <c r="AI519" s="36">
        <v>37408.48</v>
      </c>
      <c r="AJ519" s="36"/>
      <c r="AK519" s="36">
        <v>42542.22</v>
      </c>
      <c r="AL519" s="24">
        <f>+'Gen Rev'!AI518-'Gen Exp'!AE519+'Gen Exp'!AI519-AK519</f>
        <v>0</v>
      </c>
      <c r="AM519" s="44" t="str">
        <f>'Gen Rev'!A518</f>
        <v>Potsdam</v>
      </c>
      <c r="AN519" s="21" t="str">
        <f t="shared" si="178"/>
        <v>Potsdam</v>
      </c>
      <c r="AO519" s="21" t="b">
        <f t="shared" si="179"/>
        <v>1</v>
      </c>
    </row>
    <row r="520" spans="1:41" s="21" customFormat="1" ht="12.75">
      <c r="A520" s="1" t="s">
        <v>19</v>
      </c>
      <c r="B520" s="1"/>
      <c r="C520" s="1" t="s">
        <v>750</v>
      </c>
      <c r="D520" s="23"/>
      <c r="E520" s="36">
        <v>166264.61</v>
      </c>
      <c r="F520" s="36"/>
      <c r="G520" s="36">
        <v>5294.26</v>
      </c>
      <c r="H520" s="36"/>
      <c r="I520" s="36">
        <v>0</v>
      </c>
      <c r="J520" s="36"/>
      <c r="K520" s="36">
        <v>0</v>
      </c>
      <c r="L520" s="36"/>
      <c r="M520" s="36">
        <v>0</v>
      </c>
      <c r="N520" s="36"/>
      <c r="O520" s="36">
        <v>0</v>
      </c>
      <c r="P520" s="36"/>
      <c r="Q520" s="36">
        <v>108708.21</v>
      </c>
      <c r="R520" s="36"/>
      <c r="S520" s="36">
        <v>45608.22</v>
      </c>
      <c r="T520" s="36"/>
      <c r="U520" s="36">
        <v>0</v>
      </c>
      <c r="V520" s="36"/>
      <c r="W520" s="36">
        <v>0</v>
      </c>
      <c r="X520" s="36"/>
      <c r="Y520" s="36">
        <v>25000</v>
      </c>
      <c r="Z520" s="36"/>
      <c r="AA520" s="36">
        <v>0</v>
      </c>
      <c r="AB520" s="36"/>
      <c r="AC520" s="36">
        <v>657.47</v>
      </c>
      <c r="AD520" s="36"/>
      <c r="AE520" s="36">
        <f t="shared" si="195"/>
        <v>351532.77</v>
      </c>
      <c r="AF520" s="36"/>
      <c r="AG520" s="36">
        <v>33353.9</v>
      </c>
      <c r="AH520" s="36"/>
      <c r="AI520" s="36">
        <v>177104.12</v>
      </c>
      <c r="AJ520" s="36"/>
      <c r="AK520" s="36">
        <v>210458.02</v>
      </c>
      <c r="AL520" s="24">
        <f>+'Gen Rev'!AI519-'Gen Exp'!AE520+'Gen Exp'!AI520-AK520</f>
        <v>0</v>
      </c>
      <c r="AM520" s="44" t="str">
        <f>'Gen Rev'!A519</f>
        <v>Powhatan Point</v>
      </c>
      <c r="AN520" s="21" t="str">
        <f t="shared" si="178"/>
        <v>Powhatan Point</v>
      </c>
      <c r="AO520" s="21" t="b">
        <f t="shared" si="179"/>
        <v>1</v>
      </c>
    </row>
    <row r="521" spans="1:41" ht="12.75">
      <c r="A521" s="1" t="s">
        <v>127</v>
      </c>
      <c r="C521" s="1" t="s">
        <v>437</v>
      </c>
      <c r="E521" s="36">
        <v>172033.96</v>
      </c>
      <c r="F521" s="36"/>
      <c r="G521" s="36">
        <v>0</v>
      </c>
      <c r="H521" s="36"/>
      <c r="I521" s="36">
        <v>250</v>
      </c>
      <c r="J521" s="36"/>
      <c r="K521" s="36">
        <v>0</v>
      </c>
      <c r="L521" s="36"/>
      <c r="M521" s="36">
        <v>0</v>
      </c>
      <c r="N521" s="36"/>
      <c r="O521" s="36">
        <v>0</v>
      </c>
      <c r="P521" s="36"/>
      <c r="Q521" s="36">
        <v>85371.59</v>
      </c>
      <c r="R521" s="36"/>
      <c r="S521" s="36">
        <v>0</v>
      </c>
      <c r="T521" s="36"/>
      <c r="U521" s="36">
        <v>0</v>
      </c>
      <c r="V521" s="36"/>
      <c r="W521" s="36">
        <v>0</v>
      </c>
      <c r="X521" s="36"/>
      <c r="Y521" s="36">
        <v>0</v>
      </c>
      <c r="Z521" s="36"/>
      <c r="AA521" s="36">
        <v>0</v>
      </c>
      <c r="AB521" s="36"/>
      <c r="AC521" s="36">
        <v>1300.94</v>
      </c>
      <c r="AD521" s="36"/>
      <c r="AE521" s="36">
        <f t="shared" si="195"/>
        <v>258956.49</v>
      </c>
      <c r="AF521" s="36"/>
      <c r="AG521" s="36">
        <v>-50814.31</v>
      </c>
      <c r="AH521" s="36"/>
      <c r="AI521" s="36">
        <v>61577.37</v>
      </c>
      <c r="AJ521" s="36"/>
      <c r="AK521" s="36">
        <v>10763.06</v>
      </c>
      <c r="AL521" s="24">
        <f>+'Gen Rev'!AI520-'Gen Exp'!AE521+'Gen Exp'!AI521-AK521</f>
        <v>3.456079866737127E-11</v>
      </c>
      <c r="AM521" s="44" t="str">
        <f>'Gen Rev'!A520</f>
        <v>Proctorville</v>
      </c>
      <c r="AN521" s="21" t="str">
        <f t="shared" si="178"/>
        <v>Proctorville</v>
      </c>
      <c r="AO521" s="21" t="b">
        <f t="shared" si="179"/>
        <v>1</v>
      </c>
    </row>
    <row r="522" spans="1:41" ht="12.75">
      <c r="A522" s="1" t="s">
        <v>150</v>
      </c>
      <c r="C522" s="1" t="s">
        <v>791</v>
      </c>
      <c r="D522" s="23"/>
      <c r="E522" s="36">
        <v>74534.78</v>
      </c>
      <c r="F522" s="36"/>
      <c r="G522" s="36">
        <v>1000</v>
      </c>
      <c r="H522" s="36"/>
      <c r="I522" s="36">
        <v>0</v>
      </c>
      <c r="J522" s="36"/>
      <c r="K522" s="36">
        <v>0</v>
      </c>
      <c r="L522" s="36"/>
      <c r="M522" s="36">
        <v>0</v>
      </c>
      <c r="N522" s="36"/>
      <c r="O522" s="36">
        <v>0</v>
      </c>
      <c r="P522" s="36"/>
      <c r="Q522" s="36">
        <v>89560.88</v>
      </c>
      <c r="R522" s="36"/>
      <c r="S522" s="36">
        <v>0</v>
      </c>
      <c r="T522" s="36"/>
      <c r="U522" s="36">
        <v>0</v>
      </c>
      <c r="V522" s="36"/>
      <c r="W522" s="36">
        <v>0</v>
      </c>
      <c r="X522" s="36"/>
      <c r="Y522" s="36">
        <v>13119.29</v>
      </c>
      <c r="Z522" s="36"/>
      <c r="AA522" s="36">
        <v>0</v>
      </c>
      <c r="AB522" s="36"/>
      <c r="AC522" s="36">
        <v>0</v>
      </c>
      <c r="AD522" s="36"/>
      <c r="AE522" s="36">
        <f t="shared" si="195"/>
        <v>178214.95</v>
      </c>
      <c r="AF522" s="36"/>
      <c r="AG522" s="36">
        <v>-44340.9</v>
      </c>
      <c r="AH522" s="36"/>
      <c r="AI522" s="36">
        <v>83491.96</v>
      </c>
      <c r="AJ522" s="36"/>
      <c r="AK522" s="36">
        <v>39151.06</v>
      </c>
      <c r="AL522" s="24">
        <f>+'Gen Rev'!AI521-'Gen Exp'!AE522+'Gen Exp'!AI522-AK522</f>
        <v>0</v>
      </c>
      <c r="AM522" s="44" t="str">
        <f>'Gen Rev'!A521</f>
        <v>Prospect</v>
      </c>
      <c r="AN522" s="21" t="str">
        <f t="shared" si="178"/>
        <v>Prospect</v>
      </c>
      <c r="AO522" s="21" t="b">
        <f t="shared" si="179"/>
        <v>1</v>
      </c>
    </row>
    <row r="523" spans="1:41" ht="12.75">
      <c r="A523" s="1" t="s">
        <v>181</v>
      </c>
      <c r="C523" s="1" t="s">
        <v>802</v>
      </c>
      <c r="D523" s="23"/>
      <c r="E523" s="36">
        <v>588362.75</v>
      </c>
      <c r="F523" s="36"/>
      <c r="G523" s="36">
        <v>6736.65</v>
      </c>
      <c r="H523" s="36"/>
      <c r="I523" s="36">
        <v>250753.44</v>
      </c>
      <c r="J523" s="36"/>
      <c r="K523" s="36">
        <v>3822.44</v>
      </c>
      <c r="L523" s="36"/>
      <c r="M523" s="36">
        <v>0</v>
      </c>
      <c r="N523" s="36"/>
      <c r="O523" s="36">
        <v>51387.66</v>
      </c>
      <c r="P523" s="36"/>
      <c r="Q523" s="36">
        <v>269481.1</v>
      </c>
      <c r="R523" s="36"/>
      <c r="S523" s="36">
        <v>15024.61</v>
      </c>
      <c r="T523" s="36"/>
      <c r="U523" s="36">
        <v>0</v>
      </c>
      <c r="V523" s="36"/>
      <c r="W523" s="36">
        <v>201665.39</v>
      </c>
      <c r="X523" s="36"/>
      <c r="Y523" s="36">
        <v>11278.72</v>
      </c>
      <c r="Z523" s="36"/>
      <c r="AA523" s="36">
        <v>332742.01</v>
      </c>
      <c r="AB523" s="36"/>
      <c r="AC523" s="36">
        <v>0</v>
      </c>
      <c r="AD523" s="36"/>
      <c r="AE523" s="36">
        <f t="shared" si="195"/>
        <v>1731254.77</v>
      </c>
      <c r="AF523" s="36"/>
      <c r="AG523" s="36">
        <v>228721.26</v>
      </c>
      <c r="AH523" s="36"/>
      <c r="AI523" s="36">
        <v>381961.09</v>
      </c>
      <c r="AJ523" s="36"/>
      <c r="AK523" s="36">
        <v>610682.35</v>
      </c>
      <c r="AL523" s="24">
        <f>+'Gen Rev'!AI522-'Gen Exp'!AE523+'Gen Exp'!AI523-AK523</f>
        <v>0</v>
      </c>
      <c r="AM523" s="44" t="str">
        <f>'Gen Rev'!A522</f>
        <v>Put-In-Bay</v>
      </c>
      <c r="AN523" s="21" t="str">
        <f t="shared" si="178"/>
        <v>Put-In-Bay</v>
      </c>
      <c r="AO523" s="21" t="b">
        <f t="shared" si="179"/>
        <v>1</v>
      </c>
    </row>
    <row r="524" spans="1:41" ht="12.75">
      <c r="A524" s="1" t="s">
        <v>89</v>
      </c>
      <c r="C524" s="1" t="s">
        <v>772</v>
      </c>
      <c r="D524" s="23"/>
      <c r="E524" s="36">
        <v>8473.19</v>
      </c>
      <c r="F524" s="36"/>
      <c r="G524" s="36">
        <v>2477.31</v>
      </c>
      <c r="H524" s="36"/>
      <c r="I524" s="36">
        <v>4979.13</v>
      </c>
      <c r="J524" s="36"/>
      <c r="K524" s="36">
        <v>0</v>
      </c>
      <c r="L524" s="36"/>
      <c r="M524" s="36">
        <v>0</v>
      </c>
      <c r="N524" s="36"/>
      <c r="O524" s="36">
        <v>0</v>
      </c>
      <c r="P524" s="36"/>
      <c r="Q524" s="36">
        <v>21687.01</v>
      </c>
      <c r="R524" s="36"/>
      <c r="S524" s="36">
        <v>789.88</v>
      </c>
      <c r="T524" s="36"/>
      <c r="U524" s="36">
        <v>0</v>
      </c>
      <c r="V524" s="36"/>
      <c r="W524" s="36">
        <v>0</v>
      </c>
      <c r="X524" s="36"/>
      <c r="Y524" s="36">
        <v>0</v>
      </c>
      <c r="Z524" s="36"/>
      <c r="AA524" s="36">
        <v>0</v>
      </c>
      <c r="AB524" s="36"/>
      <c r="AC524" s="36">
        <v>0</v>
      </c>
      <c r="AD524" s="36"/>
      <c r="AE524" s="36">
        <f t="shared" si="195"/>
        <v>38406.52</v>
      </c>
      <c r="AF524" s="36"/>
      <c r="AG524" s="36">
        <v>9011.32</v>
      </c>
      <c r="AH524" s="36"/>
      <c r="AI524" s="36">
        <v>20287.59</v>
      </c>
      <c r="AJ524" s="36"/>
      <c r="AK524" s="36">
        <v>29298.91</v>
      </c>
      <c r="AL524" s="24">
        <f>+'Gen Rev'!AI523-'Gen Exp'!AE524+'Gen Exp'!AI524-AK524</f>
        <v>0</v>
      </c>
      <c r="AM524" s="44" t="str">
        <f>'Gen Rev'!A523</f>
        <v>Quaker City</v>
      </c>
      <c r="AN524" s="21" t="str">
        <f t="shared" si="178"/>
        <v>Quaker City</v>
      </c>
      <c r="AO524" s="21" t="b">
        <f t="shared" si="179"/>
        <v>1</v>
      </c>
    </row>
    <row r="525" spans="1:41" s="21" customFormat="1" ht="12.75">
      <c r="A525" s="1" t="s">
        <v>134</v>
      </c>
      <c r="B525" s="1"/>
      <c r="C525" s="1" t="s">
        <v>786</v>
      </c>
      <c r="D525" s="23"/>
      <c r="E525" s="95">
        <v>28388.37</v>
      </c>
      <c r="F525" s="95"/>
      <c r="G525" s="95">
        <v>0</v>
      </c>
      <c r="H525" s="95"/>
      <c r="I525" s="95">
        <v>24837.84</v>
      </c>
      <c r="J525" s="95"/>
      <c r="K525" s="95">
        <v>0</v>
      </c>
      <c r="L525" s="95"/>
      <c r="M525" s="95">
        <v>0</v>
      </c>
      <c r="N525" s="95"/>
      <c r="O525" s="95">
        <v>0</v>
      </c>
      <c r="P525" s="95"/>
      <c r="Q525" s="95">
        <v>54917.87</v>
      </c>
      <c r="R525" s="95"/>
      <c r="S525" s="95">
        <v>8377.22</v>
      </c>
      <c r="T525" s="95"/>
      <c r="U525" s="95">
        <v>0</v>
      </c>
      <c r="V525" s="95"/>
      <c r="W525" s="95">
        <v>0</v>
      </c>
      <c r="X525" s="95"/>
      <c r="Y525" s="95">
        <v>0</v>
      </c>
      <c r="Z525" s="95"/>
      <c r="AA525" s="95">
        <v>0</v>
      </c>
      <c r="AB525" s="95"/>
      <c r="AC525" s="95">
        <v>0</v>
      </c>
      <c r="AD525" s="95"/>
      <c r="AE525" s="95">
        <f aca="true" t="shared" si="196" ref="AE525:AE527">SUM(E525:AC525)</f>
        <v>116521.3</v>
      </c>
      <c r="AF525" s="95"/>
      <c r="AG525" s="95">
        <v>11043.39</v>
      </c>
      <c r="AH525" s="95"/>
      <c r="AI525" s="95">
        <v>15270.32</v>
      </c>
      <c r="AJ525" s="95"/>
      <c r="AK525" s="95">
        <v>26313.71</v>
      </c>
      <c r="AL525" s="24">
        <f>+'Gen Rev'!AI524-'Gen Exp'!AE525+'Gen Exp'!AI525-AK525</f>
        <v>-2.9103830456733704E-11</v>
      </c>
      <c r="AM525" s="44" t="str">
        <f>'Gen Rev'!A524</f>
        <v>Quincy</v>
      </c>
      <c r="AN525" s="21" t="str">
        <f t="shared" si="178"/>
        <v>Quincy</v>
      </c>
      <c r="AO525" s="21" t="b">
        <f t="shared" si="179"/>
        <v>1</v>
      </c>
    </row>
    <row r="526" spans="1:39" s="21" customFormat="1" ht="12.75">
      <c r="A526" s="1"/>
      <c r="B526" s="1"/>
      <c r="C526" s="1"/>
      <c r="D526" s="1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 t="s">
        <v>864</v>
      </c>
      <c r="AF526" s="83"/>
      <c r="AG526" s="83"/>
      <c r="AH526" s="83"/>
      <c r="AI526" s="83"/>
      <c r="AJ526" s="83"/>
      <c r="AK526" s="83"/>
      <c r="AL526" s="24"/>
      <c r="AM526" s="44"/>
    </row>
    <row r="527" spans="1:41" ht="12.75">
      <c r="A527" s="1" t="s">
        <v>158</v>
      </c>
      <c r="C527" s="1" t="s">
        <v>793</v>
      </c>
      <c r="D527" s="23"/>
      <c r="E527" s="102">
        <v>30409.27</v>
      </c>
      <c r="F527" s="102"/>
      <c r="G527" s="102">
        <v>0</v>
      </c>
      <c r="H527" s="102"/>
      <c r="I527" s="102">
        <v>3710.83</v>
      </c>
      <c r="J527" s="102"/>
      <c r="K527" s="102">
        <v>297.84</v>
      </c>
      <c r="L527" s="102"/>
      <c r="M527" s="102">
        <v>8438.14</v>
      </c>
      <c r="N527" s="102"/>
      <c r="O527" s="102">
        <v>10551.61</v>
      </c>
      <c r="P527" s="102"/>
      <c r="Q527" s="102">
        <v>53457.15</v>
      </c>
      <c r="R527" s="102"/>
      <c r="S527" s="102">
        <v>0</v>
      </c>
      <c r="T527" s="102"/>
      <c r="U527" s="102">
        <v>6534.98</v>
      </c>
      <c r="V527" s="102"/>
      <c r="W527" s="102">
        <v>0</v>
      </c>
      <c r="X527" s="102"/>
      <c r="Y527" s="102">
        <v>0</v>
      </c>
      <c r="Z527" s="102"/>
      <c r="AA527" s="102">
        <v>0</v>
      </c>
      <c r="AB527" s="102"/>
      <c r="AC527" s="102">
        <v>0</v>
      </c>
      <c r="AD527" s="102"/>
      <c r="AE527" s="102">
        <f t="shared" si="196"/>
        <v>113399.81999999999</v>
      </c>
      <c r="AF527" s="95"/>
      <c r="AG527" s="95">
        <v>16267.47</v>
      </c>
      <c r="AH527" s="95"/>
      <c r="AI527" s="95">
        <v>25557.29</v>
      </c>
      <c r="AJ527" s="95"/>
      <c r="AK527" s="95">
        <v>41824.76</v>
      </c>
      <c r="AL527" s="24">
        <f>+'Gen Rev'!AI525-'Gen Exp'!AE527+'Gen Exp'!AI527-AK527</f>
        <v>0</v>
      </c>
      <c r="AM527" s="44" t="str">
        <f>'Gen Rev'!A525</f>
        <v>Racine</v>
      </c>
      <c r="AN527" s="21" t="str">
        <f t="shared" si="178"/>
        <v>Racine</v>
      </c>
      <c r="AO527" s="21" t="b">
        <f t="shared" si="179"/>
        <v>1</v>
      </c>
    </row>
    <row r="528" spans="1:41" ht="12.75" hidden="1">
      <c r="A528" s="1" t="s">
        <v>532</v>
      </c>
      <c r="C528" s="1" t="s">
        <v>531</v>
      </c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>
        <f t="shared" si="177"/>
        <v>0</v>
      </c>
      <c r="AF528" s="83"/>
      <c r="AG528" s="83"/>
      <c r="AH528" s="83"/>
      <c r="AI528" s="83"/>
      <c r="AJ528" s="83"/>
      <c r="AK528" s="83"/>
      <c r="AL528" s="24">
        <f>+'Gen Rev'!AI526-'Gen Exp'!AE528+'Gen Exp'!AI528-AK528</f>
        <v>0</v>
      </c>
      <c r="AM528" s="44" t="str">
        <f>'Gen Rev'!A526</f>
        <v>Rarden</v>
      </c>
      <c r="AN528" s="21" t="str">
        <f t="shared" si="178"/>
        <v>Rarden</v>
      </c>
      <c r="AO528" s="21" t="b">
        <f t="shared" si="179"/>
        <v>1</v>
      </c>
    </row>
    <row r="529" spans="1:41" s="21" customFormat="1" ht="12.75">
      <c r="A529" s="1" t="s">
        <v>392</v>
      </c>
      <c r="B529" s="1"/>
      <c r="C529" s="1" t="s">
        <v>388</v>
      </c>
      <c r="D529" s="1"/>
      <c r="E529" s="36">
        <v>9086.16</v>
      </c>
      <c r="F529" s="36"/>
      <c r="G529" s="36">
        <v>1675.42</v>
      </c>
      <c r="H529" s="36"/>
      <c r="I529" s="36">
        <v>5290.32</v>
      </c>
      <c r="J529" s="36"/>
      <c r="K529" s="36">
        <v>0</v>
      </c>
      <c r="L529" s="36"/>
      <c r="M529" s="36">
        <v>0</v>
      </c>
      <c r="N529" s="36"/>
      <c r="O529" s="36">
        <v>0</v>
      </c>
      <c r="P529" s="36"/>
      <c r="Q529" s="36">
        <v>41594.41</v>
      </c>
      <c r="R529" s="36"/>
      <c r="S529" s="36">
        <v>0</v>
      </c>
      <c r="T529" s="36"/>
      <c r="U529" s="36">
        <v>0</v>
      </c>
      <c r="V529" s="36"/>
      <c r="W529" s="36">
        <v>0</v>
      </c>
      <c r="X529" s="36"/>
      <c r="Y529" s="36">
        <v>0</v>
      </c>
      <c r="Z529" s="36"/>
      <c r="AA529" s="36">
        <v>0</v>
      </c>
      <c r="AB529" s="36"/>
      <c r="AC529" s="36">
        <v>0</v>
      </c>
      <c r="AD529" s="36"/>
      <c r="AE529" s="36">
        <f aca="true" t="shared" si="197" ref="AE529">SUM(E529:AC529)</f>
        <v>57646.310000000005</v>
      </c>
      <c r="AF529" s="36"/>
      <c r="AG529" s="36">
        <v>-3506.6</v>
      </c>
      <c r="AH529" s="36"/>
      <c r="AI529" s="36">
        <v>73447.26</v>
      </c>
      <c r="AJ529" s="36"/>
      <c r="AK529" s="36">
        <v>69940.66</v>
      </c>
      <c r="AL529" s="24">
        <f>+'Gen Rev'!AI527-'Gen Exp'!AE529+'Gen Exp'!AI529-AK529</f>
        <v>0</v>
      </c>
      <c r="AM529" s="44" t="str">
        <f>'Gen Rev'!A527</f>
        <v>Rawson</v>
      </c>
      <c r="AN529" s="21" t="str">
        <f t="shared" si="178"/>
        <v>Rawson</v>
      </c>
      <c r="AO529" s="21" t="b">
        <f t="shared" si="179"/>
        <v>1</v>
      </c>
    </row>
    <row r="530" spans="1:41" s="21" customFormat="1" ht="12.75">
      <c r="A530" s="1" t="s">
        <v>966</v>
      </c>
      <c r="B530" s="1"/>
      <c r="C530" s="1" t="s">
        <v>781</v>
      </c>
      <c r="D530" s="1"/>
      <c r="E530" s="83">
        <v>24687</v>
      </c>
      <c r="F530" s="83"/>
      <c r="G530" s="83">
        <v>637</v>
      </c>
      <c r="H530" s="83"/>
      <c r="I530" s="83">
        <v>3740</v>
      </c>
      <c r="J530" s="83"/>
      <c r="K530" s="83">
        <v>0</v>
      </c>
      <c r="L530" s="83"/>
      <c r="M530" s="83">
        <v>0</v>
      </c>
      <c r="N530" s="83"/>
      <c r="O530" s="83">
        <v>0</v>
      </c>
      <c r="P530" s="83"/>
      <c r="Q530" s="83">
        <v>43951</v>
      </c>
      <c r="R530" s="83"/>
      <c r="S530" s="83">
        <v>3000</v>
      </c>
      <c r="T530" s="83"/>
      <c r="U530" s="83">
        <v>202</v>
      </c>
      <c r="V530" s="83"/>
      <c r="W530" s="83">
        <v>26</v>
      </c>
      <c r="X530" s="83"/>
      <c r="Y530" s="83">
        <v>0</v>
      </c>
      <c r="Z530" s="83"/>
      <c r="AA530" s="83">
        <v>0</v>
      </c>
      <c r="AB530" s="83"/>
      <c r="AC530" s="83">
        <v>0</v>
      </c>
      <c r="AD530" s="83"/>
      <c r="AE530" s="83">
        <f t="shared" si="177"/>
        <v>76243</v>
      </c>
      <c r="AF530" s="83"/>
      <c r="AG530" s="83">
        <v>-14448</v>
      </c>
      <c r="AH530" s="83"/>
      <c r="AI530" s="83">
        <v>10790</v>
      </c>
      <c r="AJ530" s="83"/>
      <c r="AK530" s="83">
        <v>-3658</v>
      </c>
      <c r="AL530" s="24">
        <f>+'Gen Rev'!AI528-'Gen Exp'!AE530+'Gen Exp'!AI530-AK530</f>
        <v>0</v>
      </c>
      <c r="AM530" s="44" t="str">
        <f>'Gen Rev'!A528</f>
        <v>Rayland</v>
      </c>
      <c r="AN530" s="21" t="str">
        <f t="shared" si="178"/>
        <v>Rayland</v>
      </c>
      <c r="AO530" s="21" t="b">
        <f t="shared" si="179"/>
        <v>1</v>
      </c>
    </row>
    <row r="531" spans="1:41" s="10" customFormat="1" ht="12.75">
      <c r="A531" s="10" t="s">
        <v>228</v>
      </c>
      <c r="C531" s="10" t="s">
        <v>551</v>
      </c>
      <c r="E531" s="36">
        <v>1073312.55</v>
      </c>
      <c r="F531" s="36"/>
      <c r="G531" s="36">
        <v>1095.74</v>
      </c>
      <c r="H531" s="36"/>
      <c r="I531" s="36">
        <v>10880.64</v>
      </c>
      <c r="J531" s="36"/>
      <c r="K531" s="36">
        <v>154625.17</v>
      </c>
      <c r="L531" s="36"/>
      <c r="M531" s="36">
        <v>0</v>
      </c>
      <c r="N531" s="36"/>
      <c r="O531" s="36">
        <v>131131.63</v>
      </c>
      <c r="P531" s="36"/>
      <c r="Q531" s="36">
        <v>403493.7</v>
      </c>
      <c r="R531" s="36"/>
      <c r="S531" s="36">
        <v>0</v>
      </c>
      <c r="T531" s="36"/>
      <c r="U531" s="36">
        <v>0</v>
      </c>
      <c r="V531" s="36"/>
      <c r="W531" s="36">
        <v>0</v>
      </c>
      <c r="X531" s="36"/>
      <c r="Y531" s="36">
        <v>79497.91</v>
      </c>
      <c r="Z531" s="36"/>
      <c r="AA531" s="36">
        <v>85870.79</v>
      </c>
      <c r="AB531" s="36"/>
      <c r="AC531" s="36">
        <v>3000</v>
      </c>
      <c r="AD531" s="36"/>
      <c r="AE531" s="36">
        <f aca="true" t="shared" si="198" ref="AE531:AE532">SUM(E531:AC531)</f>
        <v>1942908.13</v>
      </c>
      <c r="AF531" s="36"/>
      <c r="AG531" s="36">
        <v>463800.96</v>
      </c>
      <c r="AH531" s="36"/>
      <c r="AI531" s="36">
        <v>45753.54</v>
      </c>
      <c r="AJ531" s="36"/>
      <c r="AK531" s="36">
        <v>509554.5</v>
      </c>
      <c r="AL531" s="24">
        <f>+'Gen Rev'!AI529-'Gen Exp'!AE531+'Gen Exp'!AI531-AK531</f>
        <v>0</v>
      </c>
      <c r="AM531" s="44" t="str">
        <f>'Gen Rev'!A529</f>
        <v>Reminderville</v>
      </c>
      <c r="AN531" s="21" t="str">
        <f t="shared" si="178"/>
        <v>Reminderville</v>
      </c>
      <c r="AO531" s="21" t="b">
        <f t="shared" si="179"/>
        <v>1</v>
      </c>
    </row>
    <row r="532" spans="1:41" ht="12.75">
      <c r="A532" s="1" t="s">
        <v>536</v>
      </c>
      <c r="C532" s="1" t="s">
        <v>534</v>
      </c>
      <c r="E532" s="36">
        <v>100818.4</v>
      </c>
      <c r="F532" s="36"/>
      <c r="G532" s="36">
        <v>0</v>
      </c>
      <c r="H532" s="36"/>
      <c r="I532" s="36">
        <v>0</v>
      </c>
      <c r="J532" s="36"/>
      <c r="K532" s="36">
        <v>1000</v>
      </c>
      <c r="L532" s="36"/>
      <c r="M532" s="36">
        <v>0</v>
      </c>
      <c r="N532" s="36"/>
      <c r="O532" s="36">
        <v>0</v>
      </c>
      <c r="P532" s="36"/>
      <c r="Q532" s="36">
        <v>24402.64</v>
      </c>
      <c r="R532" s="36"/>
      <c r="S532" s="36">
        <v>6401.8</v>
      </c>
      <c r="T532" s="36"/>
      <c r="U532" s="36">
        <v>0</v>
      </c>
      <c r="V532" s="36"/>
      <c r="W532" s="36">
        <v>0</v>
      </c>
      <c r="X532" s="36"/>
      <c r="Y532" s="36">
        <v>0</v>
      </c>
      <c r="Z532" s="36"/>
      <c r="AA532" s="36">
        <v>0</v>
      </c>
      <c r="AB532" s="36"/>
      <c r="AC532" s="36">
        <v>0</v>
      </c>
      <c r="AD532" s="36"/>
      <c r="AE532" s="36">
        <f t="shared" si="198"/>
        <v>132622.84</v>
      </c>
      <c r="AF532" s="36"/>
      <c r="AG532" s="36">
        <v>36017.38</v>
      </c>
      <c r="AH532" s="36"/>
      <c r="AI532" s="36">
        <v>38683.97</v>
      </c>
      <c r="AJ532" s="36"/>
      <c r="AK532" s="36">
        <v>74701.35</v>
      </c>
      <c r="AL532" s="24">
        <f>+'Gen Rev'!AI530-'Gen Exp'!AE532+'Gen Exp'!AI532-AK532</f>
        <v>0</v>
      </c>
      <c r="AM532" s="44" t="str">
        <f>'Gen Rev'!A530</f>
        <v>Republic</v>
      </c>
      <c r="AN532" s="21" t="str">
        <f t="shared" si="178"/>
        <v>Republic</v>
      </c>
      <c r="AO532" s="21" t="b">
        <f t="shared" si="179"/>
        <v>1</v>
      </c>
    </row>
    <row r="533" spans="1:41" ht="12.75">
      <c r="A533" s="1" t="s">
        <v>555</v>
      </c>
      <c r="C533" s="1" t="s">
        <v>551</v>
      </c>
      <c r="E533" s="83">
        <v>3991400</v>
      </c>
      <c r="F533" s="83"/>
      <c r="G533" s="83">
        <v>70032</v>
      </c>
      <c r="H533" s="83"/>
      <c r="I533" s="83">
        <v>64853</v>
      </c>
      <c r="J533" s="83"/>
      <c r="K533" s="83">
        <v>165491</v>
      </c>
      <c r="L533" s="83"/>
      <c r="M533" s="83">
        <v>240914</v>
      </c>
      <c r="N533" s="83"/>
      <c r="O533" s="83">
        <v>0</v>
      </c>
      <c r="P533" s="83"/>
      <c r="Q533" s="83">
        <v>732558</v>
      </c>
      <c r="R533" s="83"/>
      <c r="S533" s="83">
        <v>0</v>
      </c>
      <c r="T533" s="83"/>
      <c r="U533" s="83">
        <v>0</v>
      </c>
      <c r="V533" s="83"/>
      <c r="W533" s="83">
        <v>0</v>
      </c>
      <c r="X533" s="83"/>
      <c r="Y533" s="83">
        <v>0</v>
      </c>
      <c r="Z533" s="83"/>
      <c r="AA533" s="83">
        <v>247000</v>
      </c>
      <c r="AB533" s="83"/>
      <c r="AC533" s="83">
        <v>0</v>
      </c>
      <c r="AD533" s="83"/>
      <c r="AE533" s="83">
        <f t="shared" si="177"/>
        <v>5512248</v>
      </c>
      <c r="AF533" s="83"/>
      <c r="AG533" s="83">
        <v>168897</v>
      </c>
      <c r="AH533" s="83"/>
      <c r="AI533" s="83">
        <v>643195</v>
      </c>
      <c r="AJ533" s="83"/>
      <c r="AK533" s="83">
        <v>812092</v>
      </c>
      <c r="AL533" s="24">
        <f>+'Gen Rev'!AI531-'Gen Exp'!AE533+'Gen Exp'!AI533-AK533</f>
        <v>0</v>
      </c>
      <c r="AM533" s="44" t="str">
        <f>'Gen Rev'!A531</f>
        <v>Richfield</v>
      </c>
      <c r="AN533" s="21" t="str">
        <f t="shared" si="178"/>
        <v>Richfield</v>
      </c>
      <c r="AO533" s="21" t="b">
        <f t="shared" si="179"/>
        <v>1</v>
      </c>
    </row>
    <row r="534" spans="1:41" s="21" customFormat="1" ht="12.75">
      <c r="A534" s="1" t="s">
        <v>119</v>
      </c>
      <c r="B534" s="1"/>
      <c r="C534" s="1" t="s">
        <v>781</v>
      </c>
      <c r="D534" s="23"/>
      <c r="E534" s="95">
        <v>7948.54</v>
      </c>
      <c r="F534" s="95"/>
      <c r="G534" s="95">
        <v>0</v>
      </c>
      <c r="H534" s="95"/>
      <c r="I534" s="95">
        <v>17150.27</v>
      </c>
      <c r="J534" s="95"/>
      <c r="K534" s="95">
        <v>1000</v>
      </c>
      <c r="L534" s="95"/>
      <c r="M534" s="95">
        <v>0</v>
      </c>
      <c r="N534" s="95"/>
      <c r="O534" s="95">
        <v>0</v>
      </c>
      <c r="P534" s="95"/>
      <c r="Q534" s="95">
        <v>27218.94</v>
      </c>
      <c r="R534" s="95"/>
      <c r="S534" s="95">
        <v>0</v>
      </c>
      <c r="T534" s="95"/>
      <c r="U534" s="95">
        <v>0</v>
      </c>
      <c r="V534" s="95"/>
      <c r="W534" s="95">
        <v>0</v>
      </c>
      <c r="X534" s="95"/>
      <c r="Y534" s="95">
        <v>8700</v>
      </c>
      <c r="Z534" s="95"/>
      <c r="AA534" s="95">
        <v>0</v>
      </c>
      <c r="AB534" s="95"/>
      <c r="AC534" s="95">
        <v>130.08</v>
      </c>
      <c r="AD534" s="95"/>
      <c r="AE534" s="95">
        <f aca="true" t="shared" si="199" ref="AE534">SUM(E534:AC534)</f>
        <v>62147.83</v>
      </c>
      <c r="AF534" s="95"/>
      <c r="AG534" s="95">
        <v>205.02</v>
      </c>
      <c r="AH534" s="95"/>
      <c r="AI534" s="95">
        <v>126953.64</v>
      </c>
      <c r="AJ534" s="95"/>
      <c r="AK534" s="95">
        <v>127158.66</v>
      </c>
      <c r="AL534" s="24">
        <f>+'Gen Rev'!AI532-'Gen Exp'!AE534+'Gen Exp'!AI534-AK534</f>
        <v>0</v>
      </c>
      <c r="AM534" s="44" t="str">
        <f>'Gen Rev'!A532</f>
        <v>Richmond</v>
      </c>
      <c r="AN534" s="21" t="str">
        <f t="shared" si="178"/>
        <v>Richmond</v>
      </c>
      <c r="AO534" s="21" t="b">
        <f t="shared" si="179"/>
        <v>1</v>
      </c>
    </row>
    <row r="535" spans="1:41" ht="12.75">
      <c r="A535" s="1" t="s">
        <v>238</v>
      </c>
      <c r="C535" s="1" t="s">
        <v>819</v>
      </c>
      <c r="D535" s="23"/>
      <c r="E535" s="36">
        <v>490782.28</v>
      </c>
      <c r="F535" s="36"/>
      <c r="G535" s="36">
        <v>0</v>
      </c>
      <c r="H535" s="36"/>
      <c r="I535" s="36">
        <v>0</v>
      </c>
      <c r="J535" s="36"/>
      <c r="K535" s="36">
        <v>0</v>
      </c>
      <c r="L535" s="36"/>
      <c r="M535" s="36">
        <v>0</v>
      </c>
      <c r="N535" s="36"/>
      <c r="O535" s="36">
        <v>0</v>
      </c>
      <c r="P535" s="36"/>
      <c r="Q535" s="36">
        <v>92078.99</v>
      </c>
      <c r="R535" s="36"/>
      <c r="S535" s="36">
        <v>0</v>
      </c>
      <c r="T535" s="36"/>
      <c r="U535" s="36">
        <v>0</v>
      </c>
      <c r="V535" s="36"/>
      <c r="W535" s="36">
        <v>0</v>
      </c>
      <c r="X535" s="36"/>
      <c r="Y535" s="36">
        <v>0</v>
      </c>
      <c r="Z535" s="36"/>
      <c r="AA535" s="36">
        <v>0</v>
      </c>
      <c r="AB535" s="36"/>
      <c r="AC535" s="36">
        <v>31192.08</v>
      </c>
      <c r="AD535" s="36"/>
      <c r="AE535" s="36">
        <f aca="true" t="shared" si="200" ref="AE535:AE536">SUM(E535:AC535)</f>
        <v>614053.35</v>
      </c>
      <c r="AF535" s="36"/>
      <c r="AG535" s="36">
        <v>55418.96</v>
      </c>
      <c r="AH535" s="36"/>
      <c r="AI535" s="36">
        <v>523439.35</v>
      </c>
      <c r="AJ535" s="36"/>
      <c r="AK535" s="36">
        <v>578858.31</v>
      </c>
      <c r="AL535" s="24">
        <f>+'Gen Rev'!AI533-'Gen Exp'!AE535+'Gen Exp'!AI535-AK535</f>
        <v>0</v>
      </c>
      <c r="AM535" s="44" t="str">
        <f>'Gen Rev'!A533</f>
        <v>Richwood</v>
      </c>
      <c r="AN535" s="21" t="str">
        <f t="shared" si="178"/>
        <v>Richwood</v>
      </c>
      <c r="AO535" s="21" t="b">
        <f t="shared" si="179"/>
        <v>1</v>
      </c>
    </row>
    <row r="536" spans="1:41" s="21" customFormat="1" ht="12.75">
      <c r="A536" s="1" t="s">
        <v>401</v>
      </c>
      <c r="B536" s="1"/>
      <c r="C536" s="1" t="s">
        <v>396</v>
      </c>
      <c r="D536" s="1"/>
      <c r="E536" s="36">
        <v>8919.05</v>
      </c>
      <c r="F536" s="36"/>
      <c r="G536" s="36">
        <v>6091.66</v>
      </c>
      <c r="H536" s="36"/>
      <c r="I536" s="36">
        <v>0</v>
      </c>
      <c r="J536" s="36"/>
      <c r="K536" s="36">
        <v>0</v>
      </c>
      <c r="L536" s="36"/>
      <c r="M536" s="36">
        <v>1267.79</v>
      </c>
      <c r="N536" s="36"/>
      <c r="O536" s="36">
        <v>0</v>
      </c>
      <c r="P536" s="36"/>
      <c r="Q536" s="36">
        <v>24575.89</v>
      </c>
      <c r="R536" s="36"/>
      <c r="S536" s="36">
        <v>6867</v>
      </c>
      <c r="T536" s="36"/>
      <c r="U536" s="36">
        <v>0</v>
      </c>
      <c r="V536" s="36"/>
      <c r="W536" s="36">
        <v>9932.19</v>
      </c>
      <c r="X536" s="36"/>
      <c r="Y536" s="36">
        <v>0</v>
      </c>
      <c r="Z536" s="36"/>
      <c r="AA536" s="36">
        <v>0</v>
      </c>
      <c r="AB536" s="36"/>
      <c r="AC536" s="36">
        <v>0</v>
      </c>
      <c r="AD536" s="36"/>
      <c r="AE536" s="36">
        <f t="shared" si="200"/>
        <v>57653.58</v>
      </c>
      <c r="AF536" s="36"/>
      <c r="AG536" s="36">
        <v>-11135.07</v>
      </c>
      <c r="AH536" s="36"/>
      <c r="AI536" s="36">
        <v>42236.12</v>
      </c>
      <c r="AJ536" s="36"/>
      <c r="AK536" s="36">
        <v>31101.05</v>
      </c>
      <c r="AL536" s="24">
        <f>+'Gen Rev'!AI534-'Gen Exp'!AE536+'Gen Exp'!AI536-AK536</f>
        <v>0</v>
      </c>
      <c r="AM536" s="44" t="str">
        <f>'Gen Rev'!A534</f>
        <v>Ridgeway</v>
      </c>
      <c r="AN536" s="21" t="str">
        <f t="shared" si="178"/>
        <v>Ridgeway</v>
      </c>
      <c r="AO536" s="21" t="b">
        <f t="shared" si="179"/>
        <v>1</v>
      </c>
    </row>
    <row r="537" spans="1:41" ht="12.75">
      <c r="A537" s="1" t="s">
        <v>81</v>
      </c>
      <c r="C537" s="1" t="s">
        <v>770</v>
      </c>
      <c r="D537" s="23"/>
      <c r="E537" s="96">
        <v>166398.32</v>
      </c>
      <c r="F537" s="96"/>
      <c r="G537" s="96">
        <v>0</v>
      </c>
      <c r="H537" s="96"/>
      <c r="I537" s="96">
        <v>1505.81</v>
      </c>
      <c r="J537" s="96"/>
      <c r="K537" s="96">
        <v>493.46</v>
      </c>
      <c r="L537" s="96"/>
      <c r="M537" s="96">
        <v>0</v>
      </c>
      <c r="N537" s="96"/>
      <c r="O537" s="96">
        <v>0</v>
      </c>
      <c r="P537" s="96"/>
      <c r="Q537" s="96">
        <v>104371.73</v>
      </c>
      <c r="R537" s="96"/>
      <c r="S537" s="96">
        <v>7389.88</v>
      </c>
      <c r="T537" s="96"/>
      <c r="U537" s="96">
        <v>1253.34</v>
      </c>
      <c r="V537" s="96"/>
      <c r="W537" s="96">
        <v>0</v>
      </c>
      <c r="X537" s="96"/>
      <c r="Y537" s="96">
        <v>0</v>
      </c>
      <c r="Z537" s="96"/>
      <c r="AA537" s="96">
        <v>0</v>
      </c>
      <c r="AB537" s="96"/>
      <c r="AC537" s="96">
        <v>0</v>
      </c>
      <c r="AD537" s="96"/>
      <c r="AE537" s="96">
        <f aca="true" t="shared" si="201" ref="AE537:AE539">SUM(E537:AC537)</f>
        <v>281412.54000000004</v>
      </c>
      <c r="AF537" s="36"/>
      <c r="AG537" s="36">
        <v>-16485.41</v>
      </c>
      <c r="AH537" s="36"/>
      <c r="AI537" s="36">
        <v>59821.61</v>
      </c>
      <c r="AJ537" s="36"/>
      <c r="AK537" s="36">
        <v>43336.2</v>
      </c>
      <c r="AL537" s="24">
        <f>+'Gen Rev'!AI535-'Gen Exp'!AE537+'Gen Exp'!AI537-AK537</f>
        <v>-8.731149137020111E-11</v>
      </c>
      <c r="AM537" s="44" t="str">
        <f>'Gen Rev'!A535</f>
        <v>Rio Grande</v>
      </c>
      <c r="AN537" s="21" t="str">
        <f aca="true" t="shared" si="202" ref="AN537:AN602">A537</f>
        <v>Rio Grande</v>
      </c>
      <c r="AO537" s="21" t="b">
        <f aca="true" t="shared" si="203" ref="AO537:AO602">AM537=AN537</f>
        <v>1</v>
      </c>
    </row>
    <row r="538" spans="1:41" s="21" customFormat="1" ht="12.6" customHeight="1">
      <c r="A538" s="1" t="s">
        <v>284</v>
      </c>
      <c r="B538" s="1"/>
      <c r="C538" s="1" t="s">
        <v>283</v>
      </c>
      <c r="D538" s="1"/>
      <c r="E538" s="36">
        <v>309307.28</v>
      </c>
      <c r="F538" s="36"/>
      <c r="G538" s="36">
        <v>3009.35</v>
      </c>
      <c r="H538" s="36"/>
      <c r="I538" s="36">
        <v>0</v>
      </c>
      <c r="J538" s="36"/>
      <c r="K538" s="36">
        <v>0</v>
      </c>
      <c r="L538" s="36"/>
      <c r="M538" s="36">
        <v>0</v>
      </c>
      <c r="N538" s="36"/>
      <c r="O538" s="36">
        <v>40000</v>
      </c>
      <c r="P538" s="36"/>
      <c r="Q538" s="36">
        <v>103827.97</v>
      </c>
      <c r="R538" s="36"/>
      <c r="S538" s="36">
        <v>25081.98</v>
      </c>
      <c r="T538" s="36"/>
      <c r="U538" s="36">
        <v>0</v>
      </c>
      <c r="V538" s="36"/>
      <c r="W538" s="36">
        <v>0</v>
      </c>
      <c r="X538" s="36"/>
      <c r="Y538" s="36">
        <v>20000</v>
      </c>
      <c r="Z538" s="36"/>
      <c r="AA538" s="36">
        <v>0</v>
      </c>
      <c r="AB538" s="36"/>
      <c r="AC538" s="36">
        <v>0</v>
      </c>
      <c r="AD538" s="36"/>
      <c r="AE538" s="36">
        <f t="shared" si="201"/>
        <v>501226.57999999996</v>
      </c>
      <c r="AF538" s="36"/>
      <c r="AG538" s="36">
        <v>15978.72</v>
      </c>
      <c r="AH538" s="36"/>
      <c r="AI538" s="36">
        <v>316919.54</v>
      </c>
      <c r="AJ538" s="36"/>
      <c r="AK538" s="36">
        <v>332898.26</v>
      </c>
      <c r="AL538" s="24">
        <f>+'Gen Rev'!AI536-'Gen Exp'!AE538+'Gen Exp'!AI538-AK538</f>
        <v>0</v>
      </c>
      <c r="AM538" s="44" t="str">
        <f>'Gen Rev'!A536</f>
        <v>Ripley</v>
      </c>
      <c r="AN538" s="21" t="str">
        <f t="shared" si="202"/>
        <v>Ripley</v>
      </c>
      <c r="AO538" s="21" t="b">
        <f t="shared" si="203"/>
        <v>1</v>
      </c>
    </row>
    <row r="539" spans="1:41" ht="12.75">
      <c r="A539" s="1" t="s">
        <v>260</v>
      </c>
      <c r="C539" s="1" t="s">
        <v>825</v>
      </c>
      <c r="D539" s="23"/>
      <c r="E539" s="36">
        <v>29054.07</v>
      </c>
      <c r="F539" s="36"/>
      <c r="G539" s="36">
        <v>0</v>
      </c>
      <c r="H539" s="36"/>
      <c r="I539" s="36">
        <v>50</v>
      </c>
      <c r="J539" s="36"/>
      <c r="K539" s="36">
        <v>0</v>
      </c>
      <c r="L539" s="36"/>
      <c r="M539" s="36">
        <v>1630.36</v>
      </c>
      <c r="N539" s="36"/>
      <c r="O539" s="36">
        <v>228</v>
      </c>
      <c r="P539" s="36"/>
      <c r="Q539" s="36">
        <v>41776.61</v>
      </c>
      <c r="R539" s="36"/>
      <c r="S539" s="36">
        <v>4610.27</v>
      </c>
      <c r="T539" s="36"/>
      <c r="U539" s="36">
        <v>0</v>
      </c>
      <c r="V539" s="36"/>
      <c r="W539" s="36">
        <v>0</v>
      </c>
      <c r="X539" s="36"/>
      <c r="Y539" s="36">
        <v>8550.5</v>
      </c>
      <c r="Z539" s="36"/>
      <c r="AA539" s="36">
        <v>0</v>
      </c>
      <c r="AB539" s="36"/>
      <c r="AC539" s="36">
        <v>713.56</v>
      </c>
      <c r="AD539" s="36"/>
      <c r="AE539" s="36">
        <f t="shared" si="201"/>
        <v>86613.37000000001</v>
      </c>
      <c r="AF539" s="36"/>
      <c r="AG539" s="36">
        <v>9595.92</v>
      </c>
      <c r="AH539" s="36"/>
      <c r="AI539" s="36">
        <v>8941.92</v>
      </c>
      <c r="AJ539" s="36"/>
      <c r="AK539" s="36">
        <v>18537.84</v>
      </c>
      <c r="AL539" s="24">
        <f>+'Gen Rev'!AI537-'Gen Exp'!AE539+'Gen Exp'!AI539-AK539</f>
        <v>0</v>
      </c>
      <c r="AM539" s="44" t="str">
        <f>'Gen Rev'!A537</f>
        <v>Risingsun</v>
      </c>
      <c r="AN539" s="21" t="str">
        <f t="shared" si="202"/>
        <v>Risingsun</v>
      </c>
      <c r="AO539" s="21" t="b">
        <f t="shared" si="203"/>
        <v>1</v>
      </c>
    </row>
    <row r="540" spans="1:41" s="21" customFormat="1" ht="12.6" customHeight="1">
      <c r="A540" s="1" t="s">
        <v>356</v>
      </c>
      <c r="B540" s="1"/>
      <c r="C540" s="1" t="s">
        <v>353</v>
      </c>
      <c r="D540" s="1"/>
      <c r="E540" s="83">
        <v>63155</v>
      </c>
      <c r="F540" s="83"/>
      <c r="G540" s="83">
        <v>4647</v>
      </c>
      <c r="H540" s="83"/>
      <c r="I540" s="83">
        <v>7731</v>
      </c>
      <c r="J540" s="83"/>
      <c r="K540" s="83">
        <v>7997</v>
      </c>
      <c r="L540" s="83"/>
      <c r="M540" s="83">
        <v>66177</v>
      </c>
      <c r="N540" s="83"/>
      <c r="O540" s="83">
        <v>14687</v>
      </c>
      <c r="P540" s="83"/>
      <c r="Q540" s="83">
        <v>57243</v>
      </c>
      <c r="R540" s="83"/>
      <c r="S540" s="83">
        <v>0</v>
      </c>
      <c r="T540" s="83"/>
      <c r="U540" s="83">
        <v>0</v>
      </c>
      <c r="V540" s="83"/>
      <c r="W540" s="83">
        <v>0</v>
      </c>
      <c r="X540" s="83"/>
      <c r="Y540" s="83">
        <v>0</v>
      </c>
      <c r="Z540" s="83"/>
      <c r="AA540" s="83">
        <v>0</v>
      </c>
      <c r="AB540" s="83"/>
      <c r="AC540" s="83">
        <v>0</v>
      </c>
      <c r="AD540" s="83"/>
      <c r="AE540" s="83">
        <f aca="true" t="shared" si="204" ref="AE540:AE611">SUM(E540:AC540)</f>
        <v>221637</v>
      </c>
      <c r="AF540" s="83"/>
      <c r="AG540" s="36"/>
      <c r="AH540" s="36"/>
      <c r="AI540" s="36">
        <v>437881</v>
      </c>
      <c r="AJ540" s="36"/>
      <c r="AK540" s="36">
        <v>415677</v>
      </c>
      <c r="AL540" s="24">
        <f>+'Gen Rev'!AI538-'Gen Exp'!AE540+'Gen Exp'!AI540-AK540</f>
        <v>0</v>
      </c>
      <c r="AM540" s="44" t="str">
        <f>'Gen Rev'!A538</f>
        <v>Riverlea</v>
      </c>
      <c r="AN540" s="21" t="str">
        <f t="shared" si="202"/>
        <v>Riverlea</v>
      </c>
      <c r="AO540" s="21" t="b">
        <f t="shared" si="203"/>
        <v>1</v>
      </c>
    </row>
    <row r="541" spans="1:41" s="21" customFormat="1" ht="12.75">
      <c r="A541" s="1" t="s">
        <v>673</v>
      </c>
      <c r="B541" s="1"/>
      <c r="C541" s="1" t="s">
        <v>674</v>
      </c>
      <c r="D541" s="23"/>
      <c r="E541" s="83">
        <v>35102.47</v>
      </c>
      <c r="F541" s="83"/>
      <c r="G541" s="83">
        <v>28345.26</v>
      </c>
      <c r="H541" s="83"/>
      <c r="I541" s="83">
        <v>0</v>
      </c>
      <c r="J541" s="83"/>
      <c r="K541" s="83">
        <v>16763.18</v>
      </c>
      <c r="L541" s="83"/>
      <c r="M541" s="83">
        <v>0</v>
      </c>
      <c r="N541" s="83"/>
      <c r="O541" s="83">
        <v>0</v>
      </c>
      <c r="P541" s="83"/>
      <c r="Q541" s="83">
        <v>156212.09</v>
      </c>
      <c r="R541" s="83"/>
      <c r="S541" s="83">
        <v>56049.46</v>
      </c>
      <c r="T541" s="83"/>
      <c r="U541" s="83">
        <v>0</v>
      </c>
      <c r="V541" s="83"/>
      <c r="W541" s="83">
        <v>0</v>
      </c>
      <c r="X541" s="83"/>
      <c r="Y541" s="83">
        <v>30000</v>
      </c>
      <c r="Z541" s="83"/>
      <c r="AA541" s="83">
        <v>0</v>
      </c>
      <c r="AB541" s="83"/>
      <c r="AC541" s="83">
        <v>5653.46</v>
      </c>
      <c r="AD541" s="83"/>
      <c r="AE541" s="83">
        <f t="shared" si="204"/>
        <v>328125.92000000004</v>
      </c>
      <c r="AF541" s="83"/>
      <c r="AG541" s="36">
        <v>-108880.64</v>
      </c>
      <c r="AH541" s="36"/>
      <c r="AI541" s="36">
        <v>173984.23</v>
      </c>
      <c r="AJ541" s="36"/>
      <c r="AK541" s="36">
        <v>65103.59</v>
      </c>
      <c r="AL541" s="24">
        <f>+'Gen Rev'!AI539-'Gen Exp'!AE541+'Gen Exp'!AI541-AK541</f>
        <v>0</v>
      </c>
      <c r="AM541" s="44" t="str">
        <f>'Gen Rev'!A539</f>
        <v>Roaming Shores</v>
      </c>
      <c r="AN541" s="21" t="str">
        <f t="shared" si="202"/>
        <v>Roaming Shores</v>
      </c>
      <c r="AO541" s="21" t="b">
        <f t="shared" si="203"/>
        <v>1</v>
      </c>
    </row>
    <row r="542" spans="1:41" s="21" customFormat="1" ht="12.75">
      <c r="A542" s="1" t="s">
        <v>138</v>
      </c>
      <c r="B542" s="1"/>
      <c r="C542" s="1" t="s">
        <v>787</v>
      </c>
      <c r="D542" s="23"/>
      <c r="E542" s="95">
        <v>0</v>
      </c>
      <c r="F542" s="95"/>
      <c r="G542" s="95">
        <v>350.88</v>
      </c>
      <c r="H542" s="95"/>
      <c r="I542" s="95">
        <v>7265.15</v>
      </c>
      <c r="J542" s="95"/>
      <c r="K542" s="95">
        <v>3360.48</v>
      </c>
      <c r="L542" s="95"/>
      <c r="M542" s="95">
        <v>1203</v>
      </c>
      <c r="N542" s="95"/>
      <c r="O542" s="95">
        <v>0</v>
      </c>
      <c r="P542" s="95"/>
      <c r="Q542" s="95">
        <v>25877</v>
      </c>
      <c r="R542" s="95"/>
      <c r="S542" s="95">
        <v>0</v>
      </c>
      <c r="T542" s="95"/>
      <c r="U542" s="95">
        <v>0</v>
      </c>
      <c r="V542" s="95"/>
      <c r="W542" s="95">
        <v>0</v>
      </c>
      <c r="X542" s="95"/>
      <c r="Y542" s="95">
        <v>0</v>
      </c>
      <c r="Z542" s="95"/>
      <c r="AA542" s="95">
        <v>0</v>
      </c>
      <c r="AB542" s="95"/>
      <c r="AC542" s="95">
        <v>0</v>
      </c>
      <c r="AD542" s="95"/>
      <c r="AE542" s="95">
        <f aca="true" t="shared" si="205" ref="AE542">SUM(E542:AC542)</f>
        <v>38056.51</v>
      </c>
      <c r="AF542" s="95"/>
      <c r="AG542" s="95">
        <v>-386.44</v>
      </c>
      <c r="AH542" s="95"/>
      <c r="AI542" s="95">
        <v>156100.98</v>
      </c>
      <c r="AJ542" s="95"/>
      <c r="AK542" s="95">
        <v>155714.54</v>
      </c>
      <c r="AL542" s="24">
        <f>+'Gen Rev'!AI540-'Gen Exp'!AE542+'Gen Exp'!AI542-AK542</f>
        <v>0</v>
      </c>
      <c r="AM542" s="44" t="str">
        <f>'Gen Rev'!A540</f>
        <v>Rochester</v>
      </c>
      <c r="AN542" s="21" t="str">
        <f t="shared" si="202"/>
        <v>Rochester</v>
      </c>
      <c r="AO542" s="21" t="b">
        <f t="shared" si="203"/>
        <v>1</v>
      </c>
    </row>
    <row r="543" spans="1:41" s="21" customFormat="1" ht="12.75">
      <c r="A543" s="1" t="s">
        <v>675</v>
      </c>
      <c r="B543" s="1"/>
      <c r="C543" s="1" t="s">
        <v>674</v>
      </c>
      <c r="D543" s="23"/>
      <c r="E543" s="36">
        <v>16000</v>
      </c>
      <c r="F543" s="36"/>
      <c r="G543" s="36">
        <v>0</v>
      </c>
      <c r="H543" s="36"/>
      <c r="I543" s="36">
        <v>0</v>
      </c>
      <c r="J543" s="36"/>
      <c r="K543" s="36">
        <v>0</v>
      </c>
      <c r="L543" s="36"/>
      <c r="M543" s="36">
        <v>0</v>
      </c>
      <c r="N543" s="36"/>
      <c r="O543" s="36">
        <v>0</v>
      </c>
      <c r="P543" s="36"/>
      <c r="Q543" s="36">
        <v>74258.91</v>
      </c>
      <c r="R543" s="36"/>
      <c r="S543" s="36">
        <v>61912.04</v>
      </c>
      <c r="T543" s="36"/>
      <c r="U543" s="36">
        <v>0</v>
      </c>
      <c r="V543" s="36"/>
      <c r="W543" s="36">
        <v>0</v>
      </c>
      <c r="X543" s="36"/>
      <c r="Y543" s="36">
        <v>0</v>
      </c>
      <c r="Z543" s="36"/>
      <c r="AA543" s="36">
        <v>0</v>
      </c>
      <c r="AB543" s="36"/>
      <c r="AC543" s="36">
        <v>0</v>
      </c>
      <c r="AD543" s="36"/>
      <c r="AE543" s="36">
        <f aca="true" t="shared" si="206" ref="AE543:AE546">SUM(E543:AC543)</f>
        <v>152170.95</v>
      </c>
      <c r="AF543" s="36"/>
      <c r="AG543" s="36">
        <v>1086.17</v>
      </c>
      <c r="AH543" s="36"/>
      <c r="AI543" s="36">
        <v>63816.54</v>
      </c>
      <c r="AJ543" s="36"/>
      <c r="AK543" s="36">
        <v>64902.71</v>
      </c>
      <c r="AL543" s="24">
        <f>+'Gen Rev'!AI541-'Gen Exp'!AE543+'Gen Exp'!AI543-AK543</f>
        <v>0</v>
      </c>
      <c r="AM543" s="44" t="str">
        <f>'Gen Rev'!A541</f>
        <v>Rock Creek</v>
      </c>
      <c r="AN543" s="21" t="str">
        <f t="shared" si="202"/>
        <v>Rock Creek</v>
      </c>
      <c r="AO543" s="21" t="b">
        <f t="shared" si="203"/>
        <v>1</v>
      </c>
    </row>
    <row r="544" spans="1:41" ht="12.75">
      <c r="A544" s="1" t="s">
        <v>468</v>
      </c>
      <c r="C544" s="1" t="s">
        <v>466</v>
      </c>
      <c r="E544" s="36">
        <v>180938.15</v>
      </c>
      <c r="F544" s="36"/>
      <c r="G544" s="36">
        <v>2131</v>
      </c>
      <c r="H544" s="36"/>
      <c r="I544" s="36">
        <v>6606.59</v>
      </c>
      <c r="J544" s="36"/>
      <c r="K544" s="36">
        <v>116.85</v>
      </c>
      <c r="L544" s="36"/>
      <c r="M544" s="36">
        <v>7995.83</v>
      </c>
      <c r="N544" s="36"/>
      <c r="O544" s="36">
        <v>81245.71</v>
      </c>
      <c r="P544" s="36"/>
      <c r="Q544" s="36">
        <v>106587.5</v>
      </c>
      <c r="R544" s="36"/>
      <c r="S544" s="36">
        <v>0</v>
      </c>
      <c r="T544" s="36"/>
      <c r="U544" s="36">
        <v>5408.69</v>
      </c>
      <c r="V544" s="36"/>
      <c r="W544" s="36">
        <v>0</v>
      </c>
      <c r="X544" s="36"/>
      <c r="Y544" s="36">
        <v>26947.02</v>
      </c>
      <c r="Z544" s="36"/>
      <c r="AA544" s="36">
        <v>0</v>
      </c>
      <c r="AB544" s="36"/>
      <c r="AC544" s="36">
        <v>0</v>
      </c>
      <c r="AD544" s="36"/>
      <c r="AE544" s="36">
        <f t="shared" si="206"/>
        <v>417977.34</v>
      </c>
      <c r="AF544" s="36"/>
      <c r="AG544" s="36">
        <v>-13607.69</v>
      </c>
      <c r="AH544" s="36"/>
      <c r="AI544" s="36">
        <v>135597.5</v>
      </c>
      <c r="AJ544" s="36"/>
      <c r="AK544" s="36">
        <v>121989.81</v>
      </c>
      <c r="AL544" s="24">
        <f>+'Gen Rev'!AI542-'Gen Exp'!AE544+'Gen Exp'!AI544-AK544</f>
        <v>0</v>
      </c>
      <c r="AM544" s="44" t="str">
        <f>'Gen Rev'!A542</f>
        <v>Rockford</v>
      </c>
      <c r="AN544" s="21" t="str">
        <f t="shared" si="202"/>
        <v>Rockford</v>
      </c>
      <c r="AO544" s="21" t="b">
        <f t="shared" si="203"/>
        <v>1</v>
      </c>
    </row>
    <row r="545" spans="1:41" ht="12.75">
      <c r="A545" s="1" t="s">
        <v>831</v>
      </c>
      <c r="C545" s="1" t="s">
        <v>802</v>
      </c>
      <c r="D545" s="23"/>
      <c r="E545" s="36">
        <v>2430.02</v>
      </c>
      <c r="F545" s="36"/>
      <c r="G545" s="36">
        <v>858.06</v>
      </c>
      <c r="H545" s="36"/>
      <c r="I545" s="36">
        <v>184</v>
      </c>
      <c r="J545" s="36"/>
      <c r="K545" s="36">
        <v>225</v>
      </c>
      <c r="L545" s="36"/>
      <c r="M545" s="36">
        <v>900</v>
      </c>
      <c r="N545" s="36"/>
      <c r="O545" s="36">
        <v>0</v>
      </c>
      <c r="P545" s="36"/>
      <c r="Q545" s="36">
        <v>25339.05</v>
      </c>
      <c r="R545" s="36"/>
      <c r="S545" s="36">
        <v>0</v>
      </c>
      <c r="T545" s="36"/>
      <c r="U545" s="36">
        <v>0</v>
      </c>
      <c r="V545" s="36"/>
      <c r="W545" s="36">
        <v>0</v>
      </c>
      <c r="X545" s="36"/>
      <c r="Y545" s="36">
        <v>0</v>
      </c>
      <c r="Z545" s="36"/>
      <c r="AA545" s="36">
        <v>0</v>
      </c>
      <c r="AB545" s="36"/>
      <c r="AC545" s="36">
        <v>0</v>
      </c>
      <c r="AD545" s="36"/>
      <c r="AE545" s="36">
        <f t="shared" si="206"/>
        <v>29936.129999999997</v>
      </c>
      <c r="AF545" s="36"/>
      <c r="AG545" s="36">
        <v>2415.68</v>
      </c>
      <c r="AH545" s="36"/>
      <c r="AI545" s="36">
        <v>15350.36</v>
      </c>
      <c r="AJ545" s="36"/>
      <c r="AK545" s="36">
        <v>17766.04</v>
      </c>
      <c r="AL545" s="24">
        <f>+'Gen Rev'!AI543-'Gen Exp'!AE545+'Gen Exp'!AI545-AK545</f>
        <v>0</v>
      </c>
      <c r="AM545" s="44" t="str">
        <f>'Gen Rev'!A543</f>
        <v>Rocky Ridge</v>
      </c>
      <c r="AN545" s="21" t="str">
        <f t="shared" si="202"/>
        <v>Rocky Ridge</v>
      </c>
      <c r="AO545" s="21" t="b">
        <f t="shared" si="203"/>
        <v>1</v>
      </c>
    </row>
    <row r="546" spans="1:41" s="21" customFormat="1" ht="12.75">
      <c r="A546" s="1" t="s">
        <v>45</v>
      </c>
      <c r="B546" s="1"/>
      <c r="C546" s="1" t="s">
        <v>758</v>
      </c>
      <c r="D546" s="23"/>
      <c r="E546" s="36">
        <v>9368.15</v>
      </c>
      <c r="F546" s="36"/>
      <c r="G546" s="36">
        <v>0</v>
      </c>
      <c r="H546" s="36"/>
      <c r="I546" s="36">
        <v>0</v>
      </c>
      <c r="J546" s="36"/>
      <c r="K546" s="36">
        <v>0</v>
      </c>
      <c r="L546" s="36"/>
      <c r="M546" s="36">
        <v>0</v>
      </c>
      <c r="N546" s="36"/>
      <c r="O546" s="36">
        <v>480.49</v>
      </c>
      <c r="P546" s="36"/>
      <c r="Q546" s="36">
        <v>14945.46</v>
      </c>
      <c r="R546" s="36"/>
      <c r="S546" s="36">
        <v>8179.6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0</v>
      </c>
      <c r="AB546" s="36"/>
      <c r="AC546" s="36">
        <v>0</v>
      </c>
      <c r="AD546" s="36"/>
      <c r="AE546" s="36">
        <f t="shared" si="206"/>
        <v>32973.7</v>
      </c>
      <c r="AF546" s="36"/>
      <c r="AG546" s="36">
        <v>10829.34</v>
      </c>
      <c r="AH546" s="36"/>
      <c r="AI546" s="36">
        <v>-7431.63</v>
      </c>
      <c r="AJ546" s="36"/>
      <c r="AK546" s="36">
        <v>3397.71</v>
      </c>
      <c r="AL546" s="24">
        <f>+'Gen Rev'!AI544-'Gen Exp'!AE546+'Gen Exp'!AI546-AK546</f>
        <v>-3.637978807091713E-12</v>
      </c>
      <c r="AM546" s="44" t="str">
        <f>'Gen Rev'!A544</f>
        <v>Rogers</v>
      </c>
      <c r="AN546" s="21" t="str">
        <f t="shared" si="202"/>
        <v>Rogers</v>
      </c>
      <c r="AO546" s="21" t="b">
        <f t="shared" si="203"/>
        <v>1</v>
      </c>
    </row>
    <row r="547" spans="1:41" ht="12.75">
      <c r="A547" s="1" t="s">
        <v>832</v>
      </c>
      <c r="C547" s="1" t="s">
        <v>662</v>
      </c>
      <c r="D547" s="23"/>
      <c r="E547" s="83">
        <v>1703</v>
      </c>
      <c r="F547" s="83"/>
      <c r="G547" s="83">
        <v>1082</v>
      </c>
      <c r="H547" s="83"/>
      <c r="I547" s="83">
        <v>0</v>
      </c>
      <c r="J547" s="83"/>
      <c r="K547" s="83">
        <v>0</v>
      </c>
      <c r="L547" s="83"/>
      <c r="M547" s="83">
        <v>0</v>
      </c>
      <c r="N547" s="83"/>
      <c r="O547" s="83">
        <v>0</v>
      </c>
      <c r="P547" s="83"/>
      <c r="Q547" s="83">
        <v>3850</v>
      </c>
      <c r="R547" s="83"/>
      <c r="S547" s="83">
        <v>0</v>
      </c>
      <c r="T547" s="83"/>
      <c r="U547" s="83">
        <v>0</v>
      </c>
      <c r="V547" s="83"/>
      <c r="W547" s="83">
        <v>0</v>
      </c>
      <c r="X547" s="83"/>
      <c r="Y547" s="83">
        <v>0</v>
      </c>
      <c r="Z547" s="83"/>
      <c r="AA547" s="83">
        <v>0</v>
      </c>
      <c r="AB547" s="83"/>
      <c r="AC547" s="83">
        <v>0</v>
      </c>
      <c r="AD547" s="83"/>
      <c r="AE547" s="83">
        <f t="shared" si="204"/>
        <v>6635</v>
      </c>
      <c r="AF547" s="83"/>
      <c r="AG547" s="83">
        <v>1696</v>
      </c>
      <c r="AH547" s="83"/>
      <c r="AI547" s="83">
        <v>8921</v>
      </c>
      <c r="AJ547" s="83"/>
      <c r="AK547" s="83">
        <v>10617</v>
      </c>
      <c r="AL547" s="24">
        <f>+'Gen Rev'!AI545-'Gen Exp'!AE547+'Gen Exp'!AI547-AK547</f>
        <v>-24</v>
      </c>
      <c r="AM547" s="44" t="str">
        <f>'Gen Rev'!A545</f>
        <v>Rome</v>
      </c>
      <c r="AN547" s="21" t="str">
        <f t="shared" si="202"/>
        <v>Rome</v>
      </c>
      <c r="AO547" s="21" t="b">
        <f t="shared" si="203"/>
        <v>1</v>
      </c>
    </row>
    <row r="548" spans="1:41" ht="12.75">
      <c r="A548" s="1" t="s">
        <v>489</v>
      </c>
      <c r="C548" s="1" t="s">
        <v>485</v>
      </c>
      <c r="E548" s="36">
        <v>152941.98</v>
      </c>
      <c r="F548" s="36"/>
      <c r="G548" s="36">
        <v>0</v>
      </c>
      <c r="H548" s="36"/>
      <c r="I548" s="36">
        <v>0</v>
      </c>
      <c r="J548" s="36"/>
      <c r="K548" s="36">
        <v>0</v>
      </c>
      <c r="L548" s="36"/>
      <c r="M548" s="36">
        <v>0</v>
      </c>
      <c r="N548" s="36"/>
      <c r="O548" s="36">
        <v>0</v>
      </c>
      <c r="P548" s="36"/>
      <c r="Q548" s="36">
        <v>53620.15</v>
      </c>
      <c r="R548" s="36"/>
      <c r="S548" s="36">
        <v>0</v>
      </c>
      <c r="T548" s="36"/>
      <c r="U548" s="36">
        <v>0</v>
      </c>
      <c r="V548" s="36"/>
      <c r="W548" s="36">
        <v>2164.68</v>
      </c>
      <c r="X548" s="36"/>
      <c r="Y548" s="36">
        <v>0</v>
      </c>
      <c r="Z548" s="36"/>
      <c r="AA548" s="36">
        <v>0</v>
      </c>
      <c r="AB548" s="36"/>
      <c r="AC548" s="36">
        <v>0</v>
      </c>
      <c r="AD548" s="36"/>
      <c r="AE548" s="36">
        <f aca="true" t="shared" si="207" ref="AE548">SUM(E548:AC548)</f>
        <v>208726.81</v>
      </c>
      <c r="AF548" s="36"/>
      <c r="AG548" s="36">
        <v>25547.95</v>
      </c>
      <c r="AH548" s="36"/>
      <c r="AI548" s="36">
        <v>22039.56</v>
      </c>
      <c r="AJ548" s="36"/>
      <c r="AK548" s="36">
        <v>47587.51</v>
      </c>
      <c r="AL548" s="24">
        <f>+'Gen Rev'!AI546-'Gen Exp'!AE548+'Gen Exp'!AI548-AK548</f>
        <v>0</v>
      </c>
      <c r="AM548" s="44" t="str">
        <f>'Gen Rev'!A546</f>
        <v>Roseville</v>
      </c>
      <c r="AN548" s="21" t="str">
        <f t="shared" si="202"/>
        <v>Roseville</v>
      </c>
      <c r="AO548" s="21" t="b">
        <f t="shared" si="203"/>
        <v>1</v>
      </c>
    </row>
    <row r="549" spans="1:41" s="21" customFormat="1" ht="12.6" customHeight="1">
      <c r="A549" s="1" t="s">
        <v>336</v>
      </c>
      <c r="B549" s="1"/>
      <c r="C549" s="1" t="s">
        <v>329</v>
      </c>
      <c r="D549" s="1"/>
      <c r="E549" s="83">
        <v>7217</v>
      </c>
      <c r="F549" s="83"/>
      <c r="G549" s="83">
        <v>627</v>
      </c>
      <c r="H549" s="83"/>
      <c r="I549" s="83">
        <v>300</v>
      </c>
      <c r="J549" s="83"/>
      <c r="K549" s="83">
        <v>0</v>
      </c>
      <c r="L549" s="83"/>
      <c r="M549" s="83">
        <v>12571</v>
      </c>
      <c r="N549" s="83"/>
      <c r="O549" s="83">
        <v>0</v>
      </c>
      <c r="P549" s="83"/>
      <c r="Q549" s="83">
        <v>20398</v>
      </c>
      <c r="R549" s="83"/>
      <c r="S549" s="83">
        <v>0</v>
      </c>
      <c r="T549" s="83"/>
      <c r="U549" s="83">
        <v>0</v>
      </c>
      <c r="V549" s="83"/>
      <c r="W549" s="83">
        <v>0</v>
      </c>
      <c r="X549" s="83"/>
      <c r="Y549" s="83">
        <v>0</v>
      </c>
      <c r="Z549" s="83"/>
      <c r="AA549" s="83">
        <v>0</v>
      </c>
      <c r="AB549" s="83"/>
      <c r="AC549" s="83">
        <v>0</v>
      </c>
      <c r="AD549" s="83"/>
      <c r="AE549" s="83">
        <f t="shared" si="204"/>
        <v>41113</v>
      </c>
      <c r="AF549" s="83"/>
      <c r="AG549" s="36"/>
      <c r="AH549" s="36"/>
      <c r="AI549" s="36">
        <v>78494</v>
      </c>
      <c r="AJ549" s="36"/>
      <c r="AK549" s="36">
        <v>69703</v>
      </c>
      <c r="AL549" s="24">
        <f>+'Gen Rev'!AI547-'Gen Exp'!AE549+'Gen Exp'!AI549-AK549</f>
        <v>6526</v>
      </c>
      <c r="AM549" s="44" t="str">
        <f>'Gen Rev'!A547</f>
        <v>Rossburg</v>
      </c>
      <c r="AN549" s="21" t="str">
        <f t="shared" si="202"/>
        <v>Rossburg</v>
      </c>
      <c r="AO549" s="21" t="b">
        <f t="shared" si="203"/>
        <v>1</v>
      </c>
    </row>
    <row r="550" spans="1:41" s="21" customFormat="1" ht="12.75">
      <c r="A550" s="1" t="s">
        <v>912</v>
      </c>
      <c r="B550" s="1"/>
      <c r="C550" s="1" t="s">
        <v>562</v>
      </c>
      <c r="D550" s="23"/>
      <c r="E550" s="95">
        <v>5067.35</v>
      </c>
      <c r="F550" s="95"/>
      <c r="G550" s="95">
        <v>0</v>
      </c>
      <c r="H550" s="95"/>
      <c r="I550" s="95">
        <v>4508.3</v>
      </c>
      <c r="J550" s="95"/>
      <c r="K550" s="95">
        <v>32.85</v>
      </c>
      <c r="L550" s="95"/>
      <c r="M550" s="95">
        <v>5597.39</v>
      </c>
      <c r="N550" s="95"/>
      <c r="O550" s="95">
        <v>0</v>
      </c>
      <c r="P550" s="95"/>
      <c r="Q550" s="95">
        <v>28967.61</v>
      </c>
      <c r="R550" s="95"/>
      <c r="S550" s="95">
        <v>0</v>
      </c>
      <c r="T550" s="95"/>
      <c r="U550" s="95">
        <v>0</v>
      </c>
      <c r="V550" s="95"/>
      <c r="W550" s="95">
        <v>0</v>
      </c>
      <c r="X550" s="95"/>
      <c r="Y550" s="95">
        <v>0</v>
      </c>
      <c r="Z550" s="95"/>
      <c r="AA550" s="95">
        <v>0</v>
      </c>
      <c r="AB550" s="95"/>
      <c r="AC550" s="95">
        <v>0</v>
      </c>
      <c r="AD550" s="95"/>
      <c r="AE550" s="95">
        <f aca="true" t="shared" si="208" ref="AE550:AE551">SUM(E550:AC550)</f>
        <v>44173.5</v>
      </c>
      <c r="AF550" s="95"/>
      <c r="AG550" s="95">
        <v>3582.66</v>
      </c>
      <c r="AH550" s="95"/>
      <c r="AI550" s="95">
        <v>8234.79</v>
      </c>
      <c r="AJ550" s="95"/>
      <c r="AK550" s="95">
        <v>11817.45</v>
      </c>
      <c r="AL550" s="24">
        <f>+'Gen Rev'!AI548-'Gen Exp'!AE550+'Gen Exp'!AI550-AK550</f>
        <v>0</v>
      </c>
      <c r="AM550" s="44" t="str">
        <f>'Gen Rev'!A548</f>
        <v>Roswell</v>
      </c>
      <c r="AN550" s="21" t="str">
        <f t="shared" si="202"/>
        <v>Roswell</v>
      </c>
      <c r="AO550" s="21" t="b">
        <f t="shared" si="203"/>
        <v>1</v>
      </c>
    </row>
    <row r="551" spans="1:41" s="21" customFormat="1" ht="12.75">
      <c r="A551" s="1" t="s">
        <v>855</v>
      </c>
      <c r="B551" s="1"/>
      <c r="C551" s="1" t="s">
        <v>786</v>
      </c>
      <c r="D551" s="23"/>
      <c r="E551" s="95">
        <v>12435.54</v>
      </c>
      <c r="F551" s="95"/>
      <c r="G551" s="95">
        <v>0</v>
      </c>
      <c r="H551" s="95"/>
      <c r="I551" s="95">
        <v>13080.39</v>
      </c>
      <c r="J551" s="95"/>
      <c r="K551" s="95">
        <v>272.44</v>
      </c>
      <c r="L551" s="95"/>
      <c r="M551" s="95">
        <v>0</v>
      </c>
      <c r="N551" s="95"/>
      <c r="O551" s="95">
        <v>31004.78</v>
      </c>
      <c r="P551" s="95"/>
      <c r="Q551" s="95">
        <v>78564.91</v>
      </c>
      <c r="R551" s="95"/>
      <c r="S551" s="95">
        <v>0</v>
      </c>
      <c r="T551" s="95"/>
      <c r="U551" s="95">
        <v>0</v>
      </c>
      <c r="V551" s="95"/>
      <c r="W551" s="95">
        <v>0</v>
      </c>
      <c r="X551" s="95"/>
      <c r="Y551" s="95">
        <v>0</v>
      </c>
      <c r="Z551" s="95"/>
      <c r="AA551" s="95">
        <v>0</v>
      </c>
      <c r="AB551" s="95"/>
      <c r="AC551" s="95">
        <v>0</v>
      </c>
      <c r="AD551" s="95"/>
      <c r="AE551" s="95">
        <f t="shared" si="208"/>
        <v>135358.06</v>
      </c>
      <c r="AF551" s="95"/>
      <c r="AG551" s="95">
        <v>8506.79</v>
      </c>
      <c r="AH551" s="95"/>
      <c r="AI551" s="95">
        <v>64968.96</v>
      </c>
      <c r="AJ551" s="95"/>
      <c r="AK551" s="95">
        <v>73475.75</v>
      </c>
      <c r="AL551" s="24">
        <f>+'Gen Rev'!AI549-'Gen Exp'!AE551+'Gen Exp'!AI551-AK551</f>
        <v>0</v>
      </c>
      <c r="AM551" s="44" t="str">
        <f>'Gen Rev'!A549</f>
        <v>Rushsylvania</v>
      </c>
      <c r="AN551" s="21" t="str">
        <f t="shared" si="202"/>
        <v>Rushsylvania</v>
      </c>
      <c r="AO551" s="21" t="b">
        <f t="shared" si="203"/>
        <v>1</v>
      </c>
    </row>
    <row r="552" spans="1:41" s="21" customFormat="1" ht="12.75">
      <c r="A552" s="1" t="s">
        <v>65</v>
      </c>
      <c r="B552" s="1"/>
      <c r="C552" s="1" t="s">
        <v>766</v>
      </c>
      <c r="D552" s="23"/>
      <c r="E552" s="36">
        <v>2514.07</v>
      </c>
      <c r="F552" s="36"/>
      <c r="G552" s="36">
        <v>930.5</v>
      </c>
      <c r="H552" s="36"/>
      <c r="I552" s="36">
        <v>0</v>
      </c>
      <c r="J552" s="36"/>
      <c r="K552" s="36">
        <v>75.5</v>
      </c>
      <c r="L552" s="36"/>
      <c r="M552" s="36">
        <v>0</v>
      </c>
      <c r="N552" s="36"/>
      <c r="O552" s="36">
        <v>954.35</v>
      </c>
      <c r="P552" s="36"/>
      <c r="Q552" s="36">
        <v>18027.14</v>
      </c>
      <c r="R552" s="36"/>
      <c r="S552" s="36">
        <v>0</v>
      </c>
      <c r="T552" s="36"/>
      <c r="U552" s="36">
        <v>0</v>
      </c>
      <c r="V552" s="36"/>
      <c r="W552" s="36">
        <v>0</v>
      </c>
      <c r="X552" s="36"/>
      <c r="Y552" s="36">
        <v>1706.19</v>
      </c>
      <c r="Z552" s="36"/>
      <c r="AA552" s="36">
        <v>0</v>
      </c>
      <c r="AB552" s="36"/>
      <c r="AC552" s="36">
        <v>0</v>
      </c>
      <c r="AD552" s="36"/>
      <c r="AE552" s="36">
        <f aca="true" t="shared" si="209" ref="AE552:AE553">SUM(E552:AC552)</f>
        <v>24207.749999999996</v>
      </c>
      <c r="AF552" s="36"/>
      <c r="AG552" s="36">
        <v>-2709.77</v>
      </c>
      <c r="AH552" s="36"/>
      <c r="AI552" s="36">
        <v>46544.96</v>
      </c>
      <c r="AJ552" s="36"/>
      <c r="AK552" s="36">
        <v>43835.19</v>
      </c>
      <c r="AL552" s="24">
        <f>+'Gen Rev'!AI550-'Gen Exp'!AE552+'Gen Exp'!AI552-AK552</f>
        <v>0</v>
      </c>
      <c r="AM552" s="44" t="str">
        <f>'Gen Rev'!A550</f>
        <v>Rushville</v>
      </c>
      <c r="AN552" s="21" t="str">
        <f t="shared" si="202"/>
        <v>Rushville</v>
      </c>
      <c r="AO552" s="21" t="b">
        <f t="shared" si="203"/>
        <v>1</v>
      </c>
    </row>
    <row r="553" spans="1:41" s="21" customFormat="1" ht="12.75">
      <c r="A553" s="1" t="s">
        <v>447</v>
      </c>
      <c r="B553" s="1"/>
      <c r="C553" s="1" t="s">
        <v>446</v>
      </c>
      <c r="D553" s="1"/>
      <c r="E553" s="36">
        <v>36901.82</v>
      </c>
      <c r="F553" s="36"/>
      <c r="G553" s="36">
        <v>0</v>
      </c>
      <c r="H553" s="36"/>
      <c r="I553" s="36">
        <v>0</v>
      </c>
      <c r="J553" s="36"/>
      <c r="K553" s="36">
        <v>34108.55</v>
      </c>
      <c r="L553" s="36"/>
      <c r="M553" s="36">
        <v>0</v>
      </c>
      <c r="N553" s="36"/>
      <c r="O553" s="36">
        <v>0</v>
      </c>
      <c r="P553" s="36"/>
      <c r="Q553" s="36">
        <v>188701.38</v>
      </c>
      <c r="R553" s="36"/>
      <c r="S553" s="36">
        <v>0</v>
      </c>
      <c r="T553" s="36"/>
      <c r="U553" s="36">
        <v>0</v>
      </c>
      <c r="V553" s="36"/>
      <c r="W553" s="36">
        <v>0</v>
      </c>
      <c r="X553" s="36"/>
      <c r="Y553" s="36">
        <v>150000</v>
      </c>
      <c r="Z553" s="36"/>
      <c r="AA553" s="36">
        <v>2000</v>
      </c>
      <c r="AB553" s="36"/>
      <c r="AC553" s="36">
        <v>0</v>
      </c>
      <c r="AD553" s="36"/>
      <c r="AE553" s="36">
        <f t="shared" si="209"/>
        <v>411711.75</v>
      </c>
      <c r="AF553" s="36"/>
      <c r="AG553" s="36">
        <v>297416.31</v>
      </c>
      <c r="AH553" s="36"/>
      <c r="AI553" s="36">
        <v>803954.21</v>
      </c>
      <c r="AJ553" s="36"/>
      <c r="AK553" s="36">
        <v>1101370.52</v>
      </c>
      <c r="AL553" s="24">
        <f>+'Gen Rev'!AI551-'Gen Exp'!AE553+'Gen Exp'!AI553-AK553</f>
        <v>0</v>
      </c>
      <c r="AM553" s="44" t="str">
        <f>'Gen Rev'!A551</f>
        <v>Russells Point</v>
      </c>
      <c r="AN553" s="21" t="str">
        <f t="shared" si="202"/>
        <v>Russells Point</v>
      </c>
      <c r="AO553" s="21" t="b">
        <f t="shared" si="203"/>
        <v>1</v>
      </c>
    </row>
    <row r="554" spans="1:41" s="21" customFormat="1" ht="12.75" hidden="1">
      <c r="A554" s="1" t="s">
        <v>953</v>
      </c>
      <c r="B554" s="1"/>
      <c r="C554" s="1" t="s">
        <v>485</v>
      </c>
      <c r="D554" s="1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>
        <f t="shared" si="204"/>
        <v>0</v>
      </c>
      <c r="AF554" s="83"/>
      <c r="AG554" s="83"/>
      <c r="AH554" s="83"/>
      <c r="AI554" s="83"/>
      <c r="AJ554" s="83"/>
      <c r="AK554" s="83"/>
      <c r="AL554" s="24">
        <f>+'Gen Rev'!AI552-'Gen Exp'!AE554+'Gen Exp'!AI554-AK554</f>
        <v>89162.2</v>
      </c>
      <c r="AM554" s="44" t="str">
        <f>'Gen Rev'!A552</f>
        <v>Russellville</v>
      </c>
      <c r="AN554" s="21" t="str">
        <f t="shared" si="202"/>
        <v>Russellville</v>
      </c>
      <c r="AO554" s="21" t="b">
        <f t="shared" si="203"/>
        <v>1</v>
      </c>
    </row>
    <row r="555" spans="1:41" ht="12.75">
      <c r="A555" s="15" t="s">
        <v>540</v>
      </c>
      <c r="B555" s="15"/>
      <c r="C555" s="15" t="s">
        <v>538</v>
      </c>
      <c r="D555" s="15"/>
      <c r="E555" s="83">
        <v>22843</v>
      </c>
      <c r="F555" s="85"/>
      <c r="G555" s="83">
        <v>9701</v>
      </c>
      <c r="H555" s="85"/>
      <c r="I555" s="83">
        <v>14941</v>
      </c>
      <c r="J555" s="85"/>
      <c r="K555" s="83">
        <v>65</v>
      </c>
      <c r="L555" s="85"/>
      <c r="M555" s="83">
        <v>5418</v>
      </c>
      <c r="N555" s="85"/>
      <c r="O555" s="83">
        <v>0</v>
      </c>
      <c r="P555" s="85"/>
      <c r="Q555" s="83">
        <v>123069</v>
      </c>
      <c r="R555" s="83"/>
      <c r="S555" s="83">
        <v>11952</v>
      </c>
      <c r="T555" s="85"/>
      <c r="U555" s="83">
        <v>0</v>
      </c>
      <c r="V555" s="85"/>
      <c r="W555" s="83">
        <v>0</v>
      </c>
      <c r="X555" s="85"/>
      <c r="Y555" s="83">
        <v>0</v>
      </c>
      <c r="Z555" s="85"/>
      <c r="AA555" s="83">
        <v>0</v>
      </c>
      <c r="AB555" s="85"/>
      <c r="AC555" s="83">
        <v>0</v>
      </c>
      <c r="AD555" s="85"/>
      <c r="AE555" s="83">
        <f t="shared" si="204"/>
        <v>187989</v>
      </c>
      <c r="AF555" s="83"/>
      <c r="AG555" s="83">
        <v>-3354</v>
      </c>
      <c r="AH555" s="83"/>
      <c r="AI555" s="83">
        <v>324195</v>
      </c>
      <c r="AJ555" s="83"/>
      <c r="AK555" s="83">
        <v>320841</v>
      </c>
      <c r="AL555" s="24">
        <f>+'Gen Rev'!AI553-'Gen Exp'!AE555+'Gen Exp'!AI555-AK555</f>
        <v>0</v>
      </c>
      <c r="AM555" s="44" t="str">
        <f>'Gen Rev'!A553</f>
        <v>Russia</v>
      </c>
      <c r="AN555" s="21" t="str">
        <f t="shared" si="202"/>
        <v>Russia</v>
      </c>
      <c r="AO555" s="21" t="b">
        <f t="shared" si="203"/>
        <v>1</v>
      </c>
    </row>
    <row r="556" spans="1:41" ht="12.75">
      <c r="A556" s="35" t="s">
        <v>706</v>
      </c>
      <c r="B556" s="35"/>
      <c r="C556" s="1" t="s">
        <v>464</v>
      </c>
      <c r="E556" s="36">
        <v>20561.08</v>
      </c>
      <c r="F556" s="36"/>
      <c r="G556" s="36">
        <v>0</v>
      </c>
      <c r="H556" s="36"/>
      <c r="I556" s="36">
        <v>0</v>
      </c>
      <c r="J556" s="36"/>
      <c r="K556" s="36">
        <v>0</v>
      </c>
      <c r="L556" s="36"/>
      <c r="M556" s="36">
        <v>0</v>
      </c>
      <c r="N556" s="36"/>
      <c r="O556" s="36">
        <v>0</v>
      </c>
      <c r="P556" s="36"/>
      <c r="Q556" s="36">
        <v>3670.55</v>
      </c>
      <c r="R556" s="36"/>
      <c r="S556" s="36">
        <v>0</v>
      </c>
      <c r="T556" s="36"/>
      <c r="U556" s="36">
        <v>0</v>
      </c>
      <c r="V556" s="36"/>
      <c r="W556" s="36">
        <v>0</v>
      </c>
      <c r="X556" s="36"/>
      <c r="Y556" s="36">
        <v>0</v>
      </c>
      <c r="Z556" s="36"/>
      <c r="AA556" s="36">
        <v>0</v>
      </c>
      <c r="AB556" s="36"/>
      <c r="AC556" s="36">
        <v>0</v>
      </c>
      <c r="AD556" s="36"/>
      <c r="AE556" s="36">
        <f aca="true" t="shared" si="210" ref="AE556:AE560">SUM(E556:AC556)</f>
        <v>24231.63</v>
      </c>
      <c r="AF556" s="36"/>
      <c r="AG556" s="36">
        <v>17082.71</v>
      </c>
      <c r="AH556" s="36"/>
      <c r="AI556" s="36">
        <v>11076.25</v>
      </c>
      <c r="AJ556" s="36"/>
      <c r="AK556" s="36">
        <v>28158.96</v>
      </c>
      <c r="AL556" s="24">
        <f>+'Gen Rev'!AI554-'Gen Exp'!AE556+'Gen Exp'!AI556-AK556</f>
        <v>0</v>
      </c>
      <c r="AM556" s="44" t="str">
        <f>'Gen Rev'!A554</f>
        <v>Rutland</v>
      </c>
      <c r="AN556" s="21" t="str">
        <f t="shared" si="202"/>
        <v>Rutland</v>
      </c>
      <c r="AO556" s="21" t="b">
        <f t="shared" si="203"/>
        <v>1</v>
      </c>
    </row>
    <row r="557" spans="1:41" ht="12.6" customHeight="1">
      <c r="A557" s="1" t="s">
        <v>304</v>
      </c>
      <c r="C557" s="1" t="s">
        <v>299</v>
      </c>
      <c r="E557" s="36">
        <v>294826</v>
      </c>
      <c r="F557" s="36"/>
      <c r="G557" s="36">
        <v>767.82</v>
      </c>
      <c r="H557" s="36"/>
      <c r="I557" s="36">
        <v>511.33</v>
      </c>
      <c r="J557" s="36"/>
      <c r="K557" s="36">
        <v>0</v>
      </c>
      <c r="L557" s="36"/>
      <c r="M557" s="36">
        <v>0</v>
      </c>
      <c r="N557" s="36"/>
      <c r="O557" s="36">
        <v>6770</v>
      </c>
      <c r="P557" s="36"/>
      <c r="Q557" s="36">
        <v>168469.15</v>
      </c>
      <c r="R557" s="36"/>
      <c r="S557" s="36">
        <v>0</v>
      </c>
      <c r="T557" s="36"/>
      <c r="U557" s="36">
        <v>0</v>
      </c>
      <c r="V557" s="36"/>
      <c r="W557" s="36">
        <v>0</v>
      </c>
      <c r="X557" s="36"/>
      <c r="Y557" s="36">
        <v>3000</v>
      </c>
      <c r="Z557" s="36"/>
      <c r="AA557" s="36">
        <v>0</v>
      </c>
      <c r="AB557" s="36"/>
      <c r="AC557" s="36">
        <v>6.38</v>
      </c>
      <c r="AD557" s="36"/>
      <c r="AE557" s="36">
        <f t="shared" si="210"/>
        <v>474350.68000000005</v>
      </c>
      <c r="AF557" s="36"/>
      <c r="AG557" s="36">
        <v>27377.68</v>
      </c>
      <c r="AH557" s="36"/>
      <c r="AI557" s="36">
        <v>573681.42</v>
      </c>
      <c r="AJ557" s="36"/>
      <c r="AK557" s="36">
        <v>601059.1</v>
      </c>
      <c r="AL557" s="24">
        <f>+'Gen Rev'!AI555-'Gen Exp'!AE557+'Gen Exp'!AI557-AK557</f>
        <v>0</v>
      </c>
      <c r="AM557" s="44" t="str">
        <f>'Gen Rev'!A555</f>
        <v>Sabina</v>
      </c>
      <c r="AN557" s="21" t="str">
        <f t="shared" si="202"/>
        <v>Sabina</v>
      </c>
      <c r="AO557" s="21" t="b">
        <f t="shared" si="203"/>
        <v>1</v>
      </c>
    </row>
    <row r="558" spans="1:41" s="10" customFormat="1" ht="12.75">
      <c r="A558" s="10" t="s">
        <v>161</v>
      </c>
      <c r="C558" s="10" t="s">
        <v>794</v>
      </c>
      <c r="D558" s="52"/>
      <c r="E558" s="36">
        <v>195765.79</v>
      </c>
      <c r="F558" s="36"/>
      <c r="G558" s="36">
        <v>13514.56</v>
      </c>
      <c r="H558" s="36"/>
      <c r="I558" s="36">
        <v>0</v>
      </c>
      <c r="J558" s="36"/>
      <c r="K558" s="36">
        <v>0</v>
      </c>
      <c r="L558" s="36"/>
      <c r="M558" s="36">
        <v>0</v>
      </c>
      <c r="N558" s="36"/>
      <c r="O558" s="36">
        <v>37260.02</v>
      </c>
      <c r="P558" s="36"/>
      <c r="Q558" s="36">
        <v>13730.98</v>
      </c>
      <c r="R558" s="36"/>
      <c r="S558" s="36">
        <v>24374.25</v>
      </c>
      <c r="T558" s="36"/>
      <c r="U558" s="36">
        <v>0</v>
      </c>
      <c r="V558" s="36"/>
      <c r="W558" s="36">
        <v>0</v>
      </c>
      <c r="X558" s="36"/>
      <c r="Y558" s="36">
        <v>0</v>
      </c>
      <c r="Z558" s="36"/>
      <c r="AA558" s="36">
        <v>0</v>
      </c>
      <c r="AB558" s="36"/>
      <c r="AC558" s="36">
        <v>0</v>
      </c>
      <c r="AD558" s="36"/>
      <c r="AE558" s="36">
        <f t="shared" si="210"/>
        <v>284645.6</v>
      </c>
      <c r="AF558" s="36"/>
      <c r="AG558" s="36">
        <v>-6671.35</v>
      </c>
      <c r="AH558" s="36"/>
      <c r="AI558" s="36">
        <v>57809.91</v>
      </c>
      <c r="AJ558" s="36"/>
      <c r="AK558" s="36">
        <v>51138.56</v>
      </c>
      <c r="AL558" s="24">
        <f>+'Gen Rev'!AI556-'Gen Exp'!AE558+'Gen Exp'!AI558-AK558</f>
        <v>0</v>
      </c>
      <c r="AM558" s="44" t="str">
        <f>'Gen Rev'!A556</f>
        <v>Saint Henry</v>
      </c>
      <c r="AN558" s="21" t="str">
        <f t="shared" si="202"/>
        <v>Saint Henry</v>
      </c>
      <c r="AO558" s="21" t="b">
        <f t="shared" si="203"/>
        <v>1</v>
      </c>
    </row>
    <row r="559" spans="1:41" s="10" customFormat="1" ht="12.75">
      <c r="A559" s="10" t="s">
        <v>954</v>
      </c>
      <c r="C559" s="10" t="s">
        <v>375</v>
      </c>
      <c r="D559" s="52"/>
      <c r="E559" s="36">
        <v>0</v>
      </c>
      <c r="F559" s="36"/>
      <c r="G559" s="36">
        <v>0</v>
      </c>
      <c r="H559" s="36"/>
      <c r="I559" s="36">
        <v>79.94</v>
      </c>
      <c r="J559" s="36"/>
      <c r="K559" s="36">
        <v>0</v>
      </c>
      <c r="L559" s="36"/>
      <c r="M559" s="36">
        <v>2624.62</v>
      </c>
      <c r="N559" s="36"/>
      <c r="O559" s="36">
        <v>0</v>
      </c>
      <c r="P559" s="36"/>
      <c r="Q559" s="36">
        <v>20863.6</v>
      </c>
      <c r="R559" s="36"/>
      <c r="S559" s="36">
        <v>0</v>
      </c>
      <c r="T559" s="36"/>
      <c r="U559" s="36">
        <v>0</v>
      </c>
      <c r="V559" s="36"/>
      <c r="W559" s="36">
        <v>0</v>
      </c>
      <c r="X559" s="36"/>
      <c r="Y559" s="36">
        <v>225</v>
      </c>
      <c r="Z559" s="36"/>
      <c r="AA559" s="36">
        <v>0</v>
      </c>
      <c r="AB559" s="36"/>
      <c r="AC559" s="36">
        <v>0</v>
      </c>
      <c r="AD559" s="36"/>
      <c r="AE559" s="36">
        <f t="shared" si="210"/>
        <v>23793.16</v>
      </c>
      <c r="AF559" s="36"/>
      <c r="AG559" s="36">
        <v>10309.78</v>
      </c>
      <c r="AH559" s="36"/>
      <c r="AI559" s="36">
        <v>-6587.1</v>
      </c>
      <c r="AJ559" s="36"/>
      <c r="AK559" s="36">
        <v>3722.68</v>
      </c>
      <c r="AL559" s="24">
        <f>+'Gen Rev'!AI557-'Gen Exp'!AE559+'Gen Exp'!AI559-AK559</f>
        <v>0</v>
      </c>
      <c r="AM559" s="44" t="str">
        <f>'Gen Rev'!A557</f>
        <v>Salesville</v>
      </c>
      <c r="AN559" s="21" t="str">
        <f t="shared" si="202"/>
        <v>Salesville</v>
      </c>
      <c r="AO559" s="21" t="b">
        <f t="shared" si="203"/>
        <v>1</v>
      </c>
    </row>
    <row r="560" spans="1:41" ht="12.75">
      <c r="A560" s="1" t="s">
        <v>46</v>
      </c>
      <c r="C560" s="1" t="s">
        <v>758</v>
      </c>
      <c r="D560" s="23"/>
      <c r="E560" s="36">
        <v>178407.57</v>
      </c>
      <c r="F560" s="36"/>
      <c r="G560" s="36">
        <v>2230</v>
      </c>
      <c r="H560" s="36"/>
      <c r="I560" s="36">
        <v>0</v>
      </c>
      <c r="J560" s="36"/>
      <c r="K560" s="36">
        <v>0</v>
      </c>
      <c r="L560" s="36"/>
      <c r="M560" s="36">
        <v>0</v>
      </c>
      <c r="N560" s="36"/>
      <c r="O560" s="36">
        <v>0</v>
      </c>
      <c r="P560" s="36"/>
      <c r="Q560" s="36">
        <v>119662.49</v>
      </c>
      <c r="R560" s="36"/>
      <c r="S560" s="36">
        <v>0</v>
      </c>
      <c r="T560" s="36"/>
      <c r="U560" s="36">
        <v>0</v>
      </c>
      <c r="V560" s="36"/>
      <c r="W560" s="36">
        <v>0</v>
      </c>
      <c r="X560" s="36"/>
      <c r="Y560" s="36">
        <v>20647.15</v>
      </c>
      <c r="Z560" s="36"/>
      <c r="AA560" s="36">
        <v>14500</v>
      </c>
      <c r="AB560" s="36"/>
      <c r="AC560" s="36">
        <v>37.08</v>
      </c>
      <c r="AD560" s="36"/>
      <c r="AE560" s="36">
        <f t="shared" si="210"/>
        <v>335484.29000000004</v>
      </c>
      <c r="AF560" s="36"/>
      <c r="AG560" s="36">
        <v>14676.54</v>
      </c>
      <c r="AH560" s="36"/>
      <c r="AI560" s="36">
        <v>1363.64</v>
      </c>
      <c r="AJ560" s="36"/>
      <c r="AK560" s="36">
        <v>16040.18</v>
      </c>
      <c r="AL560" s="24">
        <f>+'Gen Rev'!AI558-'Gen Exp'!AE560+'Gen Exp'!AI560-AK560</f>
        <v>-2.1827872842550278E-11</v>
      </c>
      <c r="AM560" s="44" t="str">
        <f>'Gen Rev'!A558</f>
        <v>Salineville</v>
      </c>
      <c r="AN560" s="21" t="str">
        <f t="shared" si="202"/>
        <v>Salineville</v>
      </c>
      <c r="AO560" s="21" t="b">
        <f t="shared" si="203"/>
        <v>1</v>
      </c>
    </row>
    <row r="561" spans="1:41" ht="12.75">
      <c r="A561" s="1" t="s">
        <v>923</v>
      </c>
      <c r="C561" s="1" t="s">
        <v>801</v>
      </c>
      <c r="D561" s="23"/>
      <c r="E561" s="83">
        <v>3654</v>
      </c>
      <c r="F561" s="83"/>
      <c r="G561" s="83">
        <v>0</v>
      </c>
      <c r="H561" s="83"/>
      <c r="I561" s="83">
        <v>468</v>
      </c>
      <c r="J561" s="83"/>
      <c r="K561" s="83">
        <v>0</v>
      </c>
      <c r="L561" s="83"/>
      <c r="M561" s="83">
        <v>0</v>
      </c>
      <c r="N561" s="83"/>
      <c r="O561" s="83">
        <v>0</v>
      </c>
      <c r="P561" s="83"/>
      <c r="Q561" s="83">
        <v>11680</v>
      </c>
      <c r="R561" s="83"/>
      <c r="S561" s="83">
        <v>0</v>
      </c>
      <c r="T561" s="83"/>
      <c r="U561" s="83">
        <v>0</v>
      </c>
      <c r="V561" s="83"/>
      <c r="W561" s="83">
        <v>0</v>
      </c>
      <c r="X561" s="83"/>
      <c r="Y561" s="83">
        <v>0</v>
      </c>
      <c r="Z561" s="83"/>
      <c r="AA561" s="83">
        <v>0</v>
      </c>
      <c r="AB561" s="83"/>
      <c r="AC561" s="83">
        <v>0</v>
      </c>
      <c r="AD561" s="83"/>
      <c r="AE561" s="83">
        <f t="shared" si="204"/>
        <v>15802</v>
      </c>
      <c r="AF561" s="83"/>
      <c r="AG561" s="36"/>
      <c r="AH561" s="36"/>
      <c r="AI561" s="36">
        <v>15171</v>
      </c>
      <c r="AJ561" s="36"/>
      <c r="AK561" s="36">
        <v>15156</v>
      </c>
      <c r="AL561" s="24">
        <f>+'Gen Rev'!AI559-'Gen Exp'!AE561+'Gen Exp'!AI561-AK561</f>
        <v>0</v>
      </c>
      <c r="AM561" s="44" t="str">
        <f>'Gen Rev'!A559</f>
        <v>Sarahsville</v>
      </c>
      <c r="AN561" s="21" t="str">
        <f t="shared" si="202"/>
        <v>Sarahsville</v>
      </c>
      <c r="AO561" s="21" t="b">
        <f t="shared" si="203"/>
        <v>1</v>
      </c>
    </row>
    <row r="562" spans="1:41" ht="12.75">
      <c r="A562" s="1" t="s">
        <v>25</v>
      </c>
      <c r="C562" s="1" t="s">
        <v>751</v>
      </c>
      <c r="D562" s="23"/>
      <c r="E562" s="36">
        <v>10287.15</v>
      </c>
      <c r="F562" s="36"/>
      <c r="G562" s="36">
        <v>1062.92</v>
      </c>
      <c r="H562" s="36"/>
      <c r="I562" s="36">
        <v>0</v>
      </c>
      <c r="J562" s="36"/>
      <c r="K562" s="36">
        <v>0</v>
      </c>
      <c r="L562" s="36"/>
      <c r="M562" s="36">
        <v>0</v>
      </c>
      <c r="N562" s="36"/>
      <c r="O562" s="36">
        <v>0</v>
      </c>
      <c r="P562" s="36"/>
      <c r="Q562" s="36">
        <v>72037.93</v>
      </c>
      <c r="R562" s="36"/>
      <c r="S562" s="36">
        <v>0</v>
      </c>
      <c r="T562" s="36"/>
      <c r="U562" s="36">
        <v>16000</v>
      </c>
      <c r="V562" s="36"/>
      <c r="W562" s="36">
        <v>598.34</v>
      </c>
      <c r="X562" s="36"/>
      <c r="Y562" s="36">
        <v>51000</v>
      </c>
      <c r="Z562" s="36"/>
      <c r="AA562" s="36">
        <v>0</v>
      </c>
      <c r="AB562" s="36"/>
      <c r="AC562" s="36">
        <v>0</v>
      </c>
      <c r="AD562" s="36"/>
      <c r="AE562" s="36">
        <f aca="true" t="shared" si="211" ref="AE562">SUM(E562:AC562)</f>
        <v>150986.34</v>
      </c>
      <c r="AF562" s="36"/>
      <c r="AG562" s="36">
        <v>5313.3</v>
      </c>
      <c r="AH562" s="36"/>
      <c r="AI562" s="36">
        <v>37250.5</v>
      </c>
      <c r="AJ562" s="36"/>
      <c r="AK562" s="36">
        <v>42563.8</v>
      </c>
      <c r="AL562" s="24">
        <f>+'Gen Rev'!AI560-'Gen Exp'!AE562+'Gen Exp'!AI562-AK562</f>
        <v>0</v>
      </c>
      <c r="AM562" s="44" t="str">
        <f>'Gen Rev'!A560</f>
        <v>Sardinia</v>
      </c>
      <c r="AN562" s="21" t="str">
        <f t="shared" si="202"/>
        <v>Sardinia</v>
      </c>
      <c r="AO562" s="21" t="b">
        <f t="shared" si="203"/>
        <v>1</v>
      </c>
    </row>
    <row r="563" spans="1:41" s="21" customFormat="1" ht="12.75">
      <c r="A563" s="1" t="s">
        <v>676</v>
      </c>
      <c r="B563" s="1"/>
      <c r="C563" s="1" t="s">
        <v>669</v>
      </c>
      <c r="D563" s="23"/>
      <c r="E563" s="83">
        <v>8737.31</v>
      </c>
      <c r="F563" s="83"/>
      <c r="G563" s="83">
        <v>0</v>
      </c>
      <c r="H563" s="83"/>
      <c r="I563" s="83">
        <v>2620.83</v>
      </c>
      <c r="J563" s="83"/>
      <c r="K563" s="83">
        <v>50</v>
      </c>
      <c r="L563" s="83"/>
      <c r="M563" s="83">
        <v>3597.4</v>
      </c>
      <c r="N563" s="83"/>
      <c r="O563" s="83">
        <v>0</v>
      </c>
      <c r="P563" s="83"/>
      <c r="Q563" s="83">
        <v>29475.79</v>
      </c>
      <c r="R563" s="83"/>
      <c r="S563" s="83">
        <v>498.37</v>
      </c>
      <c r="T563" s="83"/>
      <c r="U563" s="83">
        <v>0</v>
      </c>
      <c r="V563" s="83"/>
      <c r="W563" s="83">
        <v>0</v>
      </c>
      <c r="X563" s="83"/>
      <c r="Y563" s="83">
        <v>0</v>
      </c>
      <c r="Z563" s="83"/>
      <c r="AA563" s="83">
        <v>0</v>
      </c>
      <c r="AB563" s="83"/>
      <c r="AC563" s="83">
        <v>11133.04</v>
      </c>
      <c r="AD563" s="83"/>
      <c r="AE563" s="83">
        <f t="shared" si="204"/>
        <v>56112.740000000005</v>
      </c>
      <c r="AF563" s="83"/>
      <c r="AG563" s="36">
        <v>-14725.86</v>
      </c>
      <c r="AH563" s="36"/>
      <c r="AI563" s="36">
        <v>108273.93</v>
      </c>
      <c r="AJ563" s="36"/>
      <c r="AK563" s="36">
        <v>93548.07</v>
      </c>
      <c r="AL563" s="24">
        <f>+'Gen Rev'!AI561-'Gen Exp'!AE563+'Gen Exp'!AI563-AK563</f>
        <v>0</v>
      </c>
      <c r="AM563" s="44" t="str">
        <f>'Gen Rev'!A561</f>
        <v>Savannah</v>
      </c>
      <c r="AN563" s="21" t="str">
        <f t="shared" si="202"/>
        <v>Savannah</v>
      </c>
      <c r="AO563" s="21" t="b">
        <f t="shared" si="203"/>
        <v>1</v>
      </c>
    </row>
    <row r="564" spans="1:41" s="21" customFormat="1" ht="12.75">
      <c r="A564" s="1" t="s">
        <v>406</v>
      </c>
      <c r="B564" s="1"/>
      <c r="C564" s="1" t="s">
        <v>403</v>
      </c>
      <c r="D564" s="1"/>
      <c r="E564" s="83">
        <v>16428.8</v>
      </c>
      <c r="F564" s="83"/>
      <c r="G564" s="83">
        <v>579.78</v>
      </c>
      <c r="H564" s="83"/>
      <c r="I564" s="83">
        <v>0</v>
      </c>
      <c r="J564" s="83"/>
      <c r="K564" s="83">
        <v>0</v>
      </c>
      <c r="L564" s="83"/>
      <c r="M564" s="83">
        <v>0</v>
      </c>
      <c r="N564" s="83"/>
      <c r="O564" s="83">
        <v>0</v>
      </c>
      <c r="P564" s="83"/>
      <c r="Q564" s="83">
        <v>128268.63</v>
      </c>
      <c r="R564" s="83"/>
      <c r="S564" s="83">
        <v>0</v>
      </c>
      <c r="T564" s="83"/>
      <c r="U564" s="83">
        <v>0</v>
      </c>
      <c r="V564" s="83"/>
      <c r="W564" s="83">
        <v>0</v>
      </c>
      <c r="X564" s="83"/>
      <c r="Y564" s="83">
        <v>0</v>
      </c>
      <c r="Z564" s="83"/>
      <c r="AA564" s="83">
        <v>0</v>
      </c>
      <c r="AB564" s="83"/>
      <c r="AC564" s="83">
        <v>2238.36</v>
      </c>
      <c r="AD564" s="83"/>
      <c r="AE564" s="83">
        <f t="shared" si="204"/>
        <v>147515.56999999998</v>
      </c>
      <c r="AF564" s="83"/>
      <c r="AG564" s="83">
        <v>110052.7</v>
      </c>
      <c r="AH564" s="83"/>
      <c r="AI564" s="83">
        <v>105347.18</v>
      </c>
      <c r="AJ564" s="83"/>
      <c r="AK564" s="83">
        <v>215399.88</v>
      </c>
      <c r="AL564" s="24">
        <f>+'Gen Rev'!AI562-'Gen Exp'!AE564+'Gen Exp'!AI564-AK564</f>
        <v>0</v>
      </c>
      <c r="AM564" s="44" t="str">
        <f>'Gen Rev'!A562</f>
        <v>Scio</v>
      </c>
      <c r="AN564" s="21" t="str">
        <f t="shared" si="202"/>
        <v>Scio</v>
      </c>
      <c r="AO564" s="21" t="b">
        <f t="shared" si="203"/>
        <v>1</v>
      </c>
    </row>
    <row r="565" spans="1:41" ht="12.75">
      <c r="A565" s="1" t="s">
        <v>576</v>
      </c>
      <c r="C565" s="1" t="s">
        <v>574</v>
      </c>
      <c r="E565" s="36">
        <v>14371.8</v>
      </c>
      <c r="F565" s="36"/>
      <c r="G565" s="36">
        <v>576.26</v>
      </c>
      <c r="H565" s="36"/>
      <c r="I565" s="36">
        <v>0</v>
      </c>
      <c r="J565" s="36"/>
      <c r="K565" s="36">
        <v>0</v>
      </c>
      <c r="L565" s="36"/>
      <c r="M565" s="36">
        <v>0</v>
      </c>
      <c r="N565" s="36"/>
      <c r="O565" s="36">
        <v>0</v>
      </c>
      <c r="P565" s="36"/>
      <c r="Q565" s="36">
        <v>22809.16</v>
      </c>
      <c r="R565" s="36"/>
      <c r="S565" s="36">
        <v>0</v>
      </c>
      <c r="T565" s="36"/>
      <c r="U565" s="36">
        <v>0</v>
      </c>
      <c r="V565" s="36"/>
      <c r="W565" s="36">
        <v>0</v>
      </c>
      <c r="X565" s="36"/>
      <c r="Y565" s="36">
        <v>2000</v>
      </c>
      <c r="Z565" s="36"/>
      <c r="AA565" s="36">
        <v>0</v>
      </c>
      <c r="AB565" s="36"/>
      <c r="AC565" s="36">
        <v>0</v>
      </c>
      <c r="AD565" s="36"/>
      <c r="AE565" s="36">
        <f aca="true" t="shared" si="212" ref="AE565">SUM(E565:AC565)</f>
        <v>39757.22</v>
      </c>
      <c r="AF565" s="36"/>
      <c r="AG565" s="36">
        <v>-1958.16</v>
      </c>
      <c r="AH565" s="36"/>
      <c r="AI565" s="36">
        <v>30635</v>
      </c>
      <c r="AJ565" s="36"/>
      <c r="AK565" s="36">
        <v>28676.84</v>
      </c>
      <c r="AL565" s="24">
        <f>+'Gen Rev'!AI563-'Gen Exp'!AE565+'Gen Exp'!AI565-AK565</f>
        <v>0</v>
      </c>
      <c r="AM565" s="44" t="str">
        <f>'Gen Rev'!A563</f>
        <v>Scott</v>
      </c>
      <c r="AN565" s="21" t="str">
        <f t="shared" si="202"/>
        <v>Scott</v>
      </c>
      <c r="AO565" s="21" t="b">
        <f t="shared" si="203"/>
        <v>1</v>
      </c>
    </row>
    <row r="566" spans="1:41" ht="12.75">
      <c r="A566" s="1" t="s">
        <v>677</v>
      </c>
      <c r="C566" s="1" t="s">
        <v>662</v>
      </c>
      <c r="D566" s="23"/>
      <c r="E566" s="83">
        <v>64388</v>
      </c>
      <c r="F566" s="83"/>
      <c r="G566" s="83">
        <v>2049</v>
      </c>
      <c r="H566" s="83"/>
      <c r="I566" s="83">
        <v>0</v>
      </c>
      <c r="J566" s="83"/>
      <c r="K566" s="83">
        <v>0</v>
      </c>
      <c r="L566" s="83"/>
      <c r="M566" s="83">
        <v>0</v>
      </c>
      <c r="N566" s="83"/>
      <c r="O566" s="83">
        <v>0</v>
      </c>
      <c r="P566" s="83"/>
      <c r="Q566" s="83">
        <v>108602</v>
      </c>
      <c r="R566" s="83"/>
      <c r="S566" s="83">
        <v>72841</v>
      </c>
      <c r="T566" s="83"/>
      <c r="U566" s="83">
        <v>0</v>
      </c>
      <c r="V566" s="83"/>
      <c r="W566" s="83">
        <v>0</v>
      </c>
      <c r="X566" s="83"/>
      <c r="Y566" s="83">
        <v>0</v>
      </c>
      <c r="Z566" s="83"/>
      <c r="AA566" s="83">
        <v>0</v>
      </c>
      <c r="AB566" s="83"/>
      <c r="AC566" s="83">
        <v>0</v>
      </c>
      <c r="AD566" s="83"/>
      <c r="AE566" s="83">
        <f t="shared" si="204"/>
        <v>247880</v>
      </c>
      <c r="AF566" s="83"/>
      <c r="AG566" s="83"/>
      <c r="AH566" s="83"/>
      <c r="AI566" s="83">
        <v>49185</v>
      </c>
      <c r="AJ566" s="83"/>
      <c r="AK566" s="83">
        <v>50729</v>
      </c>
      <c r="AL566" s="24">
        <f>+'Gen Rev'!AI564-'Gen Exp'!AE566+'Gen Exp'!AI566-AK566</f>
        <v>1</v>
      </c>
      <c r="AM566" s="44" t="str">
        <f>'Gen Rev'!A564</f>
        <v>Seaman</v>
      </c>
      <c r="AN566" s="21" t="str">
        <f t="shared" si="202"/>
        <v>Seaman</v>
      </c>
      <c r="AO566" s="21" t="b">
        <f t="shared" si="203"/>
        <v>1</v>
      </c>
    </row>
    <row r="567" spans="1:41" ht="12.75">
      <c r="A567" s="1" t="s">
        <v>461</v>
      </c>
      <c r="C567" s="1" t="s">
        <v>462</v>
      </c>
      <c r="E567" s="83">
        <v>754424</v>
      </c>
      <c r="F567" s="83"/>
      <c r="G567" s="83">
        <v>13622</v>
      </c>
      <c r="H567" s="83"/>
      <c r="I567" s="83">
        <v>0</v>
      </c>
      <c r="J567" s="83"/>
      <c r="K567" s="83">
        <v>0</v>
      </c>
      <c r="L567" s="83"/>
      <c r="M567" s="83">
        <v>0</v>
      </c>
      <c r="N567" s="83"/>
      <c r="O567" s="83">
        <v>0</v>
      </c>
      <c r="P567" s="83"/>
      <c r="Q567" s="83">
        <v>435469</v>
      </c>
      <c r="R567" s="83"/>
      <c r="S567" s="83">
        <v>0</v>
      </c>
      <c r="T567" s="83"/>
      <c r="U567" s="83">
        <v>0</v>
      </c>
      <c r="V567" s="83"/>
      <c r="W567" s="83">
        <v>0</v>
      </c>
      <c r="X567" s="83"/>
      <c r="Y567" s="83">
        <v>0</v>
      </c>
      <c r="Z567" s="83"/>
      <c r="AA567" s="83">
        <v>0</v>
      </c>
      <c r="AB567" s="83"/>
      <c r="AC567" s="83">
        <f>33000+199722</f>
        <v>232722</v>
      </c>
      <c r="AD567" s="83"/>
      <c r="AE567" s="83">
        <f t="shared" si="204"/>
        <v>1436237</v>
      </c>
      <c r="AF567" s="83"/>
      <c r="AG567" s="83">
        <v>113649</v>
      </c>
      <c r="AH567" s="83"/>
      <c r="AI567" s="83">
        <v>286699</v>
      </c>
      <c r="AJ567" s="83"/>
      <c r="AK567" s="83">
        <v>400347</v>
      </c>
      <c r="AL567" s="24">
        <f>+'Gen Rev'!AI566-'Gen Exp'!AE567+'Gen Exp'!AI567-AK567</f>
        <v>1</v>
      </c>
      <c r="AM567" s="44" t="str">
        <f>'Gen Rev'!A566</f>
        <v>Sebring</v>
      </c>
      <c r="AN567" s="21" t="str">
        <f t="shared" si="202"/>
        <v>Sebring</v>
      </c>
      <c r="AO567" s="21" t="b">
        <f t="shared" si="203"/>
        <v>1</v>
      </c>
    </row>
    <row r="568" spans="1:41" ht="12.75">
      <c r="A568" s="1" t="s">
        <v>90</v>
      </c>
      <c r="C568" s="1" t="s">
        <v>772</v>
      </c>
      <c r="D568" s="23"/>
      <c r="E568" s="36">
        <v>9692</v>
      </c>
      <c r="F568" s="36"/>
      <c r="G568" s="36">
        <v>469.41</v>
      </c>
      <c r="H568" s="36"/>
      <c r="I568" s="36">
        <v>154.74</v>
      </c>
      <c r="J568" s="36"/>
      <c r="K568" s="36">
        <v>0</v>
      </c>
      <c r="L568" s="36"/>
      <c r="M568" s="36">
        <v>0</v>
      </c>
      <c r="N568" s="36"/>
      <c r="O568" s="36">
        <v>0</v>
      </c>
      <c r="P568" s="36"/>
      <c r="Q568" s="36">
        <v>21887.3</v>
      </c>
      <c r="R568" s="36"/>
      <c r="S568" s="36">
        <v>0</v>
      </c>
      <c r="T568" s="36"/>
      <c r="U568" s="36">
        <v>0</v>
      </c>
      <c r="V568" s="36"/>
      <c r="W568" s="36">
        <v>0</v>
      </c>
      <c r="X568" s="36"/>
      <c r="Y568" s="36">
        <v>1286.43</v>
      </c>
      <c r="Z568" s="36"/>
      <c r="AA568" s="36">
        <v>0</v>
      </c>
      <c r="AB568" s="36"/>
      <c r="AC568" s="36">
        <v>0</v>
      </c>
      <c r="AD568" s="36"/>
      <c r="AE568" s="36">
        <f aca="true" t="shared" si="213" ref="AE568:AE572">SUM(E568:AC568)</f>
        <v>33489.88</v>
      </c>
      <c r="AF568" s="36"/>
      <c r="AG568" s="36">
        <v>-4875.64</v>
      </c>
      <c r="AH568" s="36"/>
      <c r="AI568" s="36">
        <v>18599.65</v>
      </c>
      <c r="AJ568" s="36"/>
      <c r="AK568" s="36">
        <v>13724.01</v>
      </c>
      <c r="AL568" s="24">
        <f>+'Gen Rev'!AI567-'Gen Exp'!AE568+'Gen Exp'!AI568-AK568</f>
        <v>0</v>
      </c>
      <c r="AM568" s="44" t="str">
        <f>'Gen Rev'!A567</f>
        <v>Senecaville</v>
      </c>
      <c r="AN568" s="21" t="str">
        <f t="shared" si="202"/>
        <v>Senecaville</v>
      </c>
      <c r="AO568" s="21" t="b">
        <f t="shared" si="203"/>
        <v>1</v>
      </c>
    </row>
    <row r="569" spans="1:41" ht="12.75">
      <c r="A569" s="1" t="s">
        <v>27</v>
      </c>
      <c r="C569" s="1" t="s">
        <v>752</v>
      </c>
      <c r="D569" s="23"/>
      <c r="E569" s="36">
        <v>51516.98</v>
      </c>
      <c r="F569" s="36"/>
      <c r="G569" s="36">
        <v>0</v>
      </c>
      <c r="H569" s="36"/>
      <c r="I569" s="36">
        <v>880.27</v>
      </c>
      <c r="J569" s="36"/>
      <c r="K569" s="36">
        <v>0</v>
      </c>
      <c r="L569" s="36"/>
      <c r="M569" s="36">
        <v>597.73</v>
      </c>
      <c r="N569" s="36"/>
      <c r="O569" s="36">
        <v>0</v>
      </c>
      <c r="P569" s="36"/>
      <c r="Q569" s="36">
        <v>99042</v>
      </c>
      <c r="R569" s="36"/>
      <c r="S569" s="36">
        <v>5219.85</v>
      </c>
      <c r="T569" s="36"/>
      <c r="U569" s="36">
        <v>0</v>
      </c>
      <c r="V569" s="36"/>
      <c r="W569" s="36">
        <v>0</v>
      </c>
      <c r="X569" s="36"/>
      <c r="Y569" s="36">
        <v>0</v>
      </c>
      <c r="Z569" s="36"/>
      <c r="AA569" s="36">
        <v>0</v>
      </c>
      <c r="AB569" s="36"/>
      <c r="AC569" s="36">
        <v>0</v>
      </c>
      <c r="AD569" s="36"/>
      <c r="AE569" s="36">
        <f t="shared" si="213"/>
        <v>157256.83000000002</v>
      </c>
      <c r="AF569" s="36"/>
      <c r="AG569" s="36">
        <v>-57236.27</v>
      </c>
      <c r="AH569" s="36"/>
      <c r="AI569" s="36">
        <v>175576.54</v>
      </c>
      <c r="AJ569" s="36"/>
      <c r="AK569" s="36">
        <v>118340.27</v>
      </c>
      <c r="AL569" s="24">
        <f>+'Gen Rev'!AI568-'Gen Exp'!AE569+'Gen Exp'!AI569-AK569</f>
        <v>0</v>
      </c>
      <c r="AM569" s="44" t="str">
        <f>'Gen Rev'!A568</f>
        <v>Seven Mile</v>
      </c>
      <c r="AN569" s="21" t="str">
        <f t="shared" si="202"/>
        <v>Seven Mile</v>
      </c>
      <c r="AO569" s="21" t="b">
        <f t="shared" si="203"/>
        <v>1</v>
      </c>
    </row>
    <row r="570" spans="1:41" ht="12.75">
      <c r="A570" s="1" t="s">
        <v>154</v>
      </c>
      <c r="C570" s="1" t="s">
        <v>792</v>
      </c>
      <c r="D570" s="23"/>
      <c r="E570" s="36">
        <v>0</v>
      </c>
      <c r="F570" s="36"/>
      <c r="G570" s="36">
        <v>1176</v>
      </c>
      <c r="H570" s="36"/>
      <c r="I570" s="36">
        <v>77848.15</v>
      </c>
      <c r="J570" s="36"/>
      <c r="K570" s="36">
        <v>9508.3</v>
      </c>
      <c r="L570" s="36"/>
      <c r="M570" s="36">
        <v>0</v>
      </c>
      <c r="N570" s="36"/>
      <c r="O570" s="36">
        <v>0</v>
      </c>
      <c r="P570" s="36"/>
      <c r="Q570" s="36">
        <v>312000.09</v>
      </c>
      <c r="R570" s="36"/>
      <c r="S570" s="36">
        <v>0</v>
      </c>
      <c r="T570" s="36"/>
      <c r="U570" s="36">
        <v>0</v>
      </c>
      <c r="V570" s="36"/>
      <c r="W570" s="36">
        <v>0</v>
      </c>
      <c r="X570" s="36"/>
      <c r="Y570" s="36">
        <v>925451.1</v>
      </c>
      <c r="Z570" s="36"/>
      <c r="AA570" s="36">
        <v>0</v>
      </c>
      <c r="AB570" s="36"/>
      <c r="AC570" s="36">
        <v>0</v>
      </c>
      <c r="AD570" s="36"/>
      <c r="AE570" s="36">
        <f t="shared" si="213"/>
        <v>1325983.6400000001</v>
      </c>
      <c r="AF570" s="36"/>
      <c r="AG570" s="36">
        <v>358409.11</v>
      </c>
      <c r="AH570" s="36"/>
      <c r="AI570" s="36">
        <v>628107.18</v>
      </c>
      <c r="AJ570" s="36"/>
      <c r="AK570" s="36">
        <v>986516.29</v>
      </c>
      <c r="AL570" s="24">
        <f>+'Gen Rev'!AI569-'Gen Exp'!AE570+'Gen Exp'!AI570-AK570</f>
        <v>0</v>
      </c>
      <c r="AM570" s="44" t="str">
        <f>'Gen Rev'!A569</f>
        <v>Seville</v>
      </c>
      <c r="AN570" s="21" t="str">
        <f t="shared" si="202"/>
        <v>Seville</v>
      </c>
      <c r="AO570" s="21" t="b">
        <f t="shared" si="203"/>
        <v>1</v>
      </c>
    </row>
    <row r="571" spans="1:41" s="19" customFormat="1" ht="12.75">
      <c r="A571" s="10" t="s">
        <v>20</v>
      </c>
      <c r="B571" s="10"/>
      <c r="C571" s="10" t="s">
        <v>750</v>
      </c>
      <c r="D571" s="52"/>
      <c r="E571" s="36">
        <v>284399.61</v>
      </c>
      <c r="F571" s="36"/>
      <c r="G571" s="36">
        <v>14208.96</v>
      </c>
      <c r="H571" s="36"/>
      <c r="I571" s="36">
        <v>25914.13</v>
      </c>
      <c r="J571" s="36"/>
      <c r="K571" s="36">
        <v>0</v>
      </c>
      <c r="L571" s="36"/>
      <c r="M571" s="36">
        <v>0</v>
      </c>
      <c r="N571" s="36"/>
      <c r="O571" s="36">
        <v>40985.53</v>
      </c>
      <c r="P571" s="36"/>
      <c r="Q571" s="36">
        <v>209018.17</v>
      </c>
      <c r="R571" s="36"/>
      <c r="S571" s="36">
        <v>0</v>
      </c>
      <c r="T571" s="36"/>
      <c r="U571" s="36">
        <v>3184.65</v>
      </c>
      <c r="V571" s="36"/>
      <c r="W571" s="36">
        <v>899.45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f t="shared" si="213"/>
        <v>578610.5</v>
      </c>
      <c r="AF571" s="36"/>
      <c r="AG571" s="36">
        <v>128095.14</v>
      </c>
      <c r="AH571" s="36"/>
      <c r="AI571" s="36">
        <v>371501.39</v>
      </c>
      <c r="AJ571" s="36"/>
      <c r="AK571" s="36">
        <v>499596.53</v>
      </c>
      <c r="AL571" s="24">
        <f>+'Gen Rev'!AI570-'Gen Exp'!AE571+'Gen Exp'!AI571-AK571</f>
        <v>0</v>
      </c>
      <c r="AM571" s="44" t="str">
        <f>'Gen Rev'!A570</f>
        <v>Shadyside</v>
      </c>
      <c r="AN571" s="21" t="str">
        <f t="shared" si="202"/>
        <v>Shadyside</v>
      </c>
      <c r="AO571" s="21" t="b">
        <f t="shared" si="203"/>
        <v>1</v>
      </c>
    </row>
    <row r="572" spans="1:41" ht="12.75">
      <c r="A572" s="1" t="s">
        <v>187</v>
      </c>
      <c r="C572" s="1" t="s">
        <v>433</v>
      </c>
      <c r="D572" s="23"/>
      <c r="E572" s="36">
        <v>32228.83</v>
      </c>
      <c r="F572" s="36"/>
      <c r="G572" s="36">
        <v>321.64</v>
      </c>
      <c r="H572" s="36"/>
      <c r="I572" s="36">
        <v>0</v>
      </c>
      <c r="J572" s="36"/>
      <c r="K572" s="36">
        <v>0</v>
      </c>
      <c r="L572" s="36"/>
      <c r="M572" s="36">
        <v>0</v>
      </c>
      <c r="N572" s="36"/>
      <c r="O572" s="36">
        <v>167.7</v>
      </c>
      <c r="P572" s="36"/>
      <c r="Q572" s="36">
        <v>41636.53</v>
      </c>
      <c r="R572" s="36"/>
      <c r="S572" s="36">
        <v>0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94951</v>
      </c>
      <c r="AD572" s="36"/>
      <c r="AE572" s="36">
        <f t="shared" si="213"/>
        <v>169305.7</v>
      </c>
      <c r="AF572" s="36"/>
      <c r="AG572" s="36">
        <v>14464.96</v>
      </c>
      <c r="AH572" s="36"/>
      <c r="AI572" s="36">
        <v>59210.23</v>
      </c>
      <c r="AJ572" s="36"/>
      <c r="AK572" s="36">
        <v>73675.19</v>
      </c>
      <c r="AL572" s="24">
        <f>+'Gen Rev'!AI571-'Gen Exp'!AE572+'Gen Exp'!AI572-AK572</f>
        <v>0</v>
      </c>
      <c r="AM572" s="44" t="str">
        <f>'Gen Rev'!A571</f>
        <v>Shawnee</v>
      </c>
      <c r="AN572" s="21" t="str">
        <f t="shared" si="202"/>
        <v>Shawnee</v>
      </c>
      <c r="AO572" s="21" t="b">
        <f t="shared" si="203"/>
        <v>1</v>
      </c>
    </row>
    <row r="573" spans="1:41" s="21" customFormat="1" ht="12.6" customHeight="1">
      <c r="A573" s="1" t="s">
        <v>345</v>
      </c>
      <c r="B573" s="1"/>
      <c r="C573" s="1" t="s">
        <v>343</v>
      </c>
      <c r="D573" s="1"/>
      <c r="E573" s="36">
        <v>215075.56</v>
      </c>
      <c r="F573" s="36"/>
      <c r="G573" s="36">
        <v>0</v>
      </c>
      <c r="H573" s="36"/>
      <c r="I573" s="36">
        <v>0</v>
      </c>
      <c r="J573" s="36"/>
      <c r="K573" s="36">
        <v>44426.79</v>
      </c>
      <c r="L573" s="36"/>
      <c r="M573" s="36">
        <v>0</v>
      </c>
      <c r="N573" s="36"/>
      <c r="O573" s="36">
        <v>0</v>
      </c>
      <c r="P573" s="36"/>
      <c r="Q573" s="36">
        <v>209380.55</v>
      </c>
      <c r="R573" s="36"/>
      <c r="S573" s="36">
        <v>0</v>
      </c>
      <c r="T573" s="36"/>
      <c r="U573" s="36">
        <v>0</v>
      </c>
      <c r="V573" s="36"/>
      <c r="W573" s="36">
        <v>0</v>
      </c>
      <c r="X573" s="36"/>
      <c r="Y573" s="36">
        <v>0</v>
      </c>
      <c r="Z573" s="36"/>
      <c r="AA573" s="36">
        <v>0</v>
      </c>
      <c r="AB573" s="36"/>
      <c r="AC573" s="36">
        <v>0</v>
      </c>
      <c r="AD573" s="36"/>
      <c r="AE573" s="36">
        <f aca="true" t="shared" si="214" ref="AE573">SUM(E573:AC573)</f>
        <v>468882.9</v>
      </c>
      <c r="AF573" s="36"/>
      <c r="AG573" s="36">
        <v>97948.11</v>
      </c>
      <c r="AH573" s="36"/>
      <c r="AI573" s="36">
        <v>101083.18</v>
      </c>
      <c r="AJ573" s="36"/>
      <c r="AK573" s="36">
        <v>199031.29</v>
      </c>
      <c r="AL573" s="24">
        <f>+'Gen Rev'!AI572-'Gen Exp'!AE573+'Gen Exp'!AI573-AK573</f>
        <v>0</v>
      </c>
      <c r="AM573" s="44" t="str">
        <f>'Gen Rev'!A572</f>
        <v>Shawnee Hills</v>
      </c>
      <c r="AN573" s="21" t="str">
        <f t="shared" si="202"/>
        <v>Shawnee Hills</v>
      </c>
      <c r="AO573" s="21" t="b">
        <f t="shared" si="203"/>
        <v>1</v>
      </c>
    </row>
    <row r="574" spans="1:41" ht="12.75">
      <c r="A574" s="1" t="s">
        <v>452</v>
      </c>
      <c r="C574" s="1" t="s">
        <v>451</v>
      </c>
      <c r="E574" s="83">
        <v>2710282</v>
      </c>
      <c r="F574" s="83"/>
      <c r="G574" s="83">
        <v>0</v>
      </c>
      <c r="H574" s="83"/>
      <c r="I574" s="83">
        <v>0</v>
      </c>
      <c r="J574" s="83"/>
      <c r="K574" s="83">
        <v>0</v>
      </c>
      <c r="L574" s="83"/>
      <c r="M574" s="83">
        <v>0</v>
      </c>
      <c r="N574" s="83"/>
      <c r="O574" s="83">
        <v>0</v>
      </c>
      <c r="P574" s="83"/>
      <c r="Q574" s="83">
        <v>883179.19</v>
      </c>
      <c r="R574" s="83"/>
      <c r="S574" s="83">
        <v>415167.45</v>
      </c>
      <c r="T574" s="83"/>
      <c r="U574" s="83">
        <v>0</v>
      </c>
      <c r="V574" s="83"/>
      <c r="W574" s="83">
        <v>0</v>
      </c>
      <c r="X574" s="83"/>
      <c r="Y574" s="83">
        <v>616217.71</v>
      </c>
      <c r="Z574" s="83"/>
      <c r="AA574" s="83">
        <v>0</v>
      </c>
      <c r="AB574" s="83"/>
      <c r="AC574" s="83">
        <v>0</v>
      </c>
      <c r="AD574" s="83"/>
      <c r="AE574" s="83">
        <f t="shared" si="204"/>
        <v>4624846.35</v>
      </c>
      <c r="AF574" s="83"/>
      <c r="AG574" s="83">
        <v>422812.85</v>
      </c>
      <c r="AH574" s="83"/>
      <c r="AI574" s="83">
        <v>659617.52</v>
      </c>
      <c r="AJ574" s="83"/>
      <c r="AK574" s="83">
        <v>1082430.37</v>
      </c>
      <c r="AL574" s="24">
        <f>+'Gen Rev'!AI573-'Gen Exp'!AE574+'Gen Exp'!AI574-AK574</f>
        <v>0</v>
      </c>
      <c r="AM574" s="44" t="str">
        <f>'Gen Rev'!A573</f>
        <v>Sheffield</v>
      </c>
      <c r="AN574" s="21" t="str">
        <f t="shared" si="202"/>
        <v>Sheffield</v>
      </c>
      <c r="AO574" s="21" t="b">
        <f t="shared" si="203"/>
        <v>1</v>
      </c>
    </row>
    <row r="575" spans="1:41" s="21" customFormat="1" ht="12.75">
      <c r="A575" s="1" t="s">
        <v>31</v>
      </c>
      <c r="B575" s="1"/>
      <c r="C575" s="1" t="s">
        <v>753</v>
      </c>
      <c r="D575" s="23"/>
      <c r="E575" s="95">
        <v>28152.13</v>
      </c>
      <c r="F575" s="95"/>
      <c r="G575" s="95">
        <v>0</v>
      </c>
      <c r="H575" s="95"/>
      <c r="I575" s="95">
        <v>7823.51</v>
      </c>
      <c r="J575" s="95"/>
      <c r="K575" s="95">
        <v>0</v>
      </c>
      <c r="L575" s="95"/>
      <c r="M575" s="95">
        <v>7746.52</v>
      </c>
      <c r="N575" s="95"/>
      <c r="O575" s="95">
        <v>0</v>
      </c>
      <c r="P575" s="95"/>
      <c r="Q575" s="95">
        <v>19377.66</v>
      </c>
      <c r="R575" s="95"/>
      <c r="S575" s="95">
        <v>0</v>
      </c>
      <c r="T575" s="95"/>
      <c r="U575" s="95">
        <v>0</v>
      </c>
      <c r="V575" s="95"/>
      <c r="W575" s="95">
        <v>0</v>
      </c>
      <c r="X575" s="95"/>
      <c r="Y575" s="95">
        <v>0</v>
      </c>
      <c r="Z575" s="95"/>
      <c r="AA575" s="95">
        <v>0</v>
      </c>
      <c r="AB575" s="95"/>
      <c r="AC575" s="95">
        <v>2476.86</v>
      </c>
      <c r="AD575" s="95"/>
      <c r="AE575" s="95">
        <f aca="true" t="shared" si="215" ref="AE575">SUM(E575:AC575)</f>
        <v>65576.68000000001</v>
      </c>
      <c r="AF575" s="95"/>
      <c r="AG575" s="95">
        <v>11484.85</v>
      </c>
      <c r="AH575" s="95"/>
      <c r="AI575" s="95">
        <v>61996.03</v>
      </c>
      <c r="AJ575" s="95"/>
      <c r="AK575" s="95">
        <v>73480.88</v>
      </c>
      <c r="AL575" s="24">
        <f>+'Gen Rev'!AI574-'Gen Exp'!AE575+'Gen Exp'!AI575-AK575</f>
        <v>0</v>
      </c>
      <c r="AM575" s="44" t="str">
        <f>'Gen Rev'!A574</f>
        <v>Sherrodsville</v>
      </c>
      <c r="AN575" s="21" t="str">
        <f t="shared" si="202"/>
        <v>Sherrodsville</v>
      </c>
      <c r="AO575" s="21" t="b">
        <f t="shared" si="203"/>
        <v>1</v>
      </c>
    </row>
    <row r="576" spans="1:41" ht="12.75">
      <c r="A576" s="1" t="s">
        <v>56</v>
      </c>
      <c r="C576" s="1" t="s">
        <v>763</v>
      </c>
      <c r="D576" s="23"/>
      <c r="E576" s="36">
        <v>48604</v>
      </c>
      <c r="F576" s="36"/>
      <c r="G576" s="36">
        <v>2088.42</v>
      </c>
      <c r="H576" s="36"/>
      <c r="I576" s="36">
        <v>721.21</v>
      </c>
      <c r="J576" s="36"/>
      <c r="K576" s="36">
        <v>538.25</v>
      </c>
      <c r="L576" s="36"/>
      <c r="M576" s="36">
        <v>0</v>
      </c>
      <c r="N576" s="36"/>
      <c r="O576" s="36">
        <v>0</v>
      </c>
      <c r="P576" s="36"/>
      <c r="Q576" s="36">
        <v>102467.88</v>
      </c>
      <c r="R576" s="36"/>
      <c r="S576" s="36">
        <v>399.5</v>
      </c>
      <c r="T576" s="36"/>
      <c r="U576" s="36">
        <v>0</v>
      </c>
      <c r="V576" s="36"/>
      <c r="W576" s="36">
        <v>0</v>
      </c>
      <c r="X576" s="36"/>
      <c r="Y576" s="36">
        <v>20810.74</v>
      </c>
      <c r="Z576" s="36"/>
      <c r="AA576" s="36">
        <v>0</v>
      </c>
      <c r="AB576" s="36"/>
      <c r="AC576" s="36">
        <v>0</v>
      </c>
      <c r="AD576" s="36"/>
      <c r="AE576" s="36">
        <f aca="true" t="shared" si="216" ref="AE576">SUM(E576:AC576)</f>
        <v>175630</v>
      </c>
      <c r="AF576" s="36"/>
      <c r="AG576" s="36">
        <v>-2421.93</v>
      </c>
      <c r="AH576" s="36"/>
      <c r="AI576" s="36">
        <v>85257.75</v>
      </c>
      <c r="AJ576" s="36"/>
      <c r="AK576" s="36">
        <v>82835.82</v>
      </c>
      <c r="AL576" s="24">
        <f>+'Gen Rev'!AI575-'Gen Exp'!AE576+'Gen Exp'!AI576-AK576</f>
        <v>0</v>
      </c>
      <c r="AM576" s="44" t="str">
        <f>'Gen Rev'!A575</f>
        <v>Sherwood</v>
      </c>
      <c r="AN576" s="21" t="str">
        <f t="shared" si="202"/>
        <v>Sherwood</v>
      </c>
      <c r="AO576" s="21" t="b">
        <f t="shared" si="203"/>
        <v>1</v>
      </c>
    </row>
    <row r="577" spans="1:41" s="38" customFormat="1" ht="12.75">
      <c r="A577" s="38" t="s">
        <v>523</v>
      </c>
      <c r="C577" s="38" t="s">
        <v>520</v>
      </c>
      <c r="E577" s="83">
        <v>15000</v>
      </c>
      <c r="F577" s="83"/>
      <c r="G577" s="83">
        <v>585</v>
      </c>
      <c r="H577" s="83"/>
      <c r="I577" s="83">
        <v>669</v>
      </c>
      <c r="J577" s="83"/>
      <c r="K577" s="83">
        <v>1385</v>
      </c>
      <c r="L577" s="83"/>
      <c r="M577" s="83">
        <v>978</v>
      </c>
      <c r="N577" s="83"/>
      <c r="O577" s="83">
        <v>35056</v>
      </c>
      <c r="P577" s="83"/>
      <c r="Q577" s="83">
        <v>39193</v>
      </c>
      <c r="R577" s="83"/>
      <c r="S577" s="83">
        <v>0</v>
      </c>
      <c r="T577" s="83"/>
      <c r="U577" s="83">
        <v>3487</v>
      </c>
      <c r="V577" s="83"/>
      <c r="W577" s="83">
        <v>0</v>
      </c>
      <c r="X577" s="83"/>
      <c r="Y577" s="83">
        <v>0</v>
      </c>
      <c r="Z577" s="83"/>
      <c r="AA577" s="83">
        <v>0</v>
      </c>
      <c r="AB577" s="83"/>
      <c r="AC577" s="83">
        <v>0</v>
      </c>
      <c r="AD577" s="83"/>
      <c r="AE577" s="83">
        <f t="shared" si="204"/>
        <v>96353</v>
      </c>
      <c r="AF577" s="83"/>
      <c r="AG577" s="83">
        <v>15989</v>
      </c>
      <c r="AH577" s="83"/>
      <c r="AI577" s="83">
        <v>23461</v>
      </c>
      <c r="AJ577" s="83"/>
      <c r="AK577" s="83">
        <v>39450</v>
      </c>
      <c r="AL577" s="24">
        <f>+'Gen Rev'!AI576-'Gen Exp'!AE577+'Gen Exp'!AI577-AK577</f>
        <v>0</v>
      </c>
      <c r="AM577" s="44" t="str">
        <f>'Gen Rev'!A576</f>
        <v>Shiloh</v>
      </c>
      <c r="AN577" s="21" t="str">
        <f t="shared" si="202"/>
        <v>Shiloh</v>
      </c>
      <c r="AO577" s="21" t="b">
        <f t="shared" si="203"/>
        <v>1</v>
      </c>
    </row>
    <row r="578" spans="1:41" s="15" customFormat="1" ht="12.75">
      <c r="A578" s="15" t="s">
        <v>913</v>
      </c>
      <c r="C578" s="15" t="s">
        <v>590</v>
      </c>
      <c r="E578" s="85">
        <v>290577.8</v>
      </c>
      <c r="F578" s="85"/>
      <c r="G578" s="85">
        <v>0</v>
      </c>
      <c r="H578" s="85"/>
      <c r="I578" s="85">
        <v>0</v>
      </c>
      <c r="J578" s="85"/>
      <c r="K578" s="85">
        <v>0</v>
      </c>
      <c r="L578" s="85"/>
      <c r="M578" s="85">
        <v>0</v>
      </c>
      <c r="N578" s="85"/>
      <c r="O578" s="85">
        <v>36.95</v>
      </c>
      <c r="P578" s="85"/>
      <c r="Q578" s="85">
        <v>114991.07</v>
      </c>
      <c r="R578" s="85"/>
      <c r="S578" s="85">
        <v>0</v>
      </c>
      <c r="T578" s="85"/>
      <c r="U578" s="85">
        <v>0</v>
      </c>
      <c r="V578" s="85"/>
      <c r="W578" s="85">
        <v>0</v>
      </c>
      <c r="X578" s="85"/>
      <c r="Y578" s="85">
        <v>42775</v>
      </c>
      <c r="Z578" s="85"/>
      <c r="AA578" s="83">
        <v>0</v>
      </c>
      <c r="AB578" s="85"/>
      <c r="AC578" s="85">
        <v>13451.16</v>
      </c>
      <c r="AD578" s="85"/>
      <c r="AE578" s="83">
        <f t="shared" si="204"/>
        <v>461831.98</v>
      </c>
      <c r="AF578" s="85"/>
      <c r="AG578" s="85">
        <v>-4262.04</v>
      </c>
      <c r="AH578" s="85"/>
      <c r="AI578" s="85">
        <v>72938.74</v>
      </c>
      <c r="AJ578" s="85"/>
      <c r="AK578" s="85">
        <v>68676.7</v>
      </c>
      <c r="AL578" s="24">
        <f>+'Gen Rev'!AI577-'Gen Exp'!AE578+'Gen Exp'!AI578-AK578</f>
        <v>0</v>
      </c>
      <c r="AM578" s="44" t="str">
        <f>'Gen Rev'!A577</f>
        <v>Shreve</v>
      </c>
      <c r="AN578" s="21" t="str">
        <f t="shared" si="202"/>
        <v>Shreve</v>
      </c>
      <c r="AO578" s="21" t="b">
        <f t="shared" si="203"/>
        <v>1</v>
      </c>
    </row>
    <row r="579" spans="1:41" ht="12.75">
      <c r="A579" s="1" t="s">
        <v>556</v>
      </c>
      <c r="C579" s="1" t="s">
        <v>551</v>
      </c>
      <c r="E579" s="83">
        <v>1019350</v>
      </c>
      <c r="F579" s="83"/>
      <c r="G579" s="83">
        <v>29046</v>
      </c>
      <c r="H579" s="83"/>
      <c r="I579" s="83">
        <v>71658</v>
      </c>
      <c r="J579" s="83"/>
      <c r="K579" s="83">
        <v>2250</v>
      </c>
      <c r="L579" s="83"/>
      <c r="M579" s="83">
        <v>0</v>
      </c>
      <c r="N579" s="83"/>
      <c r="O579" s="83">
        <v>393416</v>
      </c>
      <c r="P579" s="83"/>
      <c r="Q579" s="83">
        <v>370806</v>
      </c>
      <c r="R579" s="83"/>
      <c r="S579" s="83">
        <v>0</v>
      </c>
      <c r="T579" s="83"/>
      <c r="U579" s="83">
        <v>0</v>
      </c>
      <c r="V579" s="83"/>
      <c r="W579" s="83">
        <v>0</v>
      </c>
      <c r="X579" s="83"/>
      <c r="Y579" s="83">
        <v>316300</v>
      </c>
      <c r="Z579" s="83"/>
      <c r="AA579" s="83">
        <v>0</v>
      </c>
      <c r="AB579" s="83"/>
      <c r="AC579" s="83">
        <v>0</v>
      </c>
      <c r="AD579" s="83"/>
      <c r="AE579" s="83">
        <f t="shared" si="204"/>
        <v>2202826</v>
      </c>
      <c r="AF579" s="83"/>
      <c r="AG579" s="83">
        <v>86660</v>
      </c>
      <c r="AH579" s="83"/>
      <c r="AI579" s="83">
        <v>1316656</v>
      </c>
      <c r="AJ579" s="83"/>
      <c r="AK579" s="83">
        <v>1403316</v>
      </c>
      <c r="AL579" s="24">
        <f>+'Gen Rev'!AI578-'Gen Exp'!AE579+'Gen Exp'!AI579-AK579</f>
        <v>0</v>
      </c>
      <c r="AM579" s="44" t="str">
        <f>'Gen Rev'!A578</f>
        <v>Silver Lake</v>
      </c>
      <c r="AN579" s="21" t="str">
        <f t="shared" si="202"/>
        <v>Silver Lake</v>
      </c>
      <c r="AO579" s="21" t="b">
        <f t="shared" si="203"/>
        <v>1</v>
      </c>
    </row>
    <row r="580" spans="1:41" ht="12.75">
      <c r="A580" s="1" t="s">
        <v>962</v>
      </c>
      <c r="C580" s="1" t="s">
        <v>378</v>
      </c>
      <c r="E580" s="83">
        <v>1485623</v>
      </c>
      <c r="F580" s="83"/>
      <c r="G580" s="83">
        <v>5051</v>
      </c>
      <c r="H580" s="83"/>
      <c r="I580" s="83">
        <v>3018</v>
      </c>
      <c r="J580" s="83"/>
      <c r="K580" s="83">
        <v>483290</v>
      </c>
      <c r="L580" s="83"/>
      <c r="M580" s="83">
        <v>0</v>
      </c>
      <c r="N580" s="83"/>
      <c r="O580" s="83">
        <v>0</v>
      </c>
      <c r="P580" s="83"/>
      <c r="Q580" s="83">
        <v>600849</v>
      </c>
      <c r="R580" s="83"/>
      <c r="S580" s="83">
        <v>0</v>
      </c>
      <c r="T580" s="83"/>
      <c r="U580" s="83">
        <v>5544</v>
      </c>
      <c r="V580" s="83"/>
      <c r="W580" s="83">
        <v>0</v>
      </c>
      <c r="X580" s="83"/>
      <c r="Y580" s="83">
        <v>317578</v>
      </c>
      <c r="Z580" s="83"/>
      <c r="AA580" s="83">
        <v>0</v>
      </c>
      <c r="AB580" s="83"/>
      <c r="AC580" s="83">
        <v>0</v>
      </c>
      <c r="AD580" s="83"/>
      <c r="AE580" s="83">
        <f t="shared" si="204"/>
        <v>2900953</v>
      </c>
      <c r="AF580" s="83"/>
      <c r="AG580" s="83">
        <v>-41068</v>
      </c>
      <c r="AH580" s="83"/>
      <c r="AI580" s="83">
        <v>1478906</v>
      </c>
      <c r="AJ580" s="83"/>
      <c r="AK580" s="83">
        <v>1437838</v>
      </c>
      <c r="AL580" s="24">
        <f>+'Gen Rev'!AI579-'Gen Exp'!AE580+'Gen Exp'!AI580-AK580</f>
        <v>0</v>
      </c>
      <c r="AM580" s="44" t="str">
        <f>'Gen Rev'!A579</f>
        <v>Silverton</v>
      </c>
      <c r="AN580" s="21" t="str">
        <f aca="true" t="shared" si="217" ref="AN580">A580</f>
        <v>Silverton</v>
      </c>
      <c r="AO580" s="21" t="b">
        <f aca="true" t="shared" si="218" ref="AO580">AM580=AN580</f>
        <v>1</v>
      </c>
    </row>
    <row r="581" spans="1:41" s="21" customFormat="1" ht="12.75">
      <c r="A581" s="1" t="s">
        <v>411</v>
      </c>
      <c r="B581" s="1"/>
      <c r="C581" s="1" t="s">
        <v>409</v>
      </c>
      <c r="D581" s="1"/>
      <c r="E581" s="83">
        <v>4773</v>
      </c>
      <c r="F581" s="83"/>
      <c r="G581" s="83">
        <v>2501</v>
      </c>
      <c r="H581" s="83"/>
      <c r="I581" s="83">
        <v>0</v>
      </c>
      <c r="J581" s="83"/>
      <c r="K581" s="83">
        <v>0</v>
      </c>
      <c r="L581" s="83"/>
      <c r="M581" s="83">
        <v>0</v>
      </c>
      <c r="N581" s="83"/>
      <c r="O581" s="83">
        <v>0</v>
      </c>
      <c r="P581" s="83"/>
      <c r="Q581" s="83">
        <v>11727</v>
      </c>
      <c r="R581" s="83"/>
      <c r="S581" s="83">
        <v>0</v>
      </c>
      <c r="T581" s="83"/>
      <c r="U581" s="83">
        <v>0</v>
      </c>
      <c r="V581" s="83"/>
      <c r="W581" s="83">
        <v>0</v>
      </c>
      <c r="X581" s="83"/>
      <c r="Y581" s="83">
        <v>0</v>
      </c>
      <c r="Z581" s="83"/>
      <c r="AA581" s="83">
        <v>0</v>
      </c>
      <c r="AB581" s="83"/>
      <c r="AC581" s="83">
        <v>0</v>
      </c>
      <c r="AD581" s="83"/>
      <c r="AE581" s="83">
        <f t="shared" si="204"/>
        <v>19001</v>
      </c>
      <c r="AF581" s="83"/>
      <c r="AG581" s="83"/>
      <c r="AH581" s="83"/>
      <c r="AI581" s="83">
        <v>70868</v>
      </c>
      <c r="AJ581" s="83"/>
      <c r="AK581" s="83">
        <v>81475</v>
      </c>
      <c r="AL581" s="24">
        <f>+'Gen Rev'!AI580-'Gen Exp'!AE581+'Gen Exp'!AI581-AK581</f>
        <v>-5</v>
      </c>
      <c r="AM581" s="44" t="str">
        <f>'Gen Rev'!A580</f>
        <v>Sinking Spring</v>
      </c>
      <c r="AN581" s="21" t="str">
        <f t="shared" si="202"/>
        <v>Sinking Spring</v>
      </c>
      <c r="AO581" s="21" t="b">
        <f t="shared" si="203"/>
        <v>1</v>
      </c>
    </row>
    <row r="582" spans="1:41" s="15" customFormat="1" ht="12.75">
      <c r="A582" s="15" t="s">
        <v>596</v>
      </c>
      <c r="C582" s="15" t="s">
        <v>590</v>
      </c>
      <c r="E582" s="85">
        <v>299509</v>
      </c>
      <c r="F582" s="85"/>
      <c r="G582" s="85">
        <v>18454</v>
      </c>
      <c r="H582" s="85"/>
      <c r="I582" s="85">
        <v>39364</v>
      </c>
      <c r="J582" s="85"/>
      <c r="K582" s="85">
        <v>13206</v>
      </c>
      <c r="L582" s="85"/>
      <c r="M582" s="85">
        <v>0</v>
      </c>
      <c r="N582" s="85"/>
      <c r="O582" s="85">
        <v>0</v>
      </c>
      <c r="P582" s="85"/>
      <c r="Q582" s="85">
        <v>123200</v>
      </c>
      <c r="R582" s="85"/>
      <c r="S582" s="85">
        <v>0</v>
      </c>
      <c r="T582" s="85"/>
      <c r="U582" s="85">
        <v>0</v>
      </c>
      <c r="V582" s="85"/>
      <c r="W582" s="85">
        <v>0</v>
      </c>
      <c r="X582" s="85"/>
      <c r="Y582" s="85">
        <v>0</v>
      </c>
      <c r="Z582" s="85"/>
      <c r="AA582" s="83">
        <v>0</v>
      </c>
      <c r="AB582" s="85"/>
      <c r="AC582" s="85">
        <v>170000</v>
      </c>
      <c r="AD582" s="85"/>
      <c r="AE582" s="83">
        <f t="shared" si="204"/>
        <v>663733</v>
      </c>
      <c r="AF582" s="85"/>
      <c r="AG582" s="85">
        <v>38973</v>
      </c>
      <c r="AH582" s="85"/>
      <c r="AI582" s="85">
        <v>760425</v>
      </c>
      <c r="AJ582" s="85"/>
      <c r="AK582" s="85">
        <v>799399</v>
      </c>
      <c r="AL582" s="24">
        <f>+'Gen Rev'!AI581-'Gen Exp'!AE582+'Gen Exp'!AI582-AK582</f>
        <v>-1</v>
      </c>
      <c r="AM582" s="44" t="str">
        <f>'Gen Rev'!A581</f>
        <v>Smithville</v>
      </c>
      <c r="AN582" s="21" t="str">
        <f t="shared" si="202"/>
        <v>Smithville</v>
      </c>
      <c r="AO582" s="21" t="b">
        <f t="shared" si="203"/>
        <v>1</v>
      </c>
    </row>
    <row r="583" spans="1:41" s="10" customFormat="1" ht="12.75">
      <c r="A583" s="10" t="s">
        <v>503</v>
      </c>
      <c r="C583" s="10" t="s">
        <v>501</v>
      </c>
      <c r="E583" s="83">
        <v>73379.65</v>
      </c>
      <c r="F583" s="83"/>
      <c r="G583" s="83">
        <v>0</v>
      </c>
      <c r="H583" s="83"/>
      <c r="I583" s="83">
        <v>1500</v>
      </c>
      <c r="J583" s="83"/>
      <c r="K583" s="83">
        <v>61.5</v>
      </c>
      <c r="L583" s="83"/>
      <c r="M583" s="83">
        <v>0</v>
      </c>
      <c r="N583" s="83"/>
      <c r="O583" s="83">
        <v>0</v>
      </c>
      <c r="P583" s="83"/>
      <c r="Q583" s="83">
        <v>43043.76</v>
      </c>
      <c r="R583" s="83"/>
      <c r="S583" s="83">
        <v>48457.15</v>
      </c>
      <c r="T583" s="83"/>
      <c r="U583" s="83">
        <v>0</v>
      </c>
      <c r="V583" s="83"/>
      <c r="W583" s="83">
        <v>0</v>
      </c>
      <c r="X583" s="83"/>
      <c r="Y583" s="83">
        <v>0</v>
      </c>
      <c r="Z583" s="83"/>
      <c r="AA583" s="83">
        <v>0</v>
      </c>
      <c r="AB583" s="83"/>
      <c r="AC583" s="83">
        <v>81.77</v>
      </c>
      <c r="AD583" s="83"/>
      <c r="AE583" s="83">
        <f t="shared" si="204"/>
        <v>166523.83</v>
      </c>
      <c r="AF583" s="83"/>
      <c r="AG583" s="83">
        <v>-12206.2</v>
      </c>
      <c r="AH583" s="83"/>
      <c r="AI583" s="83">
        <v>350186.4</v>
      </c>
      <c r="AJ583" s="83"/>
      <c r="AK583" s="83">
        <v>337980.2</v>
      </c>
      <c r="AL583" s="24">
        <f>+'Gen Rev'!AI582-'Gen Exp'!AE583+'Gen Exp'!AI583-AK583</f>
        <v>0</v>
      </c>
      <c r="AM583" s="44" t="str">
        <f>'Gen Rev'!A582</f>
        <v>Somerset</v>
      </c>
      <c r="AN583" s="21" t="str">
        <f t="shared" si="202"/>
        <v>Somerset</v>
      </c>
      <c r="AO583" s="21" t="b">
        <f t="shared" si="203"/>
        <v>1</v>
      </c>
    </row>
    <row r="584" spans="1:41" s="10" customFormat="1" ht="12.75">
      <c r="A584" s="10" t="s">
        <v>955</v>
      </c>
      <c r="C584" s="10" t="s">
        <v>519</v>
      </c>
      <c r="E584" s="36">
        <v>10437.73</v>
      </c>
      <c r="F584" s="36"/>
      <c r="G584" s="36">
        <v>0</v>
      </c>
      <c r="H584" s="36"/>
      <c r="I584" s="36">
        <v>0</v>
      </c>
      <c r="J584" s="36"/>
      <c r="K584" s="36">
        <v>0</v>
      </c>
      <c r="L584" s="36"/>
      <c r="M584" s="36">
        <v>0</v>
      </c>
      <c r="N584" s="36"/>
      <c r="O584" s="36">
        <v>0</v>
      </c>
      <c r="P584" s="36"/>
      <c r="Q584" s="36">
        <v>9900.07</v>
      </c>
      <c r="R584" s="36"/>
      <c r="S584" s="36">
        <v>0</v>
      </c>
      <c r="T584" s="36"/>
      <c r="U584" s="36">
        <v>0</v>
      </c>
      <c r="V584" s="36"/>
      <c r="W584" s="36">
        <v>0</v>
      </c>
      <c r="X584" s="36"/>
      <c r="Y584" s="36">
        <v>0</v>
      </c>
      <c r="Z584" s="36"/>
      <c r="AA584" s="36">
        <v>0</v>
      </c>
      <c r="AB584" s="36"/>
      <c r="AC584" s="36">
        <v>0</v>
      </c>
      <c r="AD584" s="36"/>
      <c r="AE584" s="36">
        <f aca="true" t="shared" si="219" ref="AE584">SUM(E584:AC584)</f>
        <v>20337.8</v>
      </c>
      <c r="AF584" s="36"/>
      <c r="AG584" s="36">
        <v>7872.71</v>
      </c>
      <c r="AH584" s="36"/>
      <c r="AI584" s="36">
        <v>9598.3</v>
      </c>
      <c r="AJ584" s="36"/>
      <c r="AK584" s="36">
        <v>17471.01</v>
      </c>
      <c r="AL584" s="24">
        <f>+'Gen Rev'!AI583-'Gen Exp'!AE584+'Gen Exp'!AI584-AK584</f>
        <v>0</v>
      </c>
      <c r="AM584" s="44" t="str">
        <f>'Gen Rev'!A583</f>
        <v>Somerville</v>
      </c>
      <c r="AN584" s="21" t="str">
        <f t="shared" si="202"/>
        <v>Somerville</v>
      </c>
      <c r="AO584" s="21" t="b">
        <f t="shared" si="203"/>
        <v>1</v>
      </c>
    </row>
    <row r="585" spans="1:41" s="15" customFormat="1" ht="12.75" hidden="1">
      <c r="A585" s="15" t="s">
        <v>915</v>
      </c>
      <c r="C585" s="15" t="s">
        <v>451</v>
      </c>
      <c r="D585" s="28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3"/>
      <c r="AB585" s="85"/>
      <c r="AC585" s="85"/>
      <c r="AD585" s="85"/>
      <c r="AE585" s="83">
        <f t="shared" si="204"/>
        <v>0</v>
      </c>
      <c r="AF585" s="85"/>
      <c r="AG585" s="41"/>
      <c r="AH585" s="41"/>
      <c r="AI585" s="41"/>
      <c r="AJ585" s="41"/>
      <c r="AK585" s="41"/>
      <c r="AL585" s="24">
        <f>+'Gen Rev'!AI584-'Gen Exp'!AE585+'Gen Exp'!AI585-AK585</f>
        <v>0</v>
      </c>
      <c r="AM585" s="44" t="str">
        <f>'Gen Rev'!A584</f>
        <v>South Amherst</v>
      </c>
      <c r="AN585" s="21" t="str">
        <f t="shared" si="202"/>
        <v>South Amherst</v>
      </c>
      <c r="AO585" s="21" t="b">
        <f t="shared" si="203"/>
        <v>1</v>
      </c>
    </row>
    <row r="586" spans="1:41" s="15" customFormat="1" ht="12.75">
      <c r="A586" s="15" t="s">
        <v>268</v>
      </c>
      <c r="C586" s="15" t="s">
        <v>804</v>
      </c>
      <c r="D586" s="28"/>
      <c r="E586" s="36">
        <v>329258.17</v>
      </c>
      <c r="F586" s="36"/>
      <c r="G586" s="36">
        <v>9363.6</v>
      </c>
      <c r="H586" s="36"/>
      <c r="I586" s="36">
        <v>6955</v>
      </c>
      <c r="J586" s="36"/>
      <c r="K586" s="36">
        <v>7861.54</v>
      </c>
      <c r="L586" s="36"/>
      <c r="M586" s="36">
        <v>141847.33</v>
      </c>
      <c r="N586" s="36"/>
      <c r="O586" s="36">
        <v>61727</v>
      </c>
      <c r="P586" s="36"/>
      <c r="Q586" s="36">
        <v>155538.27</v>
      </c>
      <c r="R586" s="36"/>
      <c r="S586" s="36">
        <v>0</v>
      </c>
      <c r="T586" s="36"/>
      <c r="U586" s="36">
        <v>0</v>
      </c>
      <c r="V586" s="36"/>
      <c r="W586" s="36">
        <v>0</v>
      </c>
      <c r="X586" s="36"/>
      <c r="Y586" s="36">
        <v>0</v>
      </c>
      <c r="Z586" s="36"/>
      <c r="AA586" s="36">
        <v>0</v>
      </c>
      <c r="AB586" s="36"/>
      <c r="AC586" s="36">
        <v>1831.69</v>
      </c>
      <c r="AD586" s="36"/>
      <c r="AE586" s="36">
        <f aca="true" t="shared" si="220" ref="AE586:AE589">SUM(E586:AC586)</f>
        <v>714382.5999999999</v>
      </c>
      <c r="AF586" s="36"/>
      <c r="AG586" s="36">
        <v>-14756.06</v>
      </c>
      <c r="AH586" s="36"/>
      <c r="AI586" s="36">
        <v>324701.03</v>
      </c>
      <c r="AJ586" s="36"/>
      <c r="AK586" s="36">
        <v>309944.97</v>
      </c>
      <c r="AL586" s="24">
        <f>+'Gen Rev'!AI585-'Gen Exp'!AE586+'Gen Exp'!AI586-AK586</f>
        <v>0</v>
      </c>
      <c r="AM586" s="44" t="str">
        <f>'Gen Rev'!A585</f>
        <v>South Bloomfield</v>
      </c>
      <c r="AN586" s="21" t="str">
        <f t="shared" si="202"/>
        <v>South Bloomfield</v>
      </c>
      <c r="AO586" s="21" t="b">
        <f t="shared" si="203"/>
        <v>1</v>
      </c>
    </row>
    <row r="587" spans="1:41" ht="12.75">
      <c r="A587" s="1" t="s">
        <v>834</v>
      </c>
      <c r="C587" s="1" t="s">
        <v>755</v>
      </c>
      <c r="D587" s="23"/>
      <c r="E587" s="36">
        <v>176767.51</v>
      </c>
      <c r="F587" s="36"/>
      <c r="G587" s="36">
        <v>0</v>
      </c>
      <c r="H587" s="36"/>
      <c r="I587" s="36">
        <v>0</v>
      </c>
      <c r="J587" s="36"/>
      <c r="K587" s="36">
        <v>0</v>
      </c>
      <c r="L587" s="36"/>
      <c r="M587" s="36">
        <v>0</v>
      </c>
      <c r="N587" s="36"/>
      <c r="O587" s="36">
        <v>2345</v>
      </c>
      <c r="P587" s="36"/>
      <c r="Q587" s="36">
        <v>348437.87</v>
      </c>
      <c r="R587" s="36"/>
      <c r="S587" s="36">
        <v>18369.96</v>
      </c>
      <c r="T587" s="36"/>
      <c r="U587" s="36">
        <v>0</v>
      </c>
      <c r="V587" s="36"/>
      <c r="W587" s="36">
        <v>0</v>
      </c>
      <c r="X587" s="36"/>
      <c r="Y587" s="36">
        <v>0</v>
      </c>
      <c r="Z587" s="36"/>
      <c r="AA587" s="36">
        <v>0</v>
      </c>
      <c r="AB587" s="36"/>
      <c r="AC587" s="36">
        <v>0</v>
      </c>
      <c r="AD587" s="36"/>
      <c r="AE587" s="36">
        <f t="shared" si="220"/>
        <v>545920.34</v>
      </c>
      <c r="AF587" s="36"/>
      <c r="AG587" s="36">
        <v>60044.08</v>
      </c>
      <c r="AH587" s="36"/>
      <c r="AI587" s="36">
        <v>200434.98</v>
      </c>
      <c r="AJ587" s="36"/>
      <c r="AK587" s="36">
        <v>260479.06</v>
      </c>
      <c r="AL587" s="24">
        <f>+'Gen Rev'!AI586-'Gen Exp'!AE587+'Gen Exp'!AI587-AK587</f>
        <v>0</v>
      </c>
      <c r="AM587" s="44" t="str">
        <f>'Gen Rev'!A586</f>
        <v>South Charleston</v>
      </c>
      <c r="AN587" s="21" t="str">
        <f t="shared" si="202"/>
        <v>South Charleston</v>
      </c>
      <c r="AO587" s="21" t="b">
        <f t="shared" si="203"/>
        <v>1</v>
      </c>
    </row>
    <row r="588" spans="1:41" ht="12.75">
      <c r="A588" s="1" t="s">
        <v>584</v>
      </c>
      <c r="C588" s="1" t="s">
        <v>583</v>
      </c>
      <c r="E588" s="36">
        <v>562086.91</v>
      </c>
      <c r="F588" s="36"/>
      <c r="G588" s="36">
        <v>0</v>
      </c>
      <c r="H588" s="36"/>
      <c r="I588" s="36">
        <v>31962.47</v>
      </c>
      <c r="J588" s="36"/>
      <c r="K588" s="36">
        <v>0</v>
      </c>
      <c r="L588" s="36"/>
      <c r="M588" s="36">
        <v>0</v>
      </c>
      <c r="N588" s="36"/>
      <c r="O588" s="36">
        <v>0</v>
      </c>
      <c r="P588" s="36"/>
      <c r="Q588" s="36">
        <v>504958.9</v>
      </c>
      <c r="R588" s="36"/>
      <c r="S588" s="36">
        <v>16267.18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0</v>
      </c>
      <c r="AB588" s="36"/>
      <c r="AC588" s="36">
        <v>0</v>
      </c>
      <c r="AD588" s="36"/>
      <c r="AE588" s="36">
        <f t="shared" si="220"/>
        <v>1115275.46</v>
      </c>
      <c r="AF588" s="36"/>
      <c r="AG588" s="36">
        <v>288020.62</v>
      </c>
      <c r="AH588" s="36"/>
      <c r="AI588" s="36">
        <v>1349695.12</v>
      </c>
      <c r="AJ588" s="36"/>
      <c r="AK588" s="36">
        <v>1637715.74</v>
      </c>
      <c r="AL588" s="24">
        <f>+'Gen Rev'!AI587-'Gen Exp'!AE588+'Gen Exp'!AI588-AK588</f>
        <v>0</v>
      </c>
      <c r="AM588" s="44" t="str">
        <f>'Gen Rev'!A587</f>
        <v>South Lebanon</v>
      </c>
      <c r="AN588" s="21" t="str">
        <f t="shared" si="202"/>
        <v>South Lebanon</v>
      </c>
      <c r="AO588" s="21" t="b">
        <f t="shared" si="203"/>
        <v>1</v>
      </c>
    </row>
    <row r="589" spans="1:41" ht="12.75">
      <c r="A589" s="1" t="s">
        <v>128</v>
      </c>
      <c r="C589" s="1" t="s">
        <v>437</v>
      </c>
      <c r="E589" s="36">
        <v>289042.1</v>
      </c>
      <c r="F589" s="36"/>
      <c r="G589" s="36">
        <v>0</v>
      </c>
      <c r="H589" s="36"/>
      <c r="I589" s="36">
        <v>0</v>
      </c>
      <c r="J589" s="36"/>
      <c r="K589" s="36">
        <v>0</v>
      </c>
      <c r="L589" s="36"/>
      <c r="M589" s="36">
        <v>0</v>
      </c>
      <c r="N589" s="36"/>
      <c r="O589" s="36">
        <v>0</v>
      </c>
      <c r="P589" s="36"/>
      <c r="Q589" s="36">
        <v>65432.51</v>
      </c>
      <c r="R589" s="36"/>
      <c r="S589" s="36">
        <v>16941.75</v>
      </c>
      <c r="T589" s="36"/>
      <c r="U589" s="36">
        <v>0</v>
      </c>
      <c r="V589" s="36"/>
      <c r="W589" s="36">
        <v>0</v>
      </c>
      <c r="X589" s="36"/>
      <c r="Y589" s="36">
        <v>0</v>
      </c>
      <c r="Z589" s="36"/>
      <c r="AA589" s="36">
        <v>0</v>
      </c>
      <c r="AB589" s="36"/>
      <c r="AC589" s="36">
        <v>0</v>
      </c>
      <c r="AD589" s="36"/>
      <c r="AE589" s="36">
        <f t="shared" si="220"/>
        <v>371416.36</v>
      </c>
      <c r="AF589" s="36"/>
      <c r="AG589" s="36">
        <v>14466.91</v>
      </c>
      <c r="AH589" s="36"/>
      <c r="AI589" s="36">
        <v>118465.74</v>
      </c>
      <c r="AJ589" s="36"/>
      <c r="AK589" s="36">
        <v>132932.65</v>
      </c>
      <c r="AL589" s="24">
        <f>+'Gen Rev'!AI588-'Gen Exp'!AE589+'Gen Exp'!AI589-AK589</f>
        <v>0</v>
      </c>
      <c r="AM589" s="44" t="str">
        <f>'Gen Rev'!A588</f>
        <v>South Point</v>
      </c>
      <c r="AN589" s="21" t="str">
        <f t="shared" si="202"/>
        <v>South Point</v>
      </c>
      <c r="AO589" s="21" t="b">
        <f t="shared" si="203"/>
        <v>1</v>
      </c>
    </row>
    <row r="590" spans="1:41" ht="11.25" customHeight="1">
      <c r="A590" s="1" t="s">
        <v>369</v>
      </c>
      <c r="C590" s="1" t="s">
        <v>368</v>
      </c>
      <c r="E590" s="83">
        <v>343653</v>
      </c>
      <c r="F590" s="83"/>
      <c r="G590" s="83">
        <v>0</v>
      </c>
      <c r="H590" s="83"/>
      <c r="I590" s="83">
        <v>0</v>
      </c>
      <c r="J590" s="83"/>
      <c r="K590" s="83">
        <v>178150</v>
      </c>
      <c r="L590" s="83"/>
      <c r="M590" s="83">
        <v>0</v>
      </c>
      <c r="N590" s="83"/>
      <c r="O590" s="83">
        <v>0</v>
      </c>
      <c r="P590" s="83"/>
      <c r="Q590" s="83">
        <v>356815</v>
      </c>
      <c r="R590" s="83"/>
      <c r="S590" s="83">
        <v>0</v>
      </c>
      <c r="T590" s="83"/>
      <c r="U590" s="83">
        <v>0</v>
      </c>
      <c r="V590" s="83"/>
      <c r="W590" s="83">
        <v>0</v>
      </c>
      <c r="X590" s="83"/>
      <c r="Y590" s="83">
        <v>200000</v>
      </c>
      <c r="Z590" s="83"/>
      <c r="AA590" s="83">
        <v>0</v>
      </c>
      <c r="AB590" s="83"/>
      <c r="AC590" s="83">
        <v>0</v>
      </c>
      <c r="AD590" s="83"/>
      <c r="AE590" s="83">
        <f t="shared" si="204"/>
        <v>1078618</v>
      </c>
      <c r="AF590" s="83"/>
      <c r="AG590" s="83">
        <v>-2433</v>
      </c>
      <c r="AH590" s="83"/>
      <c r="AI590" s="83">
        <v>591394</v>
      </c>
      <c r="AJ590" s="83"/>
      <c r="AK590" s="83">
        <v>588961</v>
      </c>
      <c r="AL590" s="24">
        <f>+'Gen Rev'!AI589-'Gen Exp'!AE590+'Gen Exp'!AI590-AK590</f>
        <v>0</v>
      </c>
      <c r="AM590" s="44" t="str">
        <f>'Gen Rev'!A589</f>
        <v>South Russell</v>
      </c>
      <c r="AN590" s="21" t="str">
        <f t="shared" si="202"/>
        <v>South Russell</v>
      </c>
      <c r="AO590" s="21" t="b">
        <f t="shared" si="203"/>
        <v>1</v>
      </c>
    </row>
    <row r="591" spans="1:39" s="21" customFormat="1" ht="12" customHeight="1">
      <c r="A591" s="1"/>
      <c r="B591" s="1"/>
      <c r="C591" s="1"/>
      <c r="D591" s="2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 t="s">
        <v>864</v>
      </c>
      <c r="AF591" s="83"/>
      <c r="AG591" s="83"/>
      <c r="AH591" s="83"/>
      <c r="AI591" s="83"/>
      <c r="AJ591" s="83"/>
      <c r="AK591" s="83"/>
      <c r="AL591" s="24"/>
      <c r="AM591" s="44"/>
    </row>
    <row r="592" spans="1:41" ht="12.75">
      <c r="A592" s="1" t="s">
        <v>524</v>
      </c>
      <c r="C592" s="1" t="s">
        <v>525</v>
      </c>
      <c r="E592" s="102">
        <v>4427.43</v>
      </c>
      <c r="F592" s="102"/>
      <c r="G592" s="102">
        <v>0</v>
      </c>
      <c r="H592" s="102"/>
      <c r="I592" s="102">
        <v>0</v>
      </c>
      <c r="J592" s="102"/>
      <c r="K592" s="102">
        <v>0</v>
      </c>
      <c r="L592" s="102"/>
      <c r="M592" s="102">
        <v>0</v>
      </c>
      <c r="N592" s="102"/>
      <c r="O592" s="102">
        <v>1364.4</v>
      </c>
      <c r="P592" s="102"/>
      <c r="Q592" s="102">
        <v>18369.49</v>
      </c>
      <c r="R592" s="102"/>
      <c r="S592" s="102">
        <v>0</v>
      </c>
      <c r="T592" s="102"/>
      <c r="U592" s="102">
        <v>0</v>
      </c>
      <c r="V592" s="102"/>
      <c r="W592" s="102">
        <v>0</v>
      </c>
      <c r="X592" s="102"/>
      <c r="Y592" s="102">
        <v>0</v>
      </c>
      <c r="Z592" s="102"/>
      <c r="AA592" s="102">
        <v>0</v>
      </c>
      <c r="AB592" s="102"/>
      <c r="AC592" s="102">
        <v>0</v>
      </c>
      <c r="AD592" s="102"/>
      <c r="AE592" s="102">
        <f aca="true" t="shared" si="221" ref="AE592">SUM(E592:AC592)</f>
        <v>24161.32</v>
      </c>
      <c r="AF592" s="95"/>
      <c r="AG592" s="95">
        <v>6128.96</v>
      </c>
      <c r="AH592" s="95"/>
      <c r="AI592" s="95">
        <v>86922.35</v>
      </c>
      <c r="AJ592" s="95"/>
      <c r="AK592" s="95">
        <v>93051.31</v>
      </c>
      <c r="AL592" s="24">
        <f>+'Gen Rev'!AI590-'Gen Exp'!AE592+'Gen Exp'!AI592-AK592</f>
        <v>0</v>
      </c>
      <c r="AM592" s="44" t="str">
        <f>'Gen Rev'!A590</f>
        <v>South Salem</v>
      </c>
      <c r="AN592" s="21" t="str">
        <f t="shared" si="202"/>
        <v>South Salem</v>
      </c>
      <c r="AO592" s="21" t="b">
        <f t="shared" si="203"/>
        <v>1</v>
      </c>
    </row>
    <row r="593" spans="1:41" ht="12.75">
      <c r="A593" s="1" t="s">
        <v>142</v>
      </c>
      <c r="C593" s="1" t="s">
        <v>789</v>
      </c>
      <c r="D593" s="23"/>
      <c r="E593" s="36">
        <v>2890.09</v>
      </c>
      <c r="F593" s="36"/>
      <c r="G593" s="36">
        <v>0</v>
      </c>
      <c r="H593" s="36"/>
      <c r="I593" s="36">
        <v>499.68</v>
      </c>
      <c r="J593" s="36"/>
      <c r="K593" s="36">
        <v>0</v>
      </c>
      <c r="L593" s="36"/>
      <c r="M593" s="36">
        <v>0</v>
      </c>
      <c r="N593" s="36"/>
      <c r="O593" s="36">
        <v>0</v>
      </c>
      <c r="P593" s="36"/>
      <c r="Q593" s="36">
        <v>34554.6</v>
      </c>
      <c r="R593" s="36"/>
      <c r="S593" s="36">
        <v>0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f aca="true" t="shared" si="222" ref="AE593:AE599">SUM(E593:AC593)</f>
        <v>37944.369999999995</v>
      </c>
      <c r="AF593" s="36"/>
      <c r="AG593" s="36">
        <v>4548.73</v>
      </c>
      <c r="AH593" s="36"/>
      <c r="AI593" s="36">
        <v>35778.7</v>
      </c>
      <c r="AJ593" s="36"/>
      <c r="AK593" s="36">
        <v>40327.43</v>
      </c>
      <c r="AL593" s="24">
        <f>+'Gen Rev'!AI591-'Gen Exp'!AE593+'Gen Exp'!AI593-AK593</f>
        <v>0</v>
      </c>
      <c r="AM593" s="44" t="str">
        <f>'Gen Rev'!A591</f>
        <v>South Solon</v>
      </c>
      <c r="AN593" s="21" t="str">
        <f t="shared" si="202"/>
        <v>South Solon</v>
      </c>
      <c r="AO593" s="21" t="b">
        <f t="shared" si="203"/>
        <v>1</v>
      </c>
    </row>
    <row r="594" spans="1:41" ht="12.75">
      <c r="A594" s="1" t="s">
        <v>35</v>
      </c>
      <c r="C594" s="1" t="s">
        <v>292</v>
      </c>
      <c r="D594" s="23"/>
      <c r="E594" s="36">
        <v>55312.5</v>
      </c>
      <c r="F594" s="36"/>
      <c r="G594" s="36">
        <v>0</v>
      </c>
      <c r="H594" s="36"/>
      <c r="I594" s="36">
        <v>2157.65</v>
      </c>
      <c r="J594" s="36"/>
      <c r="K594" s="36">
        <v>0</v>
      </c>
      <c r="L594" s="36"/>
      <c r="M594" s="36">
        <v>2163.97</v>
      </c>
      <c r="N594" s="36"/>
      <c r="O594" s="36">
        <v>0</v>
      </c>
      <c r="P594" s="36"/>
      <c r="Q594" s="36">
        <v>31697.9</v>
      </c>
      <c r="R594" s="36"/>
      <c r="S594" s="36">
        <v>0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f t="shared" si="222"/>
        <v>91332.02</v>
      </c>
      <c r="AF594" s="36"/>
      <c r="AG594" s="36">
        <v>126779.92</v>
      </c>
      <c r="AH594" s="36"/>
      <c r="AI594" s="36">
        <v>164551.4</v>
      </c>
      <c r="AJ594" s="36"/>
      <c r="AK594" s="36">
        <v>291331.32</v>
      </c>
      <c r="AL594" s="24">
        <f>+'Gen Rev'!AI592-'Gen Exp'!AE594+'Gen Exp'!AI594-AK594</f>
        <v>0</v>
      </c>
      <c r="AM594" s="44" t="str">
        <f>'Gen Rev'!A592</f>
        <v>South Vienna</v>
      </c>
      <c r="AN594" s="21" t="str">
        <f t="shared" si="202"/>
        <v>South Vienna</v>
      </c>
      <c r="AO594" s="21" t="b">
        <f t="shared" si="203"/>
        <v>1</v>
      </c>
    </row>
    <row r="595" spans="1:41" ht="12.75">
      <c r="A595" s="1" t="s">
        <v>217</v>
      </c>
      <c r="C595" s="1" t="s">
        <v>531</v>
      </c>
      <c r="D595" s="23"/>
      <c r="E595" s="36">
        <v>0</v>
      </c>
      <c r="F595" s="36"/>
      <c r="G595" s="36">
        <v>2847.69</v>
      </c>
      <c r="H595" s="36"/>
      <c r="I595" s="36">
        <v>0</v>
      </c>
      <c r="J595" s="36"/>
      <c r="K595" s="36">
        <v>0</v>
      </c>
      <c r="L595" s="36"/>
      <c r="M595" s="36">
        <v>1690.26</v>
      </c>
      <c r="N595" s="36"/>
      <c r="O595" s="36">
        <v>0</v>
      </c>
      <c r="P595" s="36"/>
      <c r="Q595" s="36">
        <v>13116.42</v>
      </c>
      <c r="R595" s="36"/>
      <c r="S595" s="36">
        <v>0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0</v>
      </c>
      <c r="AB595" s="36"/>
      <c r="AC595" s="36">
        <v>0</v>
      </c>
      <c r="AD595" s="36"/>
      <c r="AE595" s="36">
        <f t="shared" si="222"/>
        <v>17654.37</v>
      </c>
      <c r="AF595" s="36"/>
      <c r="AG595" s="36">
        <v>5278.45</v>
      </c>
      <c r="AH595" s="36"/>
      <c r="AI595" s="36">
        <v>-4299.77</v>
      </c>
      <c r="AJ595" s="36"/>
      <c r="AK595" s="36">
        <v>978.68</v>
      </c>
      <c r="AL595" s="24">
        <f>+'Gen Rev'!AI593-'Gen Exp'!AE595+'Gen Exp'!AI595-AK595</f>
        <v>-3.296918293926865E-12</v>
      </c>
      <c r="AM595" s="44" t="str">
        <f>'Gen Rev'!A593</f>
        <v>South Webster</v>
      </c>
      <c r="AN595" s="21" t="str">
        <f t="shared" si="202"/>
        <v>South Webster</v>
      </c>
      <c r="AO595" s="21" t="b">
        <f t="shared" si="203"/>
        <v>1</v>
      </c>
    </row>
    <row r="596" spans="1:41" ht="12.75">
      <c r="A596" s="1" t="s">
        <v>840</v>
      </c>
      <c r="C596" s="1" t="s">
        <v>243</v>
      </c>
      <c r="D596" s="23"/>
      <c r="E596" s="36">
        <v>3185.51</v>
      </c>
      <c r="F596" s="36"/>
      <c r="G596" s="36">
        <v>0</v>
      </c>
      <c r="H596" s="36"/>
      <c r="I596" s="36">
        <v>0</v>
      </c>
      <c r="J596" s="36"/>
      <c r="K596" s="36">
        <v>0</v>
      </c>
      <c r="L596" s="36"/>
      <c r="M596" s="36">
        <v>0</v>
      </c>
      <c r="N596" s="36"/>
      <c r="O596" s="36">
        <v>0</v>
      </c>
      <c r="P596" s="36"/>
      <c r="Q596" s="36">
        <v>16921.56</v>
      </c>
      <c r="R596" s="36"/>
      <c r="S596" s="36">
        <v>0</v>
      </c>
      <c r="T596" s="36"/>
      <c r="U596" s="36">
        <v>0</v>
      </c>
      <c r="V596" s="36"/>
      <c r="W596" s="36">
        <v>0</v>
      </c>
      <c r="X596" s="36"/>
      <c r="Y596" s="36">
        <v>0</v>
      </c>
      <c r="Z596" s="36"/>
      <c r="AA596" s="36">
        <v>0</v>
      </c>
      <c r="AB596" s="36"/>
      <c r="AC596" s="36">
        <v>0</v>
      </c>
      <c r="AD596" s="36"/>
      <c r="AE596" s="36">
        <f t="shared" si="222"/>
        <v>20107.07</v>
      </c>
      <c r="AF596" s="36"/>
      <c r="AG596" s="36">
        <v>7400.78</v>
      </c>
      <c r="AH596" s="36"/>
      <c r="AI596" s="36">
        <v>18916.81</v>
      </c>
      <c r="AJ596" s="36"/>
      <c r="AK596" s="36">
        <v>26317.59</v>
      </c>
      <c r="AL596" s="24">
        <f>+'Gen Rev'!AI594-'Gen Exp'!AE596+'Gen Exp'!AI596-AK596</f>
        <v>0</v>
      </c>
      <c r="AM596" s="44" t="str">
        <f>'Gen Rev'!A594</f>
        <v>Sparta</v>
      </c>
      <c r="AN596" s="21" t="str">
        <f t="shared" si="202"/>
        <v>Sparta</v>
      </c>
      <c r="AO596" s="21" t="b">
        <f t="shared" si="203"/>
        <v>1</v>
      </c>
    </row>
    <row r="597" spans="1:41" ht="12.75">
      <c r="A597" s="1" t="s">
        <v>856</v>
      </c>
      <c r="C597" s="1" t="s">
        <v>792</v>
      </c>
      <c r="D597" s="23"/>
      <c r="E597" s="36">
        <v>8093</v>
      </c>
      <c r="F597" s="36"/>
      <c r="G597" s="36">
        <v>0</v>
      </c>
      <c r="H597" s="36"/>
      <c r="I597" s="36">
        <v>24433.21</v>
      </c>
      <c r="J597" s="36"/>
      <c r="K597" s="36">
        <v>4222.8</v>
      </c>
      <c r="L597" s="36"/>
      <c r="M597" s="36">
        <v>454.31</v>
      </c>
      <c r="N597" s="36"/>
      <c r="O597" s="36">
        <v>0</v>
      </c>
      <c r="P597" s="36"/>
      <c r="Q597" s="36">
        <v>73504.44</v>
      </c>
      <c r="R597" s="36"/>
      <c r="S597" s="36">
        <v>0</v>
      </c>
      <c r="T597" s="36"/>
      <c r="U597" s="36">
        <v>0</v>
      </c>
      <c r="V597" s="36"/>
      <c r="W597" s="36">
        <v>0</v>
      </c>
      <c r="X597" s="36"/>
      <c r="Y597" s="36">
        <v>0</v>
      </c>
      <c r="Z597" s="36"/>
      <c r="AA597" s="36">
        <v>0</v>
      </c>
      <c r="AB597" s="36"/>
      <c r="AC597" s="36">
        <v>0</v>
      </c>
      <c r="AD597" s="36"/>
      <c r="AE597" s="36">
        <f t="shared" si="222"/>
        <v>110707.76000000001</v>
      </c>
      <c r="AF597" s="36"/>
      <c r="AG597" s="36">
        <v>113695.6</v>
      </c>
      <c r="AH597" s="36"/>
      <c r="AI597" s="36">
        <v>58962.99</v>
      </c>
      <c r="AJ597" s="36"/>
      <c r="AK597" s="36">
        <v>172658.59</v>
      </c>
      <c r="AL597" s="24">
        <f>+'Gen Rev'!AI595-'Gen Exp'!AE597+'Gen Exp'!AI597-AK597</f>
        <v>0</v>
      </c>
      <c r="AM597" s="44" t="str">
        <f>'Gen Rev'!A595</f>
        <v>Spencer</v>
      </c>
      <c r="AN597" s="21" t="str">
        <f t="shared" si="202"/>
        <v>Spencer</v>
      </c>
      <c r="AO597" s="21" t="b">
        <f t="shared" si="203"/>
        <v>1</v>
      </c>
    </row>
    <row r="598" spans="1:41" s="21" customFormat="1" ht="12.75">
      <c r="A598" s="1" t="s">
        <v>6</v>
      </c>
      <c r="B598" s="1"/>
      <c r="C598" s="1" t="s">
        <v>746</v>
      </c>
      <c r="D598" s="23"/>
      <c r="E598" s="36">
        <v>414075.27</v>
      </c>
      <c r="F598" s="36"/>
      <c r="G598" s="36">
        <v>6153.31</v>
      </c>
      <c r="H598" s="36"/>
      <c r="I598" s="36">
        <v>4973.19</v>
      </c>
      <c r="J598" s="36"/>
      <c r="K598" s="36">
        <v>2525</v>
      </c>
      <c r="L598" s="36"/>
      <c r="M598" s="36">
        <v>0</v>
      </c>
      <c r="N598" s="36"/>
      <c r="O598" s="36">
        <v>0</v>
      </c>
      <c r="P598" s="36"/>
      <c r="Q598" s="36">
        <v>96288.69</v>
      </c>
      <c r="R598" s="36"/>
      <c r="S598" s="36">
        <v>0</v>
      </c>
      <c r="T598" s="36"/>
      <c r="U598" s="36">
        <v>0</v>
      </c>
      <c r="V598" s="36"/>
      <c r="W598" s="36">
        <v>0</v>
      </c>
      <c r="X598" s="36"/>
      <c r="Y598" s="36">
        <v>14000</v>
      </c>
      <c r="Z598" s="36"/>
      <c r="AA598" s="36">
        <v>0</v>
      </c>
      <c r="AB598" s="36"/>
      <c r="AC598" s="36">
        <v>0</v>
      </c>
      <c r="AD598" s="36"/>
      <c r="AE598" s="36">
        <f t="shared" si="222"/>
        <v>538015.46</v>
      </c>
      <c r="AF598" s="36"/>
      <c r="AG598" s="36">
        <v>60655.03</v>
      </c>
      <c r="AH598" s="36"/>
      <c r="AI598" s="36">
        <v>132817.63</v>
      </c>
      <c r="AJ598" s="36"/>
      <c r="AK598" s="36">
        <v>193472.66</v>
      </c>
      <c r="AL598" s="24">
        <f>+'Gen Rev'!AI596-'Gen Exp'!AE598+'Gen Exp'!AI598-AK598</f>
        <v>0</v>
      </c>
      <c r="AM598" s="44" t="str">
        <f>'Gen Rev'!A596</f>
        <v>Spencerville</v>
      </c>
      <c r="AN598" s="21" t="str">
        <f t="shared" si="202"/>
        <v>Spencerville</v>
      </c>
      <c r="AO598" s="21" t="b">
        <f t="shared" si="203"/>
        <v>1</v>
      </c>
    </row>
    <row r="599" spans="1:41" s="21" customFormat="1" ht="12.75">
      <c r="A599" s="1" t="s">
        <v>85</v>
      </c>
      <c r="B599" s="1"/>
      <c r="C599" s="1" t="s">
        <v>771</v>
      </c>
      <c r="D599" s="23"/>
      <c r="E599" s="36">
        <v>13091.1</v>
      </c>
      <c r="F599" s="36"/>
      <c r="G599" s="36">
        <v>970.83</v>
      </c>
      <c r="H599" s="36"/>
      <c r="I599" s="36">
        <v>0</v>
      </c>
      <c r="J599" s="36"/>
      <c r="K599" s="36">
        <v>1711.52</v>
      </c>
      <c r="L599" s="36"/>
      <c r="M599" s="36">
        <v>5979.56</v>
      </c>
      <c r="N599" s="36"/>
      <c r="O599" s="36">
        <v>32150.62</v>
      </c>
      <c r="P599" s="36"/>
      <c r="Q599" s="36">
        <v>29488.27</v>
      </c>
      <c r="R599" s="36"/>
      <c r="S599" s="36">
        <v>0</v>
      </c>
      <c r="T599" s="36"/>
      <c r="U599" s="36">
        <v>0</v>
      </c>
      <c r="V599" s="36"/>
      <c r="W599" s="36">
        <v>0</v>
      </c>
      <c r="X599" s="36"/>
      <c r="Y599" s="36">
        <v>0</v>
      </c>
      <c r="Z599" s="36"/>
      <c r="AA599" s="36">
        <v>0</v>
      </c>
      <c r="AB599" s="36"/>
      <c r="AC599" s="36">
        <v>0</v>
      </c>
      <c r="AD599" s="36"/>
      <c r="AE599" s="36">
        <f t="shared" si="222"/>
        <v>83391.90000000001</v>
      </c>
      <c r="AF599" s="36"/>
      <c r="AG599" s="36">
        <v>5102.92</v>
      </c>
      <c r="AH599" s="36"/>
      <c r="AI599" s="36">
        <v>97598.7</v>
      </c>
      <c r="AJ599" s="36"/>
      <c r="AK599" s="36">
        <v>102701.62</v>
      </c>
      <c r="AL599" s="24">
        <f>+'Gen Rev'!AI597-'Gen Exp'!AE599+'Gen Exp'!AI599-AK599</f>
        <v>0</v>
      </c>
      <c r="AM599" s="44" t="str">
        <f>'Gen Rev'!A597</f>
        <v>Spring Valley</v>
      </c>
      <c r="AN599" s="21" t="str">
        <f t="shared" si="202"/>
        <v>Spring Valley</v>
      </c>
      <c r="AO599" s="21" t="b">
        <f t="shared" si="203"/>
        <v>1</v>
      </c>
    </row>
    <row r="600" spans="1:41" s="21" customFormat="1" ht="12.75">
      <c r="A600" s="1" t="s">
        <v>443</v>
      </c>
      <c r="B600" s="1"/>
      <c r="C600" s="1" t="s">
        <v>439</v>
      </c>
      <c r="D600" s="1"/>
      <c r="E600" s="96">
        <v>40825</v>
      </c>
      <c r="F600" s="96"/>
      <c r="G600" s="96">
        <v>756</v>
      </c>
      <c r="H600" s="96"/>
      <c r="I600" s="96">
        <v>6024</v>
      </c>
      <c r="J600" s="96"/>
      <c r="K600" s="96">
        <v>889</v>
      </c>
      <c r="L600" s="96"/>
      <c r="M600" s="96">
        <v>0</v>
      </c>
      <c r="N600" s="96"/>
      <c r="O600" s="96">
        <v>0</v>
      </c>
      <c r="P600" s="96"/>
      <c r="Q600" s="96">
        <v>41074</v>
      </c>
      <c r="R600" s="96"/>
      <c r="S600" s="96">
        <v>0</v>
      </c>
      <c r="T600" s="96"/>
      <c r="U600" s="96">
        <v>0</v>
      </c>
      <c r="V600" s="96"/>
      <c r="W600" s="96">
        <v>0</v>
      </c>
      <c r="X600" s="96"/>
      <c r="Y600" s="96">
        <v>0</v>
      </c>
      <c r="Z600" s="96"/>
      <c r="AA600" s="96">
        <v>0</v>
      </c>
      <c r="AB600" s="96"/>
      <c r="AC600" s="96">
        <v>0</v>
      </c>
      <c r="AD600" s="96"/>
      <c r="AE600" s="96">
        <f t="shared" si="204"/>
        <v>89568</v>
      </c>
      <c r="AF600" s="83"/>
      <c r="AG600" s="83">
        <v>-3952</v>
      </c>
      <c r="AH600" s="83"/>
      <c r="AI600" s="83">
        <v>6861</v>
      </c>
      <c r="AJ600" s="83"/>
      <c r="AK600" s="83">
        <v>2920</v>
      </c>
      <c r="AL600" s="24">
        <f>+'Gen Rev'!AI598-'Gen Exp'!AE600+'Gen Exp'!AI600-AK600</f>
        <v>-11</v>
      </c>
      <c r="AM600" s="44" t="str">
        <f>'Gen Rev'!A598</f>
        <v>St. Louisville</v>
      </c>
      <c r="AN600" s="21" t="str">
        <f t="shared" si="202"/>
        <v>St. Louisville</v>
      </c>
      <c r="AO600" s="21" t="b">
        <f t="shared" si="203"/>
        <v>1</v>
      </c>
    </row>
    <row r="601" spans="1:41" s="21" customFormat="1" ht="12.75">
      <c r="A601" s="1" t="s">
        <v>33</v>
      </c>
      <c r="B601" s="1"/>
      <c r="C601" s="1" t="s">
        <v>754</v>
      </c>
      <c r="D601" s="23"/>
      <c r="E601" s="36">
        <v>326953.54</v>
      </c>
      <c r="F601" s="36"/>
      <c r="G601" s="36">
        <v>0</v>
      </c>
      <c r="H601" s="36"/>
      <c r="I601" s="36">
        <v>0</v>
      </c>
      <c r="J601" s="36"/>
      <c r="K601" s="36">
        <v>0</v>
      </c>
      <c r="L601" s="36"/>
      <c r="M601" s="36">
        <v>0</v>
      </c>
      <c r="N601" s="36"/>
      <c r="O601" s="36">
        <v>0</v>
      </c>
      <c r="P601" s="36"/>
      <c r="Q601" s="36">
        <v>124866.38</v>
      </c>
      <c r="R601" s="36"/>
      <c r="S601" s="36">
        <v>0</v>
      </c>
      <c r="T601" s="36"/>
      <c r="U601" s="36">
        <v>7630</v>
      </c>
      <c r="V601" s="36"/>
      <c r="W601" s="36">
        <v>0</v>
      </c>
      <c r="X601" s="36"/>
      <c r="Y601" s="36">
        <v>0</v>
      </c>
      <c r="Z601" s="36"/>
      <c r="AA601" s="36">
        <v>0</v>
      </c>
      <c r="AB601" s="36"/>
      <c r="AC601" s="36">
        <v>0</v>
      </c>
      <c r="AD601" s="36"/>
      <c r="AE601" s="36">
        <f aca="true" t="shared" si="223" ref="AE601">SUM(E601:AC601)</f>
        <v>459449.92</v>
      </c>
      <c r="AF601" s="36"/>
      <c r="AG601" s="36">
        <v>-29506.46</v>
      </c>
      <c r="AH601" s="36"/>
      <c r="AI601" s="36">
        <v>52492.69</v>
      </c>
      <c r="AJ601" s="36"/>
      <c r="AK601" s="36">
        <v>22986.23</v>
      </c>
      <c r="AL601" s="24">
        <f>+'Gen Rev'!AI599-'Gen Exp'!AE601+'Gen Exp'!AI601-AK601</f>
        <v>0</v>
      </c>
      <c r="AM601" s="44" t="str">
        <f>'Gen Rev'!A599</f>
        <v>St. Paris</v>
      </c>
      <c r="AN601" s="21" t="str">
        <f t="shared" si="202"/>
        <v>St. Paris</v>
      </c>
      <c r="AO601" s="21" t="b">
        <f t="shared" si="203"/>
        <v>1</v>
      </c>
    </row>
    <row r="602" spans="1:41" ht="12.75">
      <c r="A602" s="1" t="s">
        <v>477</v>
      </c>
      <c r="C602" s="1" t="s">
        <v>474</v>
      </c>
      <c r="E602" s="83">
        <v>3375</v>
      </c>
      <c r="F602" s="83"/>
      <c r="G602" s="83">
        <v>283</v>
      </c>
      <c r="H602" s="83"/>
      <c r="I602" s="83">
        <v>0</v>
      </c>
      <c r="J602" s="83"/>
      <c r="K602" s="83">
        <v>0</v>
      </c>
      <c r="L602" s="83"/>
      <c r="M602" s="83">
        <v>0</v>
      </c>
      <c r="N602" s="83"/>
      <c r="O602" s="83">
        <v>0</v>
      </c>
      <c r="P602" s="83"/>
      <c r="Q602" s="83">
        <v>3334</v>
      </c>
      <c r="R602" s="83"/>
      <c r="S602" s="83">
        <v>0</v>
      </c>
      <c r="T602" s="83"/>
      <c r="U602" s="83">
        <v>0</v>
      </c>
      <c r="V602" s="83"/>
      <c r="W602" s="83">
        <v>0</v>
      </c>
      <c r="X602" s="83"/>
      <c r="Y602" s="83">
        <v>0</v>
      </c>
      <c r="Z602" s="83"/>
      <c r="AA602" s="83">
        <v>0</v>
      </c>
      <c r="AB602" s="83"/>
      <c r="AC602" s="83">
        <v>0</v>
      </c>
      <c r="AD602" s="83"/>
      <c r="AE602" s="83">
        <f t="shared" si="204"/>
        <v>6992</v>
      </c>
      <c r="AF602" s="83"/>
      <c r="AG602" s="83"/>
      <c r="AH602" s="83"/>
      <c r="AI602" s="83">
        <v>4946</v>
      </c>
      <c r="AJ602" s="83"/>
      <c r="AK602" s="83">
        <v>5384</v>
      </c>
      <c r="AL602" s="24">
        <f>+'Gen Rev'!AI600-'Gen Exp'!AE602+'Gen Exp'!AI602-AK602</f>
        <v>0</v>
      </c>
      <c r="AM602" s="44" t="str">
        <f>'Gen Rev'!A600</f>
        <v>Stafford</v>
      </c>
      <c r="AN602" s="21" t="str">
        <f t="shared" si="202"/>
        <v>Stafford</v>
      </c>
      <c r="AO602" s="21" t="b">
        <f t="shared" si="203"/>
        <v>1</v>
      </c>
    </row>
    <row r="603" spans="1:41" s="21" customFormat="1" ht="12.75">
      <c r="A603" s="1" t="s">
        <v>169</v>
      </c>
      <c r="B603" s="1"/>
      <c r="C603" s="1" t="s">
        <v>798</v>
      </c>
      <c r="D603" s="23"/>
      <c r="E603" s="36">
        <v>6519.4</v>
      </c>
      <c r="F603" s="36"/>
      <c r="G603" s="36">
        <v>3406.36</v>
      </c>
      <c r="H603" s="36"/>
      <c r="I603" s="36">
        <v>95.84</v>
      </c>
      <c r="J603" s="36"/>
      <c r="K603" s="36">
        <v>0</v>
      </c>
      <c r="L603" s="36"/>
      <c r="M603" s="36">
        <v>127.82</v>
      </c>
      <c r="N603" s="36"/>
      <c r="O603" s="36">
        <v>0</v>
      </c>
      <c r="P603" s="36"/>
      <c r="Q603" s="36">
        <v>29322.91</v>
      </c>
      <c r="R603" s="36"/>
      <c r="S603" s="36">
        <v>0</v>
      </c>
      <c r="T603" s="36"/>
      <c r="U603" s="36">
        <v>360.53</v>
      </c>
      <c r="V603" s="36"/>
      <c r="W603" s="36">
        <v>75.55</v>
      </c>
      <c r="X603" s="36"/>
      <c r="Y603" s="36">
        <v>0</v>
      </c>
      <c r="Z603" s="36"/>
      <c r="AA603" s="36">
        <v>0</v>
      </c>
      <c r="AB603" s="36"/>
      <c r="AC603" s="36">
        <v>0</v>
      </c>
      <c r="AD603" s="36"/>
      <c r="AE603" s="36">
        <f aca="true" t="shared" si="224" ref="AE603:AE605">SUM(E603:AC603)</f>
        <v>39908.41</v>
      </c>
      <c r="AF603" s="36"/>
      <c r="AG603" s="36">
        <v>6544.32</v>
      </c>
      <c r="AH603" s="36"/>
      <c r="AI603" s="36">
        <v>4068.23</v>
      </c>
      <c r="AJ603" s="36"/>
      <c r="AK603" s="36">
        <v>10612.55</v>
      </c>
      <c r="AL603" s="24">
        <f>+'Gen Rev'!AI601-'Gen Exp'!AE603+'Gen Exp'!AI603-AK603</f>
        <v>0</v>
      </c>
      <c r="AM603" s="44" t="str">
        <f>'Gen Rev'!A601</f>
        <v>Stockport</v>
      </c>
      <c r="AN603" s="21" t="str">
        <f aca="true" t="shared" si="225" ref="AN603:AN668">A603</f>
        <v>Stockport</v>
      </c>
      <c r="AO603" s="21" t="b">
        <f aca="true" t="shared" si="226" ref="AO603:AO668">AM603=AN603</f>
        <v>1</v>
      </c>
    </row>
    <row r="604" spans="1:41" ht="12.75">
      <c r="A604" s="1" t="s">
        <v>568</v>
      </c>
      <c r="C604" s="1" t="s">
        <v>562</v>
      </c>
      <c r="E604" s="36">
        <v>4745.6</v>
      </c>
      <c r="F604" s="36"/>
      <c r="G604" s="36">
        <v>644.7</v>
      </c>
      <c r="H604" s="36"/>
      <c r="I604" s="36">
        <v>1273.59</v>
      </c>
      <c r="J604" s="36"/>
      <c r="K604" s="36">
        <v>46</v>
      </c>
      <c r="L604" s="36"/>
      <c r="M604" s="36">
        <v>0</v>
      </c>
      <c r="N604" s="36"/>
      <c r="O604" s="36">
        <v>0</v>
      </c>
      <c r="P604" s="36"/>
      <c r="Q604" s="36">
        <v>27449.29</v>
      </c>
      <c r="R604" s="36"/>
      <c r="S604" s="36">
        <v>0</v>
      </c>
      <c r="T604" s="36"/>
      <c r="U604" s="36">
        <v>0</v>
      </c>
      <c r="V604" s="36"/>
      <c r="W604" s="36">
        <v>0</v>
      </c>
      <c r="X604" s="36"/>
      <c r="Y604" s="36">
        <v>0</v>
      </c>
      <c r="Z604" s="36"/>
      <c r="AA604" s="36">
        <v>40</v>
      </c>
      <c r="AB604" s="36"/>
      <c r="AC604" s="36">
        <v>468.79</v>
      </c>
      <c r="AD604" s="36"/>
      <c r="AE604" s="36">
        <f t="shared" si="224"/>
        <v>34667.97</v>
      </c>
      <c r="AF604" s="36"/>
      <c r="AG604" s="36">
        <v>-6907.28</v>
      </c>
      <c r="AH604" s="36"/>
      <c r="AI604" s="36">
        <v>16947.03</v>
      </c>
      <c r="AJ604" s="36"/>
      <c r="AK604" s="36">
        <v>10039.75</v>
      </c>
      <c r="AL604" s="24">
        <f>+'Gen Rev'!AI602-'Gen Exp'!AE604+'Gen Exp'!AI604-AK604</f>
        <v>0</v>
      </c>
      <c r="AM604" s="44" t="str">
        <f>'Gen Rev'!A602</f>
        <v>Stone Creek</v>
      </c>
      <c r="AN604" s="21" t="str">
        <f t="shared" si="225"/>
        <v>Stone Creek</v>
      </c>
      <c r="AO604" s="21" t="b">
        <f t="shared" si="226"/>
        <v>1</v>
      </c>
    </row>
    <row r="605" spans="1:41" ht="12.75">
      <c r="A605" s="1" t="s">
        <v>956</v>
      </c>
      <c r="C605" s="1" t="s">
        <v>350</v>
      </c>
      <c r="E605" s="36">
        <v>3271.88</v>
      </c>
      <c r="F605" s="36"/>
      <c r="G605" s="36">
        <v>1870.1</v>
      </c>
      <c r="H605" s="36"/>
      <c r="I605" s="36">
        <v>12824.18</v>
      </c>
      <c r="J605" s="36"/>
      <c r="K605" s="36">
        <v>0</v>
      </c>
      <c r="L605" s="36"/>
      <c r="M605" s="36">
        <v>0</v>
      </c>
      <c r="N605" s="36"/>
      <c r="O605" s="36">
        <v>0</v>
      </c>
      <c r="P605" s="36"/>
      <c r="Q605" s="36">
        <v>38729.92</v>
      </c>
      <c r="R605" s="36"/>
      <c r="S605" s="36">
        <v>0</v>
      </c>
      <c r="T605" s="36"/>
      <c r="U605" s="36">
        <v>3012.65</v>
      </c>
      <c r="V605" s="36"/>
      <c r="W605" s="36">
        <v>1373.31</v>
      </c>
      <c r="X605" s="36"/>
      <c r="Y605" s="36">
        <v>0</v>
      </c>
      <c r="Z605" s="36"/>
      <c r="AA605" s="36">
        <v>0</v>
      </c>
      <c r="AB605" s="36"/>
      <c r="AC605" s="36">
        <v>0</v>
      </c>
      <c r="AD605" s="36"/>
      <c r="AE605" s="36">
        <f t="shared" si="224"/>
        <v>61082.04</v>
      </c>
      <c r="AF605" s="36"/>
      <c r="AG605" s="36">
        <v>-9948.03</v>
      </c>
      <c r="AH605" s="36"/>
      <c r="AI605" s="36">
        <v>55360.2</v>
      </c>
      <c r="AJ605" s="36"/>
      <c r="AK605" s="36">
        <v>45412.17</v>
      </c>
      <c r="AL605" s="24">
        <f>+'Gen Rev'!AI603-'Gen Exp'!AE605+'Gen Exp'!AI605-AK605</f>
        <v>0</v>
      </c>
      <c r="AM605" s="44" t="str">
        <f>'Gen Rev'!A603</f>
        <v>Stoutsville</v>
      </c>
      <c r="AN605" s="21" t="str">
        <f t="shared" si="225"/>
        <v>Stoutsville</v>
      </c>
      <c r="AO605" s="21" t="b">
        <f t="shared" si="226"/>
        <v>1</v>
      </c>
    </row>
    <row r="606" spans="1:41" ht="12.75">
      <c r="A606" s="1" t="s">
        <v>569</v>
      </c>
      <c r="C606" s="1" t="s">
        <v>562</v>
      </c>
      <c r="E606" s="83">
        <v>372364.83</v>
      </c>
      <c r="F606" s="83"/>
      <c r="G606" s="83">
        <v>1790.63</v>
      </c>
      <c r="H606" s="83"/>
      <c r="I606" s="83">
        <v>0</v>
      </c>
      <c r="J606" s="83"/>
      <c r="K606" s="83">
        <v>4025</v>
      </c>
      <c r="L606" s="83"/>
      <c r="M606" s="83">
        <v>79999.38</v>
      </c>
      <c r="N606" s="83"/>
      <c r="O606" s="83">
        <v>0</v>
      </c>
      <c r="P606" s="83"/>
      <c r="Q606" s="83">
        <v>236836.05</v>
      </c>
      <c r="R606" s="83"/>
      <c r="S606" s="83">
        <v>53779.99</v>
      </c>
      <c r="T606" s="83"/>
      <c r="U606" s="83">
        <v>0</v>
      </c>
      <c r="V606" s="83"/>
      <c r="W606" s="83">
        <v>0</v>
      </c>
      <c r="X606" s="83"/>
      <c r="Y606" s="83">
        <v>359669.12</v>
      </c>
      <c r="Z606" s="83"/>
      <c r="AA606" s="83">
        <v>0</v>
      </c>
      <c r="AB606" s="83"/>
      <c r="AC606" s="83">
        <v>4085</v>
      </c>
      <c r="AD606" s="83"/>
      <c r="AE606" s="83">
        <f t="shared" si="204"/>
        <v>1112550</v>
      </c>
      <c r="AF606" s="83"/>
      <c r="AG606" s="83">
        <v>-28690.09</v>
      </c>
      <c r="AH606" s="83"/>
      <c r="AI606" s="83">
        <v>230940.25</v>
      </c>
      <c r="AJ606" s="83"/>
      <c r="AK606" s="83">
        <v>202250.16</v>
      </c>
      <c r="AL606" s="24">
        <f>+'Gen Rev'!AI604-'Gen Exp'!AE606+'Gen Exp'!AI606-AK606</f>
        <v>0</v>
      </c>
      <c r="AM606" s="44" t="str">
        <f>'Gen Rev'!A604</f>
        <v>Strasburg</v>
      </c>
      <c r="AN606" s="21" t="str">
        <f t="shared" si="225"/>
        <v>Strasburg</v>
      </c>
      <c r="AO606" s="21" t="b">
        <f t="shared" si="226"/>
        <v>1</v>
      </c>
    </row>
    <row r="607" spans="1:41" s="21" customFormat="1" ht="12.75">
      <c r="A607" s="1" t="s">
        <v>424</v>
      </c>
      <c r="B607" s="1"/>
      <c r="C607" s="1" t="s">
        <v>420</v>
      </c>
      <c r="D607" s="1"/>
      <c r="E607" s="83">
        <v>95791.94</v>
      </c>
      <c r="F607" s="83"/>
      <c r="G607" s="83">
        <v>37968.36</v>
      </c>
      <c r="H607" s="83"/>
      <c r="I607" s="83">
        <v>214808.05</v>
      </c>
      <c r="J607" s="83"/>
      <c r="K607" s="83">
        <v>0</v>
      </c>
      <c r="L607" s="83"/>
      <c r="M607" s="83">
        <v>140421.76</v>
      </c>
      <c r="N607" s="83"/>
      <c r="O607" s="83">
        <v>128323.32</v>
      </c>
      <c r="P607" s="83"/>
      <c r="Q607" s="83">
        <v>1204875.64</v>
      </c>
      <c r="R607" s="83"/>
      <c r="S607" s="83">
        <v>280460.05</v>
      </c>
      <c r="T607" s="83"/>
      <c r="U607" s="83">
        <v>0</v>
      </c>
      <c r="V607" s="83"/>
      <c r="W607" s="83">
        <v>0</v>
      </c>
      <c r="X607" s="83"/>
      <c r="Y607" s="83">
        <v>40000</v>
      </c>
      <c r="Z607" s="83"/>
      <c r="AA607" s="83">
        <v>0</v>
      </c>
      <c r="AB607" s="83"/>
      <c r="AC607" s="83">
        <v>0</v>
      </c>
      <c r="AD607" s="83"/>
      <c r="AE607" s="83">
        <f t="shared" si="204"/>
        <v>2142649.1199999996</v>
      </c>
      <c r="AF607" s="83"/>
      <c r="AG607" s="83">
        <v>-554341.04</v>
      </c>
      <c r="AH607" s="83"/>
      <c r="AI607" s="83">
        <v>2181092.2</v>
      </c>
      <c r="AJ607" s="83"/>
      <c r="AK607" s="83">
        <v>1626751.16</v>
      </c>
      <c r="AL607" s="24">
        <f>+'Gen Rev'!AI605-'Gen Exp'!AE607+'Gen Exp'!AI607-AK607</f>
        <v>0</v>
      </c>
      <c r="AM607" s="44" t="str">
        <f>'Gen Rev'!A605</f>
        <v>Stratton</v>
      </c>
      <c r="AN607" s="21" t="str">
        <f t="shared" si="225"/>
        <v>Stratton</v>
      </c>
      <c r="AO607" s="21" t="b">
        <f t="shared" si="226"/>
        <v>1</v>
      </c>
    </row>
    <row r="608" spans="1:41" ht="12.75">
      <c r="A608" s="1" t="s">
        <v>600</v>
      </c>
      <c r="C608" s="1" t="s">
        <v>598</v>
      </c>
      <c r="E608" s="83">
        <v>237664.59</v>
      </c>
      <c r="F608" s="83"/>
      <c r="G608" s="83">
        <v>8675.91</v>
      </c>
      <c r="H608" s="83"/>
      <c r="I608" s="83">
        <v>4000</v>
      </c>
      <c r="J608" s="83"/>
      <c r="K608" s="83">
        <v>6857</v>
      </c>
      <c r="L608" s="83"/>
      <c r="M608" s="83">
        <v>6641.12</v>
      </c>
      <c r="N608" s="83"/>
      <c r="O608" s="83">
        <v>0</v>
      </c>
      <c r="P608" s="83"/>
      <c r="Q608" s="83">
        <v>233647.39</v>
      </c>
      <c r="R608" s="83"/>
      <c r="S608" s="83">
        <v>40949.03</v>
      </c>
      <c r="T608" s="83"/>
      <c r="U608" s="83">
        <v>0</v>
      </c>
      <c r="V608" s="83"/>
      <c r="W608" s="83">
        <v>0</v>
      </c>
      <c r="X608" s="83"/>
      <c r="Y608" s="83">
        <v>33000</v>
      </c>
      <c r="Z608" s="83"/>
      <c r="AA608" s="83">
        <v>0</v>
      </c>
      <c r="AB608" s="83"/>
      <c r="AC608" s="83">
        <v>0</v>
      </c>
      <c r="AD608" s="83"/>
      <c r="AE608" s="83">
        <f t="shared" si="204"/>
        <v>571435.04</v>
      </c>
      <c r="AF608" s="83"/>
      <c r="AG608" s="83">
        <v>-154545.51</v>
      </c>
      <c r="AH608" s="83"/>
      <c r="AI608" s="83">
        <v>306111.23</v>
      </c>
      <c r="AJ608" s="83"/>
      <c r="AK608" s="83">
        <v>151565.72</v>
      </c>
      <c r="AL608" s="24">
        <f>+'Gen Rev'!AI606-'Gen Exp'!AE608+'Gen Exp'!AI608-AK608</f>
        <v>0</v>
      </c>
      <c r="AM608" s="44" t="str">
        <f>'Gen Rev'!A606</f>
        <v>Stryker</v>
      </c>
      <c r="AN608" s="21" t="str">
        <f t="shared" si="225"/>
        <v>Stryker</v>
      </c>
      <c r="AO608" s="21" t="b">
        <f t="shared" si="226"/>
        <v>1</v>
      </c>
    </row>
    <row r="609" spans="1:41" ht="12.75">
      <c r="A609" s="1" t="s">
        <v>196</v>
      </c>
      <c r="C609" s="1" t="s">
        <v>806</v>
      </c>
      <c r="D609" s="23"/>
      <c r="E609" s="95">
        <v>21546.51</v>
      </c>
      <c r="F609" s="95"/>
      <c r="G609" s="95">
        <v>0</v>
      </c>
      <c r="H609" s="95"/>
      <c r="I609" s="95">
        <v>0</v>
      </c>
      <c r="J609" s="95"/>
      <c r="K609" s="95">
        <v>14580</v>
      </c>
      <c r="L609" s="95"/>
      <c r="M609" s="95">
        <v>25011</v>
      </c>
      <c r="N609" s="95"/>
      <c r="O609" s="95">
        <v>19806</v>
      </c>
      <c r="P609" s="95"/>
      <c r="Q609" s="95">
        <v>28688.84</v>
      </c>
      <c r="R609" s="95"/>
      <c r="S609" s="95">
        <v>0</v>
      </c>
      <c r="T609" s="95"/>
      <c r="U609" s="95">
        <v>0</v>
      </c>
      <c r="V609" s="95"/>
      <c r="W609" s="95">
        <v>0</v>
      </c>
      <c r="X609" s="95"/>
      <c r="Y609" s="95">
        <v>0</v>
      </c>
      <c r="Z609" s="95"/>
      <c r="AA609" s="95">
        <v>0</v>
      </c>
      <c r="AB609" s="95"/>
      <c r="AC609" s="95">
        <v>0</v>
      </c>
      <c r="AD609" s="95"/>
      <c r="AE609" s="95">
        <f aca="true" t="shared" si="227" ref="AE609">SUM(E609:AC609)</f>
        <v>109632.34999999999</v>
      </c>
      <c r="AF609" s="95"/>
      <c r="AG609" s="95">
        <v>11447.27</v>
      </c>
      <c r="AH609" s="95"/>
      <c r="AI609" s="95">
        <v>173940.29</v>
      </c>
      <c r="AJ609" s="95"/>
      <c r="AK609" s="95">
        <v>185387.56</v>
      </c>
      <c r="AL609" s="24">
        <f>+'Gen Rev'!AI607-'Gen Exp'!AE609+'Gen Exp'!AI609-AK609</f>
        <v>0</v>
      </c>
      <c r="AM609" s="44" t="str">
        <f>'Gen Rev'!A607</f>
        <v>Sugar Bush Knolls</v>
      </c>
      <c r="AN609" s="21" t="str">
        <f t="shared" si="225"/>
        <v>Sugar Bush Knolls</v>
      </c>
      <c r="AO609" s="21" t="b">
        <f t="shared" si="226"/>
        <v>1</v>
      </c>
    </row>
    <row r="610" spans="1:41" s="21" customFormat="1" ht="12.75">
      <c r="A610" s="1" t="s">
        <v>66</v>
      </c>
      <c r="B610" s="1"/>
      <c r="C610" s="1" t="s">
        <v>766</v>
      </c>
      <c r="D610" s="23"/>
      <c r="E610" s="36">
        <v>29837.02</v>
      </c>
      <c r="F610" s="36"/>
      <c r="G610" s="36">
        <v>1333.78</v>
      </c>
      <c r="H610" s="36"/>
      <c r="I610" s="36">
        <v>0</v>
      </c>
      <c r="J610" s="36"/>
      <c r="K610" s="36">
        <v>0</v>
      </c>
      <c r="L610" s="36"/>
      <c r="M610" s="36">
        <v>0</v>
      </c>
      <c r="N610" s="36"/>
      <c r="O610" s="36">
        <v>0</v>
      </c>
      <c r="P610" s="36"/>
      <c r="Q610" s="36">
        <v>89770.83</v>
      </c>
      <c r="R610" s="36"/>
      <c r="S610" s="36">
        <v>20000</v>
      </c>
      <c r="T610" s="36"/>
      <c r="U610" s="36">
        <v>0</v>
      </c>
      <c r="V610" s="36"/>
      <c r="W610" s="36">
        <v>0</v>
      </c>
      <c r="X610" s="36"/>
      <c r="Y610" s="36">
        <v>8000</v>
      </c>
      <c r="Z610" s="36"/>
      <c r="AA610" s="36">
        <v>0</v>
      </c>
      <c r="AB610" s="36"/>
      <c r="AC610" s="36">
        <v>0</v>
      </c>
      <c r="AD610" s="36"/>
      <c r="AE610" s="36">
        <f aca="true" t="shared" si="228" ref="AE610">SUM(E610:AC610)</f>
        <v>148941.63</v>
      </c>
      <c r="AF610" s="36"/>
      <c r="AG610" s="36">
        <v>-12306.67</v>
      </c>
      <c r="AH610" s="36"/>
      <c r="AI610" s="36">
        <v>141293.42</v>
      </c>
      <c r="AJ610" s="36"/>
      <c r="AK610" s="36">
        <v>128986.75</v>
      </c>
      <c r="AL610" s="24">
        <f>+'Gen Rev'!AI608-'Gen Exp'!AE610+'Gen Exp'!AI610-AK610</f>
        <v>0</v>
      </c>
      <c r="AM610" s="44" t="str">
        <f>'Gen Rev'!A608</f>
        <v>Sugar Grove</v>
      </c>
      <c r="AN610" s="21" t="str">
        <f t="shared" si="225"/>
        <v>Sugar Grove</v>
      </c>
      <c r="AO610" s="21" t="b">
        <f t="shared" si="226"/>
        <v>1</v>
      </c>
    </row>
    <row r="611" spans="1:41" ht="12.75">
      <c r="A611" s="1" t="s">
        <v>570</v>
      </c>
      <c r="C611" s="1" t="s">
        <v>562</v>
      </c>
      <c r="E611" s="83">
        <v>359101.67</v>
      </c>
      <c r="F611" s="83"/>
      <c r="G611" s="83">
        <v>2209.97</v>
      </c>
      <c r="H611" s="83"/>
      <c r="I611" s="83">
        <v>32001.34</v>
      </c>
      <c r="J611" s="83"/>
      <c r="K611" s="83">
        <v>5544.33</v>
      </c>
      <c r="L611" s="83"/>
      <c r="M611" s="83">
        <v>123186</v>
      </c>
      <c r="N611" s="83"/>
      <c r="O611" s="83">
        <v>6417.47</v>
      </c>
      <c r="P611" s="83"/>
      <c r="Q611" s="83">
        <v>384393.27</v>
      </c>
      <c r="R611" s="83"/>
      <c r="S611" s="83">
        <v>242169.67</v>
      </c>
      <c r="T611" s="83"/>
      <c r="U611" s="83">
        <v>0</v>
      </c>
      <c r="V611" s="83"/>
      <c r="W611" s="83">
        <v>0</v>
      </c>
      <c r="X611" s="83"/>
      <c r="Y611" s="83">
        <v>0</v>
      </c>
      <c r="Z611" s="83"/>
      <c r="AA611" s="83">
        <v>0</v>
      </c>
      <c r="AB611" s="83"/>
      <c r="AC611" s="83">
        <v>8121.45</v>
      </c>
      <c r="AD611" s="83"/>
      <c r="AE611" s="83">
        <f t="shared" si="204"/>
        <v>1163145.17</v>
      </c>
      <c r="AF611" s="83"/>
      <c r="AG611" s="83">
        <v>39164.9</v>
      </c>
      <c r="AH611" s="83"/>
      <c r="AI611" s="83">
        <v>336305.82</v>
      </c>
      <c r="AJ611" s="83"/>
      <c r="AK611" s="83">
        <v>375470.72</v>
      </c>
      <c r="AL611" s="24">
        <f>+'Gen Rev'!AI609-'Gen Exp'!AE611+'Gen Exp'!AI611-AK611</f>
        <v>0</v>
      </c>
      <c r="AM611" s="44" t="str">
        <f>'Gen Rev'!A609</f>
        <v>Sugarcreek</v>
      </c>
      <c r="AN611" s="21" t="str">
        <f t="shared" si="225"/>
        <v>Sugarcreek</v>
      </c>
      <c r="AO611" s="21" t="b">
        <f t="shared" si="226"/>
        <v>1</v>
      </c>
    </row>
    <row r="612" spans="1:41" ht="12.75">
      <c r="A612" s="1" t="s">
        <v>178</v>
      </c>
      <c r="C612" s="1" t="s">
        <v>801</v>
      </c>
      <c r="D612" s="23"/>
      <c r="E612" s="36">
        <v>5101.22</v>
      </c>
      <c r="F612" s="36"/>
      <c r="G612" s="36">
        <v>0</v>
      </c>
      <c r="H612" s="36"/>
      <c r="I612" s="36">
        <v>4950.65</v>
      </c>
      <c r="J612" s="36"/>
      <c r="K612" s="36">
        <v>0</v>
      </c>
      <c r="L612" s="36"/>
      <c r="M612" s="36">
        <v>812.74</v>
      </c>
      <c r="N612" s="36"/>
      <c r="O612" s="36">
        <v>0</v>
      </c>
      <c r="P612" s="36"/>
      <c r="Q612" s="36">
        <v>16484.18</v>
      </c>
      <c r="R612" s="36"/>
      <c r="S612" s="36">
        <v>0</v>
      </c>
      <c r="T612" s="36"/>
      <c r="U612" s="36">
        <v>0</v>
      </c>
      <c r="V612" s="36"/>
      <c r="W612" s="36">
        <v>0</v>
      </c>
      <c r="X612" s="36"/>
      <c r="Y612" s="36">
        <v>0</v>
      </c>
      <c r="Z612" s="36"/>
      <c r="AA612" s="36">
        <v>0</v>
      </c>
      <c r="AB612" s="36"/>
      <c r="AC612" s="36">
        <v>0</v>
      </c>
      <c r="AD612" s="36"/>
      <c r="AE612" s="36">
        <f aca="true" t="shared" si="229" ref="AE612:AE613">SUM(E612:AC612)</f>
        <v>27348.79</v>
      </c>
      <c r="AF612" s="36"/>
      <c r="AG612" s="36">
        <v>664.41</v>
      </c>
      <c r="AH612" s="36"/>
      <c r="AI612" s="36">
        <v>13433.21</v>
      </c>
      <c r="AJ612" s="36"/>
      <c r="AK612" s="36">
        <v>14097.62</v>
      </c>
      <c r="AL612" s="24">
        <f>+'Gen Rev'!AI610-'Gen Exp'!AE612+'Gen Exp'!AI612-AK612</f>
        <v>0</v>
      </c>
      <c r="AM612" s="44" t="str">
        <f>'Gen Rev'!A610</f>
        <v>Summerfield</v>
      </c>
      <c r="AN612" s="21" t="str">
        <f t="shared" si="225"/>
        <v>Summerfield</v>
      </c>
      <c r="AO612" s="21" t="b">
        <f t="shared" si="226"/>
        <v>1</v>
      </c>
    </row>
    <row r="613" spans="1:41" ht="12.6" customHeight="1">
      <c r="A613" s="1" t="s">
        <v>47</v>
      </c>
      <c r="C613" s="1" t="s">
        <v>305</v>
      </c>
      <c r="E613" s="36">
        <v>10255.92</v>
      </c>
      <c r="F613" s="36"/>
      <c r="G613" s="36">
        <v>0</v>
      </c>
      <c r="H613" s="36"/>
      <c r="I613" s="36">
        <v>0</v>
      </c>
      <c r="J613" s="36"/>
      <c r="K613" s="36">
        <v>4097</v>
      </c>
      <c r="L613" s="36"/>
      <c r="M613" s="36">
        <v>4370.99</v>
      </c>
      <c r="N613" s="36"/>
      <c r="O613" s="36">
        <v>0</v>
      </c>
      <c r="P613" s="36"/>
      <c r="Q613" s="36">
        <v>10544.54</v>
      </c>
      <c r="R613" s="36"/>
      <c r="S613" s="36">
        <v>0</v>
      </c>
      <c r="T613" s="36"/>
      <c r="U613" s="36">
        <v>0</v>
      </c>
      <c r="V613" s="36"/>
      <c r="W613" s="36">
        <v>0</v>
      </c>
      <c r="X613" s="36"/>
      <c r="Y613" s="36">
        <v>0</v>
      </c>
      <c r="Z613" s="36"/>
      <c r="AA613" s="36">
        <v>0</v>
      </c>
      <c r="AB613" s="36"/>
      <c r="AC613" s="36">
        <v>0</v>
      </c>
      <c r="AD613" s="36"/>
      <c r="AE613" s="36">
        <f t="shared" si="229"/>
        <v>29268.45</v>
      </c>
      <c r="AF613" s="36"/>
      <c r="AG613" s="36">
        <v>-5074</v>
      </c>
      <c r="AH613" s="36"/>
      <c r="AI613" s="36">
        <v>6360.07</v>
      </c>
      <c r="AJ613" s="36"/>
      <c r="AK613" s="36">
        <v>1286.07</v>
      </c>
      <c r="AL613" s="24">
        <f>+'Gen Rev'!AI611-'Gen Exp'!AE613+'Gen Exp'!AI613-AK613</f>
        <v>0</v>
      </c>
      <c r="AM613" s="44" t="str">
        <f>'Gen Rev'!A611</f>
        <v>Summitville</v>
      </c>
      <c r="AN613" s="21" t="str">
        <f t="shared" si="225"/>
        <v>Summitville</v>
      </c>
      <c r="AO613" s="21" t="b">
        <f t="shared" si="226"/>
        <v>1</v>
      </c>
    </row>
    <row r="614" spans="1:41" s="21" customFormat="1" ht="12.6" customHeight="1">
      <c r="A614" s="1" t="s">
        <v>346</v>
      </c>
      <c r="B614" s="1"/>
      <c r="C614" s="1" t="s">
        <v>343</v>
      </c>
      <c r="D614" s="1"/>
      <c r="E614" s="83">
        <v>1064182</v>
      </c>
      <c r="F614" s="83"/>
      <c r="G614" s="83">
        <v>0</v>
      </c>
      <c r="H614" s="83"/>
      <c r="I614" s="83">
        <v>0</v>
      </c>
      <c r="J614" s="83"/>
      <c r="K614" s="83">
        <v>109467</v>
      </c>
      <c r="L614" s="83"/>
      <c r="M614" s="83">
        <v>0</v>
      </c>
      <c r="N614" s="83"/>
      <c r="O614" s="83">
        <v>538367</v>
      </c>
      <c r="P614" s="83"/>
      <c r="Q614" s="83">
        <v>1452574</v>
      </c>
      <c r="R614" s="83"/>
      <c r="S614" s="83">
        <v>0</v>
      </c>
      <c r="T614" s="83"/>
      <c r="U614" s="83">
        <v>543500</v>
      </c>
      <c r="V614" s="83"/>
      <c r="W614" s="83">
        <v>0</v>
      </c>
      <c r="X614" s="83"/>
      <c r="Y614" s="83">
        <v>492793</v>
      </c>
      <c r="Z614" s="83"/>
      <c r="AA614" s="83">
        <v>0</v>
      </c>
      <c r="AB614" s="83"/>
      <c r="AC614" s="83">
        <v>0</v>
      </c>
      <c r="AD614" s="83"/>
      <c r="AE614" s="83">
        <f aca="true" t="shared" si="230" ref="AE614:AE686">SUM(E614:AC614)</f>
        <v>4200883</v>
      </c>
      <c r="AF614" s="83"/>
      <c r="AG614" s="36">
        <v>308332</v>
      </c>
      <c r="AH614" s="36"/>
      <c r="AI614" s="36">
        <v>2014781</v>
      </c>
      <c r="AJ614" s="36"/>
      <c r="AK614" s="36">
        <v>2323113</v>
      </c>
      <c r="AL614" s="24">
        <f>+'Gen Rev'!AI612-'Gen Exp'!AE614+'Gen Exp'!AI614-AK614</f>
        <v>0</v>
      </c>
      <c r="AM614" s="44" t="str">
        <f>'Gen Rev'!A612</f>
        <v>Sunbury</v>
      </c>
      <c r="AN614" s="21" t="str">
        <f t="shared" si="225"/>
        <v>Sunbury</v>
      </c>
      <c r="AO614" s="21" t="b">
        <f t="shared" si="226"/>
        <v>1</v>
      </c>
    </row>
    <row r="615" spans="1:41" s="21" customFormat="1" ht="12.75">
      <c r="A615" s="1" t="s">
        <v>362</v>
      </c>
      <c r="B615" s="1"/>
      <c r="C615" s="1" t="s">
        <v>358</v>
      </c>
      <c r="D615" s="1"/>
      <c r="E615" s="36">
        <v>598463.68</v>
      </c>
      <c r="F615" s="36"/>
      <c r="G615" s="36">
        <v>420</v>
      </c>
      <c r="H615" s="36"/>
      <c r="I615" s="36">
        <v>0</v>
      </c>
      <c r="J615" s="36"/>
      <c r="K615" s="36">
        <v>0</v>
      </c>
      <c r="L615" s="36"/>
      <c r="M615" s="36">
        <v>44060.24</v>
      </c>
      <c r="N615" s="36"/>
      <c r="O615" s="36">
        <v>70511.55</v>
      </c>
      <c r="P615" s="36"/>
      <c r="Q615" s="36">
        <v>358861.51</v>
      </c>
      <c r="R615" s="36"/>
      <c r="S615" s="36">
        <v>0</v>
      </c>
      <c r="T615" s="36"/>
      <c r="U615" s="36">
        <v>0</v>
      </c>
      <c r="V615" s="36"/>
      <c r="W615" s="36">
        <v>0</v>
      </c>
      <c r="X615" s="36"/>
      <c r="Y615" s="36">
        <v>425345.94</v>
      </c>
      <c r="Z615" s="36"/>
      <c r="AA615" s="36">
        <v>0</v>
      </c>
      <c r="AB615" s="36"/>
      <c r="AC615" s="36">
        <v>6831.39</v>
      </c>
      <c r="AD615" s="36"/>
      <c r="AE615" s="36">
        <f aca="true" t="shared" si="231" ref="AE615:AE618">SUM(E615:AC615)</f>
        <v>1504494.3099999998</v>
      </c>
      <c r="AF615" s="36"/>
      <c r="AG615" s="36">
        <v>2672566.96</v>
      </c>
      <c r="AH615" s="36"/>
      <c r="AI615" s="36">
        <v>385768.68</v>
      </c>
      <c r="AJ615" s="36"/>
      <c r="AK615" s="36">
        <v>3058335.64</v>
      </c>
      <c r="AL615" s="24">
        <f>+'Gen Rev'!AI613-'Gen Exp'!AE615+'Gen Exp'!AI615-AK615</f>
        <v>0</v>
      </c>
      <c r="AM615" s="44" t="str">
        <f>'Gen Rev'!A613</f>
        <v>Swanton</v>
      </c>
      <c r="AN615" s="21" t="str">
        <f t="shared" si="225"/>
        <v>Swanton</v>
      </c>
      <c r="AO615" s="21" t="b">
        <f t="shared" si="226"/>
        <v>1</v>
      </c>
    </row>
    <row r="616" spans="1:41" ht="12.75">
      <c r="A616" s="1" t="s">
        <v>266</v>
      </c>
      <c r="C616" s="1" t="s">
        <v>826</v>
      </c>
      <c r="D616" s="23"/>
      <c r="E616" s="36">
        <v>92601.44</v>
      </c>
      <c r="F616" s="36"/>
      <c r="G616" s="36">
        <v>1799.31</v>
      </c>
      <c r="H616" s="36"/>
      <c r="I616" s="36">
        <v>4023.54</v>
      </c>
      <c r="J616" s="36"/>
      <c r="K616" s="36">
        <v>0</v>
      </c>
      <c r="L616" s="36"/>
      <c r="M616" s="36">
        <v>0</v>
      </c>
      <c r="N616" s="36"/>
      <c r="O616" s="36">
        <v>0</v>
      </c>
      <c r="P616" s="36"/>
      <c r="Q616" s="36">
        <v>93643.02</v>
      </c>
      <c r="R616" s="36"/>
      <c r="S616" s="36">
        <v>0</v>
      </c>
      <c r="T616" s="36"/>
      <c r="U616" s="36">
        <v>0</v>
      </c>
      <c r="V616" s="36"/>
      <c r="W616" s="36">
        <v>0</v>
      </c>
      <c r="X616" s="36"/>
      <c r="Y616" s="36">
        <v>113685.77</v>
      </c>
      <c r="Z616" s="36"/>
      <c r="AA616" s="36">
        <v>0</v>
      </c>
      <c r="AB616" s="36"/>
      <c r="AC616" s="36">
        <v>26</v>
      </c>
      <c r="AD616" s="36"/>
      <c r="AE616" s="36">
        <f t="shared" si="231"/>
        <v>305779.08</v>
      </c>
      <c r="AF616" s="36"/>
      <c r="AG616" s="36">
        <v>23988.64</v>
      </c>
      <c r="AH616" s="36"/>
      <c r="AI616" s="36">
        <v>78555.04</v>
      </c>
      <c r="AJ616" s="36"/>
      <c r="AK616" s="36">
        <v>102543.68</v>
      </c>
      <c r="AL616" s="24">
        <f>+'Gen Rev'!AI614-'Gen Exp'!AE616+'Gen Exp'!AI616-AK616</f>
        <v>0</v>
      </c>
      <c r="AM616" s="44" t="str">
        <f>'Gen Rev'!A614</f>
        <v>Sycamore</v>
      </c>
      <c r="AN616" s="21" t="str">
        <f t="shared" si="225"/>
        <v>Sycamore</v>
      </c>
      <c r="AO616" s="21" t="b">
        <f t="shared" si="226"/>
        <v>1</v>
      </c>
    </row>
    <row r="617" spans="1:41" ht="12.75">
      <c r="A617" s="1" t="s">
        <v>159</v>
      </c>
      <c r="C617" s="1" t="s">
        <v>793</v>
      </c>
      <c r="D617" s="23"/>
      <c r="E617" s="36">
        <v>19791.17</v>
      </c>
      <c r="F617" s="36"/>
      <c r="G617" s="36">
        <v>0</v>
      </c>
      <c r="H617" s="36"/>
      <c r="I617" s="36">
        <v>16083.38</v>
      </c>
      <c r="J617" s="36"/>
      <c r="K617" s="36">
        <v>0</v>
      </c>
      <c r="L617" s="36"/>
      <c r="M617" s="36">
        <v>0</v>
      </c>
      <c r="N617" s="36"/>
      <c r="O617" s="36">
        <v>0</v>
      </c>
      <c r="P617" s="36"/>
      <c r="Q617" s="36">
        <v>46578.06</v>
      </c>
      <c r="R617" s="36"/>
      <c r="S617" s="36">
        <v>403.38</v>
      </c>
      <c r="T617" s="36"/>
      <c r="U617" s="36">
        <v>0</v>
      </c>
      <c r="V617" s="36"/>
      <c r="W617" s="36">
        <v>0</v>
      </c>
      <c r="X617" s="36"/>
      <c r="Y617" s="36">
        <v>14700</v>
      </c>
      <c r="Z617" s="36"/>
      <c r="AA617" s="36">
        <v>0</v>
      </c>
      <c r="AB617" s="36"/>
      <c r="AC617" s="36">
        <v>1340</v>
      </c>
      <c r="AD617" s="36"/>
      <c r="AE617" s="36">
        <f t="shared" si="231"/>
        <v>98895.98999999999</v>
      </c>
      <c r="AF617" s="36"/>
      <c r="AG617" s="36">
        <v>-7111.85</v>
      </c>
      <c r="AH617" s="36"/>
      <c r="AI617" s="36">
        <v>140507.49</v>
      </c>
      <c r="AJ617" s="36"/>
      <c r="AK617" s="36">
        <v>133395.64</v>
      </c>
      <c r="AL617" s="24">
        <f>+'Gen Rev'!AI615-'Gen Exp'!AE617+'Gen Exp'!AI617-AK617</f>
        <v>0</v>
      </c>
      <c r="AM617" s="44" t="str">
        <f>'Gen Rev'!A615</f>
        <v>Syracuse</v>
      </c>
      <c r="AN617" s="21" t="str">
        <f t="shared" si="225"/>
        <v>Syracuse</v>
      </c>
      <c r="AO617" s="21" t="b">
        <f t="shared" si="226"/>
        <v>1</v>
      </c>
    </row>
    <row r="618" spans="1:41" ht="12.75">
      <c r="A618" s="1" t="s">
        <v>191</v>
      </c>
      <c r="C618" s="1" t="s">
        <v>804</v>
      </c>
      <c r="D618" s="23"/>
      <c r="E618" s="36">
        <v>134.47</v>
      </c>
      <c r="F618" s="36"/>
      <c r="G618" s="36">
        <v>70.35</v>
      </c>
      <c r="H618" s="36"/>
      <c r="I618" s="36">
        <v>2256.43</v>
      </c>
      <c r="J618" s="36"/>
      <c r="K618" s="36">
        <v>0</v>
      </c>
      <c r="L618" s="36"/>
      <c r="M618" s="36">
        <v>107.96</v>
      </c>
      <c r="N618" s="36"/>
      <c r="O618" s="36">
        <v>4900</v>
      </c>
      <c r="P618" s="36"/>
      <c r="Q618" s="36">
        <v>28518.31</v>
      </c>
      <c r="R618" s="36"/>
      <c r="S618" s="36">
        <v>0</v>
      </c>
      <c r="T618" s="36"/>
      <c r="U618" s="36">
        <v>0</v>
      </c>
      <c r="V618" s="36"/>
      <c r="W618" s="36">
        <v>0</v>
      </c>
      <c r="X618" s="36"/>
      <c r="Y618" s="36">
        <v>6232.8</v>
      </c>
      <c r="Z618" s="36"/>
      <c r="AA618" s="36">
        <v>0</v>
      </c>
      <c r="AB618" s="36"/>
      <c r="AC618" s="36">
        <v>550</v>
      </c>
      <c r="AD618" s="36"/>
      <c r="AE618" s="36">
        <f t="shared" si="231"/>
        <v>42770.32000000001</v>
      </c>
      <c r="AF618" s="36"/>
      <c r="AG618" s="36">
        <v>11236.63</v>
      </c>
      <c r="AH618" s="36"/>
      <c r="AI618" s="36">
        <v>30546.53</v>
      </c>
      <c r="AJ618" s="36"/>
      <c r="AK618" s="36">
        <v>41783.16</v>
      </c>
      <c r="AL618" s="24">
        <f>+'Gen Rev'!AI616-'Gen Exp'!AE618+'Gen Exp'!AI618-AK618</f>
        <v>0</v>
      </c>
      <c r="AM618" s="44" t="str">
        <f>'Gen Rev'!A616</f>
        <v>Tarlton</v>
      </c>
      <c r="AN618" s="21" t="str">
        <f t="shared" si="225"/>
        <v>Tarlton</v>
      </c>
      <c r="AO618" s="21" t="b">
        <f t="shared" si="226"/>
        <v>1</v>
      </c>
    </row>
    <row r="619" spans="1:41" s="50" customFormat="1" ht="12.75">
      <c r="A619" s="38" t="s">
        <v>385</v>
      </c>
      <c r="B619" s="38"/>
      <c r="C619" s="38" t="s">
        <v>378</v>
      </c>
      <c r="D619" s="38"/>
      <c r="E619" s="95">
        <v>934107</v>
      </c>
      <c r="F619" s="95"/>
      <c r="G619" s="95">
        <v>0</v>
      </c>
      <c r="H619" s="95"/>
      <c r="I619" s="95">
        <v>1848.42</v>
      </c>
      <c r="J619" s="95"/>
      <c r="K619" s="95">
        <v>24095.29</v>
      </c>
      <c r="L619" s="95"/>
      <c r="M619" s="95">
        <v>121150.11</v>
      </c>
      <c r="N619" s="95"/>
      <c r="O619" s="95">
        <v>54672.65</v>
      </c>
      <c r="P619" s="95"/>
      <c r="Q619" s="95">
        <v>486118.42</v>
      </c>
      <c r="R619" s="95"/>
      <c r="S619" s="95">
        <v>0</v>
      </c>
      <c r="T619" s="95"/>
      <c r="U619" s="95">
        <v>0</v>
      </c>
      <c r="V619" s="95"/>
      <c r="W619" s="95">
        <v>0</v>
      </c>
      <c r="X619" s="95"/>
      <c r="Y619" s="95">
        <v>0</v>
      </c>
      <c r="Z619" s="95"/>
      <c r="AA619" s="95">
        <v>0</v>
      </c>
      <c r="AB619" s="95"/>
      <c r="AC619" s="95">
        <v>0</v>
      </c>
      <c r="AD619" s="95"/>
      <c r="AE619" s="95">
        <f aca="true" t="shared" si="232" ref="AE619">SUM(E619:AC619)</f>
        <v>1621991.89</v>
      </c>
      <c r="AF619" s="95"/>
      <c r="AG619" s="95">
        <v>145355.76</v>
      </c>
      <c r="AH619" s="95"/>
      <c r="AI619" s="95">
        <v>1070467.59</v>
      </c>
      <c r="AJ619" s="95"/>
      <c r="AK619" s="95">
        <v>1215823.35</v>
      </c>
      <c r="AL619" s="24">
        <f>+'Gen Rev'!AI617-'Gen Exp'!AE619+'Gen Exp'!AI619-AK619</f>
        <v>0</v>
      </c>
      <c r="AM619" s="44" t="str">
        <f>'Gen Rev'!A617</f>
        <v>Terrace Park</v>
      </c>
      <c r="AN619" s="21" t="str">
        <f t="shared" si="225"/>
        <v>Terrace Park</v>
      </c>
      <c r="AO619" s="21" t="b">
        <f t="shared" si="226"/>
        <v>1</v>
      </c>
    </row>
    <row r="620" spans="1:41" ht="12.75">
      <c r="A620" s="1" t="s">
        <v>504</v>
      </c>
      <c r="C620" s="1" t="s">
        <v>501</v>
      </c>
      <c r="E620" s="36">
        <v>29378.37</v>
      </c>
      <c r="F620" s="36"/>
      <c r="G620" s="36">
        <v>0</v>
      </c>
      <c r="H620" s="36"/>
      <c r="I620" s="36">
        <v>0</v>
      </c>
      <c r="J620" s="36"/>
      <c r="K620" s="36">
        <v>8880.53</v>
      </c>
      <c r="L620" s="36"/>
      <c r="M620" s="36">
        <v>0</v>
      </c>
      <c r="N620" s="36"/>
      <c r="O620" s="36">
        <v>5716.05</v>
      </c>
      <c r="P620" s="36"/>
      <c r="Q620" s="36">
        <v>86050.2</v>
      </c>
      <c r="R620" s="36"/>
      <c r="S620" s="36">
        <v>0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0</v>
      </c>
      <c r="AD620" s="36"/>
      <c r="AE620" s="36">
        <f aca="true" t="shared" si="233" ref="AE620:AE622">SUM(E620:AC620)</f>
        <v>130025.15</v>
      </c>
      <c r="AF620" s="36"/>
      <c r="AG620" s="36">
        <v>119539.28</v>
      </c>
      <c r="AH620" s="36"/>
      <c r="AI620" s="36">
        <v>311512.54</v>
      </c>
      <c r="AJ620" s="36"/>
      <c r="AK620" s="36">
        <v>431051.82</v>
      </c>
      <c r="AL620" s="24">
        <f>+'Gen Rev'!AI618-'Gen Exp'!AE620+'Gen Exp'!AI620-AK620</f>
        <v>0</v>
      </c>
      <c r="AM620" s="44" t="str">
        <f>'Gen Rev'!A618</f>
        <v>Thornville</v>
      </c>
      <c r="AN620" s="21" t="str">
        <f t="shared" si="225"/>
        <v>Thornville</v>
      </c>
      <c r="AO620" s="21" t="b">
        <f t="shared" si="226"/>
        <v>1</v>
      </c>
    </row>
    <row r="621" spans="1:41" s="21" customFormat="1" ht="12.75">
      <c r="A621" s="1" t="s">
        <v>67</v>
      </c>
      <c r="B621" s="1"/>
      <c r="C621" s="1" t="s">
        <v>766</v>
      </c>
      <c r="D621" s="23"/>
      <c r="E621" s="36">
        <v>3300</v>
      </c>
      <c r="F621" s="36"/>
      <c r="G621" s="36">
        <v>2578.62</v>
      </c>
      <c r="H621" s="36"/>
      <c r="I621" s="36">
        <v>0</v>
      </c>
      <c r="J621" s="36"/>
      <c r="K621" s="36">
        <v>549.63</v>
      </c>
      <c r="L621" s="36"/>
      <c r="M621" s="36">
        <v>5455.91</v>
      </c>
      <c r="N621" s="36"/>
      <c r="O621" s="36">
        <v>0</v>
      </c>
      <c r="P621" s="36"/>
      <c r="Q621" s="36">
        <v>20146.38</v>
      </c>
      <c r="R621" s="36"/>
      <c r="S621" s="36">
        <v>7949.69</v>
      </c>
      <c r="T621" s="36"/>
      <c r="U621" s="36">
        <v>0</v>
      </c>
      <c r="V621" s="36"/>
      <c r="W621" s="36">
        <v>0</v>
      </c>
      <c r="X621" s="36"/>
      <c r="Y621" s="36">
        <v>0</v>
      </c>
      <c r="Z621" s="36"/>
      <c r="AA621" s="36">
        <v>0</v>
      </c>
      <c r="AB621" s="36"/>
      <c r="AC621" s="36">
        <v>0</v>
      </c>
      <c r="AD621" s="36"/>
      <c r="AE621" s="36">
        <f t="shared" si="233"/>
        <v>39980.23</v>
      </c>
      <c r="AF621" s="36"/>
      <c r="AG621" s="36">
        <v>29506.41</v>
      </c>
      <c r="AH621" s="36"/>
      <c r="AI621" s="36">
        <v>10250.07</v>
      </c>
      <c r="AJ621" s="36"/>
      <c r="AK621" s="36">
        <v>39756.48</v>
      </c>
      <c r="AL621" s="24">
        <f>+'Gen Rev'!AI619-'Gen Exp'!AE621+'Gen Exp'!AI621-AK621</f>
        <v>0</v>
      </c>
      <c r="AM621" s="44" t="str">
        <f>'Gen Rev'!A619</f>
        <v>Thurston</v>
      </c>
      <c r="AN621" s="21" t="str">
        <f t="shared" si="225"/>
        <v>Thurston</v>
      </c>
      <c r="AO621" s="21" t="b">
        <f t="shared" si="226"/>
        <v>1</v>
      </c>
    </row>
    <row r="622" spans="1:41" s="21" customFormat="1" ht="12.75">
      <c r="A622" s="1" t="s">
        <v>120</v>
      </c>
      <c r="B622" s="1"/>
      <c r="C622" s="1" t="s">
        <v>781</v>
      </c>
      <c r="D622" s="23"/>
      <c r="E622" s="36">
        <v>113552.36</v>
      </c>
      <c r="F622" s="36"/>
      <c r="G622" s="36">
        <v>2230.22</v>
      </c>
      <c r="H622" s="36"/>
      <c r="I622" s="36">
        <v>998.52</v>
      </c>
      <c r="J622" s="36"/>
      <c r="K622" s="36">
        <v>0</v>
      </c>
      <c r="L622" s="36"/>
      <c r="M622" s="36">
        <v>0</v>
      </c>
      <c r="N622" s="36"/>
      <c r="O622" s="36">
        <v>0</v>
      </c>
      <c r="P622" s="36"/>
      <c r="Q622" s="36">
        <v>56565.16</v>
      </c>
      <c r="R622" s="36"/>
      <c r="S622" s="36">
        <v>0</v>
      </c>
      <c r="T622" s="36"/>
      <c r="U622" s="36">
        <v>0</v>
      </c>
      <c r="V622" s="36"/>
      <c r="W622" s="36">
        <v>0</v>
      </c>
      <c r="X622" s="36"/>
      <c r="Y622" s="36">
        <v>0</v>
      </c>
      <c r="Z622" s="36"/>
      <c r="AA622" s="36">
        <v>0</v>
      </c>
      <c r="AB622" s="36"/>
      <c r="AC622" s="36">
        <v>0</v>
      </c>
      <c r="AD622" s="36"/>
      <c r="AE622" s="36">
        <f t="shared" si="233"/>
        <v>173346.26</v>
      </c>
      <c r="AF622" s="36"/>
      <c r="AG622" s="36">
        <v>-16862.79</v>
      </c>
      <c r="AH622" s="36"/>
      <c r="AI622" s="36">
        <v>87188.06</v>
      </c>
      <c r="AJ622" s="36"/>
      <c r="AK622" s="36">
        <v>70325.27</v>
      </c>
      <c r="AL622" s="24">
        <f>+'Gen Rev'!AI620-'Gen Exp'!AE622+'Gen Exp'!AI622-AK622</f>
        <v>0</v>
      </c>
      <c r="AM622" s="44" t="str">
        <f>'Gen Rev'!A620</f>
        <v>Tiltonsville</v>
      </c>
      <c r="AN622" s="21" t="str">
        <f t="shared" si="225"/>
        <v>Tiltonsville</v>
      </c>
      <c r="AO622" s="21" t="b">
        <f t="shared" si="226"/>
        <v>1</v>
      </c>
    </row>
    <row r="623" spans="1:41" s="21" customFormat="1" ht="12.75">
      <c r="A623" s="1" t="s">
        <v>434</v>
      </c>
      <c r="B623" s="1"/>
      <c r="C623" s="1" t="s">
        <v>430</v>
      </c>
      <c r="D623" s="1"/>
      <c r="E623" s="83">
        <v>263248.37</v>
      </c>
      <c r="F623" s="83"/>
      <c r="G623" s="83">
        <v>6088</v>
      </c>
      <c r="H623" s="83"/>
      <c r="I623" s="83">
        <v>59064.11</v>
      </c>
      <c r="J623" s="83"/>
      <c r="K623" s="83">
        <v>10097.37</v>
      </c>
      <c r="L623" s="83"/>
      <c r="M623" s="83">
        <v>84241.16</v>
      </c>
      <c r="N623" s="83"/>
      <c r="O623" s="83">
        <v>0</v>
      </c>
      <c r="P623" s="83"/>
      <c r="Q623" s="83">
        <v>102162.04</v>
      </c>
      <c r="R623" s="83"/>
      <c r="S623" s="83">
        <v>0</v>
      </c>
      <c r="T623" s="83"/>
      <c r="U623" s="83">
        <v>0</v>
      </c>
      <c r="V623" s="83"/>
      <c r="W623" s="83">
        <v>0</v>
      </c>
      <c r="X623" s="83"/>
      <c r="Y623" s="83">
        <v>37114.75</v>
      </c>
      <c r="Z623" s="83"/>
      <c r="AA623" s="83">
        <v>0</v>
      </c>
      <c r="AB623" s="83"/>
      <c r="AC623" s="83">
        <v>0</v>
      </c>
      <c r="AD623" s="83"/>
      <c r="AE623" s="83">
        <f t="shared" si="230"/>
        <v>562015.8</v>
      </c>
      <c r="AF623" s="83"/>
      <c r="AG623" s="83">
        <f>AK623-AI623</f>
        <v>-75215.06999999995</v>
      </c>
      <c r="AH623" s="83"/>
      <c r="AI623" s="83">
        <v>377182.72</v>
      </c>
      <c r="AJ623" s="83"/>
      <c r="AK623" s="83">
        <v>301967.65</v>
      </c>
      <c r="AL623" s="24">
        <f>+'Gen Rev'!AI621-'Gen Exp'!AE623+'Gen Exp'!AI623-AK623</f>
        <v>0</v>
      </c>
      <c r="AM623" s="44" t="str">
        <f>'Gen Rev'!A621</f>
        <v>Timberlake</v>
      </c>
      <c r="AN623" s="21" t="str">
        <f t="shared" si="225"/>
        <v>Timberlake</v>
      </c>
      <c r="AO623" s="21" t="b">
        <f t="shared" si="226"/>
        <v>1</v>
      </c>
    </row>
    <row r="624" spans="1:41" s="21" customFormat="1" ht="12.75">
      <c r="A624" s="1" t="s">
        <v>857</v>
      </c>
      <c r="B624" s="1"/>
      <c r="C624" s="1" t="s">
        <v>760</v>
      </c>
      <c r="D624" s="23"/>
      <c r="E624" s="95">
        <v>3657.1</v>
      </c>
      <c r="F624" s="95"/>
      <c r="G624" s="95">
        <v>585.38</v>
      </c>
      <c r="H624" s="95"/>
      <c r="I624" s="95">
        <v>0</v>
      </c>
      <c r="J624" s="95"/>
      <c r="K624" s="95">
        <v>0</v>
      </c>
      <c r="L624" s="95"/>
      <c r="M624" s="95">
        <v>70.09</v>
      </c>
      <c r="N624" s="95"/>
      <c r="O624" s="95">
        <v>0</v>
      </c>
      <c r="P624" s="95"/>
      <c r="Q624" s="95">
        <v>11613.03</v>
      </c>
      <c r="R624" s="95"/>
      <c r="S624" s="95">
        <v>0</v>
      </c>
      <c r="T624" s="95"/>
      <c r="U624" s="95">
        <v>6685.9</v>
      </c>
      <c r="V624" s="95"/>
      <c r="W624" s="95">
        <v>0</v>
      </c>
      <c r="X624" s="95"/>
      <c r="Y624" s="95">
        <v>0</v>
      </c>
      <c r="Z624" s="95"/>
      <c r="AA624" s="95">
        <v>0</v>
      </c>
      <c r="AB624" s="95"/>
      <c r="AC624" s="95">
        <v>0</v>
      </c>
      <c r="AD624" s="95"/>
      <c r="AE624" s="95">
        <f aca="true" t="shared" si="234" ref="AE624">SUM(E624:AC624)</f>
        <v>22611.5</v>
      </c>
      <c r="AF624" s="95"/>
      <c r="AG624" s="95">
        <v>-6250.05</v>
      </c>
      <c r="AH624" s="95"/>
      <c r="AI624" s="95">
        <v>7168.47</v>
      </c>
      <c r="AJ624" s="95"/>
      <c r="AK624" s="95">
        <v>918.42</v>
      </c>
      <c r="AL624" s="24">
        <f>+'Gen Rev'!AI622-'Gen Exp'!AE624+'Gen Exp'!AI624-AK624</f>
        <v>1.0231815394945443E-12</v>
      </c>
      <c r="AM624" s="44" t="str">
        <f>'Gen Rev'!A622</f>
        <v>Tiro</v>
      </c>
      <c r="AN624" s="21" t="str">
        <f t="shared" si="225"/>
        <v>Tiro</v>
      </c>
      <c r="AO624" s="21" t="b">
        <f t="shared" si="226"/>
        <v>1</v>
      </c>
    </row>
    <row r="625" spans="1:41" ht="12.75">
      <c r="A625" s="1" t="s">
        <v>609</v>
      </c>
      <c r="C625" s="1" t="s">
        <v>603</v>
      </c>
      <c r="E625" s="36">
        <v>28839.38</v>
      </c>
      <c r="F625" s="36"/>
      <c r="G625" s="36">
        <v>182</v>
      </c>
      <c r="H625" s="36"/>
      <c r="I625" s="36">
        <v>9440.09</v>
      </c>
      <c r="J625" s="36"/>
      <c r="K625" s="36">
        <v>1385.4</v>
      </c>
      <c r="L625" s="36"/>
      <c r="M625" s="36">
        <v>940.86</v>
      </c>
      <c r="N625" s="36"/>
      <c r="O625" s="36">
        <v>2836.08</v>
      </c>
      <c r="P625" s="36"/>
      <c r="Q625" s="36">
        <v>41645.68</v>
      </c>
      <c r="R625" s="36"/>
      <c r="S625" s="36">
        <v>49294.7</v>
      </c>
      <c r="T625" s="36"/>
      <c r="U625" s="36">
        <v>0</v>
      </c>
      <c r="V625" s="36"/>
      <c r="W625" s="36">
        <v>0</v>
      </c>
      <c r="X625" s="36"/>
      <c r="Y625" s="36">
        <v>0</v>
      </c>
      <c r="Z625" s="36"/>
      <c r="AA625" s="36">
        <v>0</v>
      </c>
      <c r="AB625" s="36"/>
      <c r="AC625" s="36">
        <v>0</v>
      </c>
      <c r="AD625" s="36"/>
      <c r="AE625" s="36">
        <f aca="true" t="shared" si="235" ref="AE625">SUM(E625:AC625)</f>
        <v>134564.19</v>
      </c>
      <c r="AF625" s="36"/>
      <c r="AG625" s="36">
        <v>-24931.84</v>
      </c>
      <c r="AH625" s="36"/>
      <c r="AI625" s="36">
        <v>192686.86</v>
      </c>
      <c r="AJ625" s="36"/>
      <c r="AK625" s="36">
        <v>167755.02</v>
      </c>
      <c r="AL625" s="24">
        <f>+'Gen Rev'!AI623-'Gen Exp'!AE625+'Gen Exp'!AI625-AK625</f>
        <v>0</v>
      </c>
      <c r="AM625" s="44" t="str">
        <f>'Gen Rev'!A623</f>
        <v>Tontogany</v>
      </c>
      <c r="AN625" s="21" t="str">
        <f t="shared" si="225"/>
        <v>Tontogany</v>
      </c>
      <c r="AO625" s="21" t="b">
        <f t="shared" si="226"/>
        <v>1</v>
      </c>
    </row>
    <row r="626" spans="1:41" ht="12.75">
      <c r="A626" s="1" t="s">
        <v>961</v>
      </c>
      <c r="C626" s="1" t="s">
        <v>271</v>
      </c>
      <c r="E626" s="83">
        <v>2704.21</v>
      </c>
      <c r="F626" s="83"/>
      <c r="G626" s="83">
        <v>0</v>
      </c>
      <c r="H626" s="83"/>
      <c r="I626" s="83">
        <v>0</v>
      </c>
      <c r="J626" s="83"/>
      <c r="K626" s="83">
        <v>0</v>
      </c>
      <c r="L626" s="83"/>
      <c r="M626" s="83">
        <v>4397.98</v>
      </c>
      <c r="N626" s="83"/>
      <c r="O626" s="83">
        <v>1701.94</v>
      </c>
      <c r="P626" s="83"/>
      <c r="Q626" s="83">
        <v>48667.47</v>
      </c>
      <c r="R626" s="83"/>
      <c r="S626" s="83">
        <v>0</v>
      </c>
      <c r="T626" s="83"/>
      <c r="U626" s="83">
        <v>0</v>
      </c>
      <c r="V626" s="83"/>
      <c r="W626" s="83">
        <v>0</v>
      </c>
      <c r="X626" s="83"/>
      <c r="Y626" s="83">
        <v>0</v>
      </c>
      <c r="Z626" s="83"/>
      <c r="AA626" s="83">
        <v>0</v>
      </c>
      <c r="AB626" s="83"/>
      <c r="AC626" s="83">
        <v>0</v>
      </c>
      <c r="AD626" s="83"/>
      <c r="AE626" s="83">
        <f t="shared" si="230"/>
        <v>57471.6</v>
      </c>
      <c r="AF626" s="83"/>
      <c r="AG626" s="83">
        <f>AK626-AI626</f>
        <v>-8688.05</v>
      </c>
      <c r="AH626" s="83"/>
      <c r="AI626" s="83">
        <v>0</v>
      </c>
      <c r="AJ626" s="83"/>
      <c r="AK626" s="83">
        <v>-8688.05</v>
      </c>
      <c r="AL626" s="24">
        <f>+'Gen Rev'!AI624-'Gen Exp'!AE626+'Gen Exp'!AI626-AK626</f>
        <v>0</v>
      </c>
      <c r="AM626" s="44" t="str">
        <f>'Gen Rev'!A624</f>
        <v>Trimble</v>
      </c>
      <c r="AN626" s="21" t="str">
        <f t="shared" si="225"/>
        <v>Trimble</v>
      </c>
      <c r="AO626" s="21" t="b">
        <f t="shared" si="226"/>
        <v>1</v>
      </c>
    </row>
    <row r="627" spans="1:41" ht="12.75">
      <c r="A627" s="1" t="s">
        <v>562</v>
      </c>
      <c r="C627" s="1" t="s">
        <v>562</v>
      </c>
      <c r="E627" s="36">
        <v>48960.02</v>
      </c>
      <c r="F627" s="36"/>
      <c r="G627" s="36">
        <v>245.04</v>
      </c>
      <c r="H627" s="36"/>
      <c r="I627" s="36">
        <v>0</v>
      </c>
      <c r="J627" s="36"/>
      <c r="K627" s="36">
        <v>6672.61</v>
      </c>
      <c r="L627" s="36"/>
      <c r="M627" s="36">
        <v>35505.2</v>
      </c>
      <c r="N627" s="36"/>
      <c r="O627" s="36">
        <v>0</v>
      </c>
      <c r="P627" s="36"/>
      <c r="Q627" s="36">
        <v>98464.26</v>
      </c>
      <c r="R627" s="36"/>
      <c r="S627" s="36">
        <v>72064.4</v>
      </c>
      <c r="T627" s="36"/>
      <c r="U627" s="36">
        <v>0</v>
      </c>
      <c r="V627" s="36"/>
      <c r="W627" s="36">
        <v>0</v>
      </c>
      <c r="X627" s="36"/>
      <c r="Y627" s="36">
        <v>0</v>
      </c>
      <c r="Z627" s="36"/>
      <c r="AA627" s="36">
        <v>0</v>
      </c>
      <c r="AB627" s="36"/>
      <c r="AC627" s="36">
        <v>0</v>
      </c>
      <c r="AD627" s="36"/>
      <c r="AE627" s="36">
        <f aca="true" t="shared" si="236" ref="AE627">SUM(E627:AC627)</f>
        <v>261911.53</v>
      </c>
      <c r="AF627" s="36"/>
      <c r="AG627" s="36">
        <v>-32186.78</v>
      </c>
      <c r="AH627" s="36"/>
      <c r="AI627" s="36">
        <v>224950.18</v>
      </c>
      <c r="AJ627" s="36"/>
      <c r="AK627" s="36">
        <v>192763.4</v>
      </c>
      <c r="AL627" s="24">
        <f>+'Gen Rev'!AI625-'Gen Exp'!AE627+'Gen Exp'!AI627-AK627</f>
        <v>0</v>
      </c>
      <c r="AM627" s="44" t="str">
        <f>'Gen Rev'!A625</f>
        <v>Tuscarawas</v>
      </c>
      <c r="AN627" s="21" t="str">
        <f t="shared" si="225"/>
        <v>Tuscarawas</v>
      </c>
      <c r="AO627" s="21" t="b">
        <f t="shared" si="226"/>
        <v>1</v>
      </c>
    </row>
    <row r="628" spans="1:41" ht="12.6" customHeight="1">
      <c r="A628" s="1" t="s">
        <v>337</v>
      </c>
      <c r="C628" s="1" t="s">
        <v>329</v>
      </c>
      <c r="E628" s="83">
        <v>218108</v>
      </c>
      <c r="F628" s="83"/>
      <c r="G628" s="83">
        <v>4435</v>
      </c>
      <c r="H628" s="83"/>
      <c r="I628" s="83">
        <v>2117</v>
      </c>
      <c r="J628" s="83"/>
      <c r="K628" s="83">
        <v>0</v>
      </c>
      <c r="L628" s="83"/>
      <c r="M628" s="83">
        <v>66339</v>
      </c>
      <c r="N628" s="83"/>
      <c r="O628" s="83">
        <v>19628</v>
      </c>
      <c r="P628" s="83"/>
      <c r="Q628" s="83">
        <v>168810</v>
      </c>
      <c r="R628" s="83"/>
      <c r="S628" s="83">
        <v>0</v>
      </c>
      <c r="T628" s="83"/>
      <c r="U628" s="83">
        <v>0</v>
      </c>
      <c r="V628" s="83"/>
      <c r="W628" s="83">
        <v>0</v>
      </c>
      <c r="X628" s="83"/>
      <c r="Y628" s="83">
        <v>102963</v>
      </c>
      <c r="Z628" s="83"/>
      <c r="AA628" s="83">
        <v>0</v>
      </c>
      <c r="AB628" s="83"/>
      <c r="AC628" s="83">
        <v>0</v>
      </c>
      <c r="AD628" s="83"/>
      <c r="AE628" s="83">
        <f t="shared" si="230"/>
        <v>582400</v>
      </c>
      <c r="AF628" s="83"/>
      <c r="AG628" s="36">
        <v>149955</v>
      </c>
      <c r="AH628" s="36"/>
      <c r="AI628" s="36">
        <v>50406</v>
      </c>
      <c r="AJ628" s="36"/>
      <c r="AK628" s="36">
        <v>200361</v>
      </c>
      <c r="AL628" s="24">
        <f>+'Gen Rev'!AI626-'Gen Exp'!AE628+'Gen Exp'!AI628-AK628</f>
        <v>0</v>
      </c>
      <c r="AM628" s="44" t="str">
        <f>'Gen Rev'!A626</f>
        <v>Union City</v>
      </c>
      <c r="AN628" s="21" t="str">
        <f t="shared" si="225"/>
        <v>Union City</v>
      </c>
      <c r="AO628" s="21" t="b">
        <f t="shared" si="226"/>
        <v>1</v>
      </c>
    </row>
    <row r="629" spans="1:41" ht="12.75">
      <c r="A629" s="1" t="s">
        <v>571</v>
      </c>
      <c r="C629" s="1" t="s">
        <v>572</v>
      </c>
      <c r="E629" s="36">
        <v>2574.52</v>
      </c>
      <c r="F629" s="36"/>
      <c r="G629" s="36">
        <v>0</v>
      </c>
      <c r="H629" s="36"/>
      <c r="I629" s="36">
        <v>500</v>
      </c>
      <c r="J629" s="36"/>
      <c r="K629" s="36">
        <v>0</v>
      </c>
      <c r="L629" s="36"/>
      <c r="M629" s="36">
        <v>215.49</v>
      </c>
      <c r="N629" s="36"/>
      <c r="O629" s="36">
        <v>0</v>
      </c>
      <c r="P629" s="36"/>
      <c r="Q629" s="36">
        <v>12751.26</v>
      </c>
      <c r="R629" s="36"/>
      <c r="S629" s="36">
        <v>0</v>
      </c>
      <c r="T629" s="36"/>
      <c r="U629" s="36">
        <v>0</v>
      </c>
      <c r="V629" s="36"/>
      <c r="W629" s="36">
        <v>0</v>
      </c>
      <c r="X629" s="36"/>
      <c r="Y629" s="36">
        <v>1000</v>
      </c>
      <c r="Z629" s="36"/>
      <c r="AA629" s="36">
        <v>0</v>
      </c>
      <c r="AB629" s="36"/>
      <c r="AC629" s="36">
        <v>0</v>
      </c>
      <c r="AD629" s="36"/>
      <c r="AE629" s="36">
        <f aca="true" t="shared" si="237" ref="AE629:AE631">SUM(E629:AC629)</f>
        <v>17041.27</v>
      </c>
      <c r="AF629" s="36"/>
      <c r="AG629" s="36">
        <v>1627.72</v>
      </c>
      <c r="AH629" s="36"/>
      <c r="AI629" s="36">
        <v>16199.97</v>
      </c>
      <c r="AJ629" s="36"/>
      <c r="AK629" s="36">
        <v>17827.69</v>
      </c>
      <c r="AL629" s="24">
        <f>+'Gen Rev'!AI627-'Gen Exp'!AE629+'Gen Exp'!AI629-AK629</f>
        <v>0</v>
      </c>
      <c r="AM629" s="44" t="str">
        <f>'Gen Rev'!A627</f>
        <v>Unionville Center</v>
      </c>
      <c r="AN629" s="21" t="str">
        <f t="shared" si="225"/>
        <v>Unionville Center</v>
      </c>
      <c r="AO629" s="21" t="b">
        <f t="shared" si="226"/>
        <v>1</v>
      </c>
    </row>
    <row r="630" spans="1:41" s="10" customFormat="1" ht="12" customHeight="1">
      <c r="A630" s="10" t="s">
        <v>13</v>
      </c>
      <c r="C630" s="10" t="s">
        <v>749</v>
      </c>
      <c r="D630" s="52"/>
      <c r="E630" s="36">
        <v>34951.85</v>
      </c>
      <c r="F630" s="36"/>
      <c r="G630" s="36">
        <v>0</v>
      </c>
      <c r="H630" s="36"/>
      <c r="I630" s="36">
        <v>2643.68</v>
      </c>
      <c r="J630" s="36"/>
      <c r="K630" s="36">
        <v>0</v>
      </c>
      <c r="L630" s="36"/>
      <c r="M630" s="36">
        <v>5606.28</v>
      </c>
      <c r="N630" s="36"/>
      <c r="O630" s="36">
        <v>1019.7</v>
      </c>
      <c r="P630" s="36"/>
      <c r="Q630" s="36">
        <v>65369.54</v>
      </c>
      <c r="R630" s="36"/>
      <c r="S630" s="36">
        <v>0</v>
      </c>
      <c r="T630" s="36"/>
      <c r="U630" s="36">
        <v>2094.6</v>
      </c>
      <c r="V630" s="36"/>
      <c r="W630" s="36">
        <v>0</v>
      </c>
      <c r="X630" s="36"/>
      <c r="Y630" s="36">
        <v>0</v>
      </c>
      <c r="Z630" s="36"/>
      <c r="AA630" s="36">
        <v>0</v>
      </c>
      <c r="AB630" s="36"/>
      <c r="AC630" s="36">
        <v>0</v>
      </c>
      <c r="AD630" s="36"/>
      <c r="AE630" s="36">
        <f t="shared" si="237"/>
        <v>111685.65</v>
      </c>
      <c r="AF630" s="36"/>
      <c r="AG630" s="36">
        <v>-37060.05</v>
      </c>
      <c r="AH630" s="36"/>
      <c r="AI630" s="36">
        <v>147506.33</v>
      </c>
      <c r="AJ630" s="36"/>
      <c r="AK630" s="36">
        <v>110446.28</v>
      </c>
      <c r="AL630" s="24">
        <f>+'Gen Rev'!AI628-'Gen Exp'!AE630+'Gen Exp'!AI630-AK630</f>
        <v>0</v>
      </c>
      <c r="AM630" s="44" t="str">
        <f>'Gen Rev'!A628</f>
        <v>Uniopolis</v>
      </c>
      <c r="AN630" s="21" t="str">
        <f t="shared" si="225"/>
        <v>Uniopolis</v>
      </c>
      <c r="AO630" s="21" t="b">
        <f t="shared" si="226"/>
        <v>1</v>
      </c>
    </row>
    <row r="631" spans="1:41" s="21" customFormat="1" ht="12.75">
      <c r="A631" s="1" t="s">
        <v>76</v>
      </c>
      <c r="B631" s="1"/>
      <c r="C631" s="1" t="s">
        <v>768</v>
      </c>
      <c r="D631" s="23"/>
      <c r="E631" s="36">
        <v>45296.49</v>
      </c>
      <c r="F631" s="36"/>
      <c r="G631" s="36">
        <v>0</v>
      </c>
      <c r="H631" s="36"/>
      <c r="I631" s="36">
        <v>29189.09</v>
      </c>
      <c r="J631" s="36"/>
      <c r="K631" s="36">
        <v>14762.51</v>
      </c>
      <c r="L631" s="36"/>
      <c r="M631" s="36">
        <v>0</v>
      </c>
      <c r="N631" s="36"/>
      <c r="O631" s="36">
        <v>100533.43</v>
      </c>
      <c r="P631" s="36"/>
      <c r="Q631" s="36">
        <v>348124.37</v>
      </c>
      <c r="R631" s="36"/>
      <c r="S631" s="36">
        <v>0</v>
      </c>
      <c r="T631" s="36"/>
      <c r="U631" s="36">
        <v>0</v>
      </c>
      <c r="V631" s="36"/>
      <c r="W631" s="36">
        <v>0</v>
      </c>
      <c r="X631" s="36"/>
      <c r="Y631" s="36">
        <v>0</v>
      </c>
      <c r="Z631" s="36"/>
      <c r="AA631" s="36">
        <v>0</v>
      </c>
      <c r="AB631" s="36"/>
      <c r="AC631" s="36">
        <v>98312</v>
      </c>
      <c r="AD631" s="36"/>
      <c r="AE631" s="36">
        <f t="shared" si="237"/>
        <v>636217.89</v>
      </c>
      <c r="AF631" s="36"/>
      <c r="AG631" s="36">
        <v>452228.47</v>
      </c>
      <c r="AH631" s="36"/>
      <c r="AI631" s="36">
        <v>1432180.46</v>
      </c>
      <c r="AJ631" s="36"/>
      <c r="AK631" s="36">
        <v>1884408.93</v>
      </c>
      <c r="AL631" s="24">
        <f>+'Gen Rev'!AI629-'Gen Exp'!AE631+'Gen Exp'!AI631-AK631</f>
        <v>0</v>
      </c>
      <c r="AM631" s="44" t="str">
        <f>'Gen Rev'!A629</f>
        <v>Urbancrest</v>
      </c>
      <c r="AN631" s="21" t="str">
        <f t="shared" si="225"/>
        <v>Urbancrest</v>
      </c>
      <c r="AO631" s="21" t="b">
        <f t="shared" si="226"/>
        <v>1</v>
      </c>
    </row>
    <row r="632" spans="1:41" s="21" customFormat="1" ht="12.75">
      <c r="A632" s="1" t="s">
        <v>444</v>
      </c>
      <c r="B632" s="1"/>
      <c r="C632" s="1" t="s">
        <v>439</v>
      </c>
      <c r="D632" s="1"/>
      <c r="E632" s="83">
        <v>0</v>
      </c>
      <c r="F632" s="83"/>
      <c r="G632" s="83">
        <v>4431</v>
      </c>
      <c r="H632" s="83"/>
      <c r="I632" s="83">
        <v>0</v>
      </c>
      <c r="J632" s="83"/>
      <c r="K632" s="83">
        <v>470</v>
      </c>
      <c r="L632" s="83"/>
      <c r="M632" s="83">
        <v>0</v>
      </c>
      <c r="N632" s="83"/>
      <c r="O632" s="83">
        <v>24071</v>
      </c>
      <c r="P632" s="83"/>
      <c r="Q632" s="83">
        <v>850683</v>
      </c>
      <c r="R632" s="83"/>
      <c r="S632" s="83">
        <v>0</v>
      </c>
      <c r="T632" s="83"/>
      <c r="U632" s="83">
        <v>0</v>
      </c>
      <c r="V632" s="83"/>
      <c r="W632" s="83">
        <v>0</v>
      </c>
      <c r="X632" s="83"/>
      <c r="Y632" s="83">
        <v>0</v>
      </c>
      <c r="Z632" s="83"/>
      <c r="AA632" s="83">
        <v>0</v>
      </c>
      <c r="AB632" s="83"/>
      <c r="AC632" s="83">
        <v>0</v>
      </c>
      <c r="AD632" s="83"/>
      <c r="AE632" s="83">
        <f t="shared" si="230"/>
        <v>879655</v>
      </c>
      <c r="AF632" s="83"/>
      <c r="AG632" s="83">
        <v>-339829</v>
      </c>
      <c r="AH632" s="83"/>
      <c r="AI632" s="83">
        <v>470572</v>
      </c>
      <c r="AJ632" s="83"/>
      <c r="AK632" s="83">
        <v>130743</v>
      </c>
      <c r="AL632" s="24">
        <f>+'Gen Rev'!AI630-'Gen Exp'!AE632+'Gen Exp'!AI632-AK632</f>
        <v>0</v>
      </c>
      <c r="AM632" s="44" t="str">
        <f>'Gen Rev'!A630</f>
        <v>Utica</v>
      </c>
      <c r="AN632" s="21" t="str">
        <f t="shared" si="225"/>
        <v>Utica</v>
      </c>
      <c r="AO632" s="21" t="b">
        <f t="shared" si="226"/>
        <v>1</v>
      </c>
    </row>
    <row r="633" spans="1:41" ht="12.75">
      <c r="A633" s="1" t="s">
        <v>448</v>
      </c>
      <c r="C633" s="1" t="s">
        <v>446</v>
      </c>
      <c r="E633" s="83">
        <v>0</v>
      </c>
      <c r="F633" s="83"/>
      <c r="G633" s="83">
        <v>0</v>
      </c>
      <c r="H633" s="83"/>
      <c r="I633" s="83">
        <v>0</v>
      </c>
      <c r="J633" s="83"/>
      <c r="K633" s="83">
        <v>0</v>
      </c>
      <c r="L633" s="83"/>
      <c r="M633" s="83">
        <v>0</v>
      </c>
      <c r="N633" s="83"/>
      <c r="O633" s="83">
        <v>0</v>
      </c>
      <c r="P633" s="83"/>
      <c r="Q633" s="83">
        <v>69423</v>
      </c>
      <c r="R633" s="83"/>
      <c r="S633" s="83">
        <v>0</v>
      </c>
      <c r="T633" s="83"/>
      <c r="U633" s="83">
        <v>0</v>
      </c>
      <c r="V633" s="83"/>
      <c r="W633" s="83">
        <v>0</v>
      </c>
      <c r="X633" s="83"/>
      <c r="Y633" s="83">
        <v>0</v>
      </c>
      <c r="Z633" s="83"/>
      <c r="AA633" s="83">
        <v>0</v>
      </c>
      <c r="AB633" s="83"/>
      <c r="AC633" s="83">
        <v>0</v>
      </c>
      <c r="AD633" s="83"/>
      <c r="AE633" s="83">
        <f t="shared" si="230"/>
        <v>69423</v>
      </c>
      <c r="AF633" s="83"/>
      <c r="AG633" s="83">
        <v>-36606</v>
      </c>
      <c r="AH633" s="83"/>
      <c r="AI633" s="83">
        <v>39237</v>
      </c>
      <c r="AJ633" s="83"/>
      <c r="AK633" s="83">
        <v>2631</v>
      </c>
      <c r="AL633" s="24">
        <f>+'Gen Rev'!AI631-'Gen Exp'!AE633+'Gen Exp'!AI633-AK633</f>
        <v>0</v>
      </c>
      <c r="AM633" s="44" t="str">
        <f>'Gen Rev'!A631</f>
        <v>Valley Hi</v>
      </c>
      <c r="AN633" s="21" t="str">
        <f t="shared" si="225"/>
        <v>Valley Hi</v>
      </c>
      <c r="AO633" s="21" t="b">
        <f t="shared" si="226"/>
        <v>1</v>
      </c>
    </row>
    <row r="634" spans="1:41" ht="12.6" customHeight="1">
      <c r="A634" s="1" t="s">
        <v>326</v>
      </c>
      <c r="C634" s="1" t="s">
        <v>316</v>
      </c>
      <c r="E634" s="83">
        <v>3996631</v>
      </c>
      <c r="F634" s="83"/>
      <c r="G634" s="83">
        <v>11559</v>
      </c>
      <c r="H634" s="83"/>
      <c r="I634" s="83">
        <v>386212</v>
      </c>
      <c r="J634" s="83"/>
      <c r="K634" s="83">
        <v>0</v>
      </c>
      <c r="L634" s="83"/>
      <c r="M634" s="83">
        <v>230544</v>
      </c>
      <c r="N634" s="83"/>
      <c r="O634" s="83">
        <v>967552</v>
      </c>
      <c r="P634" s="83"/>
      <c r="Q634" s="83">
        <v>1778631</v>
      </c>
      <c r="R634" s="83"/>
      <c r="S634" s="83">
        <v>878483</v>
      </c>
      <c r="T634" s="83"/>
      <c r="U634" s="83">
        <v>0</v>
      </c>
      <c r="V634" s="83"/>
      <c r="W634" s="83">
        <v>0</v>
      </c>
      <c r="X634" s="83"/>
      <c r="Y634" s="83">
        <v>861200</v>
      </c>
      <c r="Z634" s="83"/>
      <c r="AA634" s="83">
        <v>92996</v>
      </c>
      <c r="AB634" s="83"/>
      <c r="AC634" s="83">
        <v>0</v>
      </c>
      <c r="AD634" s="83"/>
      <c r="AE634" s="83">
        <f t="shared" si="230"/>
        <v>9203808</v>
      </c>
      <c r="AF634" s="83"/>
      <c r="AG634" s="36">
        <v>1442969</v>
      </c>
      <c r="AH634" s="36"/>
      <c r="AI634" s="36">
        <v>2902753</v>
      </c>
      <c r="AJ634" s="36"/>
      <c r="AK634" s="36">
        <v>4345722</v>
      </c>
      <c r="AL634" s="24">
        <f>+'Gen Rev'!AI632-'Gen Exp'!AE634+'Gen Exp'!AI634-AK634</f>
        <v>0</v>
      </c>
      <c r="AM634" s="44" t="str">
        <f>'Gen Rev'!A632</f>
        <v>Valley View</v>
      </c>
      <c r="AN634" s="21" t="str">
        <f t="shared" si="225"/>
        <v>Valley View</v>
      </c>
      <c r="AO634" s="21" t="b">
        <f t="shared" si="226"/>
        <v>1</v>
      </c>
    </row>
    <row r="635" spans="1:41" s="21" customFormat="1" ht="12.75">
      <c r="A635" s="1" t="s">
        <v>77</v>
      </c>
      <c r="B635" s="1"/>
      <c r="C635" s="1" t="s">
        <v>768</v>
      </c>
      <c r="D635" s="23"/>
      <c r="E635" s="36">
        <v>161149.19</v>
      </c>
      <c r="F635" s="36"/>
      <c r="G635" s="36">
        <v>0</v>
      </c>
      <c r="H635" s="36"/>
      <c r="I635" s="36">
        <v>2660.6</v>
      </c>
      <c r="J635" s="36"/>
      <c r="K635" s="36">
        <v>0</v>
      </c>
      <c r="L635" s="36"/>
      <c r="M635" s="36">
        <v>0</v>
      </c>
      <c r="N635" s="36"/>
      <c r="O635" s="36">
        <v>0</v>
      </c>
      <c r="P635" s="36"/>
      <c r="Q635" s="36">
        <v>111036.98</v>
      </c>
      <c r="R635" s="36"/>
      <c r="S635" s="36">
        <v>0</v>
      </c>
      <c r="T635" s="36"/>
      <c r="U635" s="36">
        <v>0</v>
      </c>
      <c r="V635" s="36"/>
      <c r="W635" s="36">
        <v>0</v>
      </c>
      <c r="X635" s="36"/>
      <c r="Y635" s="36">
        <v>800</v>
      </c>
      <c r="Z635" s="36"/>
      <c r="AA635" s="36">
        <v>0</v>
      </c>
      <c r="AB635" s="36"/>
      <c r="AC635" s="36">
        <v>0</v>
      </c>
      <c r="AD635" s="36"/>
      <c r="AE635" s="36">
        <f aca="true" t="shared" si="238" ref="AE635">SUM(E635:AC635)</f>
        <v>275646.77</v>
      </c>
      <c r="AF635" s="36"/>
      <c r="AG635" s="36">
        <v>-74321.62</v>
      </c>
      <c r="AH635" s="36"/>
      <c r="AI635" s="36">
        <v>148390.3</v>
      </c>
      <c r="AJ635" s="36"/>
      <c r="AK635" s="36">
        <v>74068.68</v>
      </c>
      <c r="AL635" s="24">
        <f>+'Gen Rev'!AI633-'Gen Exp'!AE635+'Gen Exp'!AI635-AK635</f>
        <v>0</v>
      </c>
      <c r="AM635" s="44" t="str">
        <f>'Gen Rev'!A633</f>
        <v>Valleyview</v>
      </c>
      <c r="AN635" s="21" t="str">
        <f t="shared" si="225"/>
        <v>Valleyview</v>
      </c>
      <c r="AO635" s="21" t="b">
        <f t="shared" si="226"/>
        <v>1</v>
      </c>
    </row>
    <row r="636" spans="1:41" s="21" customFormat="1" ht="12.75">
      <c r="A636" s="1" t="s">
        <v>393</v>
      </c>
      <c r="B636" s="1"/>
      <c r="C636" s="1" t="s">
        <v>388</v>
      </c>
      <c r="D636" s="1"/>
      <c r="E636" s="95">
        <v>4959.07</v>
      </c>
      <c r="F636" s="95"/>
      <c r="G636" s="95">
        <v>1984.16</v>
      </c>
      <c r="H636" s="95"/>
      <c r="I636" s="95">
        <v>379.71</v>
      </c>
      <c r="J636" s="95"/>
      <c r="K636" s="95">
        <v>3435</v>
      </c>
      <c r="L636" s="95"/>
      <c r="M636" s="95">
        <v>952</v>
      </c>
      <c r="N636" s="95"/>
      <c r="O636" s="95">
        <v>5000</v>
      </c>
      <c r="P636" s="95"/>
      <c r="Q636" s="95">
        <v>30473.39</v>
      </c>
      <c r="R636" s="95"/>
      <c r="S636" s="95">
        <v>12000</v>
      </c>
      <c r="T636" s="95"/>
      <c r="U636" s="95">
        <v>2677.75</v>
      </c>
      <c r="V636" s="95"/>
      <c r="W636" s="95">
        <v>0.01</v>
      </c>
      <c r="X636" s="95"/>
      <c r="Y636" s="95">
        <v>0</v>
      </c>
      <c r="Z636" s="95"/>
      <c r="AA636" s="95">
        <v>0</v>
      </c>
      <c r="AB636" s="95"/>
      <c r="AC636" s="95">
        <v>0</v>
      </c>
      <c r="AD636" s="95"/>
      <c r="AE636" s="95">
        <f aca="true" t="shared" si="239" ref="AE636:AE637">SUM(E636:AC636)</f>
        <v>61861.090000000004</v>
      </c>
      <c r="AF636" s="95"/>
      <c r="AG636" s="95">
        <v>4406</v>
      </c>
      <c r="AH636" s="95"/>
      <c r="AI636" s="95">
        <v>51588.12</v>
      </c>
      <c r="AJ636" s="95"/>
      <c r="AK636" s="95">
        <v>55994.12</v>
      </c>
      <c r="AL636" s="24">
        <f>+'Gen Rev'!AI634-'Gen Exp'!AE636+'Gen Exp'!AI636-AK636</f>
        <v>0</v>
      </c>
      <c r="AM636" s="44" t="str">
        <f>'Gen Rev'!A634</f>
        <v>Van Buren</v>
      </c>
      <c r="AN636" s="21" t="str">
        <f t="shared" si="225"/>
        <v>Van Buren</v>
      </c>
      <c r="AO636" s="21" t="b">
        <f t="shared" si="226"/>
        <v>1</v>
      </c>
    </row>
    <row r="637" spans="1:41" ht="12.75">
      <c r="A637" s="1" t="s">
        <v>394</v>
      </c>
      <c r="C637" s="1" t="s">
        <v>388</v>
      </c>
      <c r="E637" s="95">
        <v>10802.15</v>
      </c>
      <c r="F637" s="95"/>
      <c r="G637" s="95">
        <v>1817.84</v>
      </c>
      <c r="H637" s="95"/>
      <c r="I637" s="95">
        <v>4074.43</v>
      </c>
      <c r="J637" s="95"/>
      <c r="K637" s="95">
        <v>182.9</v>
      </c>
      <c r="L637" s="95"/>
      <c r="M637" s="95">
        <v>0</v>
      </c>
      <c r="N637" s="95"/>
      <c r="O637" s="95">
        <v>1518.2</v>
      </c>
      <c r="P637" s="95"/>
      <c r="Q637" s="95">
        <v>38804.3</v>
      </c>
      <c r="R637" s="95"/>
      <c r="S637" s="95">
        <v>0</v>
      </c>
      <c r="T637" s="95"/>
      <c r="U637" s="95">
        <v>1000</v>
      </c>
      <c r="V637" s="95"/>
      <c r="W637" s="95">
        <v>1782.81</v>
      </c>
      <c r="X637" s="95"/>
      <c r="Y637" s="95">
        <v>0</v>
      </c>
      <c r="Z637" s="95"/>
      <c r="AA637" s="95">
        <v>0</v>
      </c>
      <c r="AB637" s="95"/>
      <c r="AC637" s="95">
        <v>5113.47</v>
      </c>
      <c r="AD637" s="95"/>
      <c r="AE637" s="95">
        <f t="shared" si="239"/>
        <v>65096.100000000006</v>
      </c>
      <c r="AF637" s="95"/>
      <c r="AG637" s="95">
        <v>-10341.77</v>
      </c>
      <c r="AH637" s="95"/>
      <c r="AI637" s="95">
        <v>89077.24</v>
      </c>
      <c r="AJ637" s="95"/>
      <c r="AK637" s="95">
        <v>78735.47</v>
      </c>
      <c r="AL637" s="24">
        <f>+'Gen Rev'!AI635-'Gen Exp'!AE637+'Gen Exp'!AI637-AK637</f>
        <v>0</v>
      </c>
      <c r="AM637" s="44" t="str">
        <f>'Gen Rev'!A635</f>
        <v>Vanlue</v>
      </c>
      <c r="AN637" s="21" t="str">
        <f t="shared" si="225"/>
        <v>Vanlue</v>
      </c>
      <c r="AO637" s="21" t="b">
        <f t="shared" si="226"/>
        <v>1</v>
      </c>
    </row>
    <row r="638" spans="1:41" ht="12.75">
      <c r="A638" s="1" t="s">
        <v>577</v>
      </c>
      <c r="C638" s="1" t="s">
        <v>574</v>
      </c>
      <c r="E638" s="36">
        <v>3375</v>
      </c>
      <c r="F638" s="36"/>
      <c r="G638" s="36">
        <v>438.13</v>
      </c>
      <c r="H638" s="36"/>
      <c r="I638" s="36">
        <v>936.7</v>
      </c>
      <c r="J638" s="36"/>
      <c r="K638" s="36">
        <v>0</v>
      </c>
      <c r="L638" s="36"/>
      <c r="M638" s="36">
        <v>0</v>
      </c>
      <c r="N638" s="36"/>
      <c r="O638" s="36">
        <v>578.91</v>
      </c>
      <c r="P638" s="36"/>
      <c r="Q638" s="36">
        <v>13900.45</v>
      </c>
      <c r="R638" s="36"/>
      <c r="S638" s="36">
        <v>0</v>
      </c>
      <c r="T638" s="36"/>
      <c r="U638" s="36">
        <v>0</v>
      </c>
      <c r="V638" s="36"/>
      <c r="W638" s="36">
        <v>0</v>
      </c>
      <c r="X638" s="36"/>
      <c r="Y638" s="36">
        <v>0</v>
      </c>
      <c r="Z638" s="36"/>
      <c r="AA638" s="36">
        <v>0</v>
      </c>
      <c r="AB638" s="36"/>
      <c r="AC638" s="36">
        <v>0</v>
      </c>
      <c r="AD638" s="36"/>
      <c r="AE638" s="36">
        <f aca="true" t="shared" si="240" ref="AE638">SUM(E638:AC638)</f>
        <v>19229.190000000002</v>
      </c>
      <c r="AF638" s="36"/>
      <c r="AG638" s="36">
        <v>-828.11</v>
      </c>
      <c r="AH638" s="36"/>
      <c r="AI638" s="36">
        <v>37512.78</v>
      </c>
      <c r="AJ638" s="36"/>
      <c r="AK638" s="36">
        <v>36684.67</v>
      </c>
      <c r="AL638" s="24">
        <f>+'Gen Rev'!AI636-'Gen Exp'!AE638+'Gen Exp'!AI638-AK638</f>
        <v>0</v>
      </c>
      <c r="AM638" s="44" t="str">
        <f>'Gen Rev'!A636</f>
        <v>Venedocia</v>
      </c>
      <c r="AN638" s="21" t="str">
        <f t="shared" si="225"/>
        <v>Venedocia</v>
      </c>
      <c r="AO638" s="21" t="b">
        <f t="shared" si="226"/>
        <v>1</v>
      </c>
    </row>
    <row r="639" spans="1:41" s="15" customFormat="1" ht="12.75">
      <c r="A639" s="15" t="s">
        <v>512</v>
      </c>
      <c r="C639" s="15" t="s">
        <v>510</v>
      </c>
      <c r="E639" s="85">
        <v>28487.7</v>
      </c>
      <c r="F639" s="85"/>
      <c r="G639" s="85">
        <v>0</v>
      </c>
      <c r="H639" s="85"/>
      <c r="I639" s="85">
        <v>542.86</v>
      </c>
      <c r="J639" s="85"/>
      <c r="K639" s="85">
        <v>1202.57</v>
      </c>
      <c r="L639" s="85"/>
      <c r="M639" s="85">
        <v>0</v>
      </c>
      <c r="N639" s="85"/>
      <c r="O639" s="85">
        <v>0</v>
      </c>
      <c r="P639" s="85"/>
      <c r="Q639" s="85">
        <v>82547.28</v>
      </c>
      <c r="R639" s="85"/>
      <c r="S639" s="85">
        <v>0</v>
      </c>
      <c r="T639" s="85"/>
      <c r="U639" s="85">
        <v>0</v>
      </c>
      <c r="V639" s="85"/>
      <c r="W639" s="85">
        <v>0</v>
      </c>
      <c r="X639" s="85"/>
      <c r="Y639" s="85">
        <v>251.85</v>
      </c>
      <c r="Z639" s="85"/>
      <c r="AA639" s="83">
        <v>0</v>
      </c>
      <c r="AB639" s="85"/>
      <c r="AC639" s="83">
        <v>2902.55</v>
      </c>
      <c r="AD639" s="85"/>
      <c r="AE639" s="83">
        <f t="shared" si="230"/>
        <v>115934.81000000001</v>
      </c>
      <c r="AF639" s="85"/>
      <c r="AG639" s="85">
        <f>AK639-AI639</f>
        <v>4781.699999999999</v>
      </c>
      <c r="AH639" s="85"/>
      <c r="AI639" s="85">
        <v>16190.72</v>
      </c>
      <c r="AJ639" s="85"/>
      <c r="AK639" s="85">
        <v>20972.42</v>
      </c>
      <c r="AL639" s="24">
        <f>+'Gen Rev'!AI637-'Gen Exp'!AE639+'Gen Exp'!AI639-AK639</f>
        <v>0</v>
      </c>
      <c r="AM639" s="44" t="str">
        <f>'Gen Rev'!A637</f>
        <v>Verona</v>
      </c>
      <c r="AN639" s="21" t="str">
        <f t="shared" si="225"/>
        <v>Verona</v>
      </c>
      <c r="AO639" s="21" t="b">
        <f t="shared" si="226"/>
        <v>1</v>
      </c>
    </row>
    <row r="640" spans="1:41" ht="12.6" customHeight="1">
      <c r="A640" s="1" t="s">
        <v>338</v>
      </c>
      <c r="C640" s="1" t="s">
        <v>329</v>
      </c>
      <c r="E640" s="83">
        <v>458438</v>
      </c>
      <c r="F640" s="83"/>
      <c r="G640" s="83">
        <v>16332</v>
      </c>
      <c r="H640" s="83"/>
      <c r="I640" s="83">
        <v>0</v>
      </c>
      <c r="J640" s="83"/>
      <c r="K640" s="83">
        <v>20375</v>
      </c>
      <c r="L640" s="83"/>
      <c r="M640" s="83">
        <v>158096</v>
      </c>
      <c r="N640" s="83"/>
      <c r="O640" s="83">
        <v>0</v>
      </c>
      <c r="P640" s="83"/>
      <c r="Q640" s="83">
        <v>180312</v>
      </c>
      <c r="R640" s="83"/>
      <c r="S640" s="83">
        <v>385267</v>
      </c>
      <c r="T640" s="83"/>
      <c r="U640" s="83">
        <v>351013</v>
      </c>
      <c r="V640" s="83"/>
      <c r="W640" s="83">
        <v>220710</v>
      </c>
      <c r="X640" s="83"/>
      <c r="Y640" s="83">
        <v>1061535</v>
      </c>
      <c r="Z640" s="83"/>
      <c r="AA640" s="83">
        <v>0</v>
      </c>
      <c r="AB640" s="83"/>
      <c r="AC640" s="83">
        <v>0</v>
      </c>
      <c r="AD640" s="83"/>
      <c r="AE640" s="83">
        <f t="shared" si="230"/>
        <v>2852078</v>
      </c>
      <c r="AF640" s="83"/>
      <c r="AG640" s="36">
        <v>-77108</v>
      </c>
      <c r="AH640" s="36"/>
      <c r="AI640" s="36">
        <v>2674551</v>
      </c>
      <c r="AJ640" s="36"/>
      <c r="AK640" s="36">
        <v>2597443</v>
      </c>
      <c r="AL640" s="24">
        <f>+'Gen Rev'!AI638-'Gen Exp'!AE640+'Gen Exp'!AI640-AK640</f>
        <v>-1</v>
      </c>
      <c r="AM640" s="44" t="str">
        <f>'Gen Rev'!A638</f>
        <v>Versailles</v>
      </c>
      <c r="AN640" s="21" t="str">
        <f t="shared" si="225"/>
        <v>Versailles</v>
      </c>
      <c r="AO640" s="21" t="b">
        <f t="shared" si="226"/>
        <v>1</v>
      </c>
    </row>
    <row r="641" spans="1:41" ht="12.6" customHeight="1">
      <c r="A641" s="1" t="s">
        <v>82</v>
      </c>
      <c r="C641" s="1" t="s">
        <v>770</v>
      </c>
      <c r="E641" s="36">
        <v>22527.54</v>
      </c>
      <c r="F641" s="36"/>
      <c r="G641" s="36">
        <v>35064.77</v>
      </c>
      <c r="H641" s="36"/>
      <c r="I641" s="36">
        <v>21346.4</v>
      </c>
      <c r="J641" s="36"/>
      <c r="K641" s="36">
        <v>0</v>
      </c>
      <c r="L641" s="36"/>
      <c r="M641" s="36">
        <v>3885.12</v>
      </c>
      <c r="N641" s="36"/>
      <c r="O641" s="36">
        <v>0</v>
      </c>
      <c r="P641" s="36"/>
      <c r="Q641" s="36">
        <v>27787.23</v>
      </c>
      <c r="R641" s="36"/>
      <c r="S641" s="36">
        <v>0</v>
      </c>
      <c r="T641" s="36"/>
      <c r="U641" s="36">
        <v>0</v>
      </c>
      <c r="V641" s="36"/>
      <c r="W641" s="36">
        <v>0</v>
      </c>
      <c r="X641" s="36"/>
      <c r="Y641" s="36">
        <v>10000</v>
      </c>
      <c r="Z641" s="36"/>
      <c r="AA641" s="36">
        <v>0</v>
      </c>
      <c r="AB641" s="36"/>
      <c r="AC641" s="36">
        <v>0</v>
      </c>
      <c r="AD641" s="36"/>
      <c r="AE641" s="36">
        <f aca="true" t="shared" si="241" ref="AE641">SUM(E641:AC641)</f>
        <v>120611.05999999998</v>
      </c>
      <c r="AF641" s="36"/>
      <c r="AG641" s="36">
        <v>41134.54</v>
      </c>
      <c r="AH641" s="36"/>
      <c r="AI641" s="36">
        <v>-5979.75</v>
      </c>
      <c r="AJ641" s="36"/>
      <c r="AK641" s="36">
        <v>35154.79</v>
      </c>
      <c r="AL641" s="24">
        <f>+'Gen Rev'!AI639-'Gen Exp'!AE641+'Gen Exp'!AI641-AK641</f>
        <v>0</v>
      </c>
      <c r="AM641" s="44" t="str">
        <f>'Gen Rev'!A639</f>
        <v>Vinton</v>
      </c>
      <c r="AN641" s="21" t="str">
        <f t="shared" si="225"/>
        <v>Vinton</v>
      </c>
      <c r="AO641" s="21" t="b">
        <f t="shared" si="226"/>
        <v>1</v>
      </c>
    </row>
    <row r="642" spans="1:41" s="21" customFormat="1" ht="12.75">
      <c r="A642" s="1" t="s">
        <v>435</v>
      </c>
      <c r="B642" s="1"/>
      <c r="C642" s="1" t="s">
        <v>430</v>
      </c>
      <c r="D642" s="1"/>
      <c r="E642" s="83">
        <v>592679</v>
      </c>
      <c r="F642" s="83"/>
      <c r="G642" s="83">
        <v>15192</v>
      </c>
      <c r="H642" s="83"/>
      <c r="I642" s="83">
        <v>0</v>
      </c>
      <c r="J642" s="83"/>
      <c r="K642" s="83">
        <v>21274</v>
      </c>
      <c r="L642" s="83"/>
      <c r="M642" s="83">
        <v>35192</v>
      </c>
      <c r="N642" s="83"/>
      <c r="O642" s="83">
        <v>291770</v>
      </c>
      <c r="P642" s="83"/>
      <c r="Q642" s="83">
        <v>229788</v>
      </c>
      <c r="R642" s="83"/>
      <c r="S642" s="83">
        <v>0</v>
      </c>
      <c r="T642" s="83"/>
      <c r="U642" s="83">
        <v>0</v>
      </c>
      <c r="V642" s="83"/>
      <c r="W642" s="83">
        <v>0</v>
      </c>
      <c r="X642" s="83"/>
      <c r="Y642" s="83">
        <v>277750</v>
      </c>
      <c r="Z642" s="83"/>
      <c r="AA642" s="83">
        <v>0</v>
      </c>
      <c r="AB642" s="83"/>
      <c r="AC642" s="83">
        <v>0</v>
      </c>
      <c r="AD642" s="83"/>
      <c r="AE642" s="83">
        <f t="shared" si="230"/>
        <v>1463645</v>
      </c>
      <c r="AF642" s="83"/>
      <c r="AG642" s="83">
        <v>-16582</v>
      </c>
      <c r="AH642" s="83"/>
      <c r="AI642" s="83">
        <v>892950</v>
      </c>
      <c r="AJ642" s="83"/>
      <c r="AK642" s="83">
        <v>876368</v>
      </c>
      <c r="AL642" s="24">
        <f>+'Gen Rev'!AI640-'Gen Exp'!AE642+'Gen Exp'!AI642-AK642</f>
        <v>0</v>
      </c>
      <c r="AM642" s="44" t="str">
        <f>'Gen Rev'!A640</f>
        <v>Waite Hill</v>
      </c>
      <c r="AN642" s="21" t="str">
        <f t="shared" si="225"/>
        <v>Waite Hill</v>
      </c>
      <c r="AO642" s="21" t="b">
        <f t="shared" si="226"/>
        <v>1</v>
      </c>
    </row>
    <row r="643" spans="1:41" s="21" customFormat="1" ht="12.75">
      <c r="A643" s="1" t="s">
        <v>419</v>
      </c>
      <c r="B643" s="1"/>
      <c r="C643" s="1" t="s">
        <v>416</v>
      </c>
      <c r="D643" s="1"/>
      <c r="E643" s="36">
        <v>104682.36</v>
      </c>
      <c r="F643" s="36"/>
      <c r="G643" s="36">
        <v>1069.38</v>
      </c>
      <c r="H643" s="36"/>
      <c r="I643" s="36">
        <v>20618.84</v>
      </c>
      <c r="J643" s="36"/>
      <c r="K643" s="36">
        <v>1459.88</v>
      </c>
      <c r="L643" s="36"/>
      <c r="M643" s="36">
        <v>3514.64</v>
      </c>
      <c r="N643" s="36"/>
      <c r="O643" s="36">
        <v>0</v>
      </c>
      <c r="P643" s="36"/>
      <c r="Q643" s="36">
        <v>108728.17</v>
      </c>
      <c r="R643" s="36"/>
      <c r="S643" s="36">
        <v>9175.04</v>
      </c>
      <c r="T643" s="36"/>
      <c r="U643" s="36">
        <v>0</v>
      </c>
      <c r="V643" s="36"/>
      <c r="W643" s="36">
        <v>0</v>
      </c>
      <c r="X643" s="36"/>
      <c r="Y643" s="36">
        <v>63500</v>
      </c>
      <c r="Z643" s="36"/>
      <c r="AA643" s="36">
        <v>0</v>
      </c>
      <c r="AB643" s="36"/>
      <c r="AC643" s="36">
        <v>0</v>
      </c>
      <c r="AD643" s="36"/>
      <c r="AE643" s="36">
        <f aca="true" t="shared" si="242" ref="AE643:AE645">SUM(E643:AC643)</f>
        <v>312748.31000000006</v>
      </c>
      <c r="AF643" s="36"/>
      <c r="AG643" s="36">
        <v>58991.25</v>
      </c>
      <c r="AH643" s="36"/>
      <c r="AI643" s="36">
        <v>309168.59</v>
      </c>
      <c r="AJ643" s="36"/>
      <c r="AK643" s="36">
        <v>368159.84</v>
      </c>
      <c r="AL643" s="24">
        <f>+'Gen Rev'!AI641-'Gen Exp'!AE643+'Gen Exp'!AI643-AK643</f>
        <v>0</v>
      </c>
      <c r="AM643" s="44" t="str">
        <f>'Gen Rev'!A641</f>
        <v>Wakeman</v>
      </c>
      <c r="AN643" s="21" t="str">
        <f t="shared" si="225"/>
        <v>Wakeman</v>
      </c>
      <c r="AO643" s="21" t="b">
        <f t="shared" si="226"/>
        <v>1</v>
      </c>
    </row>
    <row r="644" spans="1:41" s="21" customFormat="1" ht="12.75">
      <c r="A644" s="1" t="s">
        <v>261</v>
      </c>
      <c r="B644" s="1"/>
      <c r="C644" s="1" t="s">
        <v>603</v>
      </c>
      <c r="D644" s="1"/>
      <c r="E644" s="36">
        <v>416643.34</v>
      </c>
      <c r="F644" s="36"/>
      <c r="G644" s="36">
        <v>2800</v>
      </c>
      <c r="H644" s="36"/>
      <c r="I644" s="36">
        <v>46830.49</v>
      </c>
      <c r="J644" s="36"/>
      <c r="K644" s="36">
        <v>0</v>
      </c>
      <c r="L644" s="36"/>
      <c r="M644" s="36">
        <v>0</v>
      </c>
      <c r="N644" s="36"/>
      <c r="O644" s="36">
        <v>28989.45</v>
      </c>
      <c r="P644" s="36"/>
      <c r="Q644" s="36">
        <v>406732.6</v>
      </c>
      <c r="R644" s="36"/>
      <c r="S644" s="36">
        <v>0</v>
      </c>
      <c r="T644" s="36"/>
      <c r="U644" s="36">
        <v>0</v>
      </c>
      <c r="V644" s="36"/>
      <c r="W644" s="36">
        <v>0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f t="shared" si="242"/>
        <v>901995.88</v>
      </c>
      <c r="AF644" s="36"/>
      <c r="AG644" s="36">
        <v>-10052.12</v>
      </c>
      <c r="AH644" s="36"/>
      <c r="AI644" s="36">
        <v>242875.59</v>
      </c>
      <c r="AJ644" s="36"/>
      <c r="AK644" s="36">
        <v>232823.47</v>
      </c>
      <c r="AL644" s="24">
        <f>+'Gen Rev'!AI643-'Gen Exp'!AE644+'Gen Exp'!AI644-AK644</f>
        <v>0</v>
      </c>
      <c r="AM644" s="44" t="str">
        <f>'Gen Rev'!A643</f>
        <v>Walbridge</v>
      </c>
      <c r="AN644" s="21" t="str">
        <f t="shared" si="225"/>
        <v>Walbridge</v>
      </c>
      <c r="AO644" s="21" t="b">
        <f t="shared" si="226"/>
        <v>1</v>
      </c>
    </row>
    <row r="645" spans="1:41" s="21" customFormat="1" ht="12.75">
      <c r="A645" s="1" t="s">
        <v>151</v>
      </c>
      <c r="B645" s="1"/>
      <c r="C645" s="1" t="s">
        <v>463</v>
      </c>
      <c r="D645" s="1"/>
      <c r="E645" s="36">
        <v>5087.66</v>
      </c>
      <c r="F645" s="36"/>
      <c r="G645" s="36">
        <v>0</v>
      </c>
      <c r="H645" s="36"/>
      <c r="I645" s="36">
        <v>0</v>
      </c>
      <c r="J645" s="36"/>
      <c r="K645" s="36">
        <v>7906.87</v>
      </c>
      <c r="L645" s="36"/>
      <c r="M645" s="36">
        <v>75792.01</v>
      </c>
      <c r="N645" s="36"/>
      <c r="O645" s="36">
        <v>2721.09</v>
      </c>
      <c r="P645" s="36"/>
      <c r="Q645" s="36">
        <v>18073.62</v>
      </c>
      <c r="R645" s="36"/>
      <c r="S645" s="36">
        <v>0</v>
      </c>
      <c r="T645" s="36"/>
      <c r="U645" s="36">
        <v>0</v>
      </c>
      <c r="V645" s="36"/>
      <c r="W645" s="36">
        <v>0</v>
      </c>
      <c r="X645" s="36"/>
      <c r="Y645" s="36">
        <v>0</v>
      </c>
      <c r="Z645" s="36"/>
      <c r="AA645" s="36">
        <v>0</v>
      </c>
      <c r="AB645" s="36"/>
      <c r="AC645" s="36">
        <v>0</v>
      </c>
      <c r="AD645" s="36"/>
      <c r="AE645" s="36">
        <f t="shared" si="242"/>
        <v>109581.24999999999</v>
      </c>
      <c r="AF645" s="36"/>
      <c r="AG645" s="36">
        <v>-44757.48</v>
      </c>
      <c r="AH645" s="36"/>
      <c r="AI645" s="36">
        <v>234644</v>
      </c>
      <c r="AJ645" s="36"/>
      <c r="AK645" s="36">
        <v>189886.52</v>
      </c>
      <c r="AL645" s="24">
        <f>+'Gen Rev'!AI644-'Gen Exp'!AE645+'Gen Exp'!AI645-AK645</f>
        <v>0</v>
      </c>
      <c r="AM645" s="44" t="str">
        <f>'Gen Rev'!A644</f>
        <v>Waldo</v>
      </c>
      <c r="AN645" s="21" t="str">
        <f t="shared" si="225"/>
        <v>Waldo</v>
      </c>
      <c r="AO645" s="21" t="b">
        <f t="shared" si="226"/>
        <v>1</v>
      </c>
    </row>
    <row r="646" spans="1:41" s="21" customFormat="1" ht="12.75">
      <c r="A646" s="1" t="s">
        <v>50</v>
      </c>
      <c r="B646" s="1"/>
      <c r="C646" s="1" t="s">
        <v>316</v>
      </c>
      <c r="D646" s="1"/>
      <c r="E646" s="95">
        <v>2353349.59</v>
      </c>
      <c r="F646" s="95"/>
      <c r="G646" s="95">
        <v>9240.3</v>
      </c>
      <c r="H646" s="95"/>
      <c r="I646" s="95">
        <v>177205.52</v>
      </c>
      <c r="J646" s="95"/>
      <c r="K646" s="95">
        <v>83068.69</v>
      </c>
      <c r="L646" s="95"/>
      <c r="M646" s="95">
        <v>337791.09</v>
      </c>
      <c r="N646" s="95"/>
      <c r="O646" s="95">
        <v>149026.82</v>
      </c>
      <c r="P646" s="95"/>
      <c r="Q646" s="95">
        <v>657572.11</v>
      </c>
      <c r="R646" s="95"/>
      <c r="S646" s="95">
        <v>0</v>
      </c>
      <c r="T646" s="95"/>
      <c r="U646" s="95">
        <v>0</v>
      </c>
      <c r="V646" s="95"/>
      <c r="W646" s="95">
        <v>0</v>
      </c>
      <c r="X646" s="95"/>
      <c r="Y646" s="95">
        <v>515000</v>
      </c>
      <c r="Z646" s="95"/>
      <c r="AA646" s="95">
        <v>0</v>
      </c>
      <c r="AB646" s="95"/>
      <c r="AC646" s="95">
        <v>0</v>
      </c>
      <c r="AD646" s="95"/>
      <c r="AE646" s="95">
        <f>SUM(E646:AC646)</f>
        <v>4282254.119999999</v>
      </c>
      <c r="AF646" s="95"/>
      <c r="AG646" s="95">
        <v>-52135.27</v>
      </c>
      <c r="AH646" s="95"/>
      <c r="AI646" s="95">
        <v>2214329.93</v>
      </c>
      <c r="AJ646" s="95"/>
      <c r="AK646" s="95">
        <v>2162194.66</v>
      </c>
      <c r="AL646" s="24">
        <f>+'Gen Rev'!AI645-'Gen Exp'!AE646+'Gen Exp'!AI646-AK646</f>
        <v>0</v>
      </c>
      <c r="AM646" s="44" t="str">
        <f>'Gen Rev'!A645</f>
        <v>Walton Hills</v>
      </c>
      <c r="AN646" s="21" t="str">
        <f t="shared" si="225"/>
        <v>Walton Hills</v>
      </c>
      <c r="AO646" s="21" t="b">
        <f t="shared" si="226"/>
        <v>1</v>
      </c>
    </row>
    <row r="647" spans="1:41" s="21" customFormat="1" ht="12.75">
      <c r="A647" s="1" t="s">
        <v>848</v>
      </c>
      <c r="B647" s="1"/>
      <c r="C647" s="1" t="s">
        <v>308</v>
      </c>
      <c r="D647" s="1"/>
      <c r="E647" s="36">
        <v>38221.47</v>
      </c>
      <c r="F647" s="36"/>
      <c r="G647" s="36">
        <v>35</v>
      </c>
      <c r="H647" s="36"/>
      <c r="I647" s="36">
        <v>119.9</v>
      </c>
      <c r="J647" s="36"/>
      <c r="K647" s="36">
        <v>5471.13</v>
      </c>
      <c r="L647" s="36"/>
      <c r="M647" s="36">
        <v>3358.69</v>
      </c>
      <c r="N647" s="36"/>
      <c r="O647" s="36">
        <v>0</v>
      </c>
      <c r="P647" s="36"/>
      <c r="Q647" s="36">
        <v>40108.14</v>
      </c>
      <c r="R647" s="36"/>
      <c r="S647" s="36">
        <v>0</v>
      </c>
      <c r="T647" s="36"/>
      <c r="U647" s="36">
        <v>0</v>
      </c>
      <c r="V647" s="36"/>
      <c r="W647" s="36">
        <v>0</v>
      </c>
      <c r="X647" s="36"/>
      <c r="Y647" s="36">
        <v>45.32</v>
      </c>
      <c r="Z647" s="36"/>
      <c r="AA647" s="36">
        <v>0</v>
      </c>
      <c r="AB647" s="36"/>
      <c r="AC647" s="36">
        <v>0</v>
      </c>
      <c r="AD647" s="36"/>
      <c r="AE647" s="36">
        <f aca="true" t="shared" si="243" ref="AE647:AE648">SUM(E647:AC647)</f>
        <v>87359.65000000001</v>
      </c>
      <c r="AF647" s="36"/>
      <c r="AG647" s="36">
        <v>35509.07</v>
      </c>
      <c r="AH647" s="36"/>
      <c r="AI647" s="36">
        <v>133446.68</v>
      </c>
      <c r="AJ647" s="36"/>
      <c r="AK647" s="36">
        <v>168955.75</v>
      </c>
      <c r="AL647" s="24">
        <f>+'Gen Rev'!AI646-'Gen Exp'!AE647+'Gen Exp'!AI647-AK647</f>
        <v>0</v>
      </c>
      <c r="AM647" s="44" t="str">
        <f>'Gen Rev'!A646</f>
        <v>Warsaw</v>
      </c>
      <c r="AN647" s="21" t="str">
        <f t="shared" si="225"/>
        <v>Warsaw</v>
      </c>
      <c r="AO647" s="21" t="b">
        <f t="shared" si="226"/>
        <v>1</v>
      </c>
    </row>
    <row r="648" spans="1:41" s="21" customFormat="1" ht="12.75">
      <c r="A648" s="1" t="s">
        <v>48</v>
      </c>
      <c r="B648" s="1"/>
      <c r="C648" s="1" t="s">
        <v>305</v>
      </c>
      <c r="D648" s="1"/>
      <c r="E648" s="36">
        <v>33738.59</v>
      </c>
      <c r="F648" s="36"/>
      <c r="G648" s="36">
        <v>552.21</v>
      </c>
      <c r="H648" s="36"/>
      <c r="I648" s="36">
        <v>0</v>
      </c>
      <c r="J648" s="36"/>
      <c r="K648" s="36">
        <v>0</v>
      </c>
      <c r="L648" s="36"/>
      <c r="M648" s="36">
        <v>0</v>
      </c>
      <c r="N648" s="36"/>
      <c r="O648" s="36">
        <v>0</v>
      </c>
      <c r="P648" s="36"/>
      <c r="Q648" s="36">
        <v>50073.19</v>
      </c>
      <c r="R648" s="36"/>
      <c r="S648" s="36">
        <v>13311.59</v>
      </c>
      <c r="T648" s="36"/>
      <c r="U648" s="36">
        <v>0</v>
      </c>
      <c r="V648" s="36"/>
      <c r="W648" s="36">
        <v>0</v>
      </c>
      <c r="X648" s="36"/>
      <c r="Y648" s="36">
        <v>0</v>
      </c>
      <c r="Z648" s="36"/>
      <c r="AA648" s="36">
        <v>0</v>
      </c>
      <c r="AB648" s="36"/>
      <c r="AC648" s="36">
        <v>0</v>
      </c>
      <c r="AD648" s="36"/>
      <c r="AE648" s="36">
        <f t="shared" si="243"/>
        <v>97675.57999999999</v>
      </c>
      <c r="AF648" s="36"/>
      <c r="AG648" s="36">
        <v>-3138.66</v>
      </c>
      <c r="AH648" s="36"/>
      <c r="AI648" s="36">
        <v>79628.76</v>
      </c>
      <c r="AJ648" s="36"/>
      <c r="AK648" s="36">
        <v>76490.1</v>
      </c>
      <c r="AL648" s="24">
        <f>+'Gen Rev'!AI647-'Gen Exp'!AE648+'Gen Exp'!AI648-AK648</f>
        <v>0</v>
      </c>
      <c r="AM648" s="44" t="str">
        <f>'Gen Rev'!A647</f>
        <v>Washingtonville</v>
      </c>
      <c r="AN648" s="21" t="str">
        <f t="shared" si="225"/>
        <v>Washingtonville</v>
      </c>
      <c r="AO648" s="21" t="b">
        <f t="shared" si="226"/>
        <v>1</v>
      </c>
    </row>
    <row r="649" spans="1:41" s="21" customFormat="1" ht="12.75" hidden="1">
      <c r="A649" s="1" t="s">
        <v>457</v>
      </c>
      <c r="B649" s="1"/>
      <c r="C649" s="1" t="s">
        <v>455</v>
      </c>
      <c r="D649" s="1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>
        <f t="shared" si="230"/>
        <v>0</v>
      </c>
      <c r="AF649" s="83"/>
      <c r="AG649" s="83"/>
      <c r="AH649" s="83"/>
      <c r="AI649" s="83"/>
      <c r="AJ649" s="83"/>
      <c r="AK649" s="83"/>
      <c r="AL649" s="24">
        <f>+'Gen Rev'!AI648-'Gen Exp'!AE649+'Gen Exp'!AI649-AK649</f>
        <v>0</v>
      </c>
      <c r="AM649" s="44" t="str">
        <f>'Gen Rev'!A648</f>
        <v>Waterville</v>
      </c>
      <c r="AN649" s="21" t="str">
        <f t="shared" si="225"/>
        <v>Waterville</v>
      </c>
      <c r="AO649" s="21" t="b">
        <f t="shared" si="226"/>
        <v>1</v>
      </c>
    </row>
    <row r="650" spans="1:41" s="10" customFormat="1" ht="12.6" customHeight="1">
      <c r="A650" s="10" t="s">
        <v>823</v>
      </c>
      <c r="C650" s="10" t="s">
        <v>603</v>
      </c>
      <c r="E650" s="83">
        <v>0</v>
      </c>
      <c r="F650" s="83"/>
      <c r="G650" s="83">
        <v>580.24</v>
      </c>
      <c r="H650" s="83"/>
      <c r="I650" s="83">
        <v>2041.31</v>
      </c>
      <c r="J650" s="83"/>
      <c r="K650" s="83">
        <v>7470</v>
      </c>
      <c r="L650" s="83"/>
      <c r="M650" s="83">
        <v>2306.4</v>
      </c>
      <c r="N650" s="83"/>
      <c r="O650" s="83">
        <v>0</v>
      </c>
      <c r="P650" s="83"/>
      <c r="Q650" s="83">
        <v>58990.91</v>
      </c>
      <c r="R650" s="83"/>
      <c r="S650" s="83">
        <v>3956.94</v>
      </c>
      <c r="T650" s="83"/>
      <c r="U650" s="83">
        <v>0</v>
      </c>
      <c r="V650" s="83"/>
      <c r="W650" s="83">
        <v>0</v>
      </c>
      <c r="X650" s="83"/>
      <c r="Y650" s="83">
        <v>0</v>
      </c>
      <c r="Z650" s="83"/>
      <c r="AA650" s="83">
        <v>0</v>
      </c>
      <c r="AB650" s="83"/>
      <c r="AC650" s="83">
        <v>0</v>
      </c>
      <c r="AD650" s="83"/>
      <c r="AE650" s="83">
        <f t="shared" si="230"/>
        <v>75345.8</v>
      </c>
      <c r="AF650" s="83"/>
      <c r="AG650" s="36">
        <v>-4046.16</v>
      </c>
      <c r="AH650" s="36"/>
      <c r="AI650" s="36">
        <v>32415.24</v>
      </c>
      <c r="AJ650" s="36"/>
      <c r="AK650" s="36">
        <v>28369.08</v>
      </c>
      <c r="AL650" s="24">
        <f>+'Gen Rev'!AI649-'Gen Exp'!AE650+'Gen Exp'!AI650-AK650</f>
        <v>0</v>
      </c>
      <c r="AM650" s="44" t="str">
        <f>'Gen Rev'!A649</f>
        <v>Wayne</v>
      </c>
      <c r="AN650" s="21" t="str">
        <f t="shared" si="225"/>
        <v xml:space="preserve">Wayne </v>
      </c>
      <c r="AO650" s="21" t="b">
        <f t="shared" si="226"/>
        <v>0</v>
      </c>
    </row>
    <row r="651" spans="1:41" s="38" customFormat="1" ht="12.6" customHeight="1" hidden="1">
      <c r="A651" s="38" t="s">
        <v>339</v>
      </c>
      <c r="C651" s="38" t="s">
        <v>329</v>
      </c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>
        <f t="shared" si="230"/>
        <v>0</v>
      </c>
      <c r="AF651" s="83"/>
      <c r="AG651" s="36"/>
      <c r="AH651" s="36"/>
      <c r="AI651" s="36"/>
      <c r="AJ651" s="36"/>
      <c r="AK651" s="36"/>
      <c r="AL651" s="24">
        <f>+'Gen Rev'!AI650-'Gen Exp'!AE651+'Gen Exp'!AI651-AK651</f>
        <v>0</v>
      </c>
      <c r="AM651" s="44" t="str">
        <f>'Gen Rev'!A650</f>
        <v>Wayne Lakes</v>
      </c>
      <c r="AN651" s="21" t="str">
        <f t="shared" si="225"/>
        <v>Wayne Lakes</v>
      </c>
      <c r="AO651" s="21" t="b">
        <f t="shared" si="226"/>
        <v>1</v>
      </c>
    </row>
    <row r="652" spans="1:41" ht="12.75">
      <c r="A652" s="1" t="s">
        <v>549</v>
      </c>
      <c r="C652" s="1" t="s">
        <v>542</v>
      </c>
      <c r="E652" s="83">
        <v>37866</v>
      </c>
      <c r="F652" s="83"/>
      <c r="G652" s="83">
        <v>0</v>
      </c>
      <c r="H652" s="83"/>
      <c r="I652" s="83">
        <v>0</v>
      </c>
      <c r="J652" s="83"/>
      <c r="K652" s="83">
        <v>0</v>
      </c>
      <c r="L652" s="83"/>
      <c r="M652" s="83">
        <v>0</v>
      </c>
      <c r="N652" s="83"/>
      <c r="O652" s="83">
        <v>0</v>
      </c>
      <c r="P652" s="83"/>
      <c r="Q652" s="83">
        <v>48409</v>
      </c>
      <c r="R652" s="83"/>
      <c r="S652" s="83">
        <v>0</v>
      </c>
      <c r="T652" s="83"/>
      <c r="U652" s="83">
        <v>2277</v>
      </c>
      <c r="V652" s="83"/>
      <c r="W652" s="83">
        <v>229</v>
      </c>
      <c r="X652" s="83"/>
      <c r="Y652" s="83">
        <v>0</v>
      </c>
      <c r="Z652" s="83"/>
      <c r="AA652" s="83">
        <v>0</v>
      </c>
      <c r="AB652" s="83"/>
      <c r="AC652" s="83">
        <v>0</v>
      </c>
      <c r="AD652" s="83"/>
      <c r="AE652" s="83">
        <f t="shared" si="230"/>
        <v>88781</v>
      </c>
      <c r="AF652" s="83"/>
      <c r="AG652" s="83">
        <v>15864</v>
      </c>
      <c r="AH652" s="83"/>
      <c r="AI652" s="83">
        <v>28117</v>
      </c>
      <c r="AJ652" s="83"/>
      <c r="AK652" s="83">
        <v>43981</v>
      </c>
      <c r="AL652" s="24">
        <f>+'Gen Rev'!AI651-'Gen Exp'!AE652+'Gen Exp'!AI652-AK652</f>
        <v>132</v>
      </c>
      <c r="AM652" s="44" t="str">
        <f>'Gen Rev'!A651</f>
        <v>Waynesburg</v>
      </c>
      <c r="AN652" s="21" t="str">
        <f t="shared" si="225"/>
        <v>Waynesburg</v>
      </c>
      <c r="AO652" s="21" t="b">
        <f t="shared" si="226"/>
        <v>1</v>
      </c>
    </row>
    <row r="653" spans="1:41" s="21" customFormat="1" ht="13.5" customHeight="1">
      <c r="A653" s="1" t="s">
        <v>14</v>
      </c>
      <c r="B653" s="1"/>
      <c r="C653" s="1" t="s">
        <v>749</v>
      </c>
      <c r="D653" s="23"/>
      <c r="E653" s="36">
        <v>79785.86</v>
      </c>
      <c r="F653" s="36"/>
      <c r="G653" s="36">
        <v>28.8</v>
      </c>
      <c r="H653" s="36"/>
      <c r="I653" s="36">
        <v>7441.44</v>
      </c>
      <c r="J653" s="36"/>
      <c r="K653" s="36">
        <v>0</v>
      </c>
      <c r="L653" s="36"/>
      <c r="M653" s="36">
        <v>0</v>
      </c>
      <c r="N653" s="36"/>
      <c r="O653" s="36">
        <v>14179.11</v>
      </c>
      <c r="P653" s="36"/>
      <c r="Q653" s="36">
        <v>165268.48</v>
      </c>
      <c r="R653" s="36"/>
      <c r="S653" s="36">
        <v>0</v>
      </c>
      <c r="T653" s="36"/>
      <c r="U653" s="36">
        <v>3989.74</v>
      </c>
      <c r="V653" s="36"/>
      <c r="W653" s="36">
        <v>0</v>
      </c>
      <c r="X653" s="36"/>
      <c r="Y653" s="36">
        <v>0</v>
      </c>
      <c r="Z653" s="36"/>
      <c r="AA653" s="36">
        <v>0</v>
      </c>
      <c r="AB653" s="36"/>
      <c r="AC653" s="36">
        <v>0</v>
      </c>
      <c r="AD653" s="36"/>
      <c r="AE653" s="36">
        <f aca="true" t="shared" si="244" ref="AE653">SUM(E653:AC653)</f>
        <v>270693.43</v>
      </c>
      <c r="AF653" s="36"/>
      <c r="AG653" s="36">
        <v>-13226.96</v>
      </c>
      <c r="AH653" s="36"/>
      <c r="AI653" s="36">
        <v>205875.86</v>
      </c>
      <c r="AJ653" s="36"/>
      <c r="AK653" s="36">
        <v>192648.9</v>
      </c>
      <c r="AL653" s="24">
        <f>+'Gen Rev'!AI652-'Gen Exp'!AE653+'Gen Exp'!AI653-AK653</f>
        <v>0</v>
      </c>
      <c r="AM653" s="44" t="str">
        <f>'Gen Rev'!A652</f>
        <v>Waynesfield</v>
      </c>
      <c r="AN653" s="21" t="str">
        <f t="shared" si="225"/>
        <v>Waynesfield</v>
      </c>
      <c r="AO653" s="21" t="b">
        <f t="shared" si="226"/>
        <v>1</v>
      </c>
    </row>
    <row r="654" spans="1:41" ht="12.75">
      <c r="A654" s="1" t="s">
        <v>585</v>
      </c>
      <c r="C654" s="1" t="s">
        <v>583</v>
      </c>
      <c r="E654" s="83">
        <v>43123</v>
      </c>
      <c r="F654" s="83"/>
      <c r="G654" s="83">
        <v>1760</v>
      </c>
      <c r="H654" s="83"/>
      <c r="I654" s="83">
        <v>0</v>
      </c>
      <c r="J654" s="83"/>
      <c r="K654" s="83">
        <v>0</v>
      </c>
      <c r="L654" s="83"/>
      <c r="M654" s="83">
        <v>0</v>
      </c>
      <c r="N654" s="83"/>
      <c r="O654" s="83">
        <v>51680</v>
      </c>
      <c r="P654" s="83"/>
      <c r="Q654" s="83">
        <v>236706</v>
      </c>
      <c r="R654" s="83"/>
      <c r="S654" s="83">
        <v>329</v>
      </c>
      <c r="T654" s="83"/>
      <c r="U654" s="83">
        <v>320800</v>
      </c>
      <c r="V654" s="83"/>
      <c r="W654" s="83">
        <v>25271</v>
      </c>
      <c r="X654" s="83"/>
      <c r="Y654" s="83">
        <v>0</v>
      </c>
      <c r="Z654" s="83"/>
      <c r="AA654" s="83">
        <v>0</v>
      </c>
      <c r="AB654" s="83"/>
      <c r="AC654" s="83">
        <v>0</v>
      </c>
      <c r="AD654" s="83"/>
      <c r="AE654" s="83">
        <f t="shared" si="230"/>
        <v>679669</v>
      </c>
      <c r="AF654" s="83"/>
      <c r="AG654" s="83">
        <v>24771</v>
      </c>
      <c r="AH654" s="83"/>
      <c r="AI654" s="83">
        <v>223390</v>
      </c>
      <c r="AJ654" s="83"/>
      <c r="AK654" s="83">
        <v>248161</v>
      </c>
      <c r="AL654" s="24">
        <f>+'Gen Rev'!AI653-'Gen Exp'!AE654+'Gen Exp'!AI654-AK654</f>
        <v>-1</v>
      </c>
      <c r="AM654" s="44" t="str">
        <f>'Gen Rev'!A653</f>
        <v>Waynesville</v>
      </c>
      <c r="AN654" s="21" t="str">
        <f t="shared" si="225"/>
        <v>Waynesville</v>
      </c>
      <c r="AO654" s="21" t="b">
        <f t="shared" si="226"/>
        <v>1</v>
      </c>
    </row>
    <row r="655" spans="5:41" s="15" customFormat="1" ht="12.75"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5"/>
      <c r="Y655" s="85"/>
      <c r="Z655" s="85"/>
      <c r="AA655" s="85"/>
      <c r="AB655" s="85"/>
      <c r="AC655" s="85"/>
      <c r="AD655" s="85"/>
      <c r="AE655" s="83" t="s">
        <v>864</v>
      </c>
      <c r="AF655" s="85"/>
      <c r="AG655" s="83"/>
      <c r="AH655" s="83"/>
      <c r="AI655" s="83"/>
      <c r="AJ655" s="83"/>
      <c r="AK655" s="83"/>
      <c r="AL655" s="24"/>
      <c r="AM655" s="44"/>
      <c r="AN655" s="21"/>
      <c r="AO655" s="21"/>
    </row>
    <row r="656" spans="1:41" s="21" customFormat="1" ht="12.75">
      <c r="A656" s="1" t="s">
        <v>453</v>
      </c>
      <c r="B656" s="1"/>
      <c r="C656" s="1" t="s">
        <v>451</v>
      </c>
      <c r="D656" s="1"/>
      <c r="E656" s="102">
        <v>925184</v>
      </c>
      <c r="F656" s="102"/>
      <c r="G656" s="102">
        <v>4787</v>
      </c>
      <c r="H656" s="102"/>
      <c r="I656" s="102">
        <v>63649</v>
      </c>
      <c r="J656" s="102"/>
      <c r="K656" s="102">
        <v>120510</v>
      </c>
      <c r="L656" s="102"/>
      <c r="M656" s="102">
        <v>0</v>
      </c>
      <c r="N656" s="102"/>
      <c r="O656" s="102">
        <v>690519</v>
      </c>
      <c r="P656" s="102"/>
      <c r="Q656" s="102">
        <v>386635</v>
      </c>
      <c r="R656" s="102"/>
      <c r="S656" s="102">
        <v>51729</v>
      </c>
      <c r="T656" s="102"/>
      <c r="U656" s="102">
        <v>0</v>
      </c>
      <c r="V656" s="102"/>
      <c r="W656" s="102">
        <v>0</v>
      </c>
      <c r="X656" s="102"/>
      <c r="Y656" s="102">
        <v>0</v>
      </c>
      <c r="Z656" s="102"/>
      <c r="AA656" s="102">
        <v>0</v>
      </c>
      <c r="AB656" s="102"/>
      <c r="AC656" s="102">
        <v>0</v>
      </c>
      <c r="AD656" s="102"/>
      <c r="AE656" s="102">
        <f t="shared" si="230"/>
        <v>2243013</v>
      </c>
      <c r="AF656" s="83"/>
      <c r="AG656" s="83">
        <v>-74483</v>
      </c>
      <c r="AH656" s="83"/>
      <c r="AI656" s="83">
        <v>914137</v>
      </c>
      <c r="AJ656" s="83"/>
      <c r="AK656" s="83">
        <v>839654</v>
      </c>
      <c r="AL656" s="24">
        <f>+'Gen Rev'!AI654-'Gen Exp'!AE656+'Gen Exp'!AI656-AK656</f>
        <v>0</v>
      </c>
      <c r="AM656" s="44" t="str">
        <f>'Gen Rev'!A654</f>
        <v>Wellington</v>
      </c>
      <c r="AN656" s="21" t="str">
        <f t="shared" si="225"/>
        <v>Wellington</v>
      </c>
      <c r="AO656" s="21" t="b">
        <f t="shared" si="226"/>
        <v>1</v>
      </c>
    </row>
    <row r="657" spans="1:41" s="21" customFormat="1" ht="12.6" customHeight="1">
      <c r="A657" s="1" t="s">
        <v>306</v>
      </c>
      <c r="B657" s="1"/>
      <c r="C657" s="1" t="s">
        <v>305</v>
      </c>
      <c r="D657" s="1"/>
      <c r="E657" s="36">
        <v>441741.68</v>
      </c>
      <c r="F657" s="36"/>
      <c r="G657" s="36">
        <v>0</v>
      </c>
      <c r="H657" s="36"/>
      <c r="I657" s="36">
        <v>5409.91</v>
      </c>
      <c r="J657" s="36"/>
      <c r="K657" s="36">
        <v>0</v>
      </c>
      <c r="L657" s="36"/>
      <c r="M657" s="36">
        <v>0</v>
      </c>
      <c r="N657" s="36"/>
      <c r="O657" s="36">
        <v>0</v>
      </c>
      <c r="P657" s="36"/>
      <c r="Q657" s="36">
        <v>269571.92</v>
      </c>
      <c r="R657" s="36"/>
      <c r="S657" s="36">
        <v>0</v>
      </c>
      <c r="T657" s="36"/>
      <c r="U657" s="36">
        <v>0</v>
      </c>
      <c r="V657" s="36"/>
      <c r="W657" s="36">
        <v>0</v>
      </c>
      <c r="X657" s="36"/>
      <c r="Y657" s="36">
        <v>0</v>
      </c>
      <c r="Z657" s="36"/>
      <c r="AA657" s="36">
        <v>0</v>
      </c>
      <c r="AB657" s="36"/>
      <c r="AC657" s="36">
        <v>0</v>
      </c>
      <c r="AD657" s="36"/>
      <c r="AE657" s="36">
        <f aca="true" t="shared" si="245" ref="AE657">SUM(E657:AC657)</f>
        <v>716723.51</v>
      </c>
      <c r="AF657" s="36"/>
      <c r="AG657" s="36">
        <v>-8971.42</v>
      </c>
      <c r="AH657" s="36"/>
      <c r="AI657" s="36">
        <v>12719.45</v>
      </c>
      <c r="AJ657" s="36"/>
      <c r="AK657" s="36">
        <v>3748.03</v>
      </c>
      <c r="AL657" s="24">
        <f>+'Gen Rev'!AI655-'Gen Exp'!AE657+'Gen Exp'!AI657-AK657</f>
        <v>-4.1382008930668235E-11</v>
      </c>
      <c r="AM657" s="44" t="str">
        <f>'Gen Rev'!A655</f>
        <v>Wellsville</v>
      </c>
      <c r="AN657" s="21" t="str">
        <f t="shared" si="225"/>
        <v>Wellsville</v>
      </c>
      <c r="AO657" s="21" t="b">
        <f t="shared" si="226"/>
        <v>1</v>
      </c>
    </row>
    <row r="658" spans="1:41" ht="12.75">
      <c r="A658" s="1" t="s">
        <v>513</v>
      </c>
      <c r="C658" s="1" t="s">
        <v>510</v>
      </c>
      <c r="E658" s="83">
        <v>224402.63</v>
      </c>
      <c r="F658" s="83"/>
      <c r="G658" s="83">
        <v>3438.5</v>
      </c>
      <c r="H658" s="83"/>
      <c r="I658" s="83">
        <v>3005.64</v>
      </c>
      <c r="J658" s="83"/>
      <c r="K658" s="83">
        <v>5891.76</v>
      </c>
      <c r="L658" s="83"/>
      <c r="M658" s="83">
        <v>0</v>
      </c>
      <c r="N658" s="83"/>
      <c r="O658" s="83">
        <v>0</v>
      </c>
      <c r="P658" s="83"/>
      <c r="Q658" s="83">
        <v>417834.81</v>
      </c>
      <c r="R658" s="83"/>
      <c r="S658" s="83">
        <v>0</v>
      </c>
      <c r="T658" s="83"/>
      <c r="U658" s="83">
        <v>0</v>
      </c>
      <c r="V658" s="83"/>
      <c r="W658" s="83">
        <v>0</v>
      </c>
      <c r="X658" s="83"/>
      <c r="Y658" s="83">
        <v>0</v>
      </c>
      <c r="Z658" s="83"/>
      <c r="AA658" s="83">
        <v>0</v>
      </c>
      <c r="AB658" s="83"/>
      <c r="AC658" s="83">
        <v>0</v>
      </c>
      <c r="AD658" s="83"/>
      <c r="AE658" s="83">
        <f t="shared" si="230"/>
        <v>654573.3400000001</v>
      </c>
      <c r="AF658" s="83"/>
      <c r="AG658" s="83">
        <f>AK658-AI658</f>
        <v>-2969.909999999916</v>
      </c>
      <c r="AH658" s="83"/>
      <c r="AI658" s="83">
        <v>568106.2</v>
      </c>
      <c r="AJ658" s="83"/>
      <c r="AK658" s="83">
        <v>565136.29</v>
      </c>
      <c r="AL658" s="24">
        <f>+'Gen Rev'!AI656-'Gen Exp'!AE658+'Gen Exp'!AI658-AK658</f>
        <v>0</v>
      </c>
      <c r="AM658" s="44" t="str">
        <f>'Gen Rev'!A656</f>
        <v>West Alexandria</v>
      </c>
      <c r="AN658" s="21" t="str">
        <f t="shared" si="225"/>
        <v>West Alexandria</v>
      </c>
      <c r="AO658" s="21" t="b">
        <f t="shared" si="226"/>
        <v>1</v>
      </c>
    </row>
    <row r="659" spans="1:41" ht="12.75">
      <c r="A659" s="1" t="s">
        <v>957</v>
      </c>
      <c r="C659" s="1" t="s">
        <v>510</v>
      </c>
      <c r="E659" s="36">
        <v>5304.47</v>
      </c>
      <c r="F659" s="36"/>
      <c r="G659" s="36">
        <v>0</v>
      </c>
      <c r="H659" s="36"/>
      <c r="I659" s="36">
        <v>0</v>
      </c>
      <c r="J659" s="36"/>
      <c r="K659" s="36">
        <v>0</v>
      </c>
      <c r="L659" s="36"/>
      <c r="M659" s="36">
        <v>0</v>
      </c>
      <c r="N659" s="36"/>
      <c r="O659" s="36">
        <v>0</v>
      </c>
      <c r="P659" s="36"/>
      <c r="Q659" s="36">
        <v>35792.6</v>
      </c>
      <c r="R659" s="36"/>
      <c r="S659" s="36">
        <v>0</v>
      </c>
      <c r="T659" s="36"/>
      <c r="U659" s="36">
        <v>0</v>
      </c>
      <c r="V659" s="36"/>
      <c r="W659" s="36">
        <v>0</v>
      </c>
      <c r="X659" s="36"/>
      <c r="Y659" s="36">
        <v>0</v>
      </c>
      <c r="Z659" s="36"/>
      <c r="AA659" s="36">
        <v>0</v>
      </c>
      <c r="AB659" s="36"/>
      <c r="AC659" s="36">
        <v>0</v>
      </c>
      <c r="AD659" s="36"/>
      <c r="AE659" s="36">
        <f aca="true" t="shared" si="246" ref="AE659">SUM(E659:AC659)</f>
        <v>41097.07</v>
      </c>
      <c r="AF659" s="36"/>
      <c r="AG659" s="36">
        <v>16500.1</v>
      </c>
      <c r="AH659" s="36"/>
      <c r="AI659" s="36">
        <v>36848.03</v>
      </c>
      <c r="AJ659" s="36"/>
      <c r="AK659" s="36">
        <v>53348.13</v>
      </c>
      <c r="AL659" s="24">
        <f>+'Gen Rev'!AI657-'Gen Exp'!AE659+'Gen Exp'!AI659-AK659</f>
        <v>0</v>
      </c>
      <c r="AM659" s="44" t="str">
        <f>'Gen Rev'!A657</f>
        <v>West Elkton</v>
      </c>
      <c r="AN659" s="21" t="str">
        <f t="shared" si="225"/>
        <v>West Elkton</v>
      </c>
      <c r="AO659" s="21" t="b">
        <f t="shared" si="226"/>
        <v>1</v>
      </c>
    </row>
    <row r="660" spans="1:41" ht="12.75">
      <c r="A660" s="1" t="s">
        <v>230</v>
      </c>
      <c r="C660" s="1" t="s">
        <v>817</v>
      </c>
      <c r="D660" s="23"/>
      <c r="E660" s="95">
        <v>0</v>
      </c>
      <c r="F660" s="95"/>
      <c r="G660" s="95">
        <v>0</v>
      </c>
      <c r="H660" s="95"/>
      <c r="I660" s="95">
        <v>8452.31</v>
      </c>
      <c r="J660" s="95"/>
      <c r="K660" s="95">
        <v>60</v>
      </c>
      <c r="L660" s="95"/>
      <c r="M660" s="95">
        <v>0</v>
      </c>
      <c r="N660" s="95"/>
      <c r="O660" s="95">
        <v>0</v>
      </c>
      <c r="P660" s="95"/>
      <c r="Q660" s="95">
        <v>44289.03</v>
      </c>
      <c r="R660" s="95"/>
      <c r="S660" s="95">
        <v>3215.62</v>
      </c>
      <c r="T660" s="95"/>
      <c r="U660" s="95">
        <v>0</v>
      </c>
      <c r="V660" s="95"/>
      <c r="W660" s="95">
        <v>0</v>
      </c>
      <c r="X660" s="95"/>
      <c r="Y660" s="95">
        <v>41550</v>
      </c>
      <c r="Z660" s="95"/>
      <c r="AA660" s="95">
        <v>0</v>
      </c>
      <c r="AB660" s="95"/>
      <c r="AC660" s="95">
        <v>0</v>
      </c>
      <c r="AD660" s="95"/>
      <c r="AE660" s="95">
        <f>SUM(E660:AC660)</f>
        <v>97566.95999999999</v>
      </c>
      <c r="AF660" s="95"/>
      <c r="AG660" s="95">
        <v>12560.64</v>
      </c>
      <c r="AH660" s="95"/>
      <c r="AI660" s="95">
        <v>11640.73</v>
      </c>
      <c r="AJ660" s="95"/>
      <c r="AK660" s="95">
        <v>24201.37</v>
      </c>
      <c r="AL660" s="24">
        <f>+'Gen Rev'!AI658-'Gen Exp'!AE660+'Gen Exp'!AI660-AK660</f>
        <v>0</v>
      </c>
      <c r="AM660" s="44" t="str">
        <f>'Gen Rev'!A658</f>
        <v>West Farmington</v>
      </c>
      <c r="AN660" s="21" t="str">
        <f t="shared" si="225"/>
        <v>West Farmington</v>
      </c>
      <c r="AO660" s="21" t="b">
        <f t="shared" si="226"/>
        <v>1</v>
      </c>
    </row>
    <row r="661" spans="1:41" ht="12.75">
      <c r="A661" s="1" t="s">
        <v>958</v>
      </c>
      <c r="C661" s="1" t="s">
        <v>432</v>
      </c>
      <c r="D661" s="23"/>
      <c r="E661" s="36">
        <v>1203317.22</v>
      </c>
      <c r="F661" s="36"/>
      <c r="G661" s="36">
        <v>0</v>
      </c>
      <c r="H661" s="36"/>
      <c r="I661" s="36">
        <v>39711.26</v>
      </c>
      <c r="J661" s="36"/>
      <c r="K661" s="36">
        <v>101884.91</v>
      </c>
      <c r="L661" s="36"/>
      <c r="M661" s="36">
        <v>0</v>
      </c>
      <c r="N661" s="36"/>
      <c r="O661" s="36">
        <v>0</v>
      </c>
      <c r="P661" s="36"/>
      <c r="Q661" s="36">
        <v>828332.03</v>
      </c>
      <c r="R661" s="36"/>
      <c r="S661" s="36">
        <v>0</v>
      </c>
      <c r="T661" s="36"/>
      <c r="U661" s="36">
        <v>86076.11</v>
      </c>
      <c r="V661" s="36"/>
      <c r="W661" s="36">
        <v>16908.31</v>
      </c>
      <c r="X661" s="36"/>
      <c r="Y661" s="36">
        <v>6000</v>
      </c>
      <c r="Z661" s="36"/>
      <c r="AA661" s="36">
        <v>0</v>
      </c>
      <c r="AB661" s="36"/>
      <c r="AC661" s="36">
        <v>0</v>
      </c>
      <c r="AD661" s="36"/>
      <c r="AE661" s="36">
        <f aca="true" t="shared" si="247" ref="AE661">SUM(E661:AC661)</f>
        <v>2282229.84</v>
      </c>
      <c r="AF661" s="36"/>
      <c r="AG661" s="36">
        <v>-182799.22</v>
      </c>
      <c r="AH661" s="36"/>
      <c r="AI661" s="36">
        <v>616935.44</v>
      </c>
      <c r="AJ661" s="36"/>
      <c r="AK661" s="36">
        <v>434136.22</v>
      </c>
      <c r="AL661" s="24">
        <f>+'Gen Rev'!AI659-'Gen Exp'!AE661+'Gen Exp'!AI661-AK661</f>
        <v>0</v>
      </c>
      <c r="AM661" s="44" t="str">
        <f>'Gen Rev'!A659</f>
        <v>West Jefferson</v>
      </c>
      <c r="AN661" s="21" t="str">
        <f t="shared" si="225"/>
        <v>West Jefferson</v>
      </c>
      <c r="AO661" s="21" t="b">
        <f t="shared" si="226"/>
        <v>1</v>
      </c>
    </row>
    <row r="662" spans="1:41" s="21" customFormat="1" ht="12.6" customHeight="1">
      <c r="A662" s="1" t="s">
        <v>310</v>
      </c>
      <c r="B662" s="1"/>
      <c r="C662" s="1" t="s">
        <v>308</v>
      </c>
      <c r="D662" s="1"/>
      <c r="E662" s="83">
        <v>400951</v>
      </c>
      <c r="F662" s="83"/>
      <c r="G662" s="83">
        <v>4607</v>
      </c>
      <c r="H662" s="83"/>
      <c r="I662" s="83">
        <v>2617</v>
      </c>
      <c r="J662" s="83"/>
      <c r="K662" s="83">
        <v>0</v>
      </c>
      <c r="L662" s="83"/>
      <c r="M662" s="83">
        <v>15017</v>
      </c>
      <c r="N662" s="83"/>
      <c r="O662" s="83">
        <v>0</v>
      </c>
      <c r="P662" s="83"/>
      <c r="Q662" s="83">
        <v>159583</v>
      </c>
      <c r="R662" s="83"/>
      <c r="S662" s="83">
        <v>0</v>
      </c>
      <c r="T662" s="83"/>
      <c r="U662" s="83">
        <v>0</v>
      </c>
      <c r="V662" s="83"/>
      <c r="W662" s="83">
        <v>0</v>
      </c>
      <c r="X662" s="83"/>
      <c r="Y662" s="83">
        <v>0</v>
      </c>
      <c r="Z662" s="83"/>
      <c r="AA662" s="83">
        <v>0</v>
      </c>
      <c r="AB662" s="83"/>
      <c r="AC662" s="83">
        <v>0</v>
      </c>
      <c r="AD662" s="83"/>
      <c r="AE662" s="83">
        <f t="shared" si="230"/>
        <v>582775</v>
      </c>
      <c r="AF662" s="83"/>
      <c r="AG662" s="36">
        <v>14653</v>
      </c>
      <c r="AH662" s="36"/>
      <c r="AI662" s="36">
        <v>263105</v>
      </c>
      <c r="AJ662" s="36"/>
      <c r="AK662" s="36">
        <v>277758</v>
      </c>
      <c r="AL662" s="24">
        <f>+'Gen Rev'!AI660-'Gen Exp'!AE662+'Gen Exp'!AI662-AK662</f>
        <v>0</v>
      </c>
      <c r="AM662" s="44" t="str">
        <f>'Gen Rev'!A660</f>
        <v>West Lafayette</v>
      </c>
      <c r="AN662" s="21" t="str">
        <f t="shared" si="225"/>
        <v>West Lafayette</v>
      </c>
      <c r="AO662" s="21" t="b">
        <f t="shared" si="226"/>
        <v>1</v>
      </c>
    </row>
    <row r="663" spans="1:41" s="15" customFormat="1" ht="12.75">
      <c r="A663" s="15" t="s">
        <v>916</v>
      </c>
      <c r="C663" s="15" t="s">
        <v>514</v>
      </c>
      <c r="E663" s="95">
        <v>16935.14</v>
      </c>
      <c r="F663" s="95"/>
      <c r="G663" s="95">
        <v>0</v>
      </c>
      <c r="H663" s="95"/>
      <c r="I663" s="95">
        <v>0</v>
      </c>
      <c r="J663" s="95"/>
      <c r="K663" s="95">
        <v>0</v>
      </c>
      <c r="L663" s="95"/>
      <c r="M663" s="95">
        <v>980</v>
      </c>
      <c r="N663" s="95"/>
      <c r="O663" s="95">
        <v>8710.21</v>
      </c>
      <c r="P663" s="95"/>
      <c r="Q663" s="95">
        <v>28288.97</v>
      </c>
      <c r="R663" s="95"/>
      <c r="S663" s="95">
        <v>0</v>
      </c>
      <c r="T663" s="95"/>
      <c r="U663" s="95">
        <v>0</v>
      </c>
      <c r="V663" s="95"/>
      <c r="W663" s="95">
        <v>0</v>
      </c>
      <c r="X663" s="95"/>
      <c r="Y663" s="95">
        <v>0</v>
      </c>
      <c r="Z663" s="95"/>
      <c r="AA663" s="95">
        <v>0</v>
      </c>
      <c r="AB663" s="95"/>
      <c r="AC663" s="95">
        <v>0</v>
      </c>
      <c r="AD663" s="95"/>
      <c r="AE663" s="95">
        <f>SUM(E663:AC663)</f>
        <v>54914.32</v>
      </c>
      <c r="AF663" s="95"/>
      <c r="AG663" s="95">
        <v>-11793.3</v>
      </c>
      <c r="AH663" s="95"/>
      <c r="AI663" s="95">
        <v>86769.1</v>
      </c>
      <c r="AJ663" s="95"/>
      <c r="AK663" s="95">
        <v>74975.8</v>
      </c>
      <c r="AL663" s="24">
        <f>+'Gen Rev'!AI661-'Gen Exp'!AE663+'Gen Exp'!AI663-AK663</f>
        <v>0</v>
      </c>
      <c r="AM663" s="44" t="str">
        <f>'Gen Rev'!A661</f>
        <v>West Leipsic</v>
      </c>
      <c r="AN663" s="21" t="str">
        <f t="shared" si="225"/>
        <v>West Leipsic</v>
      </c>
      <c r="AO663" s="21" t="b">
        <f t="shared" si="226"/>
        <v>1</v>
      </c>
    </row>
    <row r="664" spans="1:41" s="21" customFormat="1" ht="12.75">
      <c r="A664" s="1" t="s">
        <v>135</v>
      </c>
      <c r="B664" s="1"/>
      <c r="C664" s="1" t="s">
        <v>786</v>
      </c>
      <c r="D664" s="23"/>
      <c r="E664" s="96">
        <v>300308.65</v>
      </c>
      <c r="F664" s="96"/>
      <c r="G664" s="96">
        <v>0</v>
      </c>
      <c r="H664" s="96"/>
      <c r="I664" s="96">
        <v>14226.1</v>
      </c>
      <c r="J664" s="96"/>
      <c r="K664" s="96">
        <v>2197.7</v>
      </c>
      <c r="L664" s="96"/>
      <c r="M664" s="96">
        <v>0</v>
      </c>
      <c r="N664" s="96"/>
      <c r="O664" s="96">
        <v>57895.16</v>
      </c>
      <c r="P664" s="96"/>
      <c r="Q664" s="96">
        <v>125519.88</v>
      </c>
      <c r="R664" s="96"/>
      <c r="S664" s="96">
        <v>0</v>
      </c>
      <c r="T664" s="96"/>
      <c r="U664" s="96">
        <v>16600</v>
      </c>
      <c r="V664" s="96"/>
      <c r="W664" s="96">
        <v>30946</v>
      </c>
      <c r="X664" s="96"/>
      <c r="Y664" s="96">
        <v>34448.14</v>
      </c>
      <c r="Z664" s="96"/>
      <c r="AA664" s="96">
        <v>0</v>
      </c>
      <c r="AB664" s="96"/>
      <c r="AC664" s="96">
        <v>0</v>
      </c>
      <c r="AD664" s="96"/>
      <c r="AE664" s="96">
        <f aca="true" t="shared" si="248" ref="AE664">SUM(E664:AC664)</f>
        <v>582141.63</v>
      </c>
      <c r="AF664" s="36"/>
      <c r="AG664" s="36">
        <v>4418.02</v>
      </c>
      <c r="AH664" s="36"/>
      <c r="AI664" s="36">
        <v>395119.21</v>
      </c>
      <c r="AJ664" s="36"/>
      <c r="AK664" s="36">
        <v>399537.23</v>
      </c>
      <c r="AL664" s="24">
        <f>+'Gen Rev'!AI662-'Gen Exp'!AE664+'Gen Exp'!AI664-AK664</f>
        <v>0</v>
      </c>
      <c r="AM664" s="44" t="str">
        <f>'Gen Rev'!A662</f>
        <v>West Liberty</v>
      </c>
      <c r="AN664" s="21" t="str">
        <f t="shared" si="225"/>
        <v>West Liberty</v>
      </c>
      <c r="AO664" s="21" t="b">
        <f t="shared" si="226"/>
        <v>1</v>
      </c>
    </row>
    <row r="665" spans="1:41" ht="12.75">
      <c r="A665" s="1" t="s">
        <v>917</v>
      </c>
      <c r="C665" s="1" t="s">
        <v>510</v>
      </c>
      <c r="D665" s="23"/>
      <c r="E665" s="83">
        <v>6538.65</v>
      </c>
      <c r="F665" s="83"/>
      <c r="G665" s="83">
        <v>0</v>
      </c>
      <c r="H665" s="83"/>
      <c r="I665" s="83">
        <v>1789.8</v>
      </c>
      <c r="J665" s="83"/>
      <c r="K665" s="83">
        <v>0</v>
      </c>
      <c r="L665" s="83"/>
      <c r="M665" s="83">
        <v>28111.57</v>
      </c>
      <c r="N665" s="83"/>
      <c r="O665" s="83">
        <v>9240.91</v>
      </c>
      <c r="P665" s="83"/>
      <c r="Q665" s="83">
        <v>57380.19</v>
      </c>
      <c r="R665" s="83"/>
      <c r="S665" s="83">
        <v>0</v>
      </c>
      <c r="T665" s="83"/>
      <c r="U665" s="83">
        <v>0</v>
      </c>
      <c r="V665" s="83"/>
      <c r="W665" s="83">
        <v>0</v>
      </c>
      <c r="X665" s="83"/>
      <c r="Y665" s="83">
        <v>800</v>
      </c>
      <c r="Z665" s="83"/>
      <c r="AA665" s="83">
        <v>0</v>
      </c>
      <c r="AB665" s="83"/>
      <c r="AC665" s="83">
        <v>0</v>
      </c>
      <c r="AD665" s="83"/>
      <c r="AE665" s="83">
        <f t="shared" si="230"/>
        <v>103861.12</v>
      </c>
      <c r="AF665" s="83"/>
      <c r="AG665" s="83">
        <f>AK665-AI665</f>
        <v>520.2100000000064</v>
      </c>
      <c r="AH665" s="83"/>
      <c r="AI665" s="83">
        <v>103294.56</v>
      </c>
      <c r="AJ665" s="83"/>
      <c r="AK665" s="83">
        <v>103814.77</v>
      </c>
      <c r="AL665" s="24">
        <f>+'Gen Rev'!AI663-'Gen Exp'!AE665+'Gen Exp'!AI665-AK665</f>
        <v>-133.50000000001455</v>
      </c>
      <c r="AM665" s="44" t="str">
        <f>'Gen Rev'!A663</f>
        <v>West Manchester</v>
      </c>
      <c r="AN665" s="21" t="str">
        <f t="shared" si="225"/>
        <v>West Manchester</v>
      </c>
      <c r="AO665" s="21" t="b">
        <f t="shared" si="226"/>
        <v>1</v>
      </c>
    </row>
    <row r="666" spans="1:41" ht="12.75">
      <c r="A666" s="1" t="s">
        <v>959</v>
      </c>
      <c r="C666" s="15" t="s">
        <v>446</v>
      </c>
      <c r="D666" s="23"/>
      <c r="E666" s="36">
        <v>0</v>
      </c>
      <c r="F666" s="36"/>
      <c r="G666" s="36">
        <v>4388.22</v>
      </c>
      <c r="H666" s="36"/>
      <c r="I666" s="36">
        <v>5594.22</v>
      </c>
      <c r="J666" s="36"/>
      <c r="K666" s="36">
        <v>2048.88</v>
      </c>
      <c r="L666" s="36"/>
      <c r="M666" s="36">
        <v>0</v>
      </c>
      <c r="N666" s="36"/>
      <c r="O666" s="36">
        <v>0</v>
      </c>
      <c r="P666" s="36"/>
      <c r="Q666" s="36">
        <v>63632.61</v>
      </c>
      <c r="R666" s="36"/>
      <c r="S666" s="36">
        <v>0</v>
      </c>
      <c r="T666" s="36"/>
      <c r="U666" s="36">
        <v>0</v>
      </c>
      <c r="V666" s="36"/>
      <c r="W666" s="36">
        <v>0</v>
      </c>
      <c r="X666" s="36"/>
      <c r="Y666" s="36">
        <v>79500</v>
      </c>
      <c r="Z666" s="36"/>
      <c r="AA666" s="36">
        <v>0</v>
      </c>
      <c r="AB666" s="36"/>
      <c r="AC666" s="36">
        <v>0</v>
      </c>
      <c r="AD666" s="36"/>
      <c r="AE666" s="36">
        <f aca="true" t="shared" si="249" ref="AE666:AE667">SUM(E666:AC666)</f>
        <v>155163.93</v>
      </c>
      <c r="AF666" s="36"/>
      <c r="AG666" s="36">
        <v>-10785.78</v>
      </c>
      <c r="AH666" s="36"/>
      <c r="AI666" s="36">
        <v>82391.74</v>
      </c>
      <c r="AJ666" s="36"/>
      <c r="AK666" s="36">
        <v>71605.96</v>
      </c>
      <c r="AL666" s="24">
        <f>+'Gen Rev'!AI664-'Gen Exp'!AE666+'Gen Exp'!AI666-AK666</f>
        <v>0</v>
      </c>
      <c r="AM666" s="44" t="str">
        <f>'Gen Rev'!A664</f>
        <v>West Mansfield</v>
      </c>
      <c r="AN666" s="21" t="str">
        <f t="shared" si="225"/>
        <v>West Mansfield</v>
      </c>
      <c r="AO666" s="21" t="b">
        <f t="shared" si="226"/>
        <v>1</v>
      </c>
    </row>
    <row r="667" spans="1:41" ht="12.75">
      <c r="A667" s="1" t="s">
        <v>262</v>
      </c>
      <c r="C667" s="1" t="s">
        <v>825</v>
      </c>
      <c r="D667" s="23"/>
      <c r="E667" s="36">
        <v>7369.74</v>
      </c>
      <c r="F667" s="36"/>
      <c r="G667" s="36">
        <v>39.29</v>
      </c>
      <c r="H667" s="36"/>
      <c r="I667" s="36">
        <v>1015.61</v>
      </c>
      <c r="J667" s="36"/>
      <c r="K667" s="36">
        <v>0</v>
      </c>
      <c r="L667" s="36"/>
      <c r="M667" s="36">
        <v>50</v>
      </c>
      <c r="N667" s="36"/>
      <c r="O667" s="36">
        <v>0</v>
      </c>
      <c r="P667" s="36"/>
      <c r="Q667" s="36">
        <v>16613.02</v>
      </c>
      <c r="R667" s="36"/>
      <c r="S667" s="36">
        <v>0</v>
      </c>
      <c r="T667" s="36"/>
      <c r="U667" s="36">
        <v>0</v>
      </c>
      <c r="V667" s="36"/>
      <c r="W667" s="36">
        <v>0</v>
      </c>
      <c r="X667" s="36"/>
      <c r="Y667" s="36">
        <v>0</v>
      </c>
      <c r="Z667" s="36"/>
      <c r="AA667" s="36">
        <v>600</v>
      </c>
      <c r="AB667" s="36"/>
      <c r="AC667" s="36">
        <v>0</v>
      </c>
      <c r="AD667" s="36"/>
      <c r="AE667" s="36">
        <f t="shared" si="249"/>
        <v>25687.66</v>
      </c>
      <c r="AF667" s="36"/>
      <c r="AG667" s="36">
        <v>5383.07</v>
      </c>
      <c r="AH667" s="36"/>
      <c r="AI667" s="36">
        <v>3492.66</v>
      </c>
      <c r="AJ667" s="36"/>
      <c r="AK667" s="36">
        <v>8875.73</v>
      </c>
      <c r="AL667" s="24">
        <f>+'Gen Rev'!AI665-'Gen Exp'!AE667+'Gen Exp'!AI667-AK667</f>
        <v>0</v>
      </c>
      <c r="AM667" s="44" t="str">
        <f>'Gen Rev'!A665</f>
        <v>West Millgrove</v>
      </c>
      <c r="AN667" s="21" t="str">
        <f t="shared" si="225"/>
        <v>West Millgrove</v>
      </c>
      <c r="AO667" s="21" t="b">
        <f t="shared" si="226"/>
        <v>1</v>
      </c>
    </row>
    <row r="668" spans="1:41" s="21" customFormat="1" ht="12.75">
      <c r="A668" s="1" t="s">
        <v>472</v>
      </c>
      <c r="B668" s="1"/>
      <c r="C668" s="1" t="s">
        <v>470</v>
      </c>
      <c r="D668" s="1"/>
      <c r="E668" s="83">
        <v>865764</v>
      </c>
      <c r="F668" s="83"/>
      <c r="G668" s="83">
        <v>0</v>
      </c>
      <c r="H668" s="83"/>
      <c r="I668" s="83">
        <v>6641</v>
      </c>
      <c r="J668" s="83"/>
      <c r="K668" s="83">
        <v>1000</v>
      </c>
      <c r="L668" s="83"/>
      <c r="M668" s="83">
        <v>0</v>
      </c>
      <c r="N668" s="83"/>
      <c r="O668" s="83">
        <v>0</v>
      </c>
      <c r="P668" s="83"/>
      <c r="Q668" s="83">
        <v>491868</v>
      </c>
      <c r="R668" s="83"/>
      <c r="S668" s="83">
        <v>86491</v>
      </c>
      <c r="T668" s="83"/>
      <c r="U668" s="83">
        <v>0</v>
      </c>
      <c r="V668" s="83"/>
      <c r="W668" s="83">
        <v>0</v>
      </c>
      <c r="X668" s="83"/>
      <c r="Y668" s="83">
        <v>30000</v>
      </c>
      <c r="Z668" s="83"/>
      <c r="AA668" s="83">
        <v>0</v>
      </c>
      <c r="AB668" s="83"/>
      <c r="AC668" s="83">
        <v>-10753</v>
      </c>
      <c r="AD668" s="83"/>
      <c r="AE668" s="83">
        <f t="shared" si="230"/>
        <v>1471011</v>
      </c>
      <c r="AF668" s="83"/>
      <c r="AG668" s="83">
        <v>-60863</v>
      </c>
      <c r="AH668" s="83"/>
      <c r="AI668" s="83">
        <v>2238739</v>
      </c>
      <c r="AJ668" s="83"/>
      <c r="AK668" s="83">
        <v>2177876</v>
      </c>
      <c r="AL668" s="24">
        <f>+'Gen Rev'!AI666-'Gen Exp'!AE668+'Gen Exp'!AI668-AK668</f>
        <v>0</v>
      </c>
      <c r="AM668" s="44" t="str">
        <f>'Gen Rev'!A666</f>
        <v>West Milton</v>
      </c>
      <c r="AN668" s="21" t="str">
        <f t="shared" si="225"/>
        <v>West Milton</v>
      </c>
      <c r="AO668" s="21" t="b">
        <f t="shared" si="226"/>
        <v>1</v>
      </c>
    </row>
    <row r="669" spans="1:41" s="15" customFormat="1" ht="12.6" customHeight="1">
      <c r="A669" s="15" t="s">
        <v>351</v>
      </c>
      <c r="C669" s="15" t="s">
        <v>350</v>
      </c>
      <c r="E669" s="83">
        <v>0</v>
      </c>
      <c r="F669" s="85"/>
      <c r="G669" s="83">
        <v>0</v>
      </c>
      <c r="H669" s="85"/>
      <c r="I669" s="83">
        <v>0</v>
      </c>
      <c r="J669" s="85"/>
      <c r="K669" s="83">
        <v>0</v>
      </c>
      <c r="L669" s="85"/>
      <c r="M669" s="83">
        <v>567</v>
      </c>
      <c r="N669" s="85"/>
      <c r="O669" s="83">
        <v>0</v>
      </c>
      <c r="P669" s="85"/>
      <c r="Q669" s="83">
        <v>1593</v>
      </c>
      <c r="R669" s="83"/>
      <c r="S669" s="83">
        <v>0</v>
      </c>
      <c r="T669" s="85"/>
      <c r="U669" s="83">
        <v>0</v>
      </c>
      <c r="V669" s="85"/>
      <c r="W669" s="83">
        <v>0</v>
      </c>
      <c r="X669" s="85"/>
      <c r="Y669" s="83">
        <v>0</v>
      </c>
      <c r="Z669" s="85"/>
      <c r="AA669" s="83">
        <v>0</v>
      </c>
      <c r="AB669" s="85"/>
      <c r="AC669" s="83">
        <f>1745+2197+3651+2456+288+64</f>
        <v>10401</v>
      </c>
      <c r="AD669" s="85"/>
      <c r="AE669" s="83">
        <f>SUM(E669:AC669)</f>
        <v>12561</v>
      </c>
      <c r="AF669" s="85"/>
      <c r="AG669" s="41">
        <v>13175</v>
      </c>
      <c r="AH669" s="41"/>
      <c r="AI669" s="41">
        <v>0</v>
      </c>
      <c r="AJ669" s="41"/>
      <c r="AK669" s="41">
        <v>13175</v>
      </c>
      <c r="AL669" s="24">
        <f>+'Gen Rev'!AI667-'Gen Exp'!AE669+'Gen Exp'!AI669-AK669</f>
        <v>-1</v>
      </c>
      <c r="AM669" s="44" t="str">
        <f>'Gen Rev'!A667</f>
        <v>West Rushville</v>
      </c>
      <c r="AN669" s="21" t="str">
        <f aca="true" t="shared" si="250" ref="AN669:AN698">A669</f>
        <v>West Rushville</v>
      </c>
      <c r="AO669" s="21" t="b">
        <f aca="true" t="shared" si="251" ref="AO669:AO698">AM669=AN669</f>
        <v>1</v>
      </c>
    </row>
    <row r="670" spans="1:41" ht="12.75">
      <c r="A670" s="1" t="s">
        <v>250</v>
      </c>
      <c r="C670" s="1" t="s">
        <v>823</v>
      </c>
      <c r="D670" s="23"/>
      <c r="E670" s="36">
        <v>93714.25</v>
      </c>
      <c r="F670" s="36"/>
      <c r="G670" s="36">
        <v>4565.03</v>
      </c>
      <c r="H670" s="36"/>
      <c r="I670" s="36">
        <v>3980.47</v>
      </c>
      <c r="J670" s="36"/>
      <c r="K670" s="36">
        <v>2892.75</v>
      </c>
      <c r="L670" s="36"/>
      <c r="M670" s="36">
        <v>0</v>
      </c>
      <c r="N670" s="36"/>
      <c r="O670" s="36">
        <v>0</v>
      </c>
      <c r="P670" s="36"/>
      <c r="Q670" s="36">
        <v>183291.24</v>
      </c>
      <c r="R670" s="36"/>
      <c r="S670" s="36">
        <v>0</v>
      </c>
      <c r="T670" s="36"/>
      <c r="U670" s="36">
        <v>4099.69</v>
      </c>
      <c r="V670" s="36"/>
      <c r="W670" s="36">
        <v>503.15</v>
      </c>
      <c r="X670" s="36"/>
      <c r="Y670" s="36">
        <v>0</v>
      </c>
      <c r="Z670" s="36"/>
      <c r="AA670" s="36">
        <v>0</v>
      </c>
      <c r="AB670" s="36"/>
      <c r="AC670" s="36">
        <v>0</v>
      </c>
      <c r="AD670" s="36"/>
      <c r="AE670" s="36">
        <f aca="true" t="shared" si="252" ref="AE670:AE674">SUM(E670:AC670)</f>
        <v>293046.58</v>
      </c>
      <c r="AF670" s="36"/>
      <c r="AG670" s="36">
        <v>25301.57</v>
      </c>
      <c r="AH670" s="36"/>
      <c r="AI670" s="36">
        <v>53900.66</v>
      </c>
      <c r="AJ670" s="36"/>
      <c r="AK670" s="36">
        <v>79202.23</v>
      </c>
      <c r="AL670" s="24">
        <f>+'Gen Rev'!AI668-'Gen Exp'!AE670+'Gen Exp'!AI670-AK670</f>
        <v>0</v>
      </c>
      <c r="AM670" s="44" t="str">
        <f>'Gen Rev'!A668</f>
        <v>West Salem</v>
      </c>
      <c r="AN670" s="21" t="str">
        <f t="shared" si="250"/>
        <v>West Salem</v>
      </c>
      <c r="AO670" s="21" t="b">
        <f t="shared" si="251"/>
        <v>1</v>
      </c>
    </row>
    <row r="671" spans="1:41" s="21" customFormat="1" ht="12.75">
      <c r="A671" s="1" t="s">
        <v>0</v>
      </c>
      <c r="B671" s="1"/>
      <c r="C671" s="1" t="s">
        <v>664</v>
      </c>
      <c r="D671" s="23"/>
      <c r="E671" s="36">
        <v>386651.82</v>
      </c>
      <c r="F671" s="36"/>
      <c r="G671" s="36">
        <v>7589.11</v>
      </c>
      <c r="H671" s="36"/>
      <c r="I671" s="36">
        <v>0</v>
      </c>
      <c r="J671" s="36"/>
      <c r="K671" s="36">
        <v>1530.99</v>
      </c>
      <c r="L671" s="36"/>
      <c r="M671" s="36">
        <v>0</v>
      </c>
      <c r="N671" s="36"/>
      <c r="O671" s="36">
        <v>0</v>
      </c>
      <c r="P671" s="36"/>
      <c r="Q671" s="36">
        <v>297451.35</v>
      </c>
      <c r="R671" s="36"/>
      <c r="S671" s="36">
        <v>0</v>
      </c>
      <c r="T671" s="36"/>
      <c r="U671" s="36">
        <v>0</v>
      </c>
      <c r="V671" s="36"/>
      <c r="W671" s="36">
        <v>0</v>
      </c>
      <c r="X671" s="36"/>
      <c r="Y671" s="36">
        <v>0</v>
      </c>
      <c r="Z671" s="36"/>
      <c r="AA671" s="36">
        <v>0</v>
      </c>
      <c r="AB671" s="36"/>
      <c r="AC671" s="36">
        <v>11271.61</v>
      </c>
      <c r="AD671" s="36"/>
      <c r="AE671" s="36">
        <f t="shared" si="252"/>
        <v>704494.88</v>
      </c>
      <c r="AF671" s="36"/>
      <c r="AG671" s="36">
        <v>144193.83</v>
      </c>
      <c r="AH671" s="36"/>
      <c r="AI671" s="36">
        <v>771861.52</v>
      </c>
      <c r="AJ671" s="36"/>
      <c r="AK671" s="36">
        <v>916055.35</v>
      </c>
      <c r="AL671" s="24">
        <f>+'Gen Rev'!AI669-'Gen Exp'!AE671+'Gen Exp'!AI671-AK671</f>
        <v>0</v>
      </c>
      <c r="AM671" s="44" t="str">
        <f>'Gen Rev'!A669</f>
        <v>West Union</v>
      </c>
      <c r="AN671" s="21" t="str">
        <f t="shared" si="250"/>
        <v>West Union</v>
      </c>
      <c r="AO671" s="21" t="b">
        <f t="shared" si="251"/>
        <v>1</v>
      </c>
    </row>
    <row r="672" spans="1:41" ht="12.75">
      <c r="A672" s="1" t="s">
        <v>601</v>
      </c>
      <c r="C672" s="1" t="s">
        <v>598</v>
      </c>
      <c r="E672" s="36">
        <v>233421.67</v>
      </c>
      <c r="F672" s="36"/>
      <c r="G672" s="36">
        <v>5600</v>
      </c>
      <c r="H672" s="36"/>
      <c r="I672" s="36">
        <v>0</v>
      </c>
      <c r="J672" s="36"/>
      <c r="K672" s="36">
        <v>2075.92</v>
      </c>
      <c r="L672" s="36"/>
      <c r="M672" s="36">
        <v>15910.99</v>
      </c>
      <c r="N672" s="36"/>
      <c r="O672" s="36">
        <v>0</v>
      </c>
      <c r="P672" s="36"/>
      <c r="Q672" s="36">
        <v>189517.85</v>
      </c>
      <c r="R672" s="36"/>
      <c r="S672" s="36">
        <v>7062.5</v>
      </c>
      <c r="T672" s="36"/>
      <c r="U672" s="36">
        <v>0</v>
      </c>
      <c r="V672" s="36"/>
      <c r="W672" s="36">
        <v>0</v>
      </c>
      <c r="X672" s="36"/>
      <c r="Y672" s="36">
        <v>0</v>
      </c>
      <c r="Z672" s="36"/>
      <c r="AA672" s="36">
        <v>0</v>
      </c>
      <c r="AB672" s="36"/>
      <c r="AC672" s="36">
        <v>0</v>
      </c>
      <c r="AD672" s="36"/>
      <c r="AE672" s="36">
        <f t="shared" si="252"/>
        <v>453588.93000000005</v>
      </c>
      <c r="AF672" s="36"/>
      <c r="AG672" s="36">
        <v>62954.09</v>
      </c>
      <c r="AH672" s="36"/>
      <c r="AI672" s="36">
        <v>245073.91</v>
      </c>
      <c r="AJ672" s="36"/>
      <c r="AK672" s="36">
        <v>308028</v>
      </c>
      <c r="AL672" s="24">
        <f>+'Gen Rev'!AI670-'Gen Exp'!AE672+'Gen Exp'!AI672-AK672</f>
        <v>0</v>
      </c>
      <c r="AM672" s="44" t="str">
        <f>'Gen Rev'!A670</f>
        <v>West Unity</v>
      </c>
      <c r="AN672" s="21" t="str">
        <f t="shared" si="250"/>
        <v>West Unity</v>
      </c>
      <c r="AO672" s="21" t="b">
        <f t="shared" si="251"/>
        <v>1</v>
      </c>
    </row>
    <row r="673" spans="1:41" ht="12.75">
      <c r="A673" s="1" t="s">
        <v>155</v>
      </c>
      <c r="C673" s="1" t="s">
        <v>792</v>
      </c>
      <c r="D673" s="23"/>
      <c r="E673" s="36">
        <v>227089.63</v>
      </c>
      <c r="F673" s="36"/>
      <c r="G673" s="36">
        <v>1280.02</v>
      </c>
      <c r="H673" s="36"/>
      <c r="I673" s="36">
        <v>5626.67</v>
      </c>
      <c r="J673" s="36"/>
      <c r="K673" s="36">
        <v>7485.9</v>
      </c>
      <c r="L673" s="36"/>
      <c r="M673" s="36">
        <v>0</v>
      </c>
      <c r="N673" s="36"/>
      <c r="O673" s="36">
        <v>177038.57</v>
      </c>
      <c r="P673" s="36"/>
      <c r="Q673" s="36">
        <v>279147.75</v>
      </c>
      <c r="R673" s="36"/>
      <c r="S673" s="36">
        <v>247308.36</v>
      </c>
      <c r="T673" s="36"/>
      <c r="U673" s="36">
        <v>0</v>
      </c>
      <c r="V673" s="36"/>
      <c r="W673" s="36">
        <v>0</v>
      </c>
      <c r="X673" s="36"/>
      <c r="Y673" s="36">
        <v>67041.43</v>
      </c>
      <c r="Z673" s="36"/>
      <c r="AA673" s="36">
        <v>0</v>
      </c>
      <c r="AB673" s="36"/>
      <c r="AC673" s="36">
        <v>0</v>
      </c>
      <c r="AD673" s="36"/>
      <c r="AE673" s="36">
        <f t="shared" si="252"/>
        <v>1012018.3300000001</v>
      </c>
      <c r="AF673" s="36"/>
      <c r="AG673" s="36">
        <v>307678.79</v>
      </c>
      <c r="AH673" s="36"/>
      <c r="AI673" s="36">
        <v>559133.27</v>
      </c>
      <c r="AJ673" s="36"/>
      <c r="AK673" s="36">
        <v>866812.06</v>
      </c>
      <c r="AL673" s="24">
        <f>+'Gen Rev'!AI671-'Gen Exp'!AE673+'Gen Exp'!AI673-AK673</f>
        <v>0</v>
      </c>
      <c r="AM673" s="44" t="str">
        <f>'Gen Rev'!A671</f>
        <v>Westfield Cente</v>
      </c>
      <c r="AN673" s="21" t="str">
        <f t="shared" si="250"/>
        <v>Westfield Cente</v>
      </c>
      <c r="AO673" s="21" t="b">
        <f t="shared" si="251"/>
        <v>1</v>
      </c>
    </row>
    <row r="674" spans="1:41" s="15" customFormat="1" ht="12.75">
      <c r="A674" s="15" t="s">
        <v>263</v>
      </c>
      <c r="C674" s="15" t="s">
        <v>603</v>
      </c>
      <c r="E674" s="36">
        <v>134899.52</v>
      </c>
      <c r="F674" s="36"/>
      <c r="G674" s="36">
        <v>868.94</v>
      </c>
      <c r="H674" s="36"/>
      <c r="I674" s="36">
        <v>17607.54</v>
      </c>
      <c r="J674" s="36"/>
      <c r="K674" s="36">
        <v>45.56</v>
      </c>
      <c r="L674" s="36"/>
      <c r="M674" s="36">
        <v>5422.15</v>
      </c>
      <c r="N674" s="36"/>
      <c r="O674" s="36">
        <v>0</v>
      </c>
      <c r="P674" s="36"/>
      <c r="Q674" s="36">
        <v>134159.01</v>
      </c>
      <c r="R674" s="36"/>
      <c r="S674" s="36">
        <v>19329</v>
      </c>
      <c r="T674" s="36"/>
      <c r="U674" s="36">
        <v>0</v>
      </c>
      <c r="V674" s="36"/>
      <c r="W674" s="36">
        <v>0</v>
      </c>
      <c r="X674" s="36"/>
      <c r="Y674" s="36">
        <v>22875</v>
      </c>
      <c r="Z674" s="36"/>
      <c r="AA674" s="36">
        <v>0</v>
      </c>
      <c r="AB674" s="36"/>
      <c r="AC674" s="36">
        <v>0</v>
      </c>
      <c r="AD674" s="36"/>
      <c r="AE674" s="36">
        <f t="shared" si="252"/>
        <v>335206.72</v>
      </c>
      <c r="AF674" s="36"/>
      <c r="AG674" s="36">
        <v>25974.14</v>
      </c>
      <c r="AH674" s="36"/>
      <c r="AI674" s="36">
        <v>490199.83</v>
      </c>
      <c r="AJ674" s="36"/>
      <c r="AK674" s="36">
        <v>516173.97</v>
      </c>
      <c r="AL674" s="24">
        <f>+'Gen Rev'!AI672-'Gen Exp'!AE674+'Gen Exp'!AI674-AK674</f>
        <v>0</v>
      </c>
      <c r="AM674" s="44" t="str">
        <f>'Gen Rev'!A672</f>
        <v>Weston</v>
      </c>
      <c r="AN674" s="21" t="str">
        <f t="shared" si="250"/>
        <v>Weston</v>
      </c>
      <c r="AO674" s="21" t="b">
        <f t="shared" si="251"/>
        <v>1</v>
      </c>
    </row>
    <row r="675" spans="1:41" ht="12.75" hidden="1">
      <c r="A675" s="1" t="s">
        <v>918</v>
      </c>
      <c r="C675" s="1" t="s">
        <v>611</v>
      </c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>
        <f t="shared" si="230"/>
        <v>0</v>
      </c>
      <c r="AF675" s="83"/>
      <c r="AG675" s="83"/>
      <c r="AH675" s="83"/>
      <c r="AI675" s="83"/>
      <c r="AJ675" s="83"/>
      <c r="AK675" s="83"/>
      <c r="AL675" s="24">
        <f>+'Gen Rev'!AI673-'Gen Exp'!AE675+'Gen Exp'!AI675-AK675</f>
        <v>0</v>
      </c>
      <c r="AM675" s="44" t="str">
        <f>'Gen Rev'!A673</f>
        <v>Wharton</v>
      </c>
      <c r="AN675" s="21" t="str">
        <f t="shared" si="250"/>
        <v>Wharton</v>
      </c>
      <c r="AO675" s="21" t="b">
        <f t="shared" si="251"/>
        <v>1</v>
      </c>
    </row>
    <row r="676" spans="1:41" ht="12.75">
      <c r="A676" s="1" t="s">
        <v>458</v>
      </c>
      <c r="C676" s="1" t="s">
        <v>455</v>
      </c>
      <c r="E676" s="83">
        <v>1383685</v>
      </c>
      <c r="F676" s="83"/>
      <c r="G676" s="83">
        <v>18500</v>
      </c>
      <c r="H676" s="83"/>
      <c r="I676" s="83">
        <v>65799</v>
      </c>
      <c r="J676" s="83"/>
      <c r="K676" s="83">
        <v>129791</v>
      </c>
      <c r="L676" s="83"/>
      <c r="M676" s="83">
        <v>203472</v>
      </c>
      <c r="N676" s="83"/>
      <c r="O676" s="83">
        <v>0</v>
      </c>
      <c r="P676" s="83"/>
      <c r="Q676" s="83">
        <v>430784</v>
      </c>
      <c r="R676" s="83"/>
      <c r="S676" s="83">
        <v>130925</v>
      </c>
      <c r="T676" s="83"/>
      <c r="U676" s="83">
        <v>0</v>
      </c>
      <c r="V676" s="83"/>
      <c r="W676" s="83">
        <v>0</v>
      </c>
      <c r="X676" s="83"/>
      <c r="Y676" s="83">
        <v>57181</v>
      </c>
      <c r="Z676" s="83"/>
      <c r="AA676" s="83">
        <v>0</v>
      </c>
      <c r="AB676" s="83"/>
      <c r="AC676" s="83">
        <v>0</v>
      </c>
      <c r="AD676" s="83"/>
      <c r="AE676" s="83">
        <f t="shared" si="230"/>
        <v>2420137</v>
      </c>
      <c r="AF676" s="83"/>
      <c r="AG676" s="83">
        <v>-110995</v>
      </c>
      <c r="AH676" s="83"/>
      <c r="AI676" s="83">
        <v>110995</v>
      </c>
      <c r="AJ676" s="83"/>
      <c r="AK676" s="83">
        <v>0</v>
      </c>
      <c r="AL676" s="24">
        <f>+'Gen Rev'!AI674-'Gen Exp'!AE676+'Gen Exp'!AI676-AK676</f>
        <v>27001</v>
      </c>
      <c r="AM676" s="44" t="str">
        <f>'Gen Rev'!A674</f>
        <v>Whitehouse</v>
      </c>
      <c r="AN676" s="21" t="str">
        <f t="shared" si="250"/>
        <v>Whitehouse</v>
      </c>
      <c r="AO676" s="21" t="b">
        <f t="shared" si="251"/>
        <v>1</v>
      </c>
    </row>
    <row r="677" spans="1:41" ht="12.75">
      <c r="A677" s="1" t="s">
        <v>579</v>
      </c>
      <c r="C677" s="1" t="s">
        <v>82</v>
      </c>
      <c r="E677" s="83">
        <v>1198</v>
      </c>
      <c r="F677" s="83"/>
      <c r="G677" s="83">
        <v>0</v>
      </c>
      <c r="H677" s="83"/>
      <c r="I677" s="83">
        <v>0</v>
      </c>
      <c r="J677" s="83"/>
      <c r="K677" s="83">
        <v>0</v>
      </c>
      <c r="L677" s="83"/>
      <c r="M677" s="83">
        <v>226</v>
      </c>
      <c r="N677" s="83"/>
      <c r="O677" s="83">
        <v>0</v>
      </c>
      <c r="P677" s="83"/>
      <c r="Q677" s="83">
        <v>12549</v>
      </c>
      <c r="R677" s="83"/>
      <c r="S677" s="83">
        <v>0</v>
      </c>
      <c r="T677" s="83"/>
      <c r="U677" s="83">
        <v>0</v>
      </c>
      <c r="V677" s="83"/>
      <c r="W677" s="83">
        <v>0</v>
      </c>
      <c r="X677" s="83"/>
      <c r="Y677" s="83">
        <v>0</v>
      </c>
      <c r="Z677" s="83"/>
      <c r="AA677" s="83">
        <v>0</v>
      </c>
      <c r="AB677" s="83"/>
      <c r="AC677" s="83">
        <v>0</v>
      </c>
      <c r="AD677" s="83"/>
      <c r="AE677" s="83">
        <f t="shared" si="230"/>
        <v>13973</v>
      </c>
      <c r="AF677" s="83"/>
      <c r="AG677" s="83">
        <v>-418</v>
      </c>
      <c r="AH677" s="83"/>
      <c r="AI677" s="83">
        <v>0</v>
      </c>
      <c r="AJ677" s="83"/>
      <c r="AK677" s="83">
        <v>-418</v>
      </c>
      <c r="AL677" s="24">
        <f>+'Gen Rev'!AI675-'Gen Exp'!AE677+'Gen Exp'!AI677-AK677</f>
        <v>0</v>
      </c>
      <c r="AM677" s="44" t="str">
        <f>'Gen Rev'!A675</f>
        <v>Wilkesville</v>
      </c>
      <c r="AN677" s="21" t="str">
        <f t="shared" si="250"/>
        <v>Wilkesville</v>
      </c>
      <c r="AO677" s="21" t="b">
        <f t="shared" si="251"/>
        <v>1</v>
      </c>
    </row>
    <row r="678" spans="1:41" s="21" customFormat="1" ht="12.75">
      <c r="A678" s="1" t="s">
        <v>40</v>
      </c>
      <c r="B678" s="1"/>
      <c r="C678" s="1" t="s">
        <v>756</v>
      </c>
      <c r="D678" s="23"/>
      <c r="E678" s="36">
        <v>334401.02</v>
      </c>
      <c r="F678" s="36"/>
      <c r="G678" s="36">
        <v>6695.42</v>
      </c>
      <c r="H678" s="36"/>
      <c r="I678" s="36">
        <v>0</v>
      </c>
      <c r="J678" s="36"/>
      <c r="K678" s="36">
        <v>43137.23</v>
      </c>
      <c r="L678" s="36"/>
      <c r="M678" s="36">
        <v>0</v>
      </c>
      <c r="N678" s="36"/>
      <c r="O678" s="36">
        <v>0</v>
      </c>
      <c r="P678" s="36"/>
      <c r="Q678" s="36">
        <v>175406.41</v>
      </c>
      <c r="R678" s="36"/>
      <c r="S678" s="36">
        <v>0</v>
      </c>
      <c r="T678" s="36"/>
      <c r="U678" s="36">
        <v>0</v>
      </c>
      <c r="V678" s="36"/>
      <c r="W678" s="36">
        <v>0</v>
      </c>
      <c r="X678" s="36"/>
      <c r="Y678" s="36">
        <v>25000</v>
      </c>
      <c r="Z678" s="36"/>
      <c r="AA678" s="36">
        <v>0</v>
      </c>
      <c r="AB678" s="36"/>
      <c r="AC678" s="36">
        <v>0</v>
      </c>
      <c r="AD678" s="36"/>
      <c r="AE678" s="36">
        <f aca="true" t="shared" si="253" ref="AE678">SUM(E678:AC678)</f>
        <v>584640.08</v>
      </c>
      <c r="AF678" s="36"/>
      <c r="AG678" s="36">
        <v>183150.78</v>
      </c>
      <c r="AH678" s="36"/>
      <c r="AI678" s="36">
        <v>50812.75</v>
      </c>
      <c r="AJ678" s="36"/>
      <c r="AK678" s="36">
        <v>233963.53</v>
      </c>
      <c r="AL678" s="24">
        <f>+'Gen Rev'!AI676-'Gen Exp'!AE678+'Gen Exp'!AI678-AK678</f>
        <v>0</v>
      </c>
      <c r="AM678" s="44" t="str">
        <f>'Gen Rev'!A676</f>
        <v>Williamsburg</v>
      </c>
      <c r="AN678" s="21" t="str">
        <f t="shared" si="250"/>
        <v>Williamsburg</v>
      </c>
      <c r="AO678" s="21" t="b">
        <f t="shared" si="251"/>
        <v>1</v>
      </c>
    </row>
    <row r="679" spans="1:41" ht="12.75">
      <c r="A679" s="1" t="s">
        <v>192</v>
      </c>
      <c r="C679" s="1" t="s">
        <v>804</v>
      </c>
      <c r="D679" s="23"/>
      <c r="E679" s="95">
        <v>31953</v>
      </c>
      <c r="F679" s="95"/>
      <c r="G679" s="95">
        <v>3883.42</v>
      </c>
      <c r="H679" s="95"/>
      <c r="I679" s="95">
        <v>10460.25</v>
      </c>
      <c r="J679" s="95"/>
      <c r="K679" s="95">
        <v>300.09</v>
      </c>
      <c r="L679" s="95"/>
      <c r="M679" s="95">
        <v>0</v>
      </c>
      <c r="N679" s="95"/>
      <c r="O679" s="95">
        <v>0</v>
      </c>
      <c r="P679" s="95"/>
      <c r="Q679" s="95">
        <v>52226.16</v>
      </c>
      <c r="R679" s="95"/>
      <c r="S679" s="95">
        <v>0</v>
      </c>
      <c r="T679" s="95"/>
      <c r="U679" s="95">
        <v>0</v>
      </c>
      <c r="V679" s="95"/>
      <c r="W679" s="95">
        <v>0</v>
      </c>
      <c r="X679" s="95"/>
      <c r="Y679" s="95">
        <v>0</v>
      </c>
      <c r="Z679" s="95"/>
      <c r="AA679" s="95">
        <v>0</v>
      </c>
      <c r="AB679" s="95"/>
      <c r="AC679" s="95">
        <v>0</v>
      </c>
      <c r="AD679" s="95"/>
      <c r="AE679" s="95">
        <f>SUM(E679:AC679)</f>
        <v>98822.92</v>
      </c>
      <c r="AF679" s="95"/>
      <c r="AG679" s="95">
        <v>-18428.78</v>
      </c>
      <c r="AH679" s="95"/>
      <c r="AI679" s="95">
        <v>128339.64</v>
      </c>
      <c r="AJ679" s="95"/>
      <c r="AK679" s="95">
        <v>109910.86</v>
      </c>
      <c r="AL679" s="24">
        <f>+'Gen Rev'!AI677-'Gen Exp'!AE679+'Gen Exp'!AI679-AK679</f>
        <v>0</v>
      </c>
      <c r="AM679" s="44" t="str">
        <f>'Gen Rev'!A677</f>
        <v>Williamsport</v>
      </c>
      <c r="AN679" s="21" t="str">
        <f t="shared" si="250"/>
        <v>Williamsport</v>
      </c>
      <c r="AO679" s="21" t="b">
        <f t="shared" si="251"/>
        <v>1</v>
      </c>
    </row>
    <row r="680" spans="1:41" ht="12.75">
      <c r="A680" s="1" t="s">
        <v>578</v>
      </c>
      <c r="C680" s="1" t="s">
        <v>574</v>
      </c>
      <c r="E680" s="36">
        <v>22013.98</v>
      </c>
      <c r="F680" s="36"/>
      <c r="G680" s="36">
        <v>2739.18</v>
      </c>
      <c r="H680" s="36"/>
      <c r="I680" s="36">
        <v>0</v>
      </c>
      <c r="J680" s="36"/>
      <c r="K680" s="36">
        <v>0</v>
      </c>
      <c r="L680" s="36"/>
      <c r="M680" s="36">
        <v>0</v>
      </c>
      <c r="N680" s="36"/>
      <c r="O680" s="36">
        <v>0</v>
      </c>
      <c r="P680" s="36"/>
      <c r="Q680" s="36">
        <v>69413.63</v>
      </c>
      <c r="R680" s="36"/>
      <c r="S680" s="36">
        <v>0</v>
      </c>
      <c r="T680" s="36"/>
      <c r="U680" s="36">
        <v>0</v>
      </c>
      <c r="V680" s="36"/>
      <c r="W680" s="36">
        <v>0</v>
      </c>
      <c r="X680" s="36"/>
      <c r="Y680" s="36">
        <v>0</v>
      </c>
      <c r="Z680" s="36"/>
      <c r="AA680" s="36">
        <v>0</v>
      </c>
      <c r="AB680" s="36"/>
      <c r="AC680" s="36">
        <v>0</v>
      </c>
      <c r="AD680" s="36"/>
      <c r="AE680" s="36">
        <f aca="true" t="shared" si="254" ref="AE680:AE681">SUM(E680:AC680)</f>
        <v>94166.79000000001</v>
      </c>
      <c r="AF680" s="36"/>
      <c r="AG680" s="36">
        <v>29334.32</v>
      </c>
      <c r="AH680" s="36"/>
      <c r="AI680" s="36">
        <v>79430.62</v>
      </c>
      <c r="AJ680" s="36"/>
      <c r="AK680" s="36">
        <v>108764.94</v>
      </c>
      <c r="AL680" s="24">
        <f>+'Gen Rev'!AI678-'Gen Exp'!AE680+'Gen Exp'!AI680-AK680</f>
        <v>0</v>
      </c>
      <c r="AM680" s="44" t="str">
        <f>'Gen Rev'!A678</f>
        <v>Willshire</v>
      </c>
      <c r="AN680" s="21" t="str">
        <f t="shared" si="250"/>
        <v>Willshire</v>
      </c>
      <c r="AO680" s="21" t="b">
        <f t="shared" si="251"/>
        <v>1</v>
      </c>
    </row>
    <row r="681" spans="1:41" s="21" customFormat="1" ht="12.75">
      <c r="A681" s="1" t="s">
        <v>858</v>
      </c>
      <c r="B681" s="1"/>
      <c r="C681" s="1" t="s">
        <v>815</v>
      </c>
      <c r="D681" s="23"/>
      <c r="E681" s="36">
        <v>66219.34</v>
      </c>
      <c r="F681" s="36"/>
      <c r="G681" s="36">
        <v>1037</v>
      </c>
      <c r="H681" s="36"/>
      <c r="I681" s="36">
        <v>3395.98</v>
      </c>
      <c r="J681" s="36"/>
      <c r="K681" s="36">
        <v>100</v>
      </c>
      <c r="L681" s="36"/>
      <c r="M681" s="36">
        <v>380</v>
      </c>
      <c r="N681" s="36"/>
      <c r="O681" s="36">
        <v>0</v>
      </c>
      <c r="P681" s="36"/>
      <c r="Q681" s="36">
        <v>30877.25</v>
      </c>
      <c r="R681" s="36"/>
      <c r="S681" s="36">
        <v>0</v>
      </c>
      <c r="T681" s="36"/>
      <c r="U681" s="36">
        <v>3728.01</v>
      </c>
      <c r="V681" s="36"/>
      <c r="W681" s="36">
        <v>488.09</v>
      </c>
      <c r="X681" s="36"/>
      <c r="Y681" s="36">
        <v>0</v>
      </c>
      <c r="Z681" s="36"/>
      <c r="AA681" s="36">
        <v>0</v>
      </c>
      <c r="AB681" s="36"/>
      <c r="AC681" s="36">
        <v>0</v>
      </c>
      <c r="AD681" s="36"/>
      <c r="AE681" s="36">
        <f t="shared" si="254"/>
        <v>106225.66999999998</v>
      </c>
      <c r="AF681" s="36"/>
      <c r="AG681" s="36">
        <v>15846.24</v>
      </c>
      <c r="AH681" s="36"/>
      <c r="AI681" s="36">
        <v>50338.06</v>
      </c>
      <c r="AJ681" s="36"/>
      <c r="AK681" s="36">
        <v>66184.3</v>
      </c>
      <c r="AL681" s="24">
        <f>+'Gen Rev'!AI679-'Gen Exp'!AE681+'Gen Exp'!AI681-AK681</f>
        <v>0</v>
      </c>
      <c r="AM681" s="44" t="str">
        <f>'Gen Rev'!A679</f>
        <v>Wilmot</v>
      </c>
      <c r="AN681" s="21" t="str">
        <f t="shared" si="250"/>
        <v>Wilmot</v>
      </c>
      <c r="AO681" s="21" t="b">
        <f t="shared" si="251"/>
        <v>1</v>
      </c>
    </row>
    <row r="682" spans="1:41" ht="12.75">
      <c r="A682" s="1" t="s">
        <v>478</v>
      </c>
      <c r="C682" s="1" t="s">
        <v>474</v>
      </c>
      <c r="E682" s="83">
        <v>2250</v>
      </c>
      <c r="F682" s="83"/>
      <c r="G682" s="83">
        <v>0</v>
      </c>
      <c r="H682" s="83"/>
      <c r="I682" s="83">
        <v>0</v>
      </c>
      <c r="J682" s="83"/>
      <c r="K682" s="83">
        <v>0</v>
      </c>
      <c r="L682" s="83"/>
      <c r="M682" s="83">
        <v>0</v>
      </c>
      <c r="N682" s="83"/>
      <c r="O682" s="83">
        <v>0</v>
      </c>
      <c r="P682" s="83"/>
      <c r="Q682" s="83">
        <v>6258</v>
      </c>
      <c r="R682" s="83"/>
      <c r="S682" s="83">
        <v>0</v>
      </c>
      <c r="T682" s="83"/>
      <c r="U682" s="83">
        <v>0</v>
      </c>
      <c r="V682" s="83"/>
      <c r="W682" s="83">
        <v>0</v>
      </c>
      <c r="X682" s="83"/>
      <c r="Y682" s="83">
        <v>0</v>
      </c>
      <c r="Z682" s="83"/>
      <c r="AA682" s="83">
        <v>0</v>
      </c>
      <c r="AB682" s="83"/>
      <c r="AC682" s="83">
        <v>0</v>
      </c>
      <c r="AD682" s="87"/>
      <c r="AE682" s="83">
        <f t="shared" si="230"/>
        <v>8508</v>
      </c>
      <c r="AF682" s="83"/>
      <c r="AG682" s="83">
        <v>-331</v>
      </c>
      <c r="AH682" s="83"/>
      <c r="AI682" s="83">
        <v>1631</v>
      </c>
      <c r="AJ682" s="83"/>
      <c r="AK682" s="83">
        <v>1300</v>
      </c>
      <c r="AL682" s="24">
        <f>+'Gen Rev'!AI680-'Gen Exp'!AE682+'Gen Exp'!AI682-AK682</f>
        <v>255</v>
      </c>
      <c r="AM682" s="44" t="str">
        <f>'Gen Rev'!A680</f>
        <v>Wilson</v>
      </c>
      <c r="AN682" s="21" t="str">
        <f t="shared" si="250"/>
        <v>Wilson</v>
      </c>
      <c r="AO682" s="21" t="b">
        <f t="shared" si="251"/>
        <v>1</v>
      </c>
    </row>
    <row r="683" spans="1:41" s="21" customFormat="1" ht="12.75">
      <c r="A683" s="1" t="s">
        <v>1</v>
      </c>
      <c r="B683" s="1"/>
      <c r="C683" s="1" t="s">
        <v>664</v>
      </c>
      <c r="D683" s="23"/>
      <c r="E683" s="95">
        <v>106010.69</v>
      </c>
      <c r="F683" s="95"/>
      <c r="G683" s="95">
        <v>0</v>
      </c>
      <c r="H683" s="95"/>
      <c r="I683" s="95">
        <v>0</v>
      </c>
      <c r="J683" s="95"/>
      <c r="K683" s="95">
        <v>0</v>
      </c>
      <c r="L683" s="95"/>
      <c r="M683" s="95">
        <v>0</v>
      </c>
      <c r="N683" s="95"/>
      <c r="O683" s="95">
        <v>0</v>
      </c>
      <c r="P683" s="95"/>
      <c r="Q683" s="95">
        <v>55401.35</v>
      </c>
      <c r="R683" s="95"/>
      <c r="S683" s="95">
        <v>35634</v>
      </c>
      <c r="T683" s="95"/>
      <c r="U683" s="95">
        <v>7093.08</v>
      </c>
      <c r="V683" s="95"/>
      <c r="W683" s="95">
        <v>990.24</v>
      </c>
      <c r="X683" s="95"/>
      <c r="Y683" s="95">
        <v>0</v>
      </c>
      <c r="Z683" s="95"/>
      <c r="AA683" s="95">
        <v>20000</v>
      </c>
      <c r="AB683" s="95"/>
      <c r="AC683" s="95">
        <v>0</v>
      </c>
      <c r="AD683" s="95"/>
      <c r="AE683" s="95">
        <f>SUM(E683:AC683)</f>
        <v>225129.36</v>
      </c>
      <c r="AF683" s="95"/>
      <c r="AG683" s="95">
        <v>-3218.71</v>
      </c>
      <c r="AH683" s="95"/>
      <c r="AI683" s="95">
        <v>47848.28</v>
      </c>
      <c r="AJ683" s="95"/>
      <c r="AK683" s="95">
        <v>44629.57</v>
      </c>
      <c r="AL683" s="24">
        <f>+'Gen Rev'!AI681-'Gen Exp'!AE683+'Gen Exp'!AI683-AK683</f>
        <v>0</v>
      </c>
      <c r="AM683" s="44" t="str">
        <f>'Gen Rev'!A681</f>
        <v>Winchester</v>
      </c>
      <c r="AN683" s="21" t="str">
        <f t="shared" si="250"/>
        <v>Winchester</v>
      </c>
      <c r="AO683" s="21" t="b">
        <f t="shared" si="251"/>
        <v>1</v>
      </c>
    </row>
    <row r="684" spans="1:41" ht="12.75">
      <c r="A684" s="1" t="s">
        <v>197</v>
      </c>
      <c r="C684" s="1" t="s">
        <v>806</v>
      </c>
      <c r="D684" s="23"/>
      <c r="E684" s="36">
        <v>635870.5</v>
      </c>
      <c r="F684" s="36"/>
      <c r="G684" s="36">
        <v>0</v>
      </c>
      <c r="H684" s="36"/>
      <c r="I684" s="36">
        <v>1680.56</v>
      </c>
      <c r="J684" s="36"/>
      <c r="K684" s="36">
        <v>0</v>
      </c>
      <c r="L684" s="36"/>
      <c r="M684" s="36">
        <v>1542.8</v>
      </c>
      <c r="N684" s="36"/>
      <c r="O684" s="36">
        <v>22398.63</v>
      </c>
      <c r="P684" s="36"/>
      <c r="Q684" s="36">
        <v>316598.88</v>
      </c>
      <c r="R684" s="36"/>
      <c r="S684" s="36">
        <v>0</v>
      </c>
      <c r="T684" s="36"/>
      <c r="U684" s="36">
        <v>0</v>
      </c>
      <c r="V684" s="36"/>
      <c r="W684" s="36">
        <v>0</v>
      </c>
      <c r="X684" s="36"/>
      <c r="Y684" s="36">
        <v>0</v>
      </c>
      <c r="Z684" s="36"/>
      <c r="AA684" s="36">
        <v>0</v>
      </c>
      <c r="AB684" s="36"/>
      <c r="AC684" s="36">
        <v>400</v>
      </c>
      <c r="AD684" s="36"/>
      <c r="AE684" s="36">
        <f aca="true" t="shared" si="255" ref="AE684:AE685">SUM(E684:AC684)</f>
        <v>978491.3700000001</v>
      </c>
      <c r="AF684" s="36"/>
      <c r="AG684" s="36">
        <v>35946.05</v>
      </c>
      <c r="AH684" s="36"/>
      <c r="AI684" s="36">
        <v>113653.32</v>
      </c>
      <c r="AJ684" s="36"/>
      <c r="AK684" s="36">
        <v>149599.37</v>
      </c>
      <c r="AL684" s="24">
        <f>+'Gen Rev'!AI682-'Gen Exp'!AE684+'Gen Exp'!AI684-AK684</f>
        <v>0</v>
      </c>
      <c r="AM684" s="44" t="str">
        <f>'Gen Rev'!A682</f>
        <v>Windham</v>
      </c>
      <c r="AN684" s="21" t="str">
        <f t="shared" si="250"/>
        <v>Windham</v>
      </c>
      <c r="AO684" s="21" t="b">
        <f t="shared" si="251"/>
        <v>1</v>
      </c>
    </row>
    <row r="685" spans="1:41" ht="12.75">
      <c r="A685" s="1" t="s">
        <v>859</v>
      </c>
      <c r="C685" s="1" t="s">
        <v>781</v>
      </c>
      <c r="D685" s="23"/>
      <c r="E685" s="36">
        <v>579015.69</v>
      </c>
      <c r="F685" s="36"/>
      <c r="G685" s="36">
        <v>11762</v>
      </c>
      <c r="H685" s="36"/>
      <c r="I685" s="36">
        <v>19517.14</v>
      </c>
      <c r="J685" s="36"/>
      <c r="K685" s="36">
        <v>5799.5</v>
      </c>
      <c r="L685" s="36"/>
      <c r="M685" s="36">
        <v>0</v>
      </c>
      <c r="N685" s="36"/>
      <c r="O685" s="36">
        <v>267702.34</v>
      </c>
      <c r="P685" s="36"/>
      <c r="Q685" s="36">
        <v>273970.24</v>
      </c>
      <c r="R685" s="36"/>
      <c r="S685" s="36">
        <v>0</v>
      </c>
      <c r="T685" s="36"/>
      <c r="U685" s="36">
        <v>0</v>
      </c>
      <c r="V685" s="36"/>
      <c r="W685" s="36">
        <v>0</v>
      </c>
      <c r="X685" s="36"/>
      <c r="Y685" s="36">
        <v>79400</v>
      </c>
      <c r="Z685" s="36"/>
      <c r="AA685" s="36">
        <v>131329</v>
      </c>
      <c r="AB685" s="36"/>
      <c r="AC685" s="36">
        <v>0</v>
      </c>
      <c r="AD685" s="36"/>
      <c r="AE685" s="36">
        <f t="shared" si="255"/>
        <v>1368495.91</v>
      </c>
      <c r="AF685" s="36"/>
      <c r="AG685" s="36">
        <v>77879.7</v>
      </c>
      <c r="AH685" s="36"/>
      <c r="AI685" s="36">
        <v>234611.6</v>
      </c>
      <c r="AJ685" s="36"/>
      <c r="AK685" s="36">
        <v>312491.3</v>
      </c>
      <c r="AL685" s="24">
        <f>+'Gen Rev'!AI683-'Gen Exp'!AE685+'Gen Exp'!AI685-AK685</f>
        <v>0</v>
      </c>
      <c r="AM685" s="44" t="str">
        <f>'Gen Rev'!A683</f>
        <v>Wintersville</v>
      </c>
      <c r="AN685" s="21" t="str">
        <f t="shared" si="250"/>
        <v>Wintersville</v>
      </c>
      <c r="AO685" s="21" t="b">
        <f t="shared" si="251"/>
        <v>1</v>
      </c>
    </row>
    <row r="686" spans="1:41" s="21" customFormat="1" ht="12.75" hidden="1">
      <c r="A686" s="1" t="s">
        <v>386</v>
      </c>
      <c r="B686" s="1"/>
      <c r="C686" s="1" t="s">
        <v>378</v>
      </c>
      <c r="D686" s="1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>
        <f t="shared" si="230"/>
        <v>0</v>
      </c>
      <c r="AF686" s="83"/>
      <c r="AG686" s="83"/>
      <c r="AH686" s="83"/>
      <c r="AI686" s="83"/>
      <c r="AJ686" s="83"/>
      <c r="AK686" s="83"/>
      <c r="AL686" s="24">
        <f>+'Gen Rev'!AI684-'Gen Exp'!AE686+'Gen Exp'!AI686-AK686</f>
        <v>0</v>
      </c>
      <c r="AM686" s="44" t="str">
        <f>'Gen Rev'!A684</f>
        <v>Woodlawn</v>
      </c>
      <c r="AN686" s="21" t="str">
        <f t="shared" si="250"/>
        <v>Woodlawn</v>
      </c>
      <c r="AO686" s="21" t="b">
        <f t="shared" si="251"/>
        <v>1</v>
      </c>
    </row>
    <row r="687" spans="1:41" ht="12.6" customHeight="1">
      <c r="A687" s="1" t="s">
        <v>327</v>
      </c>
      <c r="C687" s="1" t="s">
        <v>316</v>
      </c>
      <c r="E687" s="83">
        <v>1553867</v>
      </c>
      <c r="F687" s="83"/>
      <c r="G687" s="83">
        <v>4047</v>
      </c>
      <c r="H687" s="83"/>
      <c r="I687" s="83">
        <v>0</v>
      </c>
      <c r="J687" s="83"/>
      <c r="K687" s="83">
        <v>7152</v>
      </c>
      <c r="L687" s="83"/>
      <c r="M687" s="83">
        <v>45097</v>
      </c>
      <c r="N687" s="83"/>
      <c r="O687" s="83">
        <v>48226</v>
      </c>
      <c r="P687" s="83"/>
      <c r="Q687" s="83">
        <v>905725</v>
      </c>
      <c r="R687" s="83"/>
      <c r="S687" s="83">
        <v>10351</v>
      </c>
      <c r="T687" s="83"/>
      <c r="U687" s="83">
        <v>4450</v>
      </c>
      <c r="V687" s="83"/>
      <c r="W687" s="83">
        <v>0</v>
      </c>
      <c r="X687" s="83"/>
      <c r="Y687" s="83">
        <v>38900</v>
      </c>
      <c r="Z687" s="83"/>
      <c r="AA687" s="83">
        <v>70650</v>
      </c>
      <c r="AB687" s="83"/>
      <c r="AC687" s="83">
        <v>11056</v>
      </c>
      <c r="AD687" s="83"/>
      <c r="AE687" s="83">
        <f aca="true" t="shared" si="256" ref="AE687:AE697">SUM(E687:AC687)</f>
        <v>2699521</v>
      </c>
      <c r="AF687" s="83"/>
      <c r="AG687" s="36">
        <v>-25248</v>
      </c>
      <c r="AH687" s="36"/>
      <c r="AI687" s="36">
        <v>150465</v>
      </c>
      <c r="AJ687" s="36"/>
      <c r="AK687" s="36">
        <v>125217</v>
      </c>
      <c r="AL687" s="24">
        <f>+'Gen Rev'!AI685-'Gen Exp'!AE687+'Gen Exp'!AI687-AK687</f>
        <v>0</v>
      </c>
      <c r="AM687" s="44" t="str">
        <f>'Gen Rev'!A685</f>
        <v>Woodmere</v>
      </c>
      <c r="AN687" s="21" t="str">
        <f t="shared" si="250"/>
        <v>Woodmere</v>
      </c>
      <c r="AO687" s="21" t="b">
        <f t="shared" si="251"/>
        <v>1</v>
      </c>
    </row>
    <row r="688" spans="1:41" ht="12.75">
      <c r="A688" s="1" t="s">
        <v>166</v>
      </c>
      <c r="C688" s="1" t="s">
        <v>796</v>
      </c>
      <c r="D688" s="23"/>
      <c r="E688" s="36">
        <v>304793.58</v>
      </c>
      <c r="F688" s="36"/>
      <c r="G688" s="36">
        <v>12556.29</v>
      </c>
      <c r="H688" s="36"/>
      <c r="I688" s="36">
        <v>0</v>
      </c>
      <c r="J688" s="36"/>
      <c r="K688" s="36">
        <v>0</v>
      </c>
      <c r="L688" s="36"/>
      <c r="M688" s="36">
        <v>0</v>
      </c>
      <c r="N688" s="36"/>
      <c r="O688" s="36">
        <v>0</v>
      </c>
      <c r="P688" s="36"/>
      <c r="Q688" s="36">
        <v>163935.27</v>
      </c>
      <c r="R688" s="36"/>
      <c r="S688" s="36">
        <v>0</v>
      </c>
      <c r="T688" s="36"/>
      <c r="U688" s="36">
        <v>300</v>
      </c>
      <c r="V688" s="36"/>
      <c r="W688" s="36">
        <v>0</v>
      </c>
      <c r="X688" s="36"/>
      <c r="Y688" s="36">
        <v>0</v>
      </c>
      <c r="Z688" s="36"/>
      <c r="AA688" s="36">
        <v>0</v>
      </c>
      <c r="AB688" s="36"/>
      <c r="AC688" s="36">
        <v>0</v>
      </c>
      <c r="AD688" s="36"/>
      <c r="AE688" s="36">
        <f aca="true" t="shared" si="257" ref="AE688:AE689">SUM(E688:AC688)</f>
        <v>481585.14</v>
      </c>
      <c r="AF688" s="36"/>
      <c r="AG688" s="36">
        <v>-3969.39</v>
      </c>
      <c r="AH688" s="36"/>
      <c r="AI688" s="36">
        <v>15421.25</v>
      </c>
      <c r="AJ688" s="36"/>
      <c r="AK688" s="36">
        <v>11451.86</v>
      </c>
      <c r="AL688" s="24">
        <f>+'Gen Rev'!AI686-'Gen Exp'!AE688+'Gen Exp'!AI688-AK688</f>
        <v>-1.4551915228366852E-11</v>
      </c>
      <c r="AM688" s="44" t="str">
        <f>'Gen Rev'!A686</f>
        <v>Woodsfield</v>
      </c>
      <c r="AN688" s="21" t="str">
        <f t="shared" si="250"/>
        <v>Woodsfield</v>
      </c>
      <c r="AO688" s="21" t="b">
        <f t="shared" si="251"/>
        <v>1</v>
      </c>
    </row>
    <row r="689" spans="1:41" s="21" customFormat="1" ht="12.6" customHeight="1">
      <c r="A689" s="1" t="s">
        <v>290</v>
      </c>
      <c r="B689" s="1"/>
      <c r="C689" s="1" t="s">
        <v>287</v>
      </c>
      <c r="D689" s="1"/>
      <c r="E689" s="36">
        <v>5064.33</v>
      </c>
      <c r="F689" s="36"/>
      <c r="G689" s="36">
        <v>698.28</v>
      </c>
      <c r="H689" s="36"/>
      <c r="I689" s="36">
        <v>4510.4</v>
      </c>
      <c r="J689" s="36"/>
      <c r="K689" s="36">
        <v>75</v>
      </c>
      <c r="L689" s="36"/>
      <c r="M689" s="36">
        <v>0</v>
      </c>
      <c r="N689" s="36"/>
      <c r="O689" s="36">
        <v>0</v>
      </c>
      <c r="P689" s="36"/>
      <c r="Q689" s="36">
        <v>35822.82</v>
      </c>
      <c r="R689" s="36"/>
      <c r="S689" s="36">
        <v>0</v>
      </c>
      <c r="T689" s="36"/>
      <c r="U689" s="36">
        <v>0</v>
      </c>
      <c r="V689" s="36"/>
      <c r="W689" s="36">
        <v>0</v>
      </c>
      <c r="X689" s="36"/>
      <c r="Y689" s="36">
        <v>7500</v>
      </c>
      <c r="Z689" s="36"/>
      <c r="AA689" s="36">
        <v>0</v>
      </c>
      <c r="AB689" s="36"/>
      <c r="AC689" s="36">
        <v>0</v>
      </c>
      <c r="AD689" s="36"/>
      <c r="AE689" s="36">
        <f t="shared" si="257"/>
        <v>53670.83</v>
      </c>
      <c r="AF689" s="36"/>
      <c r="AG689" s="36">
        <v>1261.01</v>
      </c>
      <c r="AH689" s="36"/>
      <c r="AI689" s="36">
        <v>34549.68</v>
      </c>
      <c r="AJ689" s="36"/>
      <c r="AK689" s="36">
        <v>35810.69</v>
      </c>
      <c r="AL689" s="24">
        <f>+'Gen Rev'!AI687-'Gen Exp'!AE689+'Gen Exp'!AI689-AK689</f>
        <v>0</v>
      </c>
      <c r="AM689" s="44" t="str">
        <f>'Gen Rev'!A687</f>
        <v>Woodstock</v>
      </c>
      <c r="AN689" s="21" t="str">
        <f t="shared" si="250"/>
        <v>Woodstock</v>
      </c>
      <c r="AO689" s="21" t="b">
        <f t="shared" si="251"/>
        <v>1</v>
      </c>
    </row>
    <row r="690" spans="1:41" ht="12.75">
      <c r="A690" s="1" t="s">
        <v>529</v>
      </c>
      <c r="C690" s="1" t="s">
        <v>527</v>
      </c>
      <c r="E690" s="83">
        <v>411679</v>
      </c>
      <c r="F690" s="83"/>
      <c r="G690" s="83">
        <v>1248</v>
      </c>
      <c r="H690" s="83"/>
      <c r="I690" s="83">
        <v>3433</v>
      </c>
      <c r="J690" s="83"/>
      <c r="K690" s="83">
        <v>10977</v>
      </c>
      <c r="L690" s="83"/>
      <c r="M690" s="83">
        <v>0</v>
      </c>
      <c r="N690" s="83"/>
      <c r="O690" s="83">
        <v>46623</v>
      </c>
      <c r="P690" s="83"/>
      <c r="Q690" s="83">
        <v>129355</v>
      </c>
      <c r="R690" s="83"/>
      <c r="S690" s="83">
        <v>43284</v>
      </c>
      <c r="T690" s="83"/>
      <c r="U690" s="83">
        <v>0</v>
      </c>
      <c r="V690" s="83"/>
      <c r="W690" s="83">
        <v>0</v>
      </c>
      <c r="X690" s="83"/>
      <c r="Y690" s="83">
        <v>69327</v>
      </c>
      <c r="Z690" s="83"/>
      <c r="AA690" s="83">
        <v>0</v>
      </c>
      <c r="AB690" s="83"/>
      <c r="AC690" s="83">
        <v>0</v>
      </c>
      <c r="AD690" s="83"/>
      <c r="AE690" s="83">
        <f t="shared" si="256"/>
        <v>715926</v>
      </c>
      <c r="AF690" s="83"/>
      <c r="AG690" s="83">
        <v>-83327</v>
      </c>
      <c r="AH690" s="83"/>
      <c r="AI690" s="83">
        <v>353602</v>
      </c>
      <c r="AJ690" s="83"/>
      <c r="AK690" s="83">
        <v>270428</v>
      </c>
      <c r="AL690" s="24">
        <f>+'Gen Rev'!AI688-'Gen Exp'!AE690+'Gen Exp'!AI690-AK690</f>
        <v>0</v>
      </c>
      <c r="AM690" s="44" t="str">
        <f>'Gen Rev'!A688</f>
        <v>Woodville</v>
      </c>
      <c r="AN690" s="21" t="str">
        <f t="shared" si="250"/>
        <v>Woodville</v>
      </c>
      <c r="AO690" s="21" t="b">
        <f t="shared" si="251"/>
        <v>1</v>
      </c>
    </row>
    <row r="691" spans="1:41" ht="12.75">
      <c r="A691" s="1" t="s">
        <v>240</v>
      </c>
      <c r="C691" s="1" t="s">
        <v>820</v>
      </c>
      <c r="D691" s="23"/>
      <c r="E691" s="36">
        <v>0</v>
      </c>
      <c r="F691" s="36"/>
      <c r="G691" s="36">
        <v>1100</v>
      </c>
      <c r="H691" s="36"/>
      <c r="I691" s="36">
        <v>0</v>
      </c>
      <c r="J691" s="36"/>
      <c r="K691" s="36">
        <v>0</v>
      </c>
      <c r="L691" s="36"/>
      <c r="M691" s="36">
        <v>0</v>
      </c>
      <c r="N691" s="36"/>
      <c r="O691" s="36">
        <v>0</v>
      </c>
      <c r="P691" s="36"/>
      <c r="Q691" s="36">
        <v>38074.22</v>
      </c>
      <c r="R691" s="36"/>
      <c r="S691" s="36">
        <v>0</v>
      </c>
      <c r="T691" s="36"/>
      <c r="U691" s="36">
        <v>0</v>
      </c>
      <c r="V691" s="36"/>
      <c r="W691" s="36">
        <v>0</v>
      </c>
      <c r="X691" s="36"/>
      <c r="Y691" s="36">
        <v>0</v>
      </c>
      <c r="Z691" s="36"/>
      <c r="AA691" s="36">
        <v>0</v>
      </c>
      <c r="AB691" s="36"/>
      <c r="AC691" s="36">
        <v>2000</v>
      </c>
      <c r="AD691" s="36"/>
      <c r="AE691" s="36">
        <f aca="true" t="shared" si="258" ref="AE691">SUM(E691:AC691)</f>
        <v>41174.22</v>
      </c>
      <c r="AF691" s="36"/>
      <c r="AG691" s="36">
        <v>-4355.24</v>
      </c>
      <c r="AH691" s="36"/>
      <c r="AI691" s="36">
        <v>5343.86</v>
      </c>
      <c r="AJ691" s="36"/>
      <c r="AK691" s="36">
        <v>988.62</v>
      </c>
      <c r="AL691" s="24">
        <f>+'Gen Rev'!AI689-'Gen Exp'!AE691+'Gen Exp'!AI691-AK691</f>
        <v>-5.5706550483591855E-12</v>
      </c>
      <c r="AM691" s="44" t="str">
        <f>'Gen Rev'!A689</f>
        <v>Wren</v>
      </c>
      <c r="AN691" s="21" t="str">
        <f t="shared" si="250"/>
        <v>Wren</v>
      </c>
      <c r="AO691" s="21" t="b">
        <f t="shared" si="251"/>
        <v>1</v>
      </c>
    </row>
    <row r="692" spans="1:41" s="21" customFormat="1" ht="12.75">
      <c r="A692" s="1" t="s">
        <v>231</v>
      </c>
      <c r="B692" s="1"/>
      <c r="C692" s="1" t="s">
        <v>558</v>
      </c>
      <c r="D692" s="1"/>
      <c r="E692" s="95">
        <v>5017.31</v>
      </c>
      <c r="F692" s="95"/>
      <c r="G692" s="95">
        <v>0</v>
      </c>
      <c r="H692" s="95"/>
      <c r="I692" s="95">
        <v>0</v>
      </c>
      <c r="J692" s="95"/>
      <c r="K692" s="95">
        <v>0</v>
      </c>
      <c r="L692" s="95"/>
      <c r="M692" s="95">
        <v>0</v>
      </c>
      <c r="N692" s="95"/>
      <c r="O692" s="95">
        <v>3066.88</v>
      </c>
      <c r="P692" s="95"/>
      <c r="Q692" s="95">
        <v>9730.83</v>
      </c>
      <c r="R692" s="95"/>
      <c r="S692" s="95">
        <v>0</v>
      </c>
      <c r="T692" s="95"/>
      <c r="U692" s="95">
        <v>0</v>
      </c>
      <c r="V692" s="95"/>
      <c r="W692" s="95">
        <v>0</v>
      </c>
      <c r="X692" s="95"/>
      <c r="Y692" s="95">
        <v>0</v>
      </c>
      <c r="Z692" s="95"/>
      <c r="AA692" s="95">
        <v>0</v>
      </c>
      <c r="AB692" s="95"/>
      <c r="AC692" s="95">
        <v>0</v>
      </c>
      <c r="AD692" s="95"/>
      <c r="AE692" s="95">
        <f>SUM(E692:AC692)</f>
        <v>17815.02</v>
      </c>
      <c r="AF692" s="95"/>
      <c r="AG692" s="95">
        <v>3678.61</v>
      </c>
      <c r="AH692" s="95"/>
      <c r="AI692" s="95">
        <v>31820.99</v>
      </c>
      <c r="AJ692" s="95"/>
      <c r="AK692" s="95">
        <v>35499.6</v>
      </c>
      <c r="AL692" s="24">
        <f>+'Gen Rev'!AI690-'Gen Exp'!AE692+'Gen Exp'!AI692-AK692</f>
        <v>0</v>
      </c>
      <c r="AM692" s="44" t="str">
        <f>'Gen Rev'!A690</f>
        <v>Yankee Lake</v>
      </c>
      <c r="AN692" s="21" t="str">
        <f t="shared" si="250"/>
        <v>Yankee Lake</v>
      </c>
      <c r="AO692" s="21" t="b">
        <f t="shared" si="251"/>
        <v>1</v>
      </c>
    </row>
    <row r="693" spans="1:41" ht="12.75">
      <c r="A693" s="1" t="s">
        <v>374</v>
      </c>
      <c r="C693" s="1" t="s">
        <v>371</v>
      </c>
      <c r="E693" s="83">
        <v>1153069</v>
      </c>
      <c r="F693" s="83"/>
      <c r="G693" s="83">
        <v>9123</v>
      </c>
      <c r="H693" s="83"/>
      <c r="I693" s="83">
        <v>330928</v>
      </c>
      <c r="J693" s="83"/>
      <c r="K693" s="83">
        <v>356290</v>
      </c>
      <c r="L693" s="83"/>
      <c r="M693" s="83">
        <v>0</v>
      </c>
      <c r="N693" s="83"/>
      <c r="O693" s="83">
        <v>0</v>
      </c>
      <c r="P693" s="83"/>
      <c r="Q693" s="83">
        <v>605233</v>
      </c>
      <c r="R693" s="83"/>
      <c r="S693" s="83">
        <v>0</v>
      </c>
      <c r="T693" s="83"/>
      <c r="U693" s="83">
        <v>0</v>
      </c>
      <c r="V693" s="83"/>
      <c r="W693" s="83">
        <v>0</v>
      </c>
      <c r="X693" s="83"/>
      <c r="Y693" s="83">
        <v>1419517</v>
      </c>
      <c r="Z693" s="83"/>
      <c r="AA693" s="83">
        <v>0</v>
      </c>
      <c r="AB693" s="83"/>
      <c r="AC693" s="83">
        <v>0</v>
      </c>
      <c r="AD693" s="83"/>
      <c r="AE693" s="83">
        <f t="shared" si="256"/>
        <v>3874160</v>
      </c>
      <c r="AF693" s="83"/>
      <c r="AG693" s="83">
        <v>238877</v>
      </c>
      <c r="AH693" s="83"/>
      <c r="AI693" s="83">
        <v>2037495</v>
      </c>
      <c r="AJ693" s="83"/>
      <c r="AK693" s="83">
        <v>2276372</v>
      </c>
      <c r="AL693" s="24">
        <f>+'Gen Rev'!AI691-'Gen Exp'!AE693+'Gen Exp'!AI693-AK693</f>
        <v>0</v>
      </c>
      <c r="AM693" s="44" t="str">
        <f>'Gen Rev'!A691</f>
        <v>Yellow Springs</v>
      </c>
      <c r="AN693" s="21" t="str">
        <f t="shared" si="250"/>
        <v>Yellow Springs</v>
      </c>
      <c r="AO693" s="21" t="b">
        <f t="shared" si="251"/>
        <v>1</v>
      </c>
    </row>
    <row r="694" spans="1:41" ht="12.6" customHeight="1">
      <c r="A694" s="1" t="s">
        <v>340</v>
      </c>
      <c r="C694" s="1" t="s">
        <v>329</v>
      </c>
      <c r="E694" s="83">
        <v>7688</v>
      </c>
      <c r="F694" s="83"/>
      <c r="G694" s="83">
        <v>352</v>
      </c>
      <c r="H694" s="83"/>
      <c r="I694" s="83">
        <v>0</v>
      </c>
      <c r="J694" s="83"/>
      <c r="K694" s="83">
        <v>0</v>
      </c>
      <c r="L694" s="83"/>
      <c r="M694" s="83">
        <v>8237</v>
      </c>
      <c r="N694" s="83"/>
      <c r="O694" s="83">
        <v>0</v>
      </c>
      <c r="P694" s="83"/>
      <c r="Q694" s="83">
        <v>19844</v>
      </c>
      <c r="R694" s="83"/>
      <c r="S694" s="83">
        <v>0</v>
      </c>
      <c r="T694" s="83"/>
      <c r="U694" s="83">
        <v>0</v>
      </c>
      <c r="V694" s="83"/>
      <c r="W694" s="83">
        <v>0</v>
      </c>
      <c r="X694" s="83"/>
      <c r="Y694" s="83">
        <v>0</v>
      </c>
      <c r="Z694" s="83"/>
      <c r="AA694" s="83">
        <v>2500</v>
      </c>
      <c r="AB694" s="83"/>
      <c r="AC694" s="83">
        <v>0</v>
      </c>
      <c r="AD694" s="83"/>
      <c r="AE694" s="83">
        <f t="shared" si="256"/>
        <v>38621</v>
      </c>
      <c r="AF694" s="83"/>
      <c r="AG694" s="36"/>
      <c r="AH694" s="36"/>
      <c r="AI694" s="36">
        <v>81293</v>
      </c>
      <c r="AJ694" s="36"/>
      <c r="AK694" s="36">
        <v>70092</v>
      </c>
      <c r="AL694" s="24">
        <f>+'Gen Rev'!AI692-'Gen Exp'!AE694+'Gen Exp'!AI694-AK694</f>
        <v>50225</v>
      </c>
      <c r="AM694" s="44" t="str">
        <f>'Gen Rev'!A692</f>
        <v>Yorkshire</v>
      </c>
      <c r="AN694" s="21" t="str">
        <f t="shared" si="250"/>
        <v>Yorkshire</v>
      </c>
      <c r="AO694" s="21" t="b">
        <f t="shared" si="251"/>
        <v>1</v>
      </c>
    </row>
    <row r="695" spans="1:41" ht="12.75">
      <c r="A695" s="1" t="s">
        <v>425</v>
      </c>
      <c r="C695" s="1" t="s">
        <v>420</v>
      </c>
      <c r="E695" s="83">
        <v>159319</v>
      </c>
      <c r="F695" s="83"/>
      <c r="G695" s="83">
        <v>0</v>
      </c>
      <c r="H695" s="83"/>
      <c r="I695" s="83">
        <v>0</v>
      </c>
      <c r="J695" s="83"/>
      <c r="K695" s="83">
        <v>0</v>
      </c>
      <c r="L695" s="83"/>
      <c r="M695" s="83">
        <v>0</v>
      </c>
      <c r="N695" s="83"/>
      <c r="O695" s="83">
        <v>0</v>
      </c>
      <c r="P695" s="83"/>
      <c r="Q695" s="83">
        <v>180751</v>
      </c>
      <c r="R695" s="83"/>
      <c r="S695" s="83">
        <v>0</v>
      </c>
      <c r="T695" s="83"/>
      <c r="U695" s="83">
        <v>0</v>
      </c>
      <c r="V695" s="83"/>
      <c r="W695" s="83">
        <v>0</v>
      </c>
      <c r="X695" s="83"/>
      <c r="Y695" s="83">
        <v>0</v>
      </c>
      <c r="Z695" s="83"/>
      <c r="AA695" s="83">
        <v>0</v>
      </c>
      <c r="AB695" s="83"/>
      <c r="AC695" s="83">
        <v>0</v>
      </c>
      <c r="AD695" s="83"/>
      <c r="AE695" s="83">
        <f t="shared" si="256"/>
        <v>340070</v>
      </c>
      <c r="AF695" s="83"/>
      <c r="AG695" s="83">
        <v>-43516</v>
      </c>
      <c r="AH695" s="83"/>
      <c r="AI695" s="83">
        <v>246303</v>
      </c>
      <c r="AJ695" s="83"/>
      <c r="AK695" s="83">
        <v>202787</v>
      </c>
      <c r="AL695" s="24">
        <f>+'Gen Rev'!AI693-'Gen Exp'!AE695+'Gen Exp'!AI695-AK695</f>
        <v>0</v>
      </c>
      <c r="AM695" s="44" t="str">
        <f>'Gen Rev'!A693</f>
        <v>Yorkville</v>
      </c>
      <c r="AN695" s="21" t="str">
        <f t="shared" si="250"/>
        <v>Yorkville</v>
      </c>
      <c r="AO695" s="21" t="b">
        <f t="shared" si="251"/>
        <v>1</v>
      </c>
    </row>
    <row r="696" spans="1:41" ht="12.75">
      <c r="A696" s="1" t="s">
        <v>580</v>
      </c>
      <c r="C696" s="1" t="s">
        <v>82</v>
      </c>
      <c r="E696" s="83">
        <v>0</v>
      </c>
      <c r="F696" s="83"/>
      <c r="G696" s="83">
        <v>0</v>
      </c>
      <c r="H696" s="83"/>
      <c r="I696" s="83">
        <v>0</v>
      </c>
      <c r="J696" s="83"/>
      <c r="K696" s="83">
        <v>0</v>
      </c>
      <c r="L696" s="83"/>
      <c r="M696" s="83">
        <v>2166</v>
      </c>
      <c r="N696" s="83"/>
      <c r="O696" s="83">
        <v>0</v>
      </c>
      <c r="P696" s="83"/>
      <c r="Q696" s="83">
        <v>13954</v>
      </c>
      <c r="R696" s="83"/>
      <c r="S696" s="83">
        <v>0</v>
      </c>
      <c r="T696" s="83"/>
      <c r="U696" s="83">
        <v>0</v>
      </c>
      <c r="V696" s="83"/>
      <c r="W696" s="83">
        <v>0</v>
      </c>
      <c r="X696" s="83"/>
      <c r="Y696" s="83">
        <v>0</v>
      </c>
      <c r="Z696" s="83"/>
      <c r="AA696" s="83">
        <v>0</v>
      </c>
      <c r="AB696" s="83"/>
      <c r="AC696" s="83">
        <v>0</v>
      </c>
      <c r="AD696" s="83"/>
      <c r="AE696" s="83">
        <f t="shared" si="256"/>
        <v>16120</v>
      </c>
      <c r="AF696" s="83"/>
      <c r="AG696" s="83">
        <v>1156</v>
      </c>
      <c r="AH696" s="83"/>
      <c r="AI696" s="83">
        <v>3290</v>
      </c>
      <c r="AJ696" s="83"/>
      <c r="AK696" s="83">
        <v>4446</v>
      </c>
      <c r="AL696" s="24">
        <f>+'Gen Rev'!AI694-'Gen Exp'!AE696+'Gen Exp'!AI696-AK696</f>
        <v>0</v>
      </c>
      <c r="AM696" s="44" t="str">
        <f>'Gen Rev'!A694</f>
        <v>Zaleski</v>
      </c>
      <c r="AN696" s="21" t="str">
        <f t="shared" si="250"/>
        <v>Zaleski</v>
      </c>
      <c r="AO696" s="21" t="b">
        <f t="shared" si="251"/>
        <v>1</v>
      </c>
    </row>
    <row r="697" spans="1:41" ht="12.75">
      <c r="A697" s="1" t="s">
        <v>449</v>
      </c>
      <c r="C697" s="1" t="s">
        <v>446</v>
      </c>
      <c r="E697" s="83">
        <v>0</v>
      </c>
      <c r="F697" s="83"/>
      <c r="G697" s="83">
        <v>0</v>
      </c>
      <c r="H697" s="83"/>
      <c r="I697" s="83">
        <v>148</v>
      </c>
      <c r="J697" s="83"/>
      <c r="K697" s="83">
        <v>500</v>
      </c>
      <c r="L697" s="83"/>
      <c r="M697" s="83">
        <v>0</v>
      </c>
      <c r="N697" s="83"/>
      <c r="O697" s="83">
        <v>0</v>
      </c>
      <c r="P697" s="83"/>
      <c r="Q697" s="83">
        <v>16791</v>
      </c>
      <c r="R697" s="83"/>
      <c r="S697" s="83">
        <v>0</v>
      </c>
      <c r="T697" s="83"/>
      <c r="U697" s="83">
        <v>0</v>
      </c>
      <c r="V697" s="83"/>
      <c r="W697" s="83">
        <v>0</v>
      </c>
      <c r="X697" s="83"/>
      <c r="Y697" s="83">
        <v>0</v>
      </c>
      <c r="Z697" s="83"/>
      <c r="AA697" s="83">
        <v>0</v>
      </c>
      <c r="AB697" s="83"/>
      <c r="AC697" s="83">
        <v>0</v>
      </c>
      <c r="AD697" s="83"/>
      <c r="AE697" s="83">
        <f t="shared" si="256"/>
        <v>17439</v>
      </c>
      <c r="AF697" s="83"/>
      <c r="AG697" s="83">
        <v>1939</v>
      </c>
      <c r="AH697" s="83"/>
      <c r="AI697" s="83">
        <v>45433</v>
      </c>
      <c r="AJ697" s="83"/>
      <c r="AK697" s="83">
        <v>47372</v>
      </c>
      <c r="AL697" s="24">
        <f>+'Gen Rev'!AI695-'Gen Exp'!AE697+'Gen Exp'!AI697-AK697</f>
        <v>0</v>
      </c>
      <c r="AM697" s="44" t="str">
        <f>'Gen Rev'!A695</f>
        <v>Zanesfield</v>
      </c>
      <c r="AN697" s="21" t="str">
        <f t="shared" si="250"/>
        <v>Zanesfield</v>
      </c>
      <c r="AO697" s="21" t="b">
        <f t="shared" si="251"/>
        <v>1</v>
      </c>
    </row>
    <row r="698" spans="1:41" ht="12.75">
      <c r="A698" s="1" t="s">
        <v>235</v>
      </c>
      <c r="C698" s="1" t="s">
        <v>818</v>
      </c>
      <c r="D698" s="23"/>
      <c r="E698" s="36">
        <v>3750.45</v>
      </c>
      <c r="F698" s="36"/>
      <c r="G698" s="36">
        <v>94.5</v>
      </c>
      <c r="H698" s="36"/>
      <c r="I698" s="36">
        <v>0</v>
      </c>
      <c r="J698" s="36"/>
      <c r="K698" s="36">
        <v>0</v>
      </c>
      <c r="L698" s="36"/>
      <c r="M698" s="36">
        <v>0</v>
      </c>
      <c r="N698" s="36"/>
      <c r="O698" s="36">
        <v>2276.62</v>
      </c>
      <c r="P698" s="36"/>
      <c r="Q698" s="36">
        <v>17687.5</v>
      </c>
      <c r="R698" s="36"/>
      <c r="S698" s="36">
        <v>0</v>
      </c>
      <c r="T698" s="36"/>
      <c r="U698" s="36">
        <v>0</v>
      </c>
      <c r="V698" s="36"/>
      <c r="W698" s="36">
        <v>0</v>
      </c>
      <c r="X698" s="36"/>
      <c r="Y698" s="36">
        <v>0</v>
      </c>
      <c r="Z698" s="36"/>
      <c r="AA698" s="36">
        <v>0</v>
      </c>
      <c r="AB698" s="36"/>
      <c r="AC698" s="36">
        <v>2000</v>
      </c>
      <c r="AD698" s="36"/>
      <c r="AE698" s="36">
        <f aca="true" t="shared" si="259" ref="AE698">SUM(E698:AC698)</f>
        <v>25809.07</v>
      </c>
      <c r="AF698" s="36"/>
      <c r="AG698" s="36">
        <v>7860.55</v>
      </c>
      <c r="AH698" s="36"/>
      <c r="AI698" s="36">
        <v>21811.42</v>
      </c>
      <c r="AJ698" s="36"/>
      <c r="AK698" s="36">
        <v>29671.97</v>
      </c>
      <c r="AL698" s="24">
        <f>+'Gen Rev'!AI696-'Gen Exp'!AE698+'Gen Exp'!AI698-AK698</f>
        <v>0</v>
      </c>
      <c r="AM698" s="44" t="str">
        <f>'Gen Rev'!A696</f>
        <v>Zoar</v>
      </c>
      <c r="AN698" s="21" t="str">
        <f t="shared" si="250"/>
        <v>Zoar</v>
      </c>
      <c r="AO698" s="21" t="b">
        <f t="shared" si="251"/>
        <v>1</v>
      </c>
    </row>
    <row r="700" spans="1:30" ht="12.75">
      <c r="A700" s="21"/>
      <c r="B700" s="21"/>
      <c r="C700" s="21"/>
      <c r="D700" s="21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</row>
    <row r="701" spans="1:30" ht="12.75">
      <c r="A701" s="21"/>
      <c r="B701" s="21"/>
      <c r="C701" s="21"/>
      <c r="D701" s="21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</row>
    <row r="702" spans="1:30" ht="12.75">
      <c r="A702" s="21"/>
      <c r="B702" s="21"/>
      <c r="C702" s="21"/>
      <c r="D702" s="21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</row>
    <row r="703" spans="1:30" ht="12.75">
      <c r="A703" s="21"/>
      <c r="B703" s="21"/>
      <c r="C703" s="21"/>
      <c r="D703" s="21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</row>
    <row r="704" spans="1:30" ht="12.75">
      <c r="A704" s="21"/>
      <c r="B704" s="21"/>
      <c r="C704" s="21"/>
      <c r="D704" s="21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</row>
    <row r="705" spans="1:30" ht="12.75">
      <c r="A705" s="21"/>
      <c r="B705" s="21"/>
      <c r="C705" s="21"/>
      <c r="D705" s="21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</row>
    <row r="706" spans="1:30" ht="12.75">
      <c r="A706" s="21"/>
      <c r="B706" s="21"/>
      <c r="C706" s="21"/>
      <c r="D706" s="21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</row>
    <row r="707" spans="1:30" ht="12.75">
      <c r="A707" s="21"/>
      <c r="B707" s="21"/>
      <c r="C707" s="21"/>
      <c r="D707" s="21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</row>
    <row r="708" spans="1:30" ht="12.75">
      <c r="A708" s="21"/>
      <c r="B708" s="21"/>
      <c r="C708" s="21"/>
      <c r="D708" s="21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</row>
    <row r="709" spans="1:30" ht="12.75">
      <c r="A709" s="21"/>
      <c r="B709" s="21"/>
      <c r="C709" s="21"/>
      <c r="D709" s="21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</row>
    <row r="710" spans="1:30" ht="12.75">
      <c r="A710" s="21"/>
      <c r="B710" s="21"/>
      <c r="C710" s="21"/>
      <c r="D710" s="21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</row>
    <row r="711" spans="1:30" ht="12.75">
      <c r="A711" s="21"/>
      <c r="B711" s="21"/>
      <c r="C711" s="21"/>
      <c r="D711" s="21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</row>
    <row r="712" spans="1:30" ht="12.75">
      <c r="A712" s="21"/>
      <c r="B712" s="21"/>
      <c r="C712" s="21"/>
      <c r="D712" s="21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</row>
    <row r="713" spans="1:30" ht="12.75">
      <c r="A713" s="21"/>
      <c r="B713" s="21"/>
      <c r="C713" s="21"/>
      <c r="D713" s="21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</row>
    <row r="714" spans="1:30" ht="12.75">
      <c r="A714" s="21"/>
      <c r="B714" s="21"/>
      <c r="C714" s="21"/>
      <c r="D714" s="21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</row>
    <row r="715" spans="1:30" ht="12.75">
      <c r="A715" s="21"/>
      <c r="B715" s="21"/>
      <c r="C715" s="21"/>
      <c r="D715" s="21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</row>
    <row r="716" spans="1:30" ht="12.75">
      <c r="A716" s="21"/>
      <c r="B716" s="21"/>
      <c r="C716" s="21"/>
      <c r="D716" s="21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</row>
    <row r="717" spans="1:30" ht="12.75">
      <c r="A717" s="21"/>
      <c r="B717" s="21"/>
      <c r="C717" s="21"/>
      <c r="D717" s="21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</row>
    <row r="718" spans="1:30" ht="12.75">
      <c r="A718" s="21"/>
      <c r="B718" s="21"/>
      <c r="C718" s="21"/>
      <c r="D718" s="21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</row>
    <row r="719" spans="1:30" ht="12.75">
      <c r="A719" s="21"/>
      <c r="B719" s="21"/>
      <c r="C719" s="21"/>
      <c r="D719" s="21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</row>
    <row r="720" spans="1:30" ht="12.75">
      <c r="A720" s="21"/>
      <c r="B720" s="21"/>
      <c r="C720" s="21"/>
      <c r="D720" s="21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</row>
    <row r="721" spans="1:30" ht="12.75">
      <c r="A721" s="21"/>
      <c r="B721" s="21"/>
      <c r="C721" s="21"/>
      <c r="D721" s="21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</row>
    <row r="722" spans="1:30" ht="12.75">
      <c r="A722" s="21"/>
      <c r="B722" s="21"/>
      <c r="C722" s="21"/>
      <c r="D722" s="21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</row>
    <row r="723" spans="1:30" ht="12.75">
      <c r="A723" s="21"/>
      <c r="B723" s="21"/>
      <c r="C723" s="21"/>
      <c r="D723" s="21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</row>
    <row r="724" spans="1:30" ht="12.75">
      <c r="A724" s="21"/>
      <c r="B724" s="21"/>
      <c r="C724" s="21"/>
      <c r="D724" s="21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</row>
    <row r="725" spans="1:30" ht="12.75">
      <c r="A725" s="21"/>
      <c r="B725" s="21"/>
      <c r="C725" s="21"/>
      <c r="D725" s="21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</row>
    <row r="726" spans="1:30" ht="12.75">
      <c r="A726" s="21"/>
      <c r="B726" s="21"/>
      <c r="C726" s="21"/>
      <c r="D726" s="21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</row>
    <row r="727" spans="1:30" ht="12.75">
      <c r="A727" s="21"/>
      <c r="B727" s="21"/>
      <c r="C727" s="21"/>
      <c r="D727" s="21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</row>
    <row r="728" spans="1:30" ht="12.75">
      <c r="A728" s="21"/>
      <c r="B728" s="21"/>
      <c r="C728" s="21"/>
      <c r="D728" s="21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</row>
    <row r="729" spans="1:30" ht="12.75">
      <c r="A729" s="21"/>
      <c r="B729" s="21"/>
      <c r="C729" s="21"/>
      <c r="D729" s="21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</row>
    <row r="730" spans="1:30" ht="12.75">
      <c r="A730" s="21"/>
      <c r="B730" s="21"/>
      <c r="C730" s="21"/>
      <c r="D730" s="21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</row>
    <row r="731" spans="1:30" ht="12.75">
      <c r="A731" s="21"/>
      <c r="B731" s="21"/>
      <c r="C731" s="21"/>
      <c r="D731" s="21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</row>
    <row r="732" spans="1:30" ht="12.75">
      <c r="A732" s="21"/>
      <c r="B732" s="21"/>
      <c r="C732" s="21"/>
      <c r="D732" s="21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</row>
    <row r="733" spans="1:30" ht="12.75">
      <c r="A733" s="21"/>
      <c r="B733" s="21"/>
      <c r="C733" s="21"/>
      <c r="D733" s="21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</row>
    <row r="734" spans="1:30" ht="12.75">
      <c r="A734" s="21"/>
      <c r="B734" s="21"/>
      <c r="C734" s="21"/>
      <c r="D734" s="21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</row>
    <row r="735" spans="1:30" ht="12.75">
      <c r="A735" s="21"/>
      <c r="B735" s="21"/>
      <c r="C735" s="21"/>
      <c r="D735" s="21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</row>
    <row r="736" spans="1:30" ht="12.75">
      <c r="A736" s="21"/>
      <c r="B736" s="21"/>
      <c r="C736" s="21"/>
      <c r="D736" s="21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</row>
    <row r="737" spans="1:30" ht="12.75">
      <c r="A737" s="21"/>
      <c r="B737" s="21"/>
      <c r="C737" s="21"/>
      <c r="D737" s="21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</row>
    <row r="738" spans="1:30" ht="12.75">
      <c r="A738" s="21"/>
      <c r="B738" s="21"/>
      <c r="C738" s="21"/>
      <c r="D738" s="21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</row>
    <row r="739" spans="1:30" ht="12.75">
      <c r="A739" s="21"/>
      <c r="B739" s="21"/>
      <c r="C739" s="21"/>
      <c r="D739" s="21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</row>
    <row r="740" spans="1:30" ht="12.75">
      <c r="A740" s="21"/>
      <c r="B740" s="21"/>
      <c r="C740" s="21"/>
      <c r="D740" s="21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</row>
    <row r="741" spans="1:30" ht="12.75">
      <c r="A741" s="21"/>
      <c r="B741" s="21"/>
      <c r="C741" s="21"/>
      <c r="D741" s="21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</row>
    <row r="742" spans="1:30" ht="12.75">
      <c r="A742" s="21"/>
      <c r="B742" s="21"/>
      <c r="C742" s="21"/>
      <c r="D742" s="21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</row>
    <row r="743" spans="1:30" ht="12.75">
      <c r="A743" s="21"/>
      <c r="B743" s="21"/>
      <c r="C743" s="21"/>
      <c r="D743" s="21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</row>
    <row r="744" spans="1:30" ht="12.75">
      <c r="A744" s="21"/>
      <c r="B744" s="21"/>
      <c r="C744" s="21"/>
      <c r="D744" s="21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</row>
    <row r="745" spans="1:30" ht="12.75">
      <c r="A745" s="21"/>
      <c r="B745" s="21"/>
      <c r="C745" s="21"/>
      <c r="D745" s="21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</row>
    <row r="746" spans="1:30" ht="12.75">
      <c r="A746" s="21"/>
      <c r="B746" s="21"/>
      <c r="C746" s="21"/>
      <c r="D746" s="21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</row>
    <row r="747" spans="1:30" ht="12.75">
      <c r="A747" s="21"/>
      <c r="B747" s="21"/>
      <c r="C747" s="21"/>
      <c r="D747" s="21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</row>
    <row r="748" spans="1:30" ht="12.75">
      <c r="A748" s="21"/>
      <c r="B748" s="21"/>
      <c r="C748" s="21"/>
      <c r="D748" s="21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</row>
    <row r="749" spans="1:30" ht="12.75">
      <c r="A749" s="21"/>
      <c r="B749" s="21"/>
      <c r="C749" s="21"/>
      <c r="D749" s="21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</row>
    <row r="750" spans="1:30" ht="12.75">
      <c r="A750" s="21"/>
      <c r="B750" s="21"/>
      <c r="C750" s="21"/>
      <c r="D750" s="21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</row>
    <row r="751" spans="1:30" ht="12.75">
      <c r="A751" s="21"/>
      <c r="B751" s="21"/>
      <c r="C751" s="21"/>
      <c r="D751" s="21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</row>
    <row r="752" spans="1:30" ht="12.75">
      <c r="A752" s="21"/>
      <c r="B752" s="21"/>
      <c r="C752" s="21"/>
      <c r="D752" s="21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</row>
    <row r="753" spans="1:30" ht="12.75">
      <c r="A753" s="21"/>
      <c r="B753" s="21"/>
      <c r="C753" s="21"/>
      <c r="D753" s="21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</row>
    <row r="754" spans="1:30" ht="12.75">
      <c r="A754" s="21"/>
      <c r="B754" s="21"/>
      <c r="C754" s="21"/>
      <c r="D754" s="21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</row>
    <row r="755" spans="1:30" ht="12.75">
      <c r="A755" s="21"/>
      <c r="B755" s="21"/>
      <c r="C755" s="21"/>
      <c r="D755" s="21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</row>
    <row r="756" spans="1:30" ht="12.75">
      <c r="A756" s="21"/>
      <c r="B756" s="21"/>
      <c r="C756" s="21"/>
      <c r="D756" s="21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</row>
    <row r="757" spans="1:30" ht="12.75">
      <c r="A757" s="21"/>
      <c r="B757" s="21"/>
      <c r="C757" s="21"/>
      <c r="D757" s="21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</row>
    <row r="758" spans="1:30" ht="12.75">
      <c r="A758" s="21"/>
      <c r="B758" s="21"/>
      <c r="C758" s="21"/>
      <c r="D758" s="21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</row>
    <row r="759" spans="1:30" ht="12.75">
      <c r="A759" s="21"/>
      <c r="B759" s="21"/>
      <c r="C759" s="21"/>
      <c r="D759" s="21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</row>
    <row r="760" spans="1:30" ht="12.75">
      <c r="A760" s="21"/>
      <c r="B760" s="21"/>
      <c r="C760" s="21"/>
      <c r="D760" s="21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</row>
    <row r="761" spans="1:30" ht="12.75">
      <c r="A761" s="21"/>
      <c r="B761" s="21"/>
      <c r="C761" s="21"/>
      <c r="D761" s="21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</row>
    <row r="762" spans="1:30" ht="12.75">
      <c r="A762" s="21"/>
      <c r="B762" s="21"/>
      <c r="C762" s="21"/>
      <c r="D762" s="21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</row>
    <row r="763" spans="1:30" ht="12.75">
      <c r="A763" s="21"/>
      <c r="B763" s="21"/>
      <c r="C763" s="21"/>
      <c r="D763" s="21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</row>
    <row r="764" spans="1:30" ht="12.75">
      <c r="A764" s="21"/>
      <c r="B764" s="21"/>
      <c r="C764" s="21"/>
      <c r="D764" s="21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</row>
    <row r="765" spans="1:30" ht="12.75">
      <c r="A765" s="21"/>
      <c r="B765" s="21"/>
      <c r="C765" s="21"/>
      <c r="D765" s="21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</row>
    <row r="766" spans="1:30" ht="12.75">
      <c r="A766" s="21"/>
      <c r="B766" s="21"/>
      <c r="C766" s="21"/>
      <c r="D766" s="21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</row>
    <row r="767" spans="1:30" ht="12.75">
      <c r="A767" s="21"/>
      <c r="B767" s="21"/>
      <c r="C767" s="21"/>
      <c r="D767" s="21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</row>
    <row r="768" spans="1:30" ht="12.75">
      <c r="A768" s="21"/>
      <c r="B768" s="21"/>
      <c r="C768" s="21"/>
      <c r="D768" s="21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</row>
    <row r="769" spans="1:30" ht="12.75">
      <c r="A769" s="21"/>
      <c r="B769" s="21"/>
      <c r="C769" s="21"/>
      <c r="D769" s="21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</row>
    <row r="770" spans="1:30" ht="12.75">
      <c r="A770" s="21"/>
      <c r="B770" s="21"/>
      <c r="C770" s="21"/>
      <c r="D770" s="21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</row>
    <row r="771" spans="1:30" ht="12.75">
      <c r="A771" s="21"/>
      <c r="B771" s="21"/>
      <c r="C771" s="21"/>
      <c r="D771" s="21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</row>
    <row r="772" spans="1:30" ht="12.75">
      <c r="A772" s="21"/>
      <c r="B772" s="21"/>
      <c r="C772" s="21"/>
      <c r="D772" s="21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</row>
    <row r="773" spans="1:30" ht="12.75">
      <c r="A773" s="21"/>
      <c r="B773" s="21"/>
      <c r="C773" s="21"/>
      <c r="D773" s="21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</row>
    <row r="774" spans="1:30" ht="12.75">
      <c r="A774" s="21"/>
      <c r="B774" s="21"/>
      <c r="C774" s="21"/>
      <c r="D774" s="21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</row>
    <row r="775" spans="1:30" ht="12.75">
      <c r="A775" s="21"/>
      <c r="B775" s="21"/>
      <c r="C775" s="21"/>
      <c r="D775" s="21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</row>
    <row r="776" spans="1:30" ht="12.75">
      <c r="A776" s="21"/>
      <c r="B776" s="21"/>
      <c r="C776" s="21"/>
      <c r="D776" s="21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</row>
    <row r="777" spans="1:30" ht="12.75">
      <c r="A777" s="21"/>
      <c r="B777" s="21"/>
      <c r="C777" s="21"/>
      <c r="D777" s="21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</row>
    <row r="778" spans="1:30" ht="12.75">
      <c r="A778" s="21"/>
      <c r="B778" s="21"/>
      <c r="C778" s="21"/>
      <c r="D778" s="21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</row>
    <row r="779" spans="1:30" ht="12.75">
      <c r="A779" s="21"/>
      <c r="B779" s="21"/>
      <c r="C779" s="21"/>
      <c r="D779" s="21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</row>
    <row r="780" spans="1:30" ht="12.75">
      <c r="A780" s="21"/>
      <c r="B780" s="21"/>
      <c r="C780" s="21"/>
      <c r="D780" s="21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</row>
    <row r="781" spans="1:30" ht="12.75">
      <c r="A781" s="21"/>
      <c r="B781" s="21"/>
      <c r="C781" s="21"/>
      <c r="D781" s="21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</row>
    <row r="782" spans="1:30" ht="12.75">
      <c r="A782" s="21"/>
      <c r="B782" s="21"/>
      <c r="C782" s="21"/>
      <c r="D782" s="21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</row>
    <row r="783" spans="1:30" ht="12.75">
      <c r="A783" s="21"/>
      <c r="B783" s="21"/>
      <c r="C783" s="21"/>
      <c r="D783" s="21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</row>
    <row r="784" spans="1:30" ht="12.75">
      <c r="A784" s="21"/>
      <c r="B784" s="21"/>
      <c r="C784" s="21"/>
      <c r="D784" s="21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</row>
    <row r="785" spans="1:30" ht="12.75">
      <c r="A785" s="21"/>
      <c r="B785" s="21"/>
      <c r="C785" s="21"/>
      <c r="D785" s="21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</row>
    <row r="786" spans="1:30" ht="12.75">
      <c r="A786" s="21"/>
      <c r="B786" s="21"/>
      <c r="C786" s="21"/>
      <c r="D786" s="21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</row>
    <row r="787" spans="1:30" ht="12.75">
      <c r="A787" s="21"/>
      <c r="B787" s="21"/>
      <c r="C787" s="21"/>
      <c r="D787" s="21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</row>
    <row r="788" spans="1:30" ht="12.75">
      <c r="A788" s="21"/>
      <c r="B788" s="21"/>
      <c r="C788" s="21"/>
      <c r="D788" s="21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</row>
    <row r="789" spans="1:30" ht="12.75">
      <c r="A789" s="21"/>
      <c r="B789" s="21"/>
      <c r="C789" s="21"/>
      <c r="D789" s="21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</row>
    <row r="790" spans="1:30" ht="12.75">
      <c r="A790" s="21"/>
      <c r="B790" s="21"/>
      <c r="C790" s="21"/>
      <c r="D790" s="21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</row>
    <row r="791" spans="1:30" ht="12.75">
      <c r="A791" s="21"/>
      <c r="B791" s="21"/>
      <c r="C791" s="21"/>
      <c r="D791" s="21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</row>
    <row r="792" spans="1:30" ht="12.75">
      <c r="A792" s="21"/>
      <c r="B792" s="21"/>
      <c r="C792" s="21"/>
      <c r="D792" s="21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</row>
    <row r="793" spans="1:30" ht="12.75">
      <c r="A793" s="21"/>
      <c r="B793" s="21"/>
      <c r="C793" s="21"/>
      <c r="D793" s="21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</row>
    <row r="794" spans="1:30" ht="12.75">
      <c r="A794" s="21"/>
      <c r="B794" s="21"/>
      <c r="C794" s="21"/>
      <c r="D794" s="21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</row>
    <row r="795" spans="1:30" ht="12.75">
      <c r="A795" s="21"/>
      <c r="B795" s="21"/>
      <c r="C795" s="21"/>
      <c r="D795" s="21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</row>
    <row r="796" spans="1:30" ht="12.75">
      <c r="A796" s="21"/>
      <c r="B796" s="21"/>
      <c r="C796" s="21"/>
      <c r="D796" s="21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</row>
    <row r="797" spans="1:30" ht="12.75">
      <c r="A797" s="21"/>
      <c r="B797" s="21"/>
      <c r="C797" s="21"/>
      <c r="D797" s="21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</row>
    <row r="798" spans="1:30" ht="12.75">
      <c r="A798" s="21"/>
      <c r="B798" s="21"/>
      <c r="C798" s="21"/>
      <c r="D798" s="21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</row>
    <row r="799" spans="1:30" ht="12.75">
      <c r="A799" s="21"/>
      <c r="B799" s="21"/>
      <c r="C799" s="21"/>
      <c r="D799" s="21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</row>
    <row r="800" spans="1:30" ht="12.75">
      <c r="A800" s="21"/>
      <c r="B800" s="21"/>
      <c r="C800" s="21"/>
      <c r="D800" s="21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</row>
    <row r="801" spans="1:30" ht="12.75">
      <c r="A801" s="21"/>
      <c r="B801" s="21"/>
      <c r="C801" s="21"/>
      <c r="D801" s="21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</row>
    <row r="802" spans="1:30" ht="12.75">
      <c r="A802" s="21"/>
      <c r="B802" s="21"/>
      <c r="C802" s="21"/>
      <c r="D802" s="21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</row>
    <row r="803" spans="1:30" ht="12.75">
      <c r="A803" s="21"/>
      <c r="B803" s="21"/>
      <c r="C803" s="21"/>
      <c r="D803" s="21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</row>
    <row r="804" spans="1:30" ht="12.75">
      <c r="A804" s="21"/>
      <c r="B804" s="21"/>
      <c r="C804" s="21"/>
      <c r="D804" s="21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</row>
    <row r="805" spans="1:30" ht="12.75">
      <c r="A805" s="21"/>
      <c r="B805" s="21"/>
      <c r="C805" s="21"/>
      <c r="D805" s="21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</row>
    <row r="806" spans="1:30" ht="12.75">
      <c r="A806" s="21"/>
      <c r="B806" s="21"/>
      <c r="C806" s="21"/>
      <c r="D806" s="21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</row>
    <row r="807" spans="1:30" ht="12.75">
      <c r="A807" s="21"/>
      <c r="B807" s="21"/>
      <c r="C807" s="21"/>
      <c r="D807" s="21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</row>
    <row r="808" spans="1:30" ht="12.75">
      <c r="A808" s="21"/>
      <c r="B808" s="21"/>
      <c r="C808" s="21"/>
      <c r="D808" s="21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</row>
    <row r="809" spans="1:30" ht="12.75">
      <c r="A809" s="21"/>
      <c r="B809" s="21"/>
      <c r="C809" s="21"/>
      <c r="D809" s="21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</row>
    <row r="810" spans="1:30" ht="12.75">
      <c r="A810" s="21"/>
      <c r="B810" s="21"/>
      <c r="C810" s="21"/>
      <c r="D810" s="21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</row>
    <row r="811" spans="1:30" ht="12.75">
      <c r="A811" s="21"/>
      <c r="B811" s="21"/>
      <c r="C811" s="21"/>
      <c r="D811" s="21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</row>
    <row r="812" spans="1:30" ht="12.75">
      <c r="A812" s="21"/>
      <c r="B812" s="21"/>
      <c r="C812" s="21"/>
      <c r="D812" s="21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</row>
    <row r="813" spans="1:30" ht="12.75">
      <c r="A813" s="21"/>
      <c r="B813" s="21"/>
      <c r="C813" s="21"/>
      <c r="D813" s="21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</row>
    <row r="814" spans="1:30" ht="12.75">
      <c r="A814" s="21"/>
      <c r="B814" s="21"/>
      <c r="C814" s="21"/>
      <c r="D814" s="21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</row>
    <row r="815" spans="1:30" ht="12.75">
      <c r="A815" s="21"/>
      <c r="B815" s="21"/>
      <c r="C815" s="21"/>
      <c r="D815" s="21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</row>
    <row r="816" spans="1:30" ht="12.75">
      <c r="A816" s="21"/>
      <c r="B816" s="21"/>
      <c r="C816" s="21"/>
      <c r="D816" s="21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</row>
    <row r="817" spans="1:30" ht="12.75">
      <c r="A817" s="21"/>
      <c r="B817" s="21"/>
      <c r="C817" s="21"/>
      <c r="D817" s="21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</row>
    <row r="818" spans="1:30" ht="12.75">
      <c r="A818" s="21"/>
      <c r="B818" s="21"/>
      <c r="C818" s="21"/>
      <c r="D818" s="21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</row>
    <row r="819" spans="1:30" ht="12.75">
      <c r="A819" s="21"/>
      <c r="B819" s="21"/>
      <c r="C819" s="21"/>
      <c r="D819" s="21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</row>
    <row r="820" spans="1:30" ht="12.75">
      <c r="A820" s="21"/>
      <c r="B820" s="21"/>
      <c r="C820" s="21"/>
      <c r="D820" s="21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</row>
    <row r="821" spans="1:30" ht="12.75">
      <c r="A821" s="21"/>
      <c r="B821" s="21"/>
      <c r="C821" s="21"/>
      <c r="D821" s="21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</row>
    <row r="822" spans="1:30" ht="12.75">
      <c r="A822" s="21"/>
      <c r="B822" s="21"/>
      <c r="C822" s="21"/>
      <c r="D822" s="21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</row>
    <row r="823" spans="1:30" ht="12.75">
      <c r="A823" s="21"/>
      <c r="B823" s="21"/>
      <c r="C823" s="21"/>
      <c r="D823" s="21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</row>
    <row r="824" spans="1:30" ht="12.75">
      <c r="A824" s="21"/>
      <c r="B824" s="21"/>
      <c r="C824" s="21"/>
      <c r="D824" s="21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</row>
    <row r="825" spans="1:30" ht="12.75">
      <c r="A825" s="21"/>
      <c r="B825" s="21"/>
      <c r="C825" s="21"/>
      <c r="D825" s="21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</row>
    <row r="826" spans="1:30" ht="12.75">
      <c r="A826" s="21"/>
      <c r="B826" s="21"/>
      <c r="C826" s="21"/>
      <c r="D826" s="21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</row>
    <row r="827" spans="1:30" ht="12.75">
      <c r="A827" s="21"/>
      <c r="B827" s="21"/>
      <c r="C827" s="21"/>
      <c r="D827" s="21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</row>
    <row r="828" spans="1:30" ht="12.75">
      <c r="A828" s="21"/>
      <c r="B828" s="21"/>
      <c r="C828" s="21"/>
      <c r="D828" s="21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</row>
    <row r="829" spans="1:30" ht="12.75">
      <c r="A829" s="21"/>
      <c r="B829" s="21"/>
      <c r="C829" s="21"/>
      <c r="D829" s="21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</row>
    <row r="830" spans="1:30" ht="12.75">
      <c r="A830" s="21"/>
      <c r="B830" s="21"/>
      <c r="C830" s="21"/>
      <c r="D830" s="21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</row>
    <row r="831" spans="1:30" ht="12.75">
      <c r="A831" s="21"/>
      <c r="B831" s="21"/>
      <c r="C831" s="21"/>
      <c r="D831" s="21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</row>
    <row r="832" spans="1:30" ht="12.75">
      <c r="A832" s="21"/>
      <c r="B832" s="21"/>
      <c r="C832" s="21"/>
      <c r="D832" s="21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</row>
    <row r="833" spans="1:30" ht="12.75">
      <c r="A833" s="21"/>
      <c r="B833" s="21"/>
      <c r="C833" s="21"/>
      <c r="D833" s="21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</row>
    <row r="834" spans="1:30" ht="12.75">
      <c r="A834" s="21"/>
      <c r="B834" s="21"/>
      <c r="C834" s="21"/>
      <c r="D834" s="21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</row>
    <row r="835" spans="1:30" ht="12.75">
      <c r="A835" s="21"/>
      <c r="B835" s="21"/>
      <c r="C835" s="21"/>
      <c r="D835" s="21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</row>
    <row r="836" spans="1:30" ht="12.75">
      <c r="A836" s="21"/>
      <c r="B836" s="21"/>
      <c r="C836" s="21"/>
      <c r="D836" s="21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</row>
    <row r="837" spans="1:30" ht="12.75">
      <c r="A837" s="21"/>
      <c r="B837" s="21"/>
      <c r="C837" s="21"/>
      <c r="D837" s="21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</row>
    <row r="838" spans="1:30" ht="12.75">
      <c r="A838" s="21"/>
      <c r="B838" s="21"/>
      <c r="C838" s="21"/>
      <c r="D838" s="21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</row>
    <row r="839" spans="1:30" ht="12.75">
      <c r="A839" s="21"/>
      <c r="B839" s="21"/>
      <c r="C839" s="21"/>
      <c r="D839" s="21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</row>
    <row r="840" spans="1:30" ht="12.75">
      <c r="A840" s="21"/>
      <c r="B840" s="21"/>
      <c r="C840" s="21"/>
      <c r="D840" s="21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</row>
    <row r="841" spans="1:30" ht="12.75">
      <c r="A841" s="21"/>
      <c r="B841" s="21"/>
      <c r="C841" s="21"/>
      <c r="D841" s="21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</row>
    <row r="842" spans="1:30" ht="12.75">
      <c r="A842" s="21"/>
      <c r="B842" s="21"/>
      <c r="C842" s="21"/>
      <c r="D842" s="21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</row>
    <row r="843" spans="1:30" ht="12.75">
      <c r="A843" s="21"/>
      <c r="B843" s="21"/>
      <c r="C843" s="21"/>
      <c r="D843" s="21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</row>
    <row r="844" spans="1:30" ht="12.75">
      <c r="A844" s="21"/>
      <c r="B844" s="21"/>
      <c r="C844" s="21"/>
      <c r="D844" s="21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</row>
    <row r="845" spans="1:30" ht="12.75">
      <c r="A845" s="21"/>
      <c r="B845" s="21"/>
      <c r="C845" s="21"/>
      <c r="D845" s="21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</row>
    <row r="846" spans="1:30" ht="12.75">
      <c r="A846" s="21"/>
      <c r="B846" s="21"/>
      <c r="C846" s="21"/>
      <c r="D846" s="21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</row>
    <row r="847" spans="1:30" ht="12.75">
      <c r="A847" s="21"/>
      <c r="B847" s="21"/>
      <c r="C847" s="21"/>
      <c r="D847" s="21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</row>
    <row r="848" spans="1:30" ht="12.75">
      <c r="A848" s="21"/>
      <c r="B848" s="21"/>
      <c r="C848" s="21"/>
      <c r="D848" s="21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</row>
    <row r="849" spans="1:30" ht="12.75">
      <c r="A849" s="21"/>
      <c r="B849" s="21"/>
      <c r="C849" s="21"/>
      <c r="D849" s="21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</row>
    <row r="850" spans="1:30" ht="12.75">
      <c r="A850" s="21"/>
      <c r="B850" s="21"/>
      <c r="C850" s="21"/>
      <c r="D850" s="21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</row>
    <row r="851" spans="1:30" ht="12.75">
      <c r="A851" s="21"/>
      <c r="B851" s="21"/>
      <c r="C851" s="21"/>
      <c r="D851" s="21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</row>
    <row r="852" spans="1:30" ht="12.75">
      <c r="A852" s="21"/>
      <c r="B852" s="21"/>
      <c r="C852" s="21"/>
      <c r="D852" s="21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</row>
    <row r="853" spans="1:30" ht="12.75">
      <c r="A853" s="21"/>
      <c r="B853" s="21"/>
      <c r="C853" s="21"/>
      <c r="D853" s="21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</row>
    <row r="854" spans="1:30" ht="12.75">
      <c r="A854" s="21"/>
      <c r="B854" s="21"/>
      <c r="C854" s="21"/>
      <c r="D854" s="21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</row>
    <row r="855" spans="1:30" ht="12.75">
      <c r="A855" s="21"/>
      <c r="B855" s="21"/>
      <c r="C855" s="21"/>
      <c r="D855" s="21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</row>
    <row r="856" spans="1:30" ht="12.75">
      <c r="A856" s="21"/>
      <c r="B856" s="21"/>
      <c r="C856" s="21"/>
      <c r="D856" s="21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</row>
    <row r="857" spans="1:30" ht="12.75">
      <c r="A857" s="21"/>
      <c r="B857" s="21"/>
      <c r="C857" s="21"/>
      <c r="D857" s="21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</row>
    <row r="858" spans="1:30" ht="12.75">
      <c r="A858" s="21"/>
      <c r="B858" s="21"/>
      <c r="C858" s="21"/>
      <c r="D858" s="21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</row>
    <row r="859" spans="1:30" ht="12.75">
      <c r="A859" s="21"/>
      <c r="B859" s="21"/>
      <c r="C859" s="21"/>
      <c r="D859" s="21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</row>
    <row r="860" spans="1:30" ht="12.75">
      <c r="A860" s="21"/>
      <c r="B860" s="21"/>
      <c r="C860" s="21"/>
      <c r="D860" s="21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</row>
    <row r="861" spans="1:30" ht="12.75">
      <c r="A861" s="21"/>
      <c r="B861" s="21"/>
      <c r="C861" s="21"/>
      <c r="D861" s="21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</row>
    <row r="862" spans="1:30" ht="12.75">
      <c r="A862" s="21"/>
      <c r="B862" s="21"/>
      <c r="C862" s="21"/>
      <c r="D862" s="21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</row>
    <row r="863" spans="1:30" ht="12.75">
      <c r="A863" s="21"/>
      <c r="B863" s="21"/>
      <c r="C863" s="21"/>
      <c r="D863" s="21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</row>
    <row r="864" spans="1:30" ht="12.75">
      <c r="A864" s="21"/>
      <c r="B864" s="21"/>
      <c r="C864" s="21"/>
      <c r="D864" s="21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</row>
    <row r="865" spans="1:30" ht="12.75">
      <c r="A865" s="21"/>
      <c r="B865" s="21"/>
      <c r="C865" s="21"/>
      <c r="D865" s="21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</row>
    <row r="866" spans="1:30" ht="12.75">
      <c r="A866" s="21"/>
      <c r="B866" s="21"/>
      <c r="C866" s="21"/>
      <c r="D866" s="21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</row>
    <row r="867" spans="1:30" ht="12.75">
      <c r="A867" s="21"/>
      <c r="B867" s="21"/>
      <c r="C867" s="21"/>
      <c r="D867" s="21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</row>
    <row r="868" spans="1:30" ht="12.75">
      <c r="A868" s="21"/>
      <c r="B868" s="21"/>
      <c r="C868" s="21"/>
      <c r="D868" s="21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</row>
    <row r="869" spans="1:30" ht="12.75">
      <c r="A869" s="21"/>
      <c r="B869" s="21"/>
      <c r="C869" s="21"/>
      <c r="D869" s="21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</row>
    <row r="870" spans="1:30" ht="12.75">
      <c r="A870" s="21"/>
      <c r="B870" s="21"/>
      <c r="C870" s="21"/>
      <c r="D870" s="21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</row>
    <row r="871" spans="1:30" ht="12.75">
      <c r="A871" s="21"/>
      <c r="B871" s="21"/>
      <c r="C871" s="21"/>
      <c r="D871" s="21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</row>
    <row r="872" spans="1:30" ht="12.75">
      <c r="A872" s="21"/>
      <c r="B872" s="21"/>
      <c r="C872" s="21"/>
      <c r="D872" s="21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</row>
    <row r="873" spans="1:30" ht="12.75">
      <c r="A873" s="21"/>
      <c r="B873" s="21"/>
      <c r="C873" s="21"/>
      <c r="D873" s="21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</row>
    <row r="874" spans="1:30" ht="12.75">
      <c r="A874" s="21"/>
      <c r="B874" s="21"/>
      <c r="C874" s="21"/>
      <c r="D874" s="21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</row>
    <row r="875" spans="1:30" ht="12.75">
      <c r="A875" s="21"/>
      <c r="B875" s="21"/>
      <c r="C875" s="21"/>
      <c r="D875" s="21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</row>
    <row r="876" spans="1:30" ht="12.75">
      <c r="A876" s="21"/>
      <c r="B876" s="21"/>
      <c r="C876" s="21"/>
      <c r="D876" s="21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</row>
    <row r="877" spans="1:30" ht="12.75">
      <c r="A877" s="21"/>
      <c r="B877" s="21"/>
      <c r="C877" s="21"/>
      <c r="D877" s="21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</row>
    <row r="878" spans="1:30" ht="12.75">
      <c r="A878" s="21"/>
      <c r="B878" s="21"/>
      <c r="C878" s="21"/>
      <c r="D878" s="21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</row>
    <row r="879" spans="1:30" ht="12.75">
      <c r="A879" s="21"/>
      <c r="B879" s="21"/>
      <c r="C879" s="21"/>
      <c r="D879" s="21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</row>
    <row r="880" spans="1:30" ht="12.75">
      <c r="A880" s="21"/>
      <c r="B880" s="21"/>
      <c r="C880" s="21"/>
      <c r="D880" s="21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</row>
    <row r="881" spans="1:30" ht="12.75">
      <c r="A881" s="21"/>
      <c r="B881" s="21"/>
      <c r="C881" s="21"/>
      <c r="D881" s="21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</row>
    <row r="882" spans="1:30" ht="12.75">
      <c r="A882" s="21"/>
      <c r="B882" s="21"/>
      <c r="C882" s="21"/>
      <c r="D882" s="21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</row>
    <row r="883" spans="1:30" ht="12.75">
      <c r="A883" s="21"/>
      <c r="B883" s="21"/>
      <c r="C883" s="21"/>
      <c r="D883" s="21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</row>
    <row r="884" spans="1:30" ht="12.75">
      <c r="A884" s="21"/>
      <c r="B884" s="21"/>
      <c r="C884" s="21"/>
      <c r="D884" s="21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</row>
    <row r="885" spans="1:30" ht="12.75">
      <c r="A885" s="21"/>
      <c r="B885" s="21"/>
      <c r="C885" s="21"/>
      <c r="D885" s="21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</row>
    <row r="886" spans="1:30" ht="12.75">
      <c r="A886" s="21"/>
      <c r="B886" s="21"/>
      <c r="C886" s="21"/>
      <c r="D886" s="21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</row>
    <row r="887" spans="1:30" ht="12.75">
      <c r="A887" s="21"/>
      <c r="B887" s="21"/>
      <c r="C887" s="21"/>
      <c r="D887" s="21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</row>
    <row r="888" spans="1:30" ht="12.75">
      <c r="A888" s="21"/>
      <c r="B888" s="21"/>
      <c r="C888" s="21"/>
      <c r="D888" s="21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</row>
    <row r="889" spans="1:30" ht="12.75">
      <c r="A889" s="21"/>
      <c r="B889" s="21"/>
      <c r="C889" s="21"/>
      <c r="D889" s="21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</row>
    <row r="890" spans="1:30" ht="12.75">
      <c r="A890" s="21"/>
      <c r="B890" s="21"/>
      <c r="C890" s="21"/>
      <c r="D890" s="21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</row>
    <row r="891" spans="1:30" ht="12.75">
      <c r="A891" s="21"/>
      <c r="B891" s="21"/>
      <c r="C891" s="21"/>
      <c r="D891" s="21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</row>
    <row r="892" spans="1:30" ht="12.75">
      <c r="A892" s="21"/>
      <c r="B892" s="21"/>
      <c r="C892" s="21"/>
      <c r="D892" s="21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</row>
    <row r="893" spans="1:30" ht="12.75">
      <c r="A893" s="21"/>
      <c r="B893" s="21"/>
      <c r="C893" s="21"/>
      <c r="D893" s="21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</row>
    <row r="894" spans="1:30" ht="12.75">
      <c r="A894" s="21"/>
      <c r="B894" s="21"/>
      <c r="C894" s="21"/>
      <c r="D894" s="21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</row>
    <row r="895" spans="1:30" ht="12.75">
      <c r="A895" s="21"/>
      <c r="B895" s="21"/>
      <c r="C895" s="21"/>
      <c r="D895" s="21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</row>
    <row r="896" spans="1:30" ht="12.75">
      <c r="A896" s="21"/>
      <c r="B896" s="21"/>
      <c r="C896" s="21"/>
      <c r="D896" s="21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</row>
    <row r="897" spans="1:30" ht="12.75">
      <c r="A897" s="21"/>
      <c r="B897" s="21"/>
      <c r="C897" s="21"/>
      <c r="D897" s="21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</row>
    <row r="898" spans="1:30" ht="12.75">
      <c r="A898" s="21"/>
      <c r="B898" s="21"/>
      <c r="C898" s="21"/>
      <c r="D898" s="21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</row>
    <row r="899" spans="1:30" ht="12.75">
      <c r="A899" s="21"/>
      <c r="B899" s="21"/>
      <c r="C899" s="21"/>
      <c r="D899" s="21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</row>
    <row r="900" spans="1:30" ht="12.75">
      <c r="A900" s="21"/>
      <c r="B900" s="21"/>
      <c r="C900" s="21"/>
      <c r="D900" s="21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</row>
    <row r="901" spans="1:30" ht="12.75">
      <c r="A901" s="21"/>
      <c r="B901" s="21"/>
      <c r="C901" s="21"/>
      <c r="D901" s="21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</row>
    <row r="902" spans="1:30" ht="12.75">
      <c r="A902" s="21"/>
      <c r="B902" s="21"/>
      <c r="C902" s="21"/>
      <c r="D902" s="21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</row>
    <row r="903" spans="1:30" ht="12.75">
      <c r="A903" s="21"/>
      <c r="B903" s="21"/>
      <c r="C903" s="21"/>
      <c r="D903" s="21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</row>
    <row r="904" spans="1:30" ht="12.75">
      <c r="A904" s="21"/>
      <c r="B904" s="21"/>
      <c r="C904" s="21"/>
      <c r="D904" s="21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</row>
    <row r="905" spans="1:30" ht="12.75">
      <c r="A905" s="21"/>
      <c r="B905" s="21"/>
      <c r="C905" s="21"/>
      <c r="D905" s="21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</row>
    <row r="906" spans="1:30" ht="12.75">
      <c r="A906" s="21"/>
      <c r="B906" s="21"/>
      <c r="C906" s="21"/>
      <c r="D906" s="21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</row>
    <row r="907" spans="1:30" ht="12.75">
      <c r="A907" s="21"/>
      <c r="B907" s="21"/>
      <c r="C907" s="21"/>
      <c r="D907" s="21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</row>
    <row r="908" spans="1:30" ht="12.75">
      <c r="A908" s="21"/>
      <c r="B908" s="21"/>
      <c r="C908" s="21"/>
      <c r="D908" s="21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</row>
    <row r="909" spans="1:30" ht="12.75">
      <c r="A909" s="21"/>
      <c r="B909" s="21"/>
      <c r="C909" s="21"/>
      <c r="D909" s="21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</row>
    <row r="910" spans="1:30" ht="12.75">
      <c r="A910" s="21"/>
      <c r="B910" s="21"/>
      <c r="C910" s="21"/>
      <c r="D910" s="21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</row>
    <row r="911" spans="1:30" ht="12.75">
      <c r="A911" s="21"/>
      <c r="B911" s="21"/>
      <c r="C911" s="21"/>
      <c r="D911" s="21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</row>
    <row r="912" spans="1:30" ht="12.75">
      <c r="A912" s="21"/>
      <c r="B912" s="21"/>
      <c r="C912" s="21"/>
      <c r="D912" s="21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</row>
    <row r="913" spans="1:30" ht="12.75">
      <c r="A913" s="21"/>
      <c r="B913" s="21"/>
      <c r="C913" s="21"/>
      <c r="D913" s="21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</row>
    <row r="914" spans="1:30" ht="12.75">
      <c r="A914" s="21"/>
      <c r="B914" s="21"/>
      <c r="C914" s="21"/>
      <c r="D914" s="21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</row>
    <row r="915" spans="1:30" ht="12.75">
      <c r="A915" s="21"/>
      <c r="B915" s="21"/>
      <c r="C915" s="21"/>
      <c r="D915" s="21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</row>
    <row r="916" spans="1:30" ht="12.75">
      <c r="A916" s="21"/>
      <c r="B916" s="21"/>
      <c r="C916" s="21"/>
      <c r="D916" s="21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</row>
    <row r="917" spans="1:30" ht="12.75">
      <c r="A917" s="21"/>
      <c r="B917" s="21"/>
      <c r="C917" s="21"/>
      <c r="D917" s="21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</row>
    <row r="918" spans="1:30" ht="12.75">
      <c r="A918" s="21"/>
      <c r="B918" s="21"/>
      <c r="C918" s="21"/>
      <c r="D918" s="21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</row>
    <row r="919" spans="1:30" ht="12.75">
      <c r="A919" s="21"/>
      <c r="B919" s="21"/>
      <c r="C919" s="21"/>
      <c r="D919" s="21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</row>
    <row r="920" spans="1:30" ht="12.75">
      <c r="A920" s="21"/>
      <c r="B920" s="21"/>
      <c r="C920" s="21"/>
      <c r="D920" s="21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</row>
    <row r="921" spans="1:30" ht="12.75">
      <c r="A921" s="21"/>
      <c r="B921" s="21"/>
      <c r="C921" s="21"/>
      <c r="D921" s="21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</row>
    <row r="922" spans="1:30" ht="12.75">
      <c r="A922" s="21"/>
      <c r="B922" s="21"/>
      <c r="C922" s="21"/>
      <c r="D922" s="21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</row>
    <row r="923" spans="1:30" ht="12.75">
      <c r="A923" s="21"/>
      <c r="B923" s="21"/>
      <c r="C923" s="21"/>
      <c r="D923" s="21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</row>
    <row r="924" spans="1:30" ht="12.75">
      <c r="A924" s="21"/>
      <c r="B924" s="21"/>
      <c r="C924" s="21"/>
      <c r="D924" s="21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</row>
    <row r="925" spans="1:30" ht="12.75">
      <c r="A925" s="21"/>
      <c r="B925" s="21"/>
      <c r="C925" s="21"/>
      <c r="D925" s="21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</row>
    <row r="926" spans="1:30" ht="12.75">
      <c r="A926" s="21"/>
      <c r="B926" s="21"/>
      <c r="C926" s="21"/>
      <c r="D926" s="21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</row>
    <row r="927" spans="1:30" ht="12.75">
      <c r="A927" s="21"/>
      <c r="B927" s="21"/>
      <c r="C927" s="21"/>
      <c r="D927" s="21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</row>
    <row r="928" spans="1:30" ht="12.75">
      <c r="A928" s="21"/>
      <c r="B928" s="21"/>
      <c r="C928" s="21"/>
      <c r="D928" s="21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</row>
    <row r="929" spans="1:30" ht="12.75">
      <c r="A929" s="21"/>
      <c r="B929" s="21"/>
      <c r="C929" s="21"/>
      <c r="D929" s="21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</row>
    <row r="930" spans="1:30" ht="12.75">
      <c r="A930" s="21"/>
      <c r="B930" s="21"/>
      <c r="C930" s="21"/>
      <c r="D930" s="21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</row>
    <row r="931" spans="1:30" ht="12.75">
      <c r="A931" s="21"/>
      <c r="B931" s="21"/>
      <c r="C931" s="21"/>
      <c r="D931" s="21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</row>
    <row r="932" spans="1:30" ht="12.75">
      <c r="A932" s="21"/>
      <c r="B932" s="21"/>
      <c r="C932" s="21"/>
      <c r="D932" s="21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</row>
    <row r="933" spans="1:30" ht="12.75">
      <c r="A933" s="21"/>
      <c r="B933" s="21"/>
      <c r="C933" s="21"/>
      <c r="D933" s="21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</row>
    <row r="934" spans="1:30" ht="12.75">
      <c r="A934" s="21"/>
      <c r="B934" s="21"/>
      <c r="C934" s="21"/>
      <c r="D934" s="21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</row>
    <row r="935" spans="1:30" ht="12.75">
      <c r="A935" s="21"/>
      <c r="B935" s="21"/>
      <c r="C935" s="21"/>
      <c r="D935" s="21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</row>
    <row r="936" spans="1:30" ht="12.75">
      <c r="A936" s="21"/>
      <c r="B936" s="21"/>
      <c r="C936" s="21"/>
      <c r="D936" s="21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</row>
    <row r="937" spans="1:30" ht="12.75">
      <c r="A937" s="21"/>
      <c r="B937" s="21"/>
      <c r="C937" s="21"/>
      <c r="D937" s="21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</row>
    <row r="938" spans="1:30" ht="12.75">
      <c r="A938" s="21"/>
      <c r="B938" s="21"/>
      <c r="C938" s="21"/>
      <c r="D938" s="21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</row>
    <row r="939" spans="1:30" ht="12.75">
      <c r="A939" s="21"/>
      <c r="B939" s="21"/>
      <c r="C939" s="21"/>
      <c r="D939" s="21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</row>
    <row r="940" spans="1:30" ht="12.75">
      <c r="A940" s="21"/>
      <c r="B940" s="21"/>
      <c r="C940" s="21"/>
      <c r="D940" s="21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</row>
    <row r="941" spans="1:30" ht="12.75">
      <c r="A941" s="21"/>
      <c r="B941" s="21"/>
      <c r="C941" s="21"/>
      <c r="D941" s="21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</row>
    <row r="942" spans="1:30" ht="12.75">
      <c r="A942" s="21"/>
      <c r="B942" s="21"/>
      <c r="C942" s="21"/>
      <c r="D942" s="21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</row>
    <row r="943" spans="1:30" ht="12.75">
      <c r="A943" s="21"/>
      <c r="B943" s="21"/>
      <c r="C943" s="21"/>
      <c r="D943" s="21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</row>
    <row r="944" spans="1:30" ht="12.75">
      <c r="A944" s="21"/>
      <c r="B944" s="21"/>
      <c r="C944" s="21"/>
      <c r="D944" s="21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</row>
    <row r="945" spans="1:30" ht="12.75">
      <c r="A945" s="21"/>
      <c r="B945" s="21"/>
      <c r="C945" s="21"/>
      <c r="D945" s="21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</row>
    <row r="946" spans="1:30" ht="12.75">
      <c r="A946" s="21"/>
      <c r="B946" s="21"/>
      <c r="C946" s="21"/>
      <c r="D946" s="21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</row>
    <row r="947" spans="1:30" ht="12.75">
      <c r="A947" s="21"/>
      <c r="B947" s="21"/>
      <c r="C947" s="21"/>
      <c r="D947" s="21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</row>
    <row r="948" spans="1:30" ht="12.75">
      <c r="A948" s="21"/>
      <c r="B948" s="21"/>
      <c r="C948" s="21"/>
      <c r="D948" s="21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</row>
    <row r="949" spans="1:30" ht="12.75">
      <c r="A949" s="21"/>
      <c r="B949" s="21"/>
      <c r="C949" s="21"/>
      <c r="D949" s="21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</row>
    <row r="950" spans="1:30" ht="12.75">
      <c r="A950" s="21"/>
      <c r="B950" s="21"/>
      <c r="C950" s="21"/>
      <c r="D950" s="21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</row>
    <row r="951" spans="1:30" ht="12.75">
      <c r="A951" s="21"/>
      <c r="B951" s="21"/>
      <c r="C951" s="21"/>
      <c r="D951" s="21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</row>
  </sheetData>
  <printOptions/>
  <pageMargins left="0.75" right="0.5" top="0.5" bottom="0.5" header="0" footer="0.3"/>
  <pageSetup firstPageNumber="26" useFirstPageNumber="1" fitToHeight="14" fitToWidth="2" horizontalDpi="1200" verticalDpi="1200" orientation="portrait" pageOrder="overThenDown" scale="84" r:id="rId1"/>
  <headerFooter scaleWithDoc="0" alignWithMargins="0">
    <oddFooter>&amp;C&amp;P</oddFooter>
  </headerFooter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8"/>
  <sheetViews>
    <sheetView view="pageBreakPreview" zoomScaleSheetLayoutView="100" workbookViewId="0" topLeftCell="A1">
      <pane xSplit="4" ySplit="7" topLeftCell="E62" activePane="bottomRight" state="frozen"/>
      <selection pane="topRight" activeCell="E1" sqref="E1"/>
      <selection pane="bottomLeft" activeCell="A8" sqref="A8"/>
      <selection pane="bottomRight" activeCell="C6" sqref="C6"/>
    </sheetView>
  </sheetViews>
  <sheetFormatPr defaultColWidth="9.33203125" defaultRowHeight="12.75"/>
  <cols>
    <col min="1" max="1" width="18" style="15" customWidth="1"/>
    <col min="2" max="2" width="1.83203125" style="15" customWidth="1"/>
    <col min="3" max="3" width="13.5" style="15" customWidth="1"/>
    <col min="4" max="4" width="1.83203125" style="15" customWidth="1"/>
    <col min="5" max="5" width="13.83203125" style="24" customWidth="1"/>
    <col min="6" max="6" width="1.83203125" style="24" customWidth="1"/>
    <col min="7" max="7" width="11.83203125" style="24" customWidth="1"/>
    <col min="8" max="8" width="1.83203125" style="24" customWidth="1"/>
    <col min="9" max="9" width="11.83203125" style="24" customWidth="1"/>
    <col min="10" max="10" width="1.83203125" style="24" customWidth="1"/>
    <col min="11" max="11" width="11.83203125" style="24" customWidth="1"/>
    <col min="12" max="12" width="1.83203125" style="24" customWidth="1"/>
    <col min="13" max="13" width="11.83203125" style="24" customWidth="1"/>
    <col min="14" max="14" width="1.83203125" style="24" customWidth="1"/>
    <col min="15" max="15" width="11.83203125" style="24" customWidth="1"/>
    <col min="16" max="16" width="1.83203125" style="24" customWidth="1"/>
    <col min="17" max="17" width="12.33203125" style="24" customWidth="1"/>
    <col min="18" max="18" width="1.83203125" style="24" hidden="1" customWidth="1"/>
    <col min="19" max="19" width="14.66015625" style="24" customWidth="1"/>
    <col min="20" max="20" width="1.83203125" style="24" customWidth="1"/>
    <col min="21" max="21" width="11.83203125" style="24" customWidth="1"/>
    <col min="22" max="22" width="1.83203125" style="24" customWidth="1"/>
    <col min="23" max="23" width="11.83203125" style="24" customWidth="1"/>
    <col min="24" max="24" width="1.83203125" style="24" customWidth="1"/>
    <col min="25" max="25" width="12.5" style="24" customWidth="1"/>
    <col min="26" max="26" width="1.83203125" style="24" customWidth="1"/>
    <col min="27" max="27" width="12.5" style="24" customWidth="1"/>
    <col min="28" max="28" width="1.83203125" style="24" customWidth="1"/>
    <col min="29" max="29" width="13.33203125" style="24" customWidth="1"/>
    <col min="30" max="30" width="1.83203125" style="24" customWidth="1"/>
    <col min="31" max="31" width="13.16015625" style="24" customWidth="1"/>
    <col min="32" max="32" width="1.83203125" style="24" customWidth="1"/>
    <col min="33" max="33" width="11.83203125" style="24" customWidth="1"/>
    <col min="34" max="34" width="1.83203125" style="24" customWidth="1"/>
    <col min="35" max="35" width="14.83203125" style="15" customWidth="1"/>
    <col min="36" max="36" width="1.83203125" style="15" customWidth="1"/>
    <col min="37" max="37" width="10.66015625" style="15" bestFit="1" customWidth="1"/>
    <col min="38" max="16384" width="9.33203125" style="15" customWidth="1"/>
  </cols>
  <sheetData>
    <row r="1" ht="12.75">
      <c r="A1" s="15" t="s">
        <v>617</v>
      </c>
    </row>
    <row r="2" ht="12.75">
      <c r="A2" s="15" t="s">
        <v>871</v>
      </c>
    </row>
    <row r="3" spans="1:8" ht="12.75">
      <c r="A3" s="15" t="s">
        <v>960</v>
      </c>
      <c r="G3" s="56"/>
      <c r="H3" s="56"/>
    </row>
    <row r="4" ht="12.75">
      <c r="A4" s="15" t="s">
        <v>864</v>
      </c>
    </row>
    <row r="5" spans="1:42" s="61" customFormat="1" ht="12" customHeight="1">
      <c r="A5" s="57"/>
      <c r="B5" s="57"/>
      <c r="C5" s="57"/>
      <c r="D5" s="57"/>
      <c r="E5" s="58" t="s">
        <v>619</v>
      </c>
      <c r="F5" s="58"/>
      <c r="G5" s="59"/>
      <c r="H5" s="59"/>
      <c r="I5" s="59"/>
      <c r="J5" s="59"/>
      <c r="K5" s="59"/>
      <c r="L5" s="59"/>
      <c r="M5" s="59"/>
      <c r="N5" s="59"/>
      <c r="O5" s="58"/>
      <c r="P5" s="5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8" t="s">
        <v>638</v>
      </c>
      <c r="AF5" s="58"/>
      <c r="AG5" s="58"/>
      <c r="AH5" s="58"/>
      <c r="AI5" s="60"/>
      <c r="AJ5" s="60"/>
      <c r="AK5" s="60"/>
      <c r="AL5" s="60"/>
      <c r="AM5" s="60"/>
      <c r="AN5" s="60"/>
      <c r="AO5" s="60"/>
      <c r="AP5" s="60"/>
    </row>
    <row r="6" spans="1:42" s="61" customFormat="1" ht="12.6" customHeight="1">
      <c r="A6" s="57"/>
      <c r="B6" s="57"/>
      <c r="C6" s="57"/>
      <c r="D6" s="57"/>
      <c r="E6" s="58" t="s">
        <v>620</v>
      </c>
      <c r="F6" s="58"/>
      <c r="G6" s="58" t="s">
        <v>622</v>
      </c>
      <c r="H6" s="58"/>
      <c r="I6" s="58" t="s">
        <v>624</v>
      </c>
      <c r="J6" s="58"/>
      <c r="K6" s="58" t="s">
        <v>626</v>
      </c>
      <c r="L6" s="58"/>
      <c r="M6" s="58" t="s">
        <v>628</v>
      </c>
      <c r="N6" s="58"/>
      <c r="O6" s="58" t="s">
        <v>631</v>
      </c>
      <c r="P6" s="58"/>
      <c r="Q6" s="58" t="s">
        <v>633</v>
      </c>
      <c r="R6" s="58"/>
      <c r="S6" s="59"/>
      <c r="T6" s="59"/>
      <c r="U6" s="62" t="s">
        <v>866</v>
      </c>
      <c r="V6" s="59"/>
      <c r="W6" s="62" t="s">
        <v>866</v>
      </c>
      <c r="X6" s="59"/>
      <c r="Y6" s="58" t="s">
        <v>635</v>
      </c>
      <c r="Z6" s="58"/>
      <c r="AA6" s="59"/>
      <c r="AB6" s="59"/>
      <c r="AC6" s="59"/>
      <c r="AD6" s="59"/>
      <c r="AE6" s="58" t="s">
        <v>639</v>
      </c>
      <c r="AF6" s="58"/>
      <c r="AG6" s="58" t="s">
        <v>717</v>
      </c>
      <c r="AH6" s="58"/>
      <c r="AI6" s="60"/>
      <c r="AJ6" s="60"/>
      <c r="AK6" s="60"/>
      <c r="AL6" s="60"/>
      <c r="AM6" s="60"/>
      <c r="AN6" s="60"/>
      <c r="AO6" s="60"/>
      <c r="AP6" s="60"/>
    </row>
    <row r="7" spans="1:35" s="64" customFormat="1" ht="12.6" customHeight="1">
      <c r="A7" s="63" t="s">
        <v>734</v>
      </c>
      <c r="C7" s="63" t="s">
        <v>735</v>
      </c>
      <c r="E7" s="65" t="s">
        <v>621</v>
      </c>
      <c r="F7" s="66"/>
      <c r="G7" s="65" t="s">
        <v>623</v>
      </c>
      <c r="H7" s="66"/>
      <c r="I7" s="27" t="s">
        <v>625</v>
      </c>
      <c r="J7" s="45"/>
      <c r="K7" s="27" t="s">
        <v>627</v>
      </c>
      <c r="L7" s="45"/>
      <c r="M7" s="27" t="s">
        <v>629</v>
      </c>
      <c r="N7" s="45"/>
      <c r="O7" s="27" t="s">
        <v>632</v>
      </c>
      <c r="P7" s="45"/>
      <c r="Q7" s="27" t="s">
        <v>634</v>
      </c>
      <c r="R7" s="45"/>
      <c r="S7" s="27" t="s">
        <v>613</v>
      </c>
      <c r="T7" s="45"/>
      <c r="U7" s="69" t="s">
        <v>867</v>
      </c>
      <c r="V7" s="70"/>
      <c r="W7" s="69" t="s">
        <v>868</v>
      </c>
      <c r="X7" s="70"/>
      <c r="Y7" s="27" t="s">
        <v>636</v>
      </c>
      <c r="Z7" s="45"/>
      <c r="AA7" s="67" t="s">
        <v>615</v>
      </c>
      <c r="AB7" s="68"/>
      <c r="AC7" s="67" t="s">
        <v>637</v>
      </c>
      <c r="AD7" s="68"/>
      <c r="AE7" s="27" t="s">
        <v>640</v>
      </c>
      <c r="AF7" s="45"/>
      <c r="AG7" s="27" t="s">
        <v>828</v>
      </c>
      <c r="AH7" s="45"/>
      <c r="AI7" s="63" t="s">
        <v>827</v>
      </c>
    </row>
    <row r="8" spans="1:39" ht="12.6" customHeight="1">
      <c r="A8" s="15" t="s">
        <v>282</v>
      </c>
      <c r="C8" s="15" t="s">
        <v>283</v>
      </c>
      <c r="E8" s="102">
        <v>52952.73</v>
      </c>
      <c r="F8" s="102"/>
      <c r="G8" s="102">
        <v>138627.08</v>
      </c>
      <c r="H8" s="102"/>
      <c r="I8" s="102">
        <v>157603.58</v>
      </c>
      <c r="J8" s="102"/>
      <c r="K8" s="102">
        <v>0</v>
      </c>
      <c r="L8" s="102"/>
      <c r="M8" s="102">
        <v>128356.91</v>
      </c>
      <c r="N8" s="102"/>
      <c r="O8" s="102">
        <v>73737.26</v>
      </c>
      <c r="P8" s="102"/>
      <c r="Q8" s="102">
        <v>1952.16</v>
      </c>
      <c r="R8" s="102"/>
      <c r="S8" s="102">
        <v>22015.13</v>
      </c>
      <c r="T8" s="102"/>
      <c r="U8" s="102">
        <v>0</v>
      </c>
      <c r="V8" s="102"/>
      <c r="W8" s="102">
        <v>0</v>
      </c>
      <c r="X8" s="102"/>
      <c r="Y8" s="102">
        <v>0</v>
      </c>
      <c r="Z8" s="102"/>
      <c r="AA8" s="102">
        <v>309691.32</v>
      </c>
      <c r="AB8" s="102"/>
      <c r="AC8" s="102">
        <v>0</v>
      </c>
      <c r="AD8" s="102"/>
      <c r="AE8" s="102">
        <v>0</v>
      </c>
      <c r="AF8" s="102"/>
      <c r="AG8" s="102">
        <v>0</v>
      </c>
      <c r="AH8" s="102"/>
      <c r="AI8" s="102">
        <f>SUM(E8:AG8)</f>
        <v>884936.1700000002</v>
      </c>
      <c r="AJ8" s="39"/>
      <c r="AK8" s="15" t="str">
        <f>'Gen Rev'!A8</f>
        <v>Aberdeen</v>
      </c>
      <c r="AL8" s="15" t="str">
        <f>A8</f>
        <v>Aberdeen</v>
      </c>
      <c r="AM8" s="15" t="b">
        <f>AK8=AL8</f>
        <v>1</v>
      </c>
    </row>
    <row r="9" spans="1:39" s="39" customFormat="1" ht="12.75">
      <c r="A9" s="39" t="s">
        <v>395</v>
      </c>
      <c r="C9" s="39" t="s">
        <v>396</v>
      </c>
      <c r="E9" s="85">
        <v>1094188</v>
      </c>
      <c r="F9" s="85"/>
      <c r="G9" s="85">
        <v>0</v>
      </c>
      <c r="H9" s="85"/>
      <c r="I9" s="85">
        <f>245526+712705</f>
        <v>958231</v>
      </c>
      <c r="J9" s="85"/>
      <c r="K9" s="85">
        <v>63490</v>
      </c>
      <c r="L9" s="85"/>
      <c r="M9" s="85">
        <v>74572</v>
      </c>
      <c r="N9" s="85"/>
      <c r="O9" s="85">
        <v>73403</v>
      </c>
      <c r="P9" s="85"/>
      <c r="Q9" s="85">
        <v>22350</v>
      </c>
      <c r="R9" s="85"/>
      <c r="S9" s="85">
        <v>46185</v>
      </c>
      <c r="T9" s="85"/>
      <c r="U9" s="85">
        <v>0</v>
      </c>
      <c r="V9" s="85"/>
      <c r="W9" s="85">
        <v>0</v>
      </c>
      <c r="X9" s="85"/>
      <c r="Y9" s="85">
        <v>0</v>
      </c>
      <c r="Z9" s="85"/>
      <c r="AA9" s="85">
        <v>0</v>
      </c>
      <c r="AB9" s="85"/>
      <c r="AC9" s="85">
        <v>0</v>
      </c>
      <c r="AD9" s="85"/>
      <c r="AE9" s="85">
        <v>913240</v>
      </c>
      <c r="AF9" s="85"/>
      <c r="AG9" s="85">
        <v>0</v>
      </c>
      <c r="AH9" s="85"/>
      <c r="AI9" s="85">
        <f aca="true" t="shared" si="0" ref="AI9:AI71">SUM(E9:AG9)</f>
        <v>3245659</v>
      </c>
      <c r="AK9" s="15" t="str">
        <f>'Gen Rev'!A9</f>
        <v>Ada</v>
      </c>
      <c r="AL9" s="15" t="str">
        <f aca="true" t="shared" si="1" ref="AL9:AL72">A9</f>
        <v>Ada</v>
      </c>
      <c r="AM9" s="15" t="b">
        <f aca="true" t="shared" si="2" ref="AM9:AM72">AK9=AL9</f>
        <v>1</v>
      </c>
    </row>
    <row r="10" spans="1:39" s="31" customFormat="1" ht="12.75">
      <c r="A10" s="15" t="s">
        <v>484</v>
      </c>
      <c r="B10" s="15"/>
      <c r="C10" s="15" t="s">
        <v>485</v>
      </c>
      <c r="D10" s="15"/>
      <c r="E10" s="85">
        <f>3176+6635</f>
        <v>9811</v>
      </c>
      <c r="F10" s="85"/>
      <c r="G10" s="85">
        <v>0</v>
      </c>
      <c r="H10" s="85"/>
      <c r="I10" s="85">
        <v>10476</v>
      </c>
      <c r="J10" s="85"/>
      <c r="K10" s="85">
        <v>0</v>
      </c>
      <c r="L10" s="85"/>
      <c r="M10" s="85">
        <v>0</v>
      </c>
      <c r="N10" s="85"/>
      <c r="O10" s="85">
        <v>0</v>
      </c>
      <c r="P10" s="85"/>
      <c r="Q10" s="85">
        <v>473</v>
      </c>
      <c r="R10" s="85"/>
      <c r="S10" s="85">
        <v>0</v>
      </c>
      <c r="T10" s="85"/>
      <c r="U10" s="85">
        <v>0</v>
      </c>
      <c r="V10" s="85"/>
      <c r="W10" s="85">
        <v>0</v>
      </c>
      <c r="X10" s="85"/>
      <c r="Y10" s="85">
        <v>0</v>
      </c>
      <c r="Z10" s="85"/>
      <c r="AA10" s="85">
        <v>0</v>
      </c>
      <c r="AB10" s="85"/>
      <c r="AC10" s="85">
        <v>0</v>
      </c>
      <c r="AD10" s="85"/>
      <c r="AE10" s="85">
        <v>0</v>
      </c>
      <c r="AF10" s="86"/>
      <c r="AG10" s="85">
        <v>0</v>
      </c>
      <c r="AH10" s="86"/>
      <c r="AI10" s="85">
        <f t="shared" si="0"/>
        <v>20760</v>
      </c>
      <c r="AJ10" s="24"/>
      <c r="AK10" s="15" t="str">
        <f>'Gen Rev'!A10</f>
        <v>Adamsville</v>
      </c>
      <c r="AL10" s="15" t="str">
        <f t="shared" si="1"/>
        <v>Adamsville</v>
      </c>
      <c r="AM10" s="15" t="b">
        <f t="shared" si="2"/>
        <v>1</v>
      </c>
    </row>
    <row r="11" spans="1:39" s="31" customFormat="1" ht="12.75" hidden="1">
      <c r="A11" s="15" t="s">
        <v>890</v>
      </c>
      <c r="B11" s="15"/>
      <c r="C11" s="15" t="s">
        <v>420</v>
      </c>
      <c r="D11" s="1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>
        <f t="shared" si="0"/>
        <v>0</v>
      </c>
      <c r="AJ11" s="24"/>
      <c r="AK11" s="15" t="str">
        <f>'Gen Rev'!A11</f>
        <v>Adena</v>
      </c>
      <c r="AL11" s="15" t="str">
        <f t="shared" si="1"/>
        <v>Adena</v>
      </c>
      <c r="AM11" s="15" t="b">
        <f t="shared" si="2"/>
        <v>1</v>
      </c>
    </row>
    <row r="12" spans="1:39" s="31" customFormat="1" ht="12.75">
      <c r="A12" s="15" t="s">
        <v>91</v>
      </c>
      <c r="B12" s="15"/>
      <c r="C12" s="15" t="s">
        <v>773</v>
      </c>
      <c r="D12" s="15"/>
      <c r="E12" s="36">
        <v>252331.21</v>
      </c>
      <c r="F12" s="36"/>
      <c r="G12" s="36">
        <v>343680.79</v>
      </c>
      <c r="H12" s="36"/>
      <c r="I12" s="36">
        <v>53356.96</v>
      </c>
      <c r="J12" s="36"/>
      <c r="K12" s="36">
        <v>0</v>
      </c>
      <c r="L12" s="36"/>
      <c r="M12" s="36">
        <v>167536.25</v>
      </c>
      <c r="N12" s="36"/>
      <c r="O12" s="36">
        <v>111149.45</v>
      </c>
      <c r="P12" s="36"/>
      <c r="Q12" s="36">
        <v>8</v>
      </c>
      <c r="R12" s="36"/>
      <c r="S12" s="36">
        <v>360</v>
      </c>
      <c r="T12" s="36"/>
      <c r="U12" s="36">
        <v>0</v>
      </c>
      <c r="V12" s="36"/>
      <c r="W12" s="36">
        <v>0</v>
      </c>
      <c r="X12" s="36"/>
      <c r="Y12" s="36">
        <v>0</v>
      </c>
      <c r="Z12" s="36"/>
      <c r="AA12" s="36">
        <v>0</v>
      </c>
      <c r="AB12" s="36"/>
      <c r="AC12" s="36">
        <v>0</v>
      </c>
      <c r="AD12" s="36"/>
      <c r="AE12" s="36">
        <v>3572.27</v>
      </c>
      <c r="AF12" s="36"/>
      <c r="AG12" s="36">
        <v>0</v>
      </c>
      <c r="AH12" s="36"/>
      <c r="AI12" s="36">
        <f>SUM(E12:AG12)</f>
        <v>931994.9299999999</v>
      </c>
      <c r="AJ12" s="24"/>
      <c r="AK12" s="15" t="str">
        <f>'Gen Rev'!A12</f>
        <v>Addyston</v>
      </c>
      <c r="AL12" s="15" t="str">
        <f t="shared" si="1"/>
        <v>Addyston</v>
      </c>
      <c r="AM12" s="15" t="b">
        <f t="shared" si="2"/>
        <v>1</v>
      </c>
    </row>
    <row r="13" spans="1:39" ht="12.75">
      <c r="A13" s="15" t="s">
        <v>210</v>
      </c>
      <c r="C13" s="15" t="s">
        <v>810</v>
      </c>
      <c r="E13" s="36">
        <v>29322.98</v>
      </c>
      <c r="F13" s="36"/>
      <c r="G13" s="36">
        <v>0</v>
      </c>
      <c r="H13" s="36"/>
      <c r="I13" s="36">
        <v>48390.6</v>
      </c>
      <c r="J13" s="36"/>
      <c r="K13" s="36">
        <v>0</v>
      </c>
      <c r="L13" s="36"/>
      <c r="M13" s="36">
        <v>0</v>
      </c>
      <c r="N13" s="36"/>
      <c r="O13" s="36">
        <v>4046.97</v>
      </c>
      <c r="P13" s="36"/>
      <c r="Q13" s="36">
        <v>92.52</v>
      </c>
      <c r="R13" s="36"/>
      <c r="S13" s="36">
        <v>7760.4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v>0</v>
      </c>
      <c r="AF13" s="36"/>
      <c r="AG13" s="36">
        <v>0</v>
      </c>
      <c r="AH13" s="36"/>
      <c r="AI13" s="36">
        <f>SUM(E13:AG13)</f>
        <v>89613.47</v>
      </c>
      <c r="AJ13" s="24"/>
      <c r="AK13" s="15" t="str">
        <f>'Gen Rev'!A13</f>
        <v>Adelphi</v>
      </c>
      <c r="AL13" s="15" t="str">
        <f t="shared" si="1"/>
        <v>Adelphi</v>
      </c>
      <c r="AM13" s="15" t="b">
        <f t="shared" si="2"/>
        <v>1</v>
      </c>
    </row>
    <row r="14" spans="1:39" ht="12.6" customHeight="1">
      <c r="A14" s="15" t="s">
        <v>270</v>
      </c>
      <c r="C14" s="15" t="s">
        <v>271</v>
      </c>
      <c r="E14" s="36">
        <v>89982.33</v>
      </c>
      <c r="F14" s="36"/>
      <c r="G14" s="36">
        <v>0</v>
      </c>
      <c r="H14" s="36"/>
      <c r="I14" s="36">
        <v>88526.89</v>
      </c>
      <c r="J14" s="36"/>
      <c r="K14" s="36">
        <v>0</v>
      </c>
      <c r="L14" s="36"/>
      <c r="M14" s="36">
        <v>44105.49</v>
      </c>
      <c r="N14" s="36"/>
      <c r="O14" s="36">
        <v>12946</v>
      </c>
      <c r="P14" s="36"/>
      <c r="Q14" s="36">
        <v>3004.11</v>
      </c>
      <c r="R14" s="36"/>
      <c r="S14" s="36">
        <v>3709.79</v>
      </c>
      <c r="T14" s="36"/>
      <c r="U14" s="36">
        <v>0</v>
      </c>
      <c r="V14" s="36"/>
      <c r="W14" s="36">
        <v>0</v>
      </c>
      <c r="X14" s="36"/>
      <c r="Y14" s="36">
        <v>216300</v>
      </c>
      <c r="Z14" s="36"/>
      <c r="AA14" s="36">
        <v>9969.9</v>
      </c>
      <c r="AB14" s="36"/>
      <c r="AC14" s="36">
        <v>44000</v>
      </c>
      <c r="AD14" s="36"/>
      <c r="AE14" s="36">
        <v>0</v>
      </c>
      <c r="AF14" s="36"/>
      <c r="AG14" s="36">
        <v>0</v>
      </c>
      <c r="AH14" s="36"/>
      <c r="AI14" s="36">
        <f>SUM(E14:AG14)</f>
        <v>512544.51</v>
      </c>
      <c r="AJ14" s="24"/>
      <c r="AK14" s="15" t="str">
        <f>'Gen Rev'!A14</f>
        <v>Albany</v>
      </c>
      <c r="AL14" s="15" t="str">
        <f t="shared" si="1"/>
        <v>Albany</v>
      </c>
      <c r="AM14" s="15" t="b">
        <f t="shared" si="2"/>
        <v>1</v>
      </c>
    </row>
    <row r="15" spans="1:39" ht="12.75">
      <c r="A15" s="15" t="s">
        <v>129</v>
      </c>
      <c r="C15" s="15" t="s">
        <v>785</v>
      </c>
      <c r="E15" s="36">
        <v>45305.58</v>
      </c>
      <c r="F15" s="36"/>
      <c r="G15" s="36">
        <v>0</v>
      </c>
      <c r="H15" s="36"/>
      <c r="I15" s="36">
        <v>77502.26</v>
      </c>
      <c r="J15" s="36"/>
      <c r="K15" s="36">
        <v>0</v>
      </c>
      <c r="L15" s="36"/>
      <c r="M15" s="36">
        <v>0</v>
      </c>
      <c r="N15" s="36"/>
      <c r="O15" s="36">
        <v>13944.33</v>
      </c>
      <c r="P15" s="36"/>
      <c r="Q15" s="36">
        <v>2941.44</v>
      </c>
      <c r="R15" s="36"/>
      <c r="S15" s="36">
        <v>5872.52</v>
      </c>
      <c r="T15" s="36"/>
      <c r="U15" s="36">
        <v>0</v>
      </c>
      <c r="V15" s="36"/>
      <c r="W15" s="36">
        <v>0</v>
      </c>
      <c r="X15" s="36"/>
      <c r="Y15" s="36">
        <v>0</v>
      </c>
      <c r="Z15" s="36"/>
      <c r="AA15" s="36">
        <v>12500</v>
      </c>
      <c r="AB15" s="36"/>
      <c r="AC15" s="36">
        <v>0</v>
      </c>
      <c r="AD15" s="36"/>
      <c r="AE15" s="36">
        <v>0.02</v>
      </c>
      <c r="AF15" s="36"/>
      <c r="AG15" s="36">
        <v>371.47</v>
      </c>
      <c r="AH15" s="36"/>
      <c r="AI15" s="36">
        <f>SUM(E15:AG15)</f>
        <v>158437.61999999997</v>
      </c>
      <c r="AJ15" s="24"/>
      <c r="AK15" s="15" t="str">
        <f>'Gen Rev'!A15</f>
        <v>Alexandria</v>
      </c>
      <c r="AL15" s="15" t="str">
        <f t="shared" si="1"/>
        <v>Alexandria</v>
      </c>
      <c r="AM15" s="15" t="b">
        <f t="shared" si="2"/>
        <v>1</v>
      </c>
    </row>
    <row r="16" spans="1:39" s="31" customFormat="1" ht="12.75">
      <c r="A16" s="15" t="s">
        <v>710</v>
      </c>
      <c r="B16" s="15"/>
      <c r="C16" s="15" t="s">
        <v>396</v>
      </c>
      <c r="D16" s="15"/>
      <c r="E16" s="36">
        <v>21796.34</v>
      </c>
      <c r="F16" s="36"/>
      <c r="G16" s="36">
        <v>41083.67</v>
      </c>
      <c r="H16" s="36"/>
      <c r="I16" s="36">
        <v>57952.17</v>
      </c>
      <c r="J16" s="36"/>
      <c r="K16" s="36">
        <v>19823.77</v>
      </c>
      <c r="L16" s="36"/>
      <c r="M16" s="36">
        <v>583.33</v>
      </c>
      <c r="N16" s="36"/>
      <c r="O16" s="36">
        <v>4410.8</v>
      </c>
      <c r="P16" s="36"/>
      <c r="Q16" s="36">
        <v>201.92</v>
      </c>
      <c r="R16" s="36"/>
      <c r="S16" s="36">
        <v>3109.77</v>
      </c>
      <c r="T16" s="36"/>
      <c r="U16" s="36">
        <v>0</v>
      </c>
      <c r="V16" s="36"/>
      <c r="W16" s="36">
        <v>0</v>
      </c>
      <c r="X16" s="36"/>
      <c r="Y16" s="36">
        <v>1325</v>
      </c>
      <c r="Z16" s="36"/>
      <c r="AA16" s="36">
        <v>0</v>
      </c>
      <c r="AB16" s="36"/>
      <c r="AC16" s="36">
        <v>0</v>
      </c>
      <c r="AD16" s="36"/>
      <c r="AE16" s="36">
        <v>0</v>
      </c>
      <c r="AF16" s="36"/>
      <c r="AG16" s="36">
        <v>0</v>
      </c>
      <c r="AH16" s="36"/>
      <c r="AI16" s="36">
        <f>SUM(E16:AG16)</f>
        <v>150286.76999999996</v>
      </c>
      <c r="AJ16" s="24"/>
      <c r="AK16" s="15" t="str">
        <f>'Gen Rev'!A16</f>
        <v>Alger</v>
      </c>
      <c r="AL16" s="15" t="str">
        <f t="shared" si="1"/>
        <v>Alger</v>
      </c>
      <c r="AM16" s="15" t="b">
        <f t="shared" si="2"/>
        <v>1</v>
      </c>
    </row>
    <row r="17" spans="1:39" ht="12.75" hidden="1">
      <c r="A17" s="15" t="s">
        <v>251</v>
      </c>
      <c r="C17" s="15" t="s">
        <v>824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>
        <f t="shared" si="0"/>
        <v>0</v>
      </c>
      <c r="AJ17" s="24"/>
      <c r="AK17" s="15" t="str">
        <f>'Gen Rev'!A17</f>
        <v>Alvordton</v>
      </c>
      <c r="AL17" s="15" t="str">
        <f t="shared" si="1"/>
        <v>Alvordton</v>
      </c>
      <c r="AM17" s="15" t="b">
        <f t="shared" si="2"/>
        <v>1</v>
      </c>
    </row>
    <row r="18" spans="1:42" s="31" customFormat="1" ht="12.6" customHeight="1">
      <c r="A18" s="15" t="s">
        <v>668</v>
      </c>
      <c r="B18" s="15"/>
      <c r="C18" s="15" t="s">
        <v>350</v>
      </c>
      <c r="D18" s="15"/>
      <c r="E18" s="36">
        <v>63858.59</v>
      </c>
      <c r="F18" s="36"/>
      <c r="G18" s="36">
        <v>0</v>
      </c>
      <c r="H18" s="36"/>
      <c r="I18" s="36">
        <v>64703.98</v>
      </c>
      <c r="J18" s="36"/>
      <c r="K18" s="36">
        <v>0</v>
      </c>
      <c r="L18" s="36"/>
      <c r="M18" s="36">
        <v>63149.81</v>
      </c>
      <c r="N18" s="36"/>
      <c r="O18" s="36">
        <v>462.97</v>
      </c>
      <c r="P18" s="36"/>
      <c r="Q18" s="36">
        <v>691.07</v>
      </c>
      <c r="R18" s="36"/>
      <c r="S18" s="36">
        <v>11778.74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v>0</v>
      </c>
      <c r="AF18" s="36"/>
      <c r="AG18" s="36">
        <v>0</v>
      </c>
      <c r="AH18" s="36"/>
      <c r="AI18" s="36">
        <f>SUM(E18:AG18)</f>
        <v>204645.16</v>
      </c>
      <c r="AJ18" s="24"/>
      <c r="AK18" s="15" t="str">
        <f>'Gen Rev'!A18</f>
        <v>Amanda</v>
      </c>
      <c r="AL18" s="15" t="str">
        <f t="shared" si="1"/>
        <v>Amanda</v>
      </c>
      <c r="AM18" s="15" t="b">
        <f t="shared" si="2"/>
        <v>1</v>
      </c>
      <c r="AN18" s="32"/>
      <c r="AO18" s="32"/>
      <c r="AP18" s="32"/>
    </row>
    <row r="19" spans="1:39" s="31" customFormat="1" ht="12.75">
      <c r="A19" s="15" t="s">
        <v>377</v>
      </c>
      <c r="B19" s="15"/>
      <c r="C19" s="15" t="s">
        <v>378</v>
      </c>
      <c r="D19" s="15"/>
      <c r="E19" s="85">
        <v>1257132</v>
      </c>
      <c r="F19" s="85"/>
      <c r="G19" s="85">
        <v>2225364</v>
      </c>
      <c r="H19" s="85"/>
      <c r="I19" s="85">
        <v>738265</v>
      </c>
      <c r="J19" s="85"/>
      <c r="K19" s="85">
        <v>0</v>
      </c>
      <c r="L19" s="85"/>
      <c r="M19" s="85">
        <v>224998</v>
      </c>
      <c r="N19" s="85"/>
      <c r="O19" s="85">
        <v>232958</v>
      </c>
      <c r="P19" s="85"/>
      <c r="Q19" s="85">
        <v>32318</v>
      </c>
      <c r="R19" s="85"/>
      <c r="S19" s="85">
        <v>56074</v>
      </c>
      <c r="T19" s="85"/>
      <c r="U19" s="85">
        <v>0</v>
      </c>
      <c r="V19" s="85"/>
      <c r="W19" s="85">
        <v>6221762</v>
      </c>
      <c r="X19" s="85"/>
      <c r="Y19" s="85">
        <v>0</v>
      </c>
      <c r="Z19" s="85"/>
      <c r="AA19" s="85">
        <v>196000</v>
      </c>
      <c r="AB19" s="85"/>
      <c r="AC19" s="85">
        <v>0</v>
      </c>
      <c r="AD19" s="85"/>
      <c r="AE19" s="85">
        <v>0</v>
      </c>
      <c r="AF19" s="85"/>
      <c r="AG19" s="85">
        <v>0</v>
      </c>
      <c r="AH19" s="85"/>
      <c r="AI19" s="85">
        <f t="shared" si="0"/>
        <v>11184871</v>
      </c>
      <c r="AJ19" s="24"/>
      <c r="AK19" s="15" t="str">
        <f>'Gen Rev'!A19</f>
        <v>Amberley</v>
      </c>
      <c r="AL19" s="15" t="str">
        <f t="shared" si="1"/>
        <v>Amberley</v>
      </c>
      <c r="AM19" s="15" t="b">
        <f t="shared" si="2"/>
        <v>1</v>
      </c>
    </row>
    <row r="20" spans="1:39" ht="12.6" customHeight="1">
      <c r="A20" s="15" t="s">
        <v>36</v>
      </c>
      <c r="C20" s="15" t="s">
        <v>756</v>
      </c>
      <c r="E20" s="36">
        <v>994412.28</v>
      </c>
      <c r="F20" s="36"/>
      <c r="G20" s="36">
        <v>0</v>
      </c>
      <c r="H20" s="36"/>
      <c r="I20" s="36">
        <v>482354.15</v>
      </c>
      <c r="J20" s="36"/>
      <c r="K20" s="36">
        <v>0</v>
      </c>
      <c r="L20" s="36"/>
      <c r="M20" s="36">
        <v>1000.75</v>
      </c>
      <c r="N20" s="36"/>
      <c r="O20" s="36">
        <v>99711.7</v>
      </c>
      <c r="P20" s="36"/>
      <c r="Q20" s="36">
        <v>3922.2</v>
      </c>
      <c r="R20" s="36"/>
      <c r="S20" s="36">
        <v>6566.09</v>
      </c>
      <c r="T20" s="36"/>
      <c r="U20" s="36">
        <v>0</v>
      </c>
      <c r="V20" s="36"/>
      <c r="W20" s="36">
        <v>0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v>0</v>
      </c>
      <c r="AF20" s="36"/>
      <c r="AG20" s="36">
        <v>0</v>
      </c>
      <c r="AH20" s="36"/>
      <c r="AI20" s="36">
        <f>SUM(E20:AG20)</f>
        <v>1587967.1700000002</v>
      </c>
      <c r="AJ20" s="24"/>
      <c r="AK20" s="15" t="str">
        <f>'Gen Rev'!A20</f>
        <v>Amelia</v>
      </c>
      <c r="AL20" s="15" t="str">
        <f t="shared" si="1"/>
        <v>Amelia</v>
      </c>
      <c r="AM20" s="15" t="b">
        <f t="shared" si="2"/>
        <v>1</v>
      </c>
    </row>
    <row r="21" spans="1:39" ht="12.6" customHeight="1">
      <c r="A21" s="15" t="s">
        <v>9</v>
      </c>
      <c r="C21" s="15" t="s">
        <v>748</v>
      </c>
      <c r="E21" s="36">
        <v>36729.21</v>
      </c>
      <c r="F21" s="36"/>
      <c r="G21" s="36">
        <v>0</v>
      </c>
      <c r="H21" s="36"/>
      <c r="I21" s="36">
        <v>13204.29</v>
      </c>
      <c r="J21" s="36"/>
      <c r="K21" s="36">
        <v>0</v>
      </c>
      <c r="L21" s="36"/>
      <c r="M21" s="36">
        <v>0</v>
      </c>
      <c r="N21" s="36"/>
      <c r="O21" s="36">
        <v>3000</v>
      </c>
      <c r="P21" s="36"/>
      <c r="Q21" s="36">
        <v>272.2</v>
      </c>
      <c r="R21" s="36"/>
      <c r="S21" s="36">
        <v>985.63</v>
      </c>
      <c r="T21" s="36"/>
      <c r="U21" s="36">
        <v>0</v>
      </c>
      <c r="V21" s="36"/>
      <c r="W21" s="36">
        <v>0</v>
      </c>
      <c r="X21" s="36"/>
      <c r="Y21" s="36">
        <v>0</v>
      </c>
      <c r="Z21" s="36"/>
      <c r="AA21" s="36">
        <v>12100</v>
      </c>
      <c r="AB21" s="36"/>
      <c r="AC21" s="36">
        <v>0</v>
      </c>
      <c r="AD21" s="36"/>
      <c r="AE21" s="36">
        <v>0</v>
      </c>
      <c r="AF21" s="36"/>
      <c r="AG21" s="36">
        <v>0</v>
      </c>
      <c r="AH21" s="36"/>
      <c r="AI21" s="36">
        <f>SUM(E21:AG21)</f>
        <v>66291.32999999999</v>
      </c>
      <c r="AJ21" s="24"/>
      <c r="AK21" s="15" t="str">
        <f>'Gen Rev'!A21</f>
        <v>Amesville</v>
      </c>
      <c r="AL21" s="15" t="str">
        <f t="shared" si="1"/>
        <v>Amesville</v>
      </c>
      <c r="AM21" s="15" t="b">
        <f t="shared" si="2"/>
        <v>1</v>
      </c>
    </row>
    <row r="22" spans="1:39" ht="12.75">
      <c r="A22" s="15" t="s">
        <v>421</v>
      </c>
      <c r="C22" s="15" t="s">
        <v>420</v>
      </c>
      <c r="E22" s="85">
        <f>19306+15651</f>
        <v>34957</v>
      </c>
      <c r="F22" s="85"/>
      <c r="G22" s="85">
        <v>0</v>
      </c>
      <c r="H22" s="85"/>
      <c r="I22" s="85">
        <f>20086+23876</f>
        <v>43962</v>
      </c>
      <c r="J22" s="85"/>
      <c r="K22" s="85">
        <v>0</v>
      </c>
      <c r="L22" s="85"/>
      <c r="M22" s="85">
        <v>0</v>
      </c>
      <c r="N22" s="85"/>
      <c r="O22" s="85">
        <v>4999</v>
      </c>
      <c r="P22" s="85"/>
      <c r="Q22" s="85">
        <v>201</v>
      </c>
      <c r="R22" s="85"/>
      <c r="S22" s="85">
        <f>9928+3323</f>
        <v>13251</v>
      </c>
      <c r="T22" s="85"/>
      <c r="U22" s="85">
        <v>0</v>
      </c>
      <c r="V22" s="85"/>
      <c r="W22" s="85">
        <v>0</v>
      </c>
      <c r="X22" s="85"/>
      <c r="Y22" s="85">
        <v>0</v>
      </c>
      <c r="Z22" s="85"/>
      <c r="AA22" s="85">
        <v>500</v>
      </c>
      <c r="AB22" s="85"/>
      <c r="AC22" s="85">
        <v>0</v>
      </c>
      <c r="AD22" s="85"/>
      <c r="AE22" s="85">
        <v>0</v>
      </c>
      <c r="AF22" s="85"/>
      <c r="AG22" s="85">
        <v>0</v>
      </c>
      <c r="AH22" s="85"/>
      <c r="AI22" s="85">
        <f t="shared" si="0"/>
        <v>97870</v>
      </c>
      <c r="AJ22" s="24"/>
      <c r="AK22" s="15" t="str">
        <f>'Gen Rev'!A22</f>
        <v>Amsterdam</v>
      </c>
      <c r="AL22" s="15" t="str">
        <f t="shared" si="1"/>
        <v>Amsterdam</v>
      </c>
      <c r="AM22" s="15" t="b">
        <f t="shared" si="2"/>
        <v>1</v>
      </c>
    </row>
    <row r="23" spans="1:39" ht="12.75">
      <c r="A23" s="15" t="s">
        <v>934</v>
      </c>
      <c r="C23" s="15" t="s">
        <v>674</v>
      </c>
      <c r="E23" s="36">
        <v>135977.64</v>
      </c>
      <c r="F23" s="36"/>
      <c r="G23" s="36">
        <v>508885.86</v>
      </c>
      <c r="H23" s="36"/>
      <c r="I23" s="36">
        <v>218401.69</v>
      </c>
      <c r="J23" s="36"/>
      <c r="K23" s="36">
        <v>0</v>
      </c>
      <c r="L23" s="36"/>
      <c r="M23" s="36">
        <v>4676.25</v>
      </c>
      <c r="N23" s="36"/>
      <c r="O23" s="36">
        <v>15739.81</v>
      </c>
      <c r="P23" s="36"/>
      <c r="Q23" s="36">
        <v>708.08</v>
      </c>
      <c r="R23" s="36"/>
      <c r="S23" s="36">
        <v>1032.33</v>
      </c>
      <c r="T23" s="36"/>
      <c r="U23" s="36">
        <v>0</v>
      </c>
      <c r="V23" s="36"/>
      <c r="W23" s="36">
        <v>0</v>
      </c>
      <c r="X23" s="36"/>
      <c r="Y23" s="36">
        <v>1689</v>
      </c>
      <c r="Z23" s="36"/>
      <c r="AA23" s="36">
        <v>93.76</v>
      </c>
      <c r="AB23" s="36"/>
      <c r="AC23" s="36">
        <v>9329.41</v>
      </c>
      <c r="AD23" s="36"/>
      <c r="AE23" s="36">
        <v>197648.5</v>
      </c>
      <c r="AF23" s="36"/>
      <c r="AG23" s="36">
        <v>1115.36</v>
      </c>
      <c r="AH23" s="36"/>
      <c r="AI23" s="36">
        <f>SUM(E23:AG23)</f>
        <v>1095297.6900000002</v>
      </c>
      <c r="AJ23" s="24"/>
      <c r="AK23" s="15" t="str">
        <f>'Gen Rev'!A23</f>
        <v>Andover</v>
      </c>
      <c r="AL23" s="15" t="str">
        <f t="shared" si="1"/>
        <v>Andover</v>
      </c>
      <c r="AM23" s="15" t="b">
        <f t="shared" si="2"/>
        <v>1</v>
      </c>
    </row>
    <row r="24" spans="1:39" ht="12.75">
      <c r="A24" s="15" t="s">
        <v>221</v>
      </c>
      <c r="C24" s="15" t="s">
        <v>814</v>
      </c>
      <c r="E24" s="36">
        <v>57446.5</v>
      </c>
      <c r="F24" s="36"/>
      <c r="G24" s="36">
        <v>500509.99</v>
      </c>
      <c r="H24" s="36"/>
      <c r="I24" s="36">
        <v>122978.46</v>
      </c>
      <c r="J24" s="36"/>
      <c r="K24" s="36">
        <v>41012.67</v>
      </c>
      <c r="L24" s="36"/>
      <c r="M24" s="36">
        <v>62138.97</v>
      </c>
      <c r="N24" s="36"/>
      <c r="O24" s="36">
        <v>38394.69</v>
      </c>
      <c r="P24" s="36"/>
      <c r="Q24" s="36">
        <v>372.75</v>
      </c>
      <c r="R24" s="36"/>
      <c r="S24" s="36">
        <f>32102.25+459075</f>
        <v>491177.25</v>
      </c>
      <c r="T24" s="36"/>
      <c r="U24" s="36">
        <v>0</v>
      </c>
      <c r="V24" s="36"/>
      <c r="W24" s="36">
        <v>0</v>
      </c>
      <c r="X24" s="36"/>
      <c r="Y24" s="36">
        <v>0</v>
      </c>
      <c r="Z24" s="36"/>
      <c r="AA24" s="36">
        <v>357726.73</v>
      </c>
      <c r="AB24" s="36"/>
      <c r="AC24" s="36">
        <v>149.78</v>
      </c>
      <c r="AD24" s="36"/>
      <c r="AE24" s="36">
        <v>0</v>
      </c>
      <c r="AF24" s="36"/>
      <c r="AG24" s="36">
        <v>500</v>
      </c>
      <c r="AH24" s="36"/>
      <c r="AI24" s="36">
        <f>SUM(E24:AG24)</f>
        <v>1672407.79</v>
      </c>
      <c r="AJ24" s="24"/>
      <c r="AK24" s="15" t="str">
        <f>'Gen Rev'!A24</f>
        <v>Anna</v>
      </c>
      <c r="AL24" s="15" t="str">
        <f t="shared" si="1"/>
        <v>Anna</v>
      </c>
      <c r="AM24" s="15" t="b">
        <f t="shared" si="2"/>
        <v>1</v>
      </c>
    </row>
    <row r="25" spans="1:42" ht="12.6" customHeight="1">
      <c r="A25" s="15" t="s">
        <v>328</v>
      </c>
      <c r="C25" s="15" t="s">
        <v>329</v>
      </c>
      <c r="E25" s="85">
        <v>75350.36</v>
      </c>
      <c r="F25" s="85"/>
      <c r="G25" s="85">
        <v>116430.83</v>
      </c>
      <c r="H25" s="85"/>
      <c r="I25" s="85">
        <v>149585.52</v>
      </c>
      <c r="J25" s="85"/>
      <c r="K25" s="85">
        <v>29794.47</v>
      </c>
      <c r="L25" s="85"/>
      <c r="M25" s="85">
        <v>68146.09</v>
      </c>
      <c r="N25" s="85"/>
      <c r="O25" s="85">
        <v>419.5</v>
      </c>
      <c r="P25" s="85"/>
      <c r="Q25" s="85">
        <v>370.88</v>
      </c>
      <c r="R25" s="85"/>
      <c r="S25" s="85">
        <v>27200.59</v>
      </c>
      <c r="T25" s="85"/>
      <c r="U25" s="85">
        <v>0</v>
      </c>
      <c r="V25" s="85"/>
      <c r="W25" s="85">
        <v>0</v>
      </c>
      <c r="X25" s="85"/>
      <c r="Y25" s="85">
        <v>0</v>
      </c>
      <c r="Z25" s="85"/>
      <c r="AA25" s="85">
        <v>74019.45</v>
      </c>
      <c r="AB25" s="85"/>
      <c r="AC25" s="85">
        <v>0</v>
      </c>
      <c r="AD25" s="85"/>
      <c r="AE25" s="85">
        <v>49340</v>
      </c>
      <c r="AF25" s="85"/>
      <c r="AG25" s="85">
        <v>0</v>
      </c>
      <c r="AH25" s="85"/>
      <c r="AI25" s="85">
        <f t="shared" si="0"/>
        <v>590657.69</v>
      </c>
      <c r="AJ25" s="24"/>
      <c r="AK25" s="15" t="str">
        <f>'Gen Rev'!A25</f>
        <v>Ansonia</v>
      </c>
      <c r="AL25" s="15" t="str">
        <f t="shared" si="1"/>
        <v>Ansonia</v>
      </c>
      <c r="AM25" s="15" t="b">
        <f t="shared" si="2"/>
        <v>1</v>
      </c>
      <c r="AN25" s="30"/>
      <c r="AO25" s="30"/>
      <c r="AP25" s="30"/>
    </row>
    <row r="26" spans="1:39" s="31" customFormat="1" ht="12.75">
      <c r="A26" s="15" t="s">
        <v>473</v>
      </c>
      <c r="B26" s="15"/>
      <c r="C26" s="15" t="s">
        <v>474</v>
      </c>
      <c r="D26" s="15"/>
      <c r="E26" s="85">
        <v>6300.92</v>
      </c>
      <c r="F26" s="85"/>
      <c r="G26" s="85">
        <v>0</v>
      </c>
      <c r="H26" s="85"/>
      <c r="I26" s="85">
        <v>4534.94</v>
      </c>
      <c r="J26" s="85"/>
      <c r="K26" s="85">
        <v>0</v>
      </c>
      <c r="L26" s="85"/>
      <c r="M26" s="85">
        <v>0</v>
      </c>
      <c r="N26" s="85"/>
      <c r="O26" s="85">
        <v>0</v>
      </c>
      <c r="P26" s="85"/>
      <c r="Q26" s="85">
        <v>491.63</v>
      </c>
      <c r="R26" s="85"/>
      <c r="S26" s="85">
        <v>1020</v>
      </c>
      <c r="T26" s="85"/>
      <c r="U26" s="85">
        <v>0</v>
      </c>
      <c r="V26" s="85"/>
      <c r="W26" s="85">
        <v>0</v>
      </c>
      <c r="X26" s="85"/>
      <c r="Y26" s="85">
        <v>0</v>
      </c>
      <c r="Z26" s="85"/>
      <c r="AA26" s="85">
        <v>0</v>
      </c>
      <c r="AB26" s="85"/>
      <c r="AC26" s="85">
        <v>0</v>
      </c>
      <c r="AD26" s="85"/>
      <c r="AE26" s="85">
        <v>0</v>
      </c>
      <c r="AF26" s="85"/>
      <c r="AG26" s="85">
        <v>0</v>
      </c>
      <c r="AH26" s="85"/>
      <c r="AI26" s="85">
        <f t="shared" si="0"/>
        <v>12347.49</v>
      </c>
      <c r="AJ26" s="24"/>
      <c r="AK26" s="15" t="str">
        <f>'Gen Rev'!A26</f>
        <v>Antioch</v>
      </c>
      <c r="AL26" s="15" t="str">
        <f t="shared" si="1"/>
        <v>Antioch</v>
      </c>
      <c r="AM26" s="15" t="b">
        <f t="shared" si="2"/>
        <v>1</v>
      </c>
    </row>
    <row r="27" spans="1:39" s="31" customFormat="1" ht="12.75">
      <c r="A27" s="15" t="s">
        <v>496</v>
      </c>
      <c r="B27" s="15"/>
      <c r="C27" s="15" t="s">
        <v>497</v>
      </c>
      <c r="D27" s="15"/>
      <c r="E27" s="85">
        <v>186072.43</v>
      </c>
      <c r="F27" s="85"/>
      <c r="G27" s="85">
        <v>253266.3</v>
      </c>
      <c r="H27" s="85"/>
      <c r="I27" s="85">
        <v>350905.37</v>
      </c>
      <c r="J27" s="85"/>
      <c r="K27" s="85">
        <v>16881.6</v>
      </c>
      <c r="L27" s="85"/>
      <c r="M27" s="85">
        <v>139091.42</v>
      </c>
      <c r="N27" s="85"/>
      <c r="O27" s="85">
        <v>60887.54</v>
      </c>
      <c r="P27" s="85"/>
      <c r="Q27" s="85">
        <v>4142.5</v>
      </c>
      <c r="R27" s="85"/>
      <c r="S27" s="85">
        <v>13038.6</v>
      </c>
      <c r="T27" s="85"/>
      <c r="U27" s="85">
        <v>0</v>
      </c>
      <c r="V27" s="85"/>
      <c r="W27" s="85">
        <v>55847.77</v>
      </c>
      <c r="X27" s="85"/>
      <c r="Y27" s="85">
        <v>0</v>
      </c>
      <c r="Z27" s="85"/>
      <c r="AA27" s="85">
        <v>113325.13</v>
      </c>
      <c r="AB27" s="85"/>
      <c r="AC27" s="85">
        <v>16823.63</v>
      </c>
      <c r="AD27" s="85"/>
      <c r="AE27" s="85">
        <v>0</v>
      </c>
      <c r="AF27" s="85"/>
      <c r="AG27" s="85">
        <v>0</v>
      </c>
      <c r="AH27" s="85"/>
      <c r="AI27" s="85">
        <f t="shared" si="0"/>
        <v>1210282.29</v>
      </c>
      <c r="AJ27" s="24"/>
      <c r="AK27" s="15" t="str">
        <f>'Gen Rev'!A27</f>
        <v>Antwerp</v>
      </c>
      <c r="AL27" s="15" t="str">
        <f t="shared" si="1"/>
        <v>Antwerp</v>
      </c>
      <c r="AM27" s="15" t="b">
        <f t="shared" si="2"/>
        <v>1</v>
      </c>
    </row>
    <row r="28" spans="1:39" s="31" customFormat="1" ht="12.75">
      <c r="A28" s="15" t="s">
        <v>589</v>
      </c>
      <c r="B28" s="15"/>
      <c r="C28" s="15" t="s">
        <v>590</v>
      </c>
      <c r="D28" s="15"/>
      <c r="E28" s="85">
        <v>49998.12</v>
      </c>
      <c r="F28" s="85"/>
      <c r="G28" s="85">
        <v>203456.79</v>
      </c>
      <c r="H28" s="85"/>
      <c r="I28" s="85">
        <v>76177.82</v>
      </c>
      <c r="J28" s="85"/>
      <c r="K28" s="85">
        <v>0</v>
      </c>
      <c r="L28" s="85"/>
      <c r="M28" s="85">
        <v>4950</v>
      </c>
      <c r="N28" s="85"/>
      <c r="O28" s="85">
        <v>3502</v>
      </c>
      <c r="P28" s="85"/>
      <c r="Q28" s="85">
        <v>8232.35</v>
      </c>
      <c r="R28" s="85"/>
      <c r="S28" s="85">
        <v>11714.32</v>
      </c>
      <c r="T28" s="85"/>
      <c r="U28" s="85">
        <v>0</v>
      </c>
      <c r="V28" s="85"/>
      <c r="W28" s="85">
        <v>0</v>
      </c>
      <c r="X28" s="85"/>
      <c r="Y28" s="85">
        <v>0</v>
      </c>
      <c r="Z28" s="85"/>
      <c r="AA28" s="85">
        <v>20000</v>
      </c>
      <c r="AB28" s="85"/>
      <c r="AC28" s="85">
        <v>25000</v>
      </c>
      <c r="AD28" s="85"/>
      <c r="AE28" s="85">
        <v>0</v>
      </c>
      <c r="AF28" s="85"/>
      <c r="AG28" s="85">
        <v>0</v>
      </c>
      <c r="AH28" s="85"/>
      <c r="AI28" s="85">
        <f t="shared" si="0"/>
        <v>403031.39999999997</v>
      </c>
      <c r="AJ28" s="24"/>
      <c r="AK28" s="15" t="str">
        <f>'Gen Rev'!A28</f>
        <v>Apple Creek</v>
      </c>
      <c r="AL28" s="15" t="str">
        <f t="shared" si="1"/>
        <v>Apple Creek</v>
      </c>
      <c r="AM28" s="15" t="b">
        <f t="shared" si="2"/>
        <v>1</v>
      </c>
    </row>
    <row r="29" spans="1:39" s="31" customFormat="1" ht="12.6" customHeight="1">
      <c r="A29" s="15" t="s">
        <v>711</v>
      </c>
      <c r="B29" s="15"/>
      <c r="C29" s="15" t="s">
        <v>368</v>
      </c>
      <c r="D29" s="15"/>
      <c r="E29" s="95">
        <v>14090.04</v>
      </c>
      <c r="F29" s="95"/>
      <c r="G29" s="95">
        <v>0</v>
      </c>
      <c r="H29" s="95"/>
      <c r="I29" s="95">
        <v>39199.5</v>
      </c>
      <c r="J29" s="95"/>
      <c r="K29" s="95">
        <v>4209.51</v>
      </c>
      <c r="L29" s="95"/>
      <c r="M29" s="95">
        <v>0</v>
      </c>
      <c r="N29" s="95"/>
      <c r="O29" s="95">
        <v>1852.15</v>
      </c>
      <c r="P29" s="95"/>
      <c r="Q29" s="95">
        <v>0</v>
      </c>
      <c r="R29" s="95"/>
      <c r="S29" s="95">
        <v>45</v>
      </c>
      <c r="T29" s="95"/>
      <c r="U29" s="95">
        <v>0</v>
      </c>
      <c r="V29" s="95"/>
      <c r="W29" s="95">
        <v>0</v>
      </c>
      <c r="X29" s="95"/>
      <c r="Y29" s="95">
        <v>0</v>
      </c>
      <c r="Z29" s="95"/>
      <c r="AA29" s="95">
        <v>0</v>
      </c>
      <c r="AB29" s="95"/>
      <c r="AC29" s="95">
        <v>0</v>
      </c>
      <c r="AD29" s="95"/>
      <c r="AE29" s="95">
        <v>0</v>
      </c>
      <c r="AF29" s="95"/>
      <c r="AG29" s="95">
        <v>0</v>
      </c>
      <c r="AH29" s="95"/>
      <c r="AI29" s="95">
        <f>SUM(E29:AG29)</f>
        <v>59396.200000000004</v>
      </c>
      <c r="AJ29" s="24"/>
      <c r="AK29" s="15" t="str">
        <f>'Gen Rev'!A29</f>
        <v>Aquilla</v>
      </c>
      <c r="AL29" s="15" t="str">
        <f t="shared" si="1"/>
        <v>Aquilla</v>
      </c>
      <c r="AM29" s="15" t="b">
        <f t="shared" si="2"/>
        <v>1</v>
      </c>
    </row>
    <row r="30" spans="1:39" s="31" customFormat="1" ht="12.75">
      <c r="A30" s="15" t="s">
        <v>387</v>
      </c>
      <c r="B30" s="15"/>
      <c r="C30" s="15" t="s">
        <v>388</v>
      </c>
      <c r="D30" s="15"/>
      <c r="E30" s="36">
        <v>58250.33</v>
      </c>
      <c r="F30" s="36"/>
      <c r="G30" s="36">
        <v>0</v>
      </c>
      <c r="H30" s="36"/>
      <c r="I30" s="36">
        <v>67826.36</v>
      </c>
      <c r="J30" s="36"/>
      <c r="K30" s="36">
        <v>3559.63</v>
      </c>
      <c r="L30" s="36"/>
      <c r="M30" s="36">
        <v>0</v>
      </c>
      <c r="N30" s="36"/>
      <c r="O30" s="36">
        <v>135</v>
      </c>
      <c r="P30" s="36"/>
      <c r="Q30" s="36">
        <v>2457.02</v>
      </c>
      <c r="R30" s="36"/>
      <c r="S30" s="36">
        <v>6788.47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v>0</v>
      </c>
      <c r="AF30" s="36"/>
      <c r="AG30" s="36">
        <v>0</v>
      </c>
      <c r="AH30" s="36"/>
      <c r="AI30" s="36">
        <f>SUM(E30:AG30)</f>
        <v>139016.81</v>
      </c>
      <c r="AJ30" s="24"/>
      <c r="AK30" s="15" t="str">
        <f>'Gen Rev'!A30</f>
        <v>Arcadia</v>
      </c>
      <c r="AL30" s="15" t="str">
        <f t="shared" si="1"/>
        <v>Arcadia</v>
      </c>
      <c r="AM30" s="15" t="b">
        <f t="shared" si="2"/>
        <v>1</v>
      </c>
    </row>
    <row r="31" spans="1:42" s="31" customFormat="1" ht="12.6" customHeight="1">
      <c r="A31" s="15" t="s">
        <v>330</v>
      </c>
      <c r="B31" s="15"/>
      <c r="C31" s="15" t="s">
        <v>329</v>
      </c>
      <c r="D31" s="15"/>
      <c r="E31" s="85">
        <v>109171</v>
      </c>
      <c r="F31" s="85"/>
      <c r="G31" s="85">
        <v>394566</v>
      </c>
      <c r="H31" s="85"/>
      <c r="I31" s="85">
        <v>345716</v>
      </c>
      <c r="J31" s="85"/>
      <c r="K31" s="85">
        <v>0</v>
      </c>
      <c r="L31" s="85"/>
      <c r="M31" s="85">
        <v>79284</v>
      </c>
      <c r="N31" s="85"/>
      <c r="O31" s="85">
        <v>510</v>
      </c>
      <c r="P31" s="85"/>
      <c r="Q31" s="85">
        <v>34805</v>
      </c>
      <c r="R31" s="85"/>
      <c r="S31" s="85">
        <v>21927</v>
      </c>
      <c r="T31" s="85"/>
      <c r="U31" s="85">
        <v>0</v>
      </c>
      <c r="V31" s="85"/>
      <c r="W31" s="85">
        <v>0</v>
      </c>
      <c r="X31" s="85"/>
      <c r="Y31" s="85">
        <v>0</v>
      </c>
      <c r="Z31" s="85"/>
      <c r="AA31" s="85">
        <v>98426</v>
      </c>
      <c r="AB31" s="85"/>
      <c r="AC31" s="85">
        <v>7500</v>
      </c>
      <c r="AD31" s="85"/>
      <c r="AE31" s="85">
        <v>0</v>
      </c>
      <c r="AF31" s="85"/>
      <c r="AG31" s="85">
        <v>0</v>
      </c>
      <c r="AH31" s="85"/>
      <c r="AI31" s="85">
        <f t="shared" si="0"/>
        <v>1091905</v>
      </c>
      <c r="AJ31" s="24"/>
      <c r="AK31" s="15" t="str">
        <f>'Gen Rev'!A31</f>
        <v>Arcanum</v>
      </c>
      <c r="AL31" s="15" t="str">
        <f t="shared" si="1"/>
        <v>Arcanum</v>
      </c>
      <c r="AM31" s="15" t="b">
        <f t="shared" si="2"/>
        <v>1</v>
      </c>
      <c r="AN31" s="32"/>
      <c r="AO31" s="32"/>
      <c r="AP31" s="32"/>
    </row>
    <row r="32" spans="1:39" s="31" customFormat="1" ht="12.75">
      <c r="A32" s="15" t="s">
        <v>357</v>
      </c>
      <c r="B32" s="15"/>
      <c r="C32" s="15" t="s">
        <v>358</v>
      </c>
      <c r="D32" s="15"/>
      <c r="E32" s="85">
        <v>616005</v>
      </c>
      <c r="F32" s="85"/>
      <c r="G32" s="85">
        <v>3527121</v>
      </c>
      <c r="H32" s="85"/>
      <c r="I32" s="85">
        <v>1221022</v>
      </c>
      <c r="J32" s="85"/>
      <c r="K32" s="85">
        <v>290281</v>
      </c>
      <c r="L32" s="85"/>
      <c r="M32" s="85">
        <v>676461</v>
      </c>
      <c r="N32" s="85"/>
      <c r="O32" s="85">
        <v>8175</v>
      </c>
      <c r="P32" s="85"/>
      <c r="Q32" s="85">
        <v>24622</v>
      </c>
      <c r="R32" s="85"/>
      <c r="S32" s="85">
        <v>111527</v>
      </c>
      <c r="T32" s="85"/>
      <c r="U32" s="85">
        <v>0</v>
      </c>
      <c r="V32" s="85"/>
      <c r="W32" s="85">
        <v>0</v>
      </c>
      <c r="X32" s="85"/>
      <c r="Y32" s="85">
        <v>0</v>
      </c>
      <c r="Z32" s="85"/>
      <c r="AA32" s="85">
        <v>2790000</v>
      </c>
      <c r="AB32" s="85"/>
      <c r="AC32" s="85">
        <v>750</v>
      </c>
      <c r="AD32" s="85"/>
      <c r="AE32" s="85">
        <v>378629</v>
      </c>
      <c r="AF32" s="85"/>
      <c r="AG32" s="85">
        <v>0</v>
      </c>
      <c r="AH32" s="85"/>
      <c r="AI32" s="85">
        <f t="shared" si="0"/>
        <v>9644593</v>
      </c>
      <c r="AJ32" s="24"/>
      <c r="AK32" s="15" t="str">
        <f>'Gen Rev'!A32</f>
        <v>Archbold</v>
      </c>
      <c r="AL32" s="15" t="str">
        <f t="shared" si="1"/>
        <v>Archbold</v>
      </c>
      <c r="AM32" s="15" t="b">
        <f t="shared" si="2"/>
        <v>1</v>
      </c>
    </row>
    <row r="33" spans="1:39" ht="12.75">
      <c r="A33" s="15" t="s">
        <v>98</v>
      </c>
      <c r="C33" s="15" t="s">
        <v>774</v>
      </c>
      <c r="E33" s="36">
        <v>99897.95</v>
      </c>
      <c r="F33" s="36"/>
      <c r="G33" s="36">
        <v>192509.67</v>
      </c>
      <c r="H33" s="36"/>
      <c r="I33" s="36">
        <v>161228.49</v>
      </c>
      <c r="J33" s="36"/>
      <c r="K33" s="36">
        <v>64990.12</v>
      </c>
      <c r="L33" s="36"/>
      <c r="M33" s="36">
        <v>35994</v>
      </c>
      <c r="N33" s="36"/>
      <c r="O33" s="36">
        <v>675</v>
      </c>
      <c r="P33" s="36"/>
      <c r="Q33" s="36">
        <v>19778.87</v>
      </c>
      <c r="R33" s="36"/>
      <c r="S33" s="36">
        <v>11468.36</v>
      </c>
      <c r="T33" s="36"/>
      <c r="U33" s="36">
        <v>0</v>
      </c>
      <c r="V33" s="36"/>
      <c r="W33" s="36">
        <v>0</v>
      </c>
      <c r="X33" s="36"/>
      <c r="Y33" s="36">
        <v>0</v>
      </c>
      <c r="Z33" s="36"/>
      <c r="AA33" s="36">
        <v>90000</v>
      </c>
      <c r="AB33" s="36"/>
      <c r="AC33" s="36">
        <v>43000</v>
      </c>
      <c r="AD33" s="36"/>
      <c r="AE33" s="36">
        <v>3605.57</v>
      </c>
      <c r="AF33" s="36"/>
      <c r="AG33" s="36">
        <v>0</v>
      </c>
      <c r="AH33" s="36"/>
      <c r="AI33" s="36">
        <f>SUM(E33:AG33)</f>
        <v>723148.0299999999</v>
      </c>
      <c r="AJ33" s="24"/>
      <c r="AK33" s="15" t="str">
        <f>'Gen Rev'!A33</f>
        <v>Arlington</v>
      </c>
      <c r="AL33" s="15" t="str">
        <f t="shared" si="1"/>
        <v>Arlington</v>
      </c>
      <c r="AM33" s="15" t="b">
        <f t="shared" si="2"/>
        <v>1</v>
      </c>
    </row>
    <row r="34" spans="1:39" s="31" customFormat="1" ht="12.75">
      <c r="A34" s="15" t="s">
        <v>379</v>
      </c>
      <c r="B34" s="15"/>
      <c r="C34" s="15" t="s">
        <v>378</v>
      </c>
      <c r="D34" s="15"/>
      <c r="E34" s="85">
        <v>498595</v>
      </c>
      <c r="F34" s="85"/>
      <c r="G34" s="85">
        <v>0</v>
      </c>
      <c r="H34" s="85"/>
      <c r="I34" s="85">
        <v>101150</v>
      </c>
      <c r="J34" s="85"/>
      <c r="K34" s="85">
        <v>0</v>
      </c>
      <c r="L34" s="85"/>
      <c r="M34" s="85">
        <v>117029</v>
      </c>
      <c r="N34" s="85"/>
      <c r="O34" s="85">
        <v>429969</v>
      </c>
      <c r="P34" s="85"/>
      <c r="Q34" s="85">
        <v>0</v>
      </c>
      <c r="R34" s="85"/>
      <c r="S34" s="85">
        <v>5155</v>
      </c>
      <c r="T34" s="85"/>
      <c r="U34" s="85">
        <v>0</v>
      </c>
      <c r="V34" s="85"/>
      <c r="W34" s="85">
        <v>0</v>
      </c>
      <c r="X34" s="85"/>
      <c r="Y34" s="85">
        <v>2000</v>
      </c>
      <c r="Z34" s="85"/>
      <c r="AA34" s="85">
        <v>0</v>
      </c>
      <c r="AB34" s="85"/>
      <c r="AC34" s="85">
        <v>0</v>
      </c>
      <c r="AD34" s="85"/>
      <c r="AE34" s="85">
        <v>0</v>
      </c>
      <c r="AF34" s="85"/>
      <c r="AG34" s="85">
        <v>0</v>
      </c>
      <c r="AH34" s="85"/>
      <c r="AI34" s="85">
        <f t="shared" si="0"/>
        <v>1153898</v>
      </c>
      <c r="AJ34" s="24"/>
      <c r="AK34" s="15" t="str">
        <f>'Gen Rev'!A34</f>
        <v>Arlington Heights</v>
      </c>
      <c r="AL34" s="15" t="str">
        <f t="shared" si="1"/>
        <v>Arlington Heights</v>
      </c>
      <c r="AM34" s="15" t="b">
        <f t="shared" si="2"/>
        <v>1</v>
      </c>
    </row>
    <row r="35" spans="1:39" s="31" customFormat="1" ht="12.75">
      <c r="A35" s="15" t="s">
        <v>933</v>
      </c>
      <c r="B35" s="15"/>
      <c r="C35" s="15" t="s">
        <v>343</v>
      </c>
      <c r="D35" s="15"/>
      <c r="E35" s="36">
        <v>272111.37</v>
      </c>
      <c r="F35" s="36"/>
      <c r="G35" s="36">
        <v>0</v>
      </c>
      <c r="H35" s="36"/>
      <c r="I35" s="36">
        <v>117331.56</v>
      </c>
      <c r="J35" s="36"/>
      <c r="K35" s="36">
        <v>0</v>
      </c>
      <c r="L35" s="36"/>
      <c r="M35" s="36">
        <v>74342.94</v>
      </c>
      <c r="N35" s="36"/>
      <c r="O35" s="36">
        <v>9133.6</v>
      </c>
      <c r="P35" s="36"/>
      <c r="Q35" s="36">
        <v>145.41</v>
      </c>
      <c r="R35" s="36"/>
      <c r="S35" s="36">
        <v>11990.65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v>0</v>
      </c>
      <c r="AF35" s="36"/>
      <c r="AG35" s="36">
        <v>0</v>
      </c>
      <c r="AH35" s="36"/>
      <c r="AI35" s="36">
        <f>SUM(E35:AG35)</f>
        <v>485055.52999999997</v>
      </c>
      <c r="AJ35" s="24"/>
      <c r="AK35" s="15" t="str">
        <f>'Gen Rev'!A35</f>
        <v>Ashley</v>
      </c>
      <c r="AL35" s="15" t="str">
        <f t="shared" si="1"/>
        <v>Ashley</v>
      </c>
      <c r="AM35" s="15" t="b">
        <f t="shared" si="2"/>
        <v>1</v>
      </c>
    </row>
    <row r="36" spans="1:39" ht="12.75">
      <c r="A36" s="15" t="s">
        <v>849</v>
      </c>
      <c r="C36" s="15" t="s">
        <v>804</v>
      </c>
      <c r="E36" s="36">
        <v>159937.98</v>
      </c>
      <c r="F36" s="36"/>
      <c r="G36" s="36">
        <v>904932.18</v>
      </c>
      <c r="H36" s="36"/>
      <c r="I36" s="36">
        <v>301931.28</v>
      </c>
      <c r="J36" s="36"/>
      <c r="K36" s="36">
        <v>37915.04</v>
      </c>
      <c r="L36" s="36"/>
      <c r="M36" s="36">
        <v>330948.12</v>
      </c>
      <c r="N36" s="36"/>
      <c r="O36" s="36">
        <v>73138.96</v>
      </c>
      <c r="P36" s="36"/>
      <c r="Q36" s="36">
        <v>14632.1</v>
      </c>
      <c r="R36" s="36"/>
      <c r="S36" s="36">
        <v>5777.89</v>
      </c>
      <c r="T36" s="36"/>
      <c r="U36" s="36">
        <v>0</v>
      </c>
      <c r="V36" s="36"/>
      <c r="W36" s="36">
        <v>0</v>
      </c>
      <c r="X36" s="36"/>
      <c r="Y36" s="36">
        <v>0</v>
      </c>
      <c r="Z36" s="36"/>
      <c r="AA36" s="36">
        <v>85794</v>
      </c>
      <c r="AB36" s="36"/>
      <c r="AC36" s="36">
        <v>0</v>
      </c>
      <c r="AD36" s="36"/>
      <c r="AE36" s="36">
        <v>0</v>
      </c>
      <c r="AF36" s="36"/>
      <c r="AG36" s="36">
        <v>0</v>
      </c>
      <c r="AH36" s="36"/>
      <c r="AI36" s="36">
        <f>SUM(E36:AG36)</f>
        <v>1915007.55</v>
      </c>
      <c r="AJ36" s="24"/>
      <c r="AK36" s="15" t="str">
        <f>'Gen Rev'!A36</f>
        <v>Ashville</v>
      </c>
      <c r="AL36" s="15" t="str">
        <f t="shared" si="1"/>
        <v>Ashville</v>
      </c>
      <c r="AM36" s="15" t="b">
        <f t="shared" si="2"/>
        <v>1</v>
      </c>
    </row>
    <row r="37" spans="1:39" ht="12.75">
      <c r="A37" s="15" t="s">
        <v>891</v>
      </c>
      <c r="C37" s="15" t="s">
        <v>437</v>
      </c>
      <c r="E37" s="85">
        <v>3734</v>
      </c>
      <c r="F37" s="85"/>
      <c r="G37" s="85">
        <v>830</v>
      </c>
      <c r="H37" s="85"/>
      <c r="I37" s="85">
        <v>14420</v>
      </c>
      <c r="J37" s="85"/>
      <c r="K37" s="85">
        <v>0</v>
      </c>
      <c r="L37" s="85"/>
      <c r="M37" s="85">
        <v>1677</v>
      </c>
      <c r="N37" s="85"/>
      <c r="O37" s="85">
        <v>0</v>
      </c>
      <c r="P37" s="85"/>
      <c r="Q37" s="85">
        <v>0</v>
      </c>
      <c r="R37" s="85"/>
      <c r="S37" s="85">
        <f>666+2251+12090</f>
        <v>15007</v>
      </c>
      <c r="T37" s="85"/>
      <c r="U37" s="85">
        <v>0</v>
      </c>
      <c r="V37" s="85"/>
      <c r="W37" s="85">
        <v>0</v>
      </c>
      <c r="X37" s="85"/>
      <c r="Y37" s="85">
        <v>0</v>
      </c>
      <c r="Z37" s="85"/>
      <c r="AA37" s="85">
        <v>0</v>
      </c>
      <c r="AB37" s="85"/>
      <c r="AC37" s="85">
        <v>0</v>
      </c>
      <c r="AD37" s="85"/>
      <c r="AE37" s="85">
        <v>0</v>
      </c>
      <c r="AF37" s="85"/>
      <c r="AG37" s="85">
        <v>0</v>
      </c>
      <c r="AH37" s="85"/>
      <c r="AI37" s="85">
        <f t="shared" si="0"/>
        <v>35668</v>
      </c>
      <c r="AJ37" s="24"/>
      <c r="AK37" s="15" t="str">
        <f>'Gen Rev'!A37</f>
        <v>Athalia</v>
      </c>
      <c r="AL37" s="15" t="str">
        <f t="shared" si="1"/>
        <v>Athalia</v>
      </c>
      <c r="AM37" s="15" t="b">
        <f t="shared" si="2"/>
        <v>1</v>
      </c>
    </row>
    <row r="38" spans="1:39" ht="12.75">
      <c r="A38" s="15" t="s">
        <v>218</v>
      </c>
      <c r="C38" s="15" t="s">
        <v>813</v>
      </c>
      <c r="E38" s="36">
        <v>143670.74</v>
      </c>
      <c r="F38" s="36"/>
      <c r="G38" s="36">
        <v>0</v>
      </c>
      <c r="H38" s="36"/>
      <c r="I38" s="36">
        <v>108950.19</v>
      </c>
      <c r="J38" s="36"/>
      <c r="K38" s="36">
        <v>0</v>
      </c>
      <c r="L38" s="36"/>
      <c r="M38" s="36">
        <v>8163.94</v>
      </c>
      <c r="N38" s="36"/>
      <c r="O38" s="36">
        <v>14814.56</v>
      </c>
      <c r="P38" s="36"/>
      <c r="Q38" s="36">
        <v>616.38</v>
      </c>
      <c r="R38" s="36"/>
      <c r="S38" s="36">
        <v>10744.29</v>
      </c>
      <c r="T38" s="36"/>
      <c r="U38" s="36">
        <v>0</v>
      </c>
      <c r="V38" s="36"/>
      <c r="W38" s="36">
        <v>0</v>
      </c>
      <c r="X38" s="36"/>
      <c r="Y38" s="36">
        <v>0</v>
      </c>
      <c r="Z38" s="36"/>
      <c r="AA38" s="36">
        <v>0</v>
      </c>
      <c r="AB38" s="36"/>
      <c r="AC38" s="36">
        <v>30000</v>
      </c>
      <c r="AD38" s="36"/>
      <c r="AE38" s="36">
        <v>0</v>
      </c>
      <c r="AF38" s="36"/>
      <c r="AG38" s="36">
        <v>0</v>
      </c>
      <c r="AH38" s="36"/>
      <c r="AI38" s="36">
        <f>SUM(E38:AG38)</f>
        <v>316960.1</v>
      </c>
      <c r="AJ38" s="24"/>
      <c r="AK38" s="15" t="str">
        <f>'Gen Rev'!A38</f>
        <v>Attica</v>
      </c>
      <c r="AL38" s="15" t="str">
        <f t="shared" si="1"/>
        <v>Attica</v>
      </c>
      <c r="AM38" s="15" t="b">
        <f t="shared" si="2"/>
        <v>1</v>
      </c>
    </row>
    <row r="39" spans="1:39" ht="12.75">
      <c r="A39" s="15" t="s">
        <v>670</v>
      </c>
      <c r="C39" s="15" t="s">
        <v>669</v>
      </c>
      <c r="E39" s="85">
        <v>6745</v>
      </c>
      <c r="F39" s="85"/>
      <c r="G39" s="85">
        <v>3235</v>
      </c>
      <c r="H39" s="85"/>
      <c r="I39" s="85">
        <v>42238</v>
      </c>
      <c r="J39" s="85"/>
      <c r="K39" s="85">
        <v>14692</v>
      </c>
      <c r="L39" s="85"/>
      <c r="M39" s="85">
        <v>2400</v>
      </c>
      <c r="N39" s="85"/>
      <c r="O39" s="85">
        <v>2576</v>
      </c>
      <c r="P39" s="85"/>
      <c r="Q39" s="85">
        <v>71</v>
      </c>
      <c r="R39" s="85"/>
      <c r="S39" s="85">
        <v>336</v>
      </c>
      <c r="T39" s="85"/>
      <c r="U39" s="85">
        <v>0</v>
      </c>
      <c r="V39" s="85"/>
      <c r="W39" s="85">
        <v>0</v>
      </c>
      <c r="X39" s="85"/>
      <c r="Y39" s="85">
        <v>0</v>
      </c>
      <c r="Z39" s="85"/>
      <c r="AA39" s="85">
        <v>0</v>
      </c>
      <c r="AB39" s="85"/>
      <c r="AC39" s="85">
        <v>0</v>
      </c>
      <c r="AD39" s="85"/>
      <c r="AE39" s="85">
        <v>0</v>
      </c>
      <c r="AF39" s="85"/>
      <c r="AG39" s="85">
        <v>0</v>
      </c>
      <c r="AH39" s="85"/>
      <c r="AI39" s="85">
        <f t="shared" si="0"/>
        <v>72293</v>
      </c>
      <c r="AJ39" s="24"/>
      <c r="AK39" s="15" t="str">
        <f>'Gen Rev'!A39</f>
        <v>Bailey Lakes</v>
      </c>
      <c r="AL39" s="15" t="str">
        <f t="shared" si="1"/>
        <v>Bailey Lakes</v>
      </c>
      <c r="AM39" s="15" t="b">
        <f t="shared" si="2"/>
        <v>1</v>
      </c>
    </row>
    <row r="40" spans="1:39" s="31" customFormat="1" ht="12.75">
      <c r="A40" s="15" t="s">
        <v>850</v>
      </c>
      <c r="B40" s="15"/>
      <c r="C40" s="15" t="s">
        <v>810</v>
      </c>
      <c r="D40" s="15"/>
      <c r="E40" s="36">
        <v>54783.5</v>
      </c>
      <c r="F40" s="36"/>
      <c r="G40" s="36">
        <v>0</v>
      </c>
      <c r="H40" s="36"/>
      <c r="I40" s="36">
        <v>115132.49</v>
      </c>
      <c r="J40" s="36"/>
      <c r="K40" s="36">
        <v>0</v>
      </c>
      <c r="L40" s="36"/>
      <c r="M40" s="36">
        <v>29943.76</v>
      </c>
      <c r="N40" s="36"/>
      <c r="O40" s="36">
        <v>0</v>
      </c>
      <c r="P40" s="36"/>
      <c r="Q40" s="36">
        <v>4958.54</v>
      </c>
      <c r="R40" s="36"/>
      <c r="S40" s="36">
        <v>16716.13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v>0</v>
      </c>
      <c r="AF40" s="36"/>
      <c r="AG40" s="36">
        <v>0</v>
      </c>
      <c r="AH40" s="36"/>
      <c r="AI40" s="36">
        <f>SUM(E40:AG40)</f>
        <v>221534.42</v>
      </c>
      <c r="AJ40" s="24"/>
      <c r="AK40" s="15" t="str">
        <f>'Gen Rev'!A40</f>
        <v>Bainbridge</v>
      </c>
      <c r="AL40" s="15" t="str">
        <f t="shared" si="1"/>
        <v>Bainbridge</v>
      </c>
      <c r="AM40" s="15" t="b">
        <f t="shared" si="2"/>
        <v>1</v>
      </c>
    </row>
    <row r="41" spans="1:39" s="31" customFormat="1" ht="12.75">
      <c r="A41" s="15" t="s">
        <v>602</v>
      </c>
      <c r="B41" s="15"/>
      <c r="C41" s="15" t="s">
        <v>603</v>
      </c>
      <c r="D41" s="15"/>
      <c r="E41" s="95">
        <v>2550.18</v>
      </c>
      <c r="F41" s="95"/>
      <c r="G41" s="95">
        <v>0</v>
      </c>
      <c r="H41" s="95"/>
      <c r="I41" s="95">
        <v>15523.42</v>
      </c>
      <c r="J41" s="95"/>
      <c r="K41" s="95">
        <v>3114.23</v>
      </c>
      <c r="L41" s="95"/>
      <c r="M41" s="95">
        <v>0</v>
      </c>
      <c r="N41" s="95"/>
      <c r="O41" s="95">
        <v>1280.34</v>
      </c>
      <c r="P41" s="95"/>
      <c r="Q41" s="95">
        <v>17.06</v>
      </c>
      <c r="R41" s="95"/>
      <c r="S41" s="95">
        <v>1467</v>
      </c>
      <c r="T41" s="95"/>
      <c r="U41" s="95">
        <v>0</v>
      </c>
      <c r="V41" s="95"/>
      <c r="W41" s="95">
        <v>0</v>
      </c>
      <c r="X41" s="95"/>
      <c r="Y41" s="95">
        <v>0</v>
      </c>
      <c r="Z41" s="95"/>
      <c r="AA41" s="95">
        <v>0</v>
      </c>
      <c r="AB41" s="95"/>
      <c r="AC41" s="95">
        <v>0</v>
      </c>
      <c r="AD41" s="95"/>
      <c r="AE41" s="95">
        <v>0</v>
      </c>
      <c r="AF41" s="95"/>
      <c r="AG41" s="95">
        <v>0</v>
      </c>
      <c r="AH41" s="95"/>
      <c r="AI41" s="95">
        <f>SUM(E41:AG41)</f>
        <v>23952.23</v>
      </c>
      <c r="AJ41" s="24"/>
      <c r="AK41" s="15" t="str">
        <f>'Gen Rev'!A41</f>
        <v>Bairdstown</v>
      </c>
      <c r="AL41" s="15" t="str">
        <f t="shared" si="1"/>
        <v>Bairdstown</v>
      </c>
      <c r="AM41" s="15" t="b">
        <f t="shared" si="2"/>
        <v>1</v>
      </c>
    </row>
    <row r="42" spans="1:39" ht="12.75">
      <c r="A42" s="15" t="s">
        <v>561</v>
      </c>
      <c r="C42" s="15" t="s">
        <v>562</v>
      </c>
      <c r="E42" s="85">
        <v>99565.24</v>
      </c>
      <c r="F42" s="85"/>
      <c r="G42" s="85">
        <v>181661.54</v>
      </c>
      <c r="H42" s="85"/>
      <c r="I42" s="85">
        <v>96828.92</v>
      </c>
      <c r="J42" s="85"/>
      <c r="K42" s="85">
        <v>0</v>
      </c>
      <c r="L42" s="85"/>
      <c r="M42" s="85">
        <v>101347.07</v>
      </c>
      <c r="N42" s="85"/>
      <c r="O42" s="85">
        <v>340</v>
      </c>
      <c r="P42" s="85"/>
      <c r="Q42" s="85">
        <v>1376.5</v>
      </c>
      <c r="R42" s="85"/>
      <c r="S42" s="85">
        <v>4979.22</v>
      </c>
      <c r="T42" s="85"/>
      <c r="U42" s="85">
        <v>0</v>
      </c>
      <c r="V42" s="85"/>
      <c r="W42" s="85">
        <v>0</v>
      </c>
      <c r="X42" s="85"/>
      <c r="Y42" s="85">
        <v>0</v>
      </c>
      <c r="Z42" s="85"/>
      <c r="AA42" s="85">
        <v>0</v>
      </c>
      <c r="AB42" s="85"/>
      <c r="AC42" s="85">
        <v>0</v>
      </c>
      <c r="AD42" s="85"/>
      <c r="AE42" s="85">
        <v>23827.97</v>
      </c>
      <c r="AF42" s="85"/>
      <c r="AG42" s="85">
        <v>0</v>
      </c>
      <c r="AH42" s="85"/>
      <c r="AI42" s="85">
        <f t="shared" si="0"/>
        <v>509926.45999999996</v>
      </c>
      <c r="AJ42" s="24"/>
      <c r="AK42" s="15" t="str">
        <f>'Gen Rev'!A42</f>
        <v>Baltic</v>
      </c>
      <c r="AL42" s="15" t="str">
        <f t="shared" si="1"/>
        <v>Baltic</v>
      </c>
      <c r="AM42" s="15" t="b">
        <f t="shared" si="2"/>
        <v>1</v>
      </c>
    </row>
    <row r="43" spans="1:39" s="31" customFormat="1" ht="12.6" customHeight="1">
      <c r="A43" s="15" t="s">
        <v>349</v>
      </c>
      <c r="B43" s="15"/>
      <c r="C43" s="15" t="s">
        <v>350</v>
      </c>
      <c r="D43" s="15"/>
      <c r="E43" s="85">
        <v>102096.96</v>
      </c>
      <c r="F43" s="85"/>
      <c r="G43" s="85">
        <v>595774.65</v>
      </c>
      <c r="H43" s="85"/>
      <c r="I43" s="85">
        <v>360036.67</v>
      </c>
      <c r="J43" s="85"/>
      <c r="K43" s="85">
        <v>0</v>
      </c>
      <c r="L43" s="85"/>
      <c r="M43" s="85">
        <v>43341.74</v>
      </c>
      <c r="N43" s="85"/>
      <c r="O43" s="85">
        <v>78574.85</v>
      </c>
      <c r="P43" s="85"/>
      <c r="Q43" s="85">
        <v>4388.5</v>
      </c>
      <c r="R43" s="85"/>
      <c r="S43" s="85">
        <v>56114.43</v>
      </c>
      <c r="T43" s="85"/>
      <c r="U43" s="85">
        <v>0</v>
      </c>
      <c r="V43" s="85"/>
      <c r="W43" s="85">
        <v>0</v>
      </c>
      <c r="X43" s="85"/>
      <c r="Y43" s="85">
        <v>3811.12</v>
      </c>
      <c r="Z43" s="85"/>
      <c r="AA43" s="85">
        <v>0</v>
      </c>
      <c r="AB43" s="85"/>
      <c r="AC43" s="85">
        <v>0</v>
      </c>
      <c r="AD43" s="85"/>
      <c r="AE43" s="85">
        <v>0</v>
      </c>
      <c r="AF43" s="85"/>
      <c r="AG43" s="85">
        <v>0</v>
      </c>
      <c r="AH43" s="85"/>
      <c r="AI43" s="85">
        <f t="shared" si="0"/>
        <v>1244138.9200000002</v>
      </c>
      <c r="AJ43" s="24"/>
      <c r="AK43" s="15" t="str">
        <f>'Gen Rev'!A43</f>
        <v>Baltimore</v>
      </c>
      <c r="AL43" s="15" t="str">
        <f t="shared" si="1"/>
        <v>Baltimore</v>
      </c>
      <c r="AM43" s="15" t="b">
        <f t="shared" si="2"/>
        <v>1</v>
      </c>
    </row>
    <row r="44" spans="1:39" ht="12.6" customHeight="1">
      <c r="A44" s="15" t="s">
        <v>278</v>
      </c>
      <c r="C44" s="15" t="s">
        <v>279</v>
      </c>
      <c r="E44" s="85">
        <v>150863</v>
      </c>
      <c r="F44" s="85"/>
      <c r="G44" s="85">
        <v>666846</v>
      </c>
      <c r="H44" s="85"/>
      <c r="I44" s="85">
        <v>1663216</v>
      </c>
      <c r="J44" s="85"/>
      <c r="K44" s="85">
        <v>0</v>
      </c>
      <c r="L44" s="85"/>
      <c r="M44" s="85">
        <v>292428</v>
      </c>
      <c r="N44" s="85"/>
      <c r="O44" s="85">
        <v>31051</v>
      </c>
      <c r="P44" s="85"/>
      <c r="Q44" s="85">
        <v>113817</v>
      </c>
      <c r="R44" s="85"/>
      <c r="S44" s="85">
        <v>43326</v>
      </c>
      <c r="T44" s="85"/>
      <c r="U44" s="85">
        <v>0</v>
      </c>
      <c r="V44" s="85"/>
      <c r="W44" s="85">
        <v>0</v>
      </c>
      <c r="X44" s="85"/>
      <c r="Y44" s="85">
        <v>11507</v>
      </c>
      <c r="Z44" s="85"/>
      <c r="AA44" s="85">
        <v>956316</v>
      </c>
      <c r="AB44" s="85"/>
      <c r="AC44" s="85">
        <v>0</v>
      </c>
      <c r="AD44" s="85"/>
      <c r="AE44" s="85">
        <v>976</v>
      </c>
      <c r="AF44" s="85"/>
      <c r="AG44" s="85">
        <v>0</v>
      </c>
      <c r="AH44" s="85"/>
      <c r="AI44" s="85">
        <f t="shared" si="0"/>
        <v>3930346</v>
      </c>
      <c r="AJ44" s="24"/>
      <c r="AK44" s="15" t="str">
        <f>'Gen Rev'!A44</f>
        <v>Barnesville</v>
      </c>
      <c r="AL44" s="15" t="str">
        <f t="shared" si="1"/>
        <v>Barnesville</v>
      </c>
      <c r="AM44" s="15" t="b">
        <f t="shared" si="2"/>
        <v>1</v>
      </c>
    </row>
    <row r="45" spans="1:39" s="31" customFormat="1" ht="12.75">
      <c r="A45" s="15" t="s">
        <v>563</v>
      </c>
      <c r="B45" s="15"/>
      <c r="C45" s="15" t="s">
        <v>562</v>
      </c>
      <c r="D45" s="15"/>
      <c r="E45" s="36">
        <v>14627.74</v>
      </c>
      <c r="F45" s="36"/>
      <c r="G45" s="36">
        <v>0</v>
      </c>
      <c r="H45" s="36"/>
      <c r="I45" s="36">
        <v>28546.54</v>
      </c>
      <c r="J45" s="36"/>
      <c r="K45" s="36">
        <v>0</v>
      </c>
      <c r="L45" s="36"/>
      <c r="M45" s="36">
        <v>0</v>
      </c>
      <c r="N45" s="36"/>
      <c r="O45" s="36">
        <v>210.4</v>
      </c>
      <c r="P45" s="36"/>
      <c r="Q45" s="36">
        <v>152.64</v>
      </c>
      <c r="R45" s="36"/>
      <c r="S45" s="36">
        <v>60</v>
      </c>
      <c r="T45" s="36"/>
      <c r="U45" s="36">
        <v>0</v>
      </c>
      <c r="V45" s="36"/>
      <c r="W45" s="36">
        <v>0</v>
      </c>
      <c r="X45" s="36"/>
      <c r="Y45" s="36">
        <v>1772</v>
      </c>
      <c r="Z45" s="36"/>
      <c r="AA45" s="36">
        <v>0</v>
      </c>
      <c r="AB45" s="36"/>
      <c r="AC45" s="36">
        <v>0</v>
      </c>
      <c r="AD45" s="36"/>
      <c r="AE45" s="36">
        <v>0</v>
      </c>
      <c r="AF45" s="36"/>
      <c r="AG45" s="36">
        <v>0</v>
      </c>
      <c r="AH45" s="36"/>
      <c r="AI45" s="36">
        <f>SUM(E45:AG45)</f>
        <v>45369.32</v>
      </c>
      <c r="AJ45" s="24"/>
      <c r="AK45" s="15" t="str">
        <f>'Gen Rev'!A45</f>
        <v>Barnhill</v>
      </c>
      <c r="AL45" s="15" t="str">
        <f t="shared" si="1"/>
        <v>Barnhill</v>
      </c>
      <c r="AM45" s="15" t="b">
        <f t="shared" si="2"/>
        <v>1</v>
      </c>
    </row>
    <row r="46" spans="1:39" ht="12.6" customHeight="1">
      <c r="A46" s="15" t="s">
        <v>294</v>
      </c>
      <c r="C46" s="15" t="s">
        <v>295</v>
      </c>
      <c r="E46" s="36">
        <v>99038.27</v>
      </c>
      <c r="F46" s="36"/>
      <c r="G46" s="36">
        <v>715849.38</v>
      </c>
      <c r="H46" s="36"/>
      <c r="I46" s="36">
        <v>197939.67</v>
      </c>
      <c r="J46" s="36"/>
      <c r="K46" s="36">
        <v>23892.95</v>
      </c>
      <c r="L46" s="36"/>
      <c r="M46" s="36">
        <v>2965.35</v>
      </c>
      <c r="N46" s="36"/>
      <c r="O46" s="36">
        <v>19541</v>
      </c>
      <c r="P46" s="36"/>
      <c r="Q46" s="36">
        <v>379.38</v>
      </c>
      <c r="R46" s="36"/>
      <c r="S46" s="36">
        <v>1585</v>
      </c>
      <c r="T46" s="36"/>
      <c r="U46" s="36">
        <v>0</v>
      </c>
      <c r="V46" s="36"/>
      <c r="W46" s="36">
        <v>0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v>1552.97</v>
      </c>
      <c r="AF46" s="36"/>
      <c r="AG46" s="36">
        <v>0</v>
      </c>
      <c r="AH46" s="36"/>
      <c r="AI46" s="36">
        <f>SUM(E46:AG46)</f>
        <v>1062743.97</v>
      </c>
      <c r="AJ46" s="24"/>
      <c r="AK46" s="15" t="str">
        <f>'Gen Rev'!A46</f>
        <v>Batavia</v>
      </c>
      <c r="AL46" s="15" t="str">
        <f t="shared" si="1"/>
        <v>Batavia</v>
      </c>
      <c r="AM46" s="15" t="b">
        <f t="shared" si="2"/>
        <v>1</v>
      </c>
    </row>
    <row r="47" spans="1:39" ht="12.75">
      <c r="A47" s="15" t="s">
        <v>490</v>
      </c>
      <c r="C47" s="15" t="s">
        <v>491</v>
      </c>
      <c r="E47" s="85">
        <f>15507+946</f>
        <v>16453</v>
      </c>
      <c r="F47" s="85"/>
      <c r="G47" s="85">
        <v>0</v>
      </c>
      <c r="H47" s="85"/>
      <c r="I47" s="85">
        <v>4929</v>
      </c>
      <c r="J47" s="85"/>
      <c r="K47" s="85">
        <v>0</v>
      </c>
      <c r="L47" s="85"/>
      <c r="M47" s="85">
        <v>0</v>
      </c>
      <c r="N47" s="85"/>
      <c r="O47" s="85">
        <v>0</v>
      </c>
      <c r="P47" s="85"/>
      <c r="Q47" s="85">
        <v>0</v>
      </c>
      <c r="R47" s="85"/>
      <c r="S47" s="85">
        <v>8199</v>
      </c>
      <c r="T47" s="85"/>
      <c r="U47" s="85">
        <v>0</v>
      </c>
      <c r="V47" s="85"/>
      <c r="W47" s="85">
        <v>0</v>
      </c>
      <c r="X47" s="85"/>
      <c r="Y47" s="85">
        <v>0</v>
      </c>
      <c r="Z47" s="85"/>
      <c r="AA47" s="85">
        <v>0</v>
      </c>
      <c r="AB47" s="85"/>
      <c r="AC47" s="85">
        <v>0</v>
      </c>
      <c r="AD47" s="85"/>
      <c r="AE47" s="85">
        <v>0</v>
      </c>
      <c r="AF47" s="85"/>
      <c r="AG47" s="85">
        <v>0</v>
      </c>
      <c r="AH47" s="85"/>
      <c r="AI47" s="85">
        <f t="shared" si="0"/>
        <v>29581</v>
      </c>
      <c r="AJ47" s="24"/>
      <c r="AK47" s="15" t="str">
        <f>'Gen Rev'!A47</f>
        <v>Batesville</v>
      </c>
      <c r="AL47" s="15" t="str">
        <f t="shared" si="1"/>
        <v>Batesville</v>
      </c>
      <c r="AM47" s="15" t="b">
        <f t="shared" si="2"/>
        <v>1</v>
      </c>
    </row>
    <row r="48" spans="1:42" s="31" customFormat="1" ht="12.75">
      <c r="A48" s="15" t="s">
        <v>58</v>
      </c>
      <c r="B48" s="15"/>
      <c r="C48" s="15" t="s">
        <v>765</v>
      </c>
      <c r="D48" s="15"/>
      <c r="E48" s="36">
        <v>112745.66</v>
      </c>
      <c r="F48" s="36"/>
      <c r="G48" s="36">
        <v>0</v>
      </c>
      <c r="H48" s="36"/>
      <c r="I48" s="36">
        <v>137404.51</v>
      </c>
      <c r="J48" s="36"/>
      <c r="K48" s="36">
        <v>7592.83</v>
      </c>
      <c r="L48" s="36"/>
      <c r="M48" s="36">
        <v>0</v>
      </c>
      <c r="N48" s="36"/>
      <c r="O48" s="36">
        <v>12901.68</v>
      </c>
      <c r="P48" s="36"/>
      <c r="Q48" s="36">
        <v>198.16</v>
      </c>
      <c r="R48" s="36"/>
      <c r="S48" s="36">
        <v>30112.09</v>
      </c>
      <c r="T48" s="36"/>
      <c r="U48" s="36">
        <v>0</v>
      </c>
      <c r="V48" s="36"/>
      <c r="W48" s="36">
        <v>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v>0</v>
      </c>
      <c r="AF48" s="36"/>
      <c r="AG48" s="36">
        <v>0</v>
      </c>
      <c r="AH48" s="36"/>
      <c r="AI48" s="36">
        <f>SUM(E48:AG48)</f>
        <v>300954.93</v>
      </c>
      <c r="AJ48" s="24"/>
      <c r="AK48" s="15" t="str">
        <f>'Gen Rev'!A48</f>
        <v>Bay View</v>
      </c>
      <c r="AL48" s="15" t="str">
        <f t="shared" si="1"/>
        <v>Bay View</v>
      </c>
      <c r="AM48" s="15" t="b">
        <f t="shared" si="2"/>
        <v>1</v>
      </c>
      <c r="AN48" s="32"/>
      <c r="AO48" s="32"/>
      <c r="AP48" s="32"/>
    </row>
    <row r="49" spans="1:39" s="31" customFormat="1" ht="12.75">
      <c r="A49" s="15" t="s">
        <v>541</v>
      </c>
      <c r="B49" s="15"/>
      <c r="C49" s="15" t="s">
        <v>542</v>
      </c>
      <c r="D49" s="15"/>
      <c r="E49" s="85">
        <v>107639.22</v>
      </c>
      <c r="F49" s="85"/>
      <c r="G49" s="85">
        <v>51632.44</v>
      </c>
      <c r="H49" s="85"/>
      <c r="I49" s="85">
        <v>104848.71</v>
      </c>
      <c r="J49" s="85"/>
      <c r="K49" s="85">
        <v>0</v>
      </c>
      <c r="L49" s="85"/>
      <c r="M49" s="85">
        <v>72280.51</v>
      </c>
      <c r="N49" s="85"/>
      <c r="O49" s="85">
        <v>190</v>
      </c>
      <c r="P49" s="85"/>
      <c r="Q49" s="85">
        <v>5041.21</v>
      </c>
      <c r="R49" s="85"/>
      <c r="S49" s="85">
        <v>20571.83</v>
      </c>
      <c r="T49" s="85"/>
      <c r="U49" s="85">
        <v>0</v>
      </c>
      <c r="V49" s="85"/>
      <c r="W49" s="85">
        <v>0</v>
      </c>
      <c r="X49" s="85"/>
      <c r="Y49" s="85">
        <v>0</v>
      </c>
      <c r="Z49" s="85"/>
      <c r="AA49" s="85">
        <v>0</v>
      </c>
      <c r="AB49" s="85"/>
      <c r="AC49" s="85">
        <v>0</v>
      </c>
      <c r="AD49" s="85"/>
      <c r="AE49" s="85">
        <v>100</v>
      </c>
      <c r="AF49" s="85"/>
      <c r="AG49" s="85">
        <v>0</v>
      </c>
      <c r="AH49" s="85"/>
      <c r="AI49" s="85">
        <f t="shared" si="0"/>
        <v>362303.92000000004</v>
      </c>
      <c r="AJ49" s="24"/>
      <c r="AK49" s="15" t="str">
        <f>'Gen Rev'!A49</f>
        <v>Beach</v>
      </c>
      <c r="AL49" s="15" t="str">
        <f t="shared" si="1"/>
        <v>Beach</v>
      </c>
      <c r="AM49" s="15" t="b">
        <f t="shared" si="2"/>
        <v>1</v>
      </c>
    </row>
    <row r="50" spans="1:39" ht="12.75">
      <c r="A50" s="15" t="s">
        <v>164</v>
      </c>
      <c r="C50" s="15" t="s">
        <v>796</v>
      </c>
      <c r="E50" s="36">
        <v>20269.64</v>
      </c>
      <c r="F50" s="36"/>
      <c r="G50" s="36">
        <v>0</v>
      </c>
      <c r="H50" s="36"/>
      <c r="I50" s="36">
        <v>40850.93</v>
      </c>
      <c r="J50" s="36"/>
      <c r="K50" s="36">
        <v>0</v>
      </c>
      <c r="L50" s="36"/>
      <c r="M50" s="36">
        <v>0</v>
      </c>
      <c r="N50" s="36"/>
      <c r="O50" s="36">
        <v>0</v>
      </c>
      <c r="P50" s="36"/>
      <c r="Q50" s="36">
        <v>480.12</v>
      </c>
      <c r="R50" s="36"/>
      <c r="S50" s="36">
        <v>10934.26</v>
      </c>
      <c r="T50" s="36"/>
      <c r="U50" s="36">
        <v>0</v>
      </c>
      <c r="V50" s="36"/>
      <c r="W50" s="36">
        <v>0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v>0</v>
      </c>
      <c r="AF50" s="36"/>
      <c r="AG50" s="36">
        <v>0</v>
      </c>
      <c r="AH50" s="36"/>
      <c r="AI50" s="36">
        <f>SUM(E50:AG50)</f>
        <v>72534.95</v>
      </c>
      <c r="AJ50" s="24"/>
      <c r="AK50" s="15" t="str">
        <f>'Gen Rev'!A50</f>
        <v>Beallsville</v>
      </c>
      <c r="AL50" s="15" t="str">
        <f t="shared" si="1"/>
        <v>Beallsville</v>
      </c>
      <c r="AM50" s="15" t="b">
        <f t="shared" si="2"/>
        <v>1</v>
      </c>
    </row>
    <row r="51" spans="1:39" s="31" customFormat="1" ht="12.75">
      <c r="A51" s="15" t="s">
        <v>193</v>
      </c>
      <c r="B51" s="15"/>
      <c r="C51" s="15" t="s">
        <v>805</v>
      </c>
      <c r="D51" s="15"/>
      <c r="E51" s="95">
        <v>20092.03</v>
      </c>
      <c r="F51" s="95"/>
      <c r="G51" s="95">
        <v>0</v>
      </c>
      <c r="H51" s="95"/>
      <c r="I51" s="95">
        <v>85140.74</v>
      </c>
      <c r="J51" s="95"/>
      <c r="K51" s="95">
        <v>0</v>
      </c>
      <c r="L51" s="95"/>
      <c r="M51" s="95">
        <v>11428</v>
      </c>
      <c r="N51" s="95"/>
      <c r="O51" s="95">
        <v>3735.34</v>
      </c>
      <c r="P51" s="95"/>
      <c r="Q51" s="95">
        <v>148.28</v>
      </c>
      <c r="R51" s="95"/>
      <c r="S51" s="95">
        <v>11307.49</v>
      </c>
      <c r="T51" s="95"/>
      <c r="U51" s="95">
        <v>0</v>
      </c>
      <c r="V51" s="95"/>
      <c r="W51" s="95">
        <v>0</v>
      </c>
      <c r="X51" s="95"/>
      <c r="Y51" s="95">
        <v>0</v>
      </c>
      <c r="Z51" s="95"/>
      <c r="AA51" s="95">
        <v>3000</v>
      </c>
      <c r="AB51" s="95"/>
      <c r="AC51" s="95">
        <v>28000</v>
      </c>
      <c r="AD51" s="95"/>
      <c r="AE51" s="95">
        <v>0</v>
      </c>
      <c r="AF51" s="95"/>
      <c r="AG51" s="95">
        <v>0</v>
      </c>
      <c r="AH51" s="95"/>
      <c r="AI51" s="95">
        <f>SUM(E51:AG51)</f>
        <v>162851.88</v>
      </c>
      <c r="AJ51" s="24"/>
      <c r="AK51" s="15" t="str">
        <f>'Gen Rev'!A51</f>
        <v>Beaver</v>
      </c>
      <c r="AL51" s="15" t="str">
        <f t="shared" si="1"/>
        <v>Beaver</v>
      </c>
      <c r="AM51" s="15" t="b">
        <f t="shared" si="2"/>
        <v>1</v>
      </c>
    </row>
    <row r="52" spans="1:39" ht="12.75">
      <c r="A52" s="15" t="s">
        <v>2</v>
      </c>
      <c r="C52" s="15" t="s">
        <v>746</v>
      </c>
      <c r="E52" s="36">
        <v>21199.01</v>
      </c>
      <c r="F52" s="36"/>
      <c r="G52" s="36">
        <v>221965.29</v>
      </c>
      <c r="H52" s="36"/>
      <c r="I52" s="36">
        <v>40240.25</v>
      </c>
      <c r="J52" s="36"/>
      <c r="K52" s="36">
        <v>0</v>
      </c>
      <c r="L52" s="36"/>
      <c r="M52" s="36">
        <v>280</v>
      </c>
      <c r="N52" s="36"/>
      <c r="O52" s="36">
        <v>10536.34</v>
      </c>
      <c r="P52" s="36"/>
      <c r="Q52" s="36">
        <v>2119.01</v>
      </c>
      <c r="R52" s="36"/>
      <c r="S52" s="36">
        <v>5340.35</v>
      </c>
      <c r="T52" s="36"/>
      <c r="U52" s="36">
        <v>0</v>
      </c>
      <c r="V52" s="36"/>
      <c r="W52" s="36">
        <v>0</v>
      </c>
      <c r="X52" s="36"/>
      <c r="Y52" s="36">
        <v>0</v>
      </c>
      <c r="Z52" s="36"/>
      <c r="AA52" s="36">
        <v>500</v>
      </c>
      <c r="AB52" s="36"/>
      <c r="AC52" s="36">
        <v>0</v>
      </c>
      <c r="AD52" s="36"/>
      <c r="AE52" s="36">
        <v>550</v>
      </c>
      <c r="AF52" s="36"/>
      <c r="AG52" s="36">
        <v>0</v>
      </c>
      <c r="AH52" s="36"/>
      <c r="AI52" s="36">
        <f>SUM(E52:AG52)</f>
        <v>302730.25000000006</v>
      </c>
      <c r="AJ52" s="24"/>
      <c r="AK52" s="15" t="str">
        <f>'Gen Rev'!A52</f>
        <v>Beaverdam</v>
      </c>
      <c r="AL52" s="15" t="str">
        <f t="shared" si="1"/>
        <v>Beaverdam</v>
      </c>
      <c r="AM52" s="15" t="b">
        <f t="shared" si="2"/>
        <v>1</v>
      </c>
    </row>
    <row r="53" spans="1:39" ht="12.6" customHeight="1">
      <c r="A53" s="15" t="s">
        <v>280</v>
      </c>
      <c r="C53" s="15" t="s">
        <v>279</v>
      </c>
      <c r="E53" s="85">
        <v>116210</v>
      </c>
      <c r="F53" s="85"/>
      <c r="G53" s="85">
        <v>699372</v>
      </c>
      <c r="H53" s="85"/>
      <c r="I53" s="85">
        <v>603060</v>
      </c>
      <c r="J53" s="85"/>
      <c r="K53" s="85">
        <v>0</v>
      </c>
      <c r="L53" s="85"/>
      <c r="M53" s="85">
        <v>168197</v>
      </c>
      <c r="N53" s="85"/>
      <c r="O53" s="85">
        <v>77078</v>
      </c>
      <c r="P53" s="85"/>
      <c r="Q53" s="85">
        <v>24986</v>
      </c>
      <c r="R53" s="85"/>
      <c r="S53" s="85">
        <f>36734+1154+64469</f>
        <v>102357</v>
      </c>
      <c r="T53" s="85"/>
      <c r="U53" s="85">
        <v>0</v>
      </c>
      <c r="V53" s="85"/>
      <c r="W53" s="85">
        <v>0</v>
      </c>
      <c r="X53" s="85"/>
      <c r="Y53" s="85">
        <v>0</v>
      </c>
      <c r="Z53" s="85"/>
      <c r="AA53" s="85">
        <v>0</v>
      </c>
      <c r="AB53" s="85"/>
      <c r="AC53" s="85">
        <v>0</v>
      </c>
      <c r="AD53" s="85"/>
      <c r="AE53" s="85">
        <v>27889</v>
      </c>
      <c r="AF53" s="85"/>
      <c r="AG53" s="85">
        <v>0</v>
      </c>
      <c r="AH53" s="85"/>
      <c r="AI53" s="85">
        <f t="shared" si="0"/>
        <v>1819149</v>
      </c>
      <c r="AJ53" s="24"/>
      <c r="AK53" s="15" t="str">
        <f>'Gen Rev'!A53</f>
        <v>Bellaire</v>
      </c>
      <c r="AL53" s="15" t="str">
        <f t="shared" si="1"/>
        <v>Bellaire</v>
      </c>
      <c r="AM53" s="15" t="b">
        <f t="shared" si="2"/>
        <v>1</v>
      </c>
    </row>
    <row r="54" spans="1:39" ht="12.75">
      <c r="A54" s="15" t="s">
        <v>132</v>
      </c>
      <c r="C54" s="15" t="s">
        <v>786</v>
      </c>
      <c r="E54" s="36">
        <v>95336.57</v>
      </c>
      <c r="F54" s="36"/>
      <c r="G54" s="36">
        <v>102023.71</v>
      </c>
      <c r="H54" s="36"/>
      <c r="I54" s="36">
        <v>40828.57</v>
      </c>
      <c r="J54" s="36"/>
      <c r="K54" s="36">
        <v>0</v>
      </c>
      <c r="L54" s="36"/>
      <c r="M54" s="36">
        <v>0</v>
      </c>
      <c r="N54" s="36"/>
      <c r="O54" s="36">
        <v>6899.7</v>
      </c>
      <c r="P54" s="36"/>
      <c r="Q54" s="36">
        <v>2658.92</v>
      </c>
      <c r="R54" s="36"/>
      <c r="S54" s="36">
        <v>16372.64</v>
      </c>
      <c r="T54" s="36"/>
      <c r="U54" s="36">
        <v>0</v>
      </c>
      <c r="V54" s="36"/>
      <c r="W54" s="36">
        <v>0</v>
      </c>
      <c r="X54" s="36"/>
      <c r="Y54" s="36">
        <v>0</v>
      </c>
      <c r="Z54" s="36"/>
      <c r="AA54" s="36">
        <v>0</v>
      </c>
      <c r="AB54" s="36"/>
      <c r="AC54" s="36">
        <v>0</v>
      </c>
      <c r="AD54" s="36"/>
      <c r="AE54" s="36">
        <v>0</v>
      </c>
      <c r="AF54" s="36"/>
      <c r="AG54" s="36">
        <v>0</v>
      </c>
      <c r="AH54" s="36"/>
      <c r="AI54" s="36">
        <f>SUM(E54:AG54)</f>
        <v>264120.11000000004</v>
      </c>
      <c r="AJ54" s="24"/>
      <c r="AK54" s="15" t="str">
        <f>'Gen Rev'!A54</f>
        <v>Belle Center</v>
      </c>
      <c r="AL54" s="15" t="str">
        <f t="shared" si="1"/>
        <v>Belle Center</v>
      </c>
      <c r="AM54" s="15" t="b">
        <f t="shared" si="2"/>
        <v>1</v>
      </c>
    </row>
    <row r="55" spans="1:39" s="31" customFormat="1" ht="12.75">
      <c r="A55" s="15" t="s">
        <v>492</v>
      </c>
      <c r="B55" s="15"/>
      <c r="C55" s="15" t="s">
        <v>491</v>
      </c>
      <c r="D55" s="15"/>
      <c r="E55" s="85">
        <v>11942</v>
      </c>
      <c r="F55" s="85"/>
      <c r="G55" s="85">
        <v>0</v>
      </c>
      <c r="H55" s="85"/>
      <c r="I55" s="85">
        <v>20248</v>
      </c>
      <c r="J55" s="85"/>
      <c r="K55" s="85">
        <v>0</v>
      </c>
      <c r="L55" s="85"/>
      <c r="M55" s="85">
        <v>0</v>
      </c>
      <c r="N55" s="85"/>
      <c r="O55" s="85">
        <v>0</v>
      </c>
      <c r="P55" s="85"/>
      <c r="Q55" s="85">
        <v>21</v>
      </c>
      <c r="R55" s="85"/>
      <c r="S55" s="85">
        <v>5735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85"/>
      <c r="AE55" s="85">
        <v>0</v>
      </c>
      <c r="AF55" s="85"/>
      <c r="AG55" s="85">
        <v>0</v>
      </c>
      <c r="AH55" s="85"/>
      <c r="AI55" s="85">
        <f t="shared" si="0"/>
        <v>37946</v>
      </c>
      <c r="AJ55" s="39"/>
      <c r="AK55" s="15" t="str">
        <f>'Gen Rev'!A55</f>
        <v>Belle Valley</v>
      </c>
      <c r="AL55" s="15" t="str">
        <f t="shared" si="1"/>
        <v>Belle Valley</v>
      </c>
      <c r="AM55" s="15" t="b">
        <f t="shared" si="2"/>
        <v>1</v>
      </c>
    </row>
    <row r="56" spans="1:39" ht="12.75">
      <c r="A56" s="15" t="s">
        <v>208</v>
      </c>
      <c r="C56" s="15" t="s">
        <v>809</v>
      </c>
      <c r="E56" s="36">
        <v>393091.61</v>
      </c>
      <c r="F56" s="36"/>
      <c r="G56" s="36">
        <v>409999.83</v>
      </c>
      <c r="H56" s="36"/>
      <c r="I56" s="36">
        <v>208276.34</v>
      </c>
      <c r="J56" s="36"/>
      <c r="K56" s="36">
        <v>4320</v>
      </c>
      <c r="L56" s="36"/>
      <c r="M56" s="36">
        <v>71097</v>
      </c>
      <c r="N56" s="36"/>
      <c r="O56" s="36">
        <v>52709.64</v>
      </c>
      <c r="P56" s="36"/>
      <c r="Q56" s="36">
        <v>509.04</v>
      </c>
      <c r="R56" s="36"/>
      <c r="S56" s="36">
        <f>36471.22+3494.4</f>
        <v>39965.62</v>
      </c>
      <c r="T56" s="36"/>
      <c r="U56" s="36">
        <v>0</v>
      </c>
      <c r="V56" s="36"/>
      <c r="W56" s="36">
        <v>629000</v>
      </c>
      <c r="X56" s="36"/>
      <c r="Y56" s="36">
        <v>1850</v>
      </c>
      <c r="Z56" s="36"/>
      <c r="AA56" s="36">
        <v>577368.98</v>
      </c>
      <c r="AB56" s="36"/>
      <c r="AC56" s="36">
        <v>0</v>
      </c>
      <c r="AD56" s="36"/>
      <c r="AE56" s="36">
        <v>50000</v>
      </c>
      <c r="AF56" s="36"/>
      <c r="AG56" s="36">
        <v>50280</v>
      </c>
      <c r="AH56" s="36"/>
      <c r="AI56" s="36">
        <f>SUM(E56:AG56)</f>
        <v>2488468.0599999996</v>
      </c>
      <c r="AJ56" s="24"/>
      <c r="AK56" s="15" t="str">
        <f>'Gen Rev'!A56</f>
        <v>Bellville</v>
      </c>
      <c r="AL56" s="15" t="str">
        <f t="shared" si="1"/>
        <v>Bellville</v>
      </c>
      <c r="AM56" s="15" t="b">
        <f t="shared" si="2"/>
        <v>1</v>
      </c>
    </row>
    <row r="57" spans="1:39" ht="12.75" customHeight="1">
      <c r="A57" s="15" t="s">
        <v>279</v>
      </c>
      <c r="C57" s="15" t="s">
        <v>279</v>
      </c>
      <c r="E57" s="36">
        <v>24833.88</v>
      </c>
      <c r="F57" s="36"/>
      <c r="G57" s="36">
        <v>0</v>
      </c>
      <c r="H57" s="36"/>
      <c r="I57" s="36">
        <v>74178.21</v>
      </c>
      <c r="J57" s="36"/>
      <c r="K57" s="36">
        <v>0</v>
      </c>
      <c r="L57" s="36"/>
      <c r="M57" s="36">
        <v>81212.88</v>
      </c>
      <c r="N57" s="36"/>
      <c r="O57" s="36">
        <v>4196.44</v>
      </c>
      <c r="P57" s="36"/>
      <c r="Q57" s="36">
        <v>1596.21</v>
      </c>
      <c r="R57" s="36"/>
      <c r="S57" s="36">
        <v>514.55</v>
      </c>
      <c r="T57" s="36"/>
      <c r="U57" s="36">
        <v>0</v>
      </c>
      <c r="V57" s="36"/>
      <c r="W57" s="36">
        <v>0</v>
      </c>
      <c r="X57" s="36"/>
      <c r="Y57" s="36">
        <v>0</v>
      </c>
      <c r="Z57" s="36"/>
      <c r="AA57" s="36">
        <v>2155.31</v>
      </c>
      <c r="AB57" s="36"/>
      <c r="AC57" s="36">
        <v>0</v>
      </c>
      <c r="AD57" s="36"/>
      <c r="AE57" s="36">
        <v>0</v>
      </c>
      <c r="AF57" s="36"/>
      <c r="AG57" s="36">
        <v>0</v>
      </c>
      <c r="AH57" s="36"/>
      <c r="AI57" s="36">
        <f>SUM(E57:AG57)</f>
        <v>188687.48</v>
      </c>
      <c r="AJ57" s="24"/>
      <c r="AK57" s="15" t="str">
        <f>'Gen Rev'!A57</f>
        <v>Belmont</v>
      </c>
      <c r="AL57" s="15" t="str">
        <f t="shared" si="1"/>
        <v>Belmont</v>
      </c>
      <c r="AM57" s="15" t="b">
        <f t="shared" si="2"/>
        <v>1</v>
      </c>
    </row>
    <row r="58" spans="1:39" ht="12.75" customHeight="1">
      <c r="A58" s="15" t="s">
        <v>935</v>
      </c>
      <c r="C58" s="15" t="s">
        <v>514</v>
      </c>
      <c r="E58" s="36">
        <v>5121.11</v>
      </c>
      <c r="F58" s="36"/>
      <c r="G58" s="36">
        <v>0</v>
      </c>
      <c r="H58" s="36"/>
      <c r="I58" s="36">
        <v>42917.18</v>
      </c>
      <c r="J58" s="36"/>
      <c r="K58" s="36">
        <v>0</v>
      </c>
      <c r="L58" s="36"/>
      <c r="M58" s="36">
        <v>0</v>
      </c>
      <c r="N58" s="36"/>
      <c r="O58" s="36">
        <v>0</v>
      </c>
      <c r="P58" s="36"/>
      <c r="Q58" s="36">
        <v>718.39</v>
      </c>
      <c r="R58" s="36"/>
      <c r="S58" s="36">
        <v>907.8</v>
      </c>
      <c r="T58" s="36"/>
      <c r="U58" s="36">
        <v>0</v>
      </c>
      <c r="V58" s="36"/>
      <c r="W58" s="36">
        <v>0</v>
      </c>
      <c r="X58" s="36"/>
      <c r="Y58" s="36">
        <v>0</v>
      </c>
      <c r="Z58" s="36"/>
      <c r="AA58" s="36">
        <v>3112.22</v>
      </c>
      <c r="AB58" s="36"/>
      <c r="AC58" s="36">
        <v>0</v>
      </c>
      <c r="AD58" s="36"/>
      <c r="AE58" s="36">
        <v>0</v>
      </c>
      <c r="AF58" s="36"/>
      <c r="AG58" s="36">
        <v>0</v>
      </c>
      <c r="AH58" s="36"/>
      <c r="AI58" s="36">
        <f>SUM(E58:AG58)</f>
        <v>52776.700000000004</v>
      </c>
      <c r="AJ58" s="24"/>
      <c r="AK58" s="15" t="str">
        <f>'Gen Rev'!A58</f>
        <v>Belmore</v>
      </c>
      <c r="AL58" s="15" t="str">
        <f t="shared" si="1"/>
        <v>Belmore</v>
      </c>
      <c r="AM58" s="15" t="b">
        <f t="shared" si="2"/>
        <v>1</v>
      </c>
    </row>
    <row r="59" spans="1:39" ht="12.75">
      <c r="A59" s="15" t="s">
        <v>143</v>
      </c>
      <c r="C59" s="15" t="s">
        <v>790</v>
      </c>
      <c r="E59" s="36">
        <v>131883.98</v>
      </c>
      <c r="F59" s="36"/>
      <c r="G59" s="36">
        <v>0</v>
      </c>
      <c r="H59" s="36"/>
      <c r="I59" s="36">
        <v>70628.9</v>
      </c>
      <c r="J59" s="36"/>
      <c r="K59" s="36">
        <v>0</v>
      </c>
      <c r="L59" s="36"/>
      <c r="M59" s="36">
        <v>68299.49</v>
      </c>
      <c r="N59" s="36"/>
      <c r="O59" s="36">
        <v>13987.18</v>
      </c>
      <c r="P59" s="36"/>
      <c r="Q59" s="36">
        <v>210.39</v>
      </c>
      <c r="R59" s="36"/>
      <c r="S59" s="36">
        <v>55591.12</v>
      </c>
      <c r="T59" s="36"/>
      <c r="U59" s="36">
        <v>0</v>
      </c>
      <c r="V59" s="36"/>
      <c r="W59" s="36">
        <v>0</v>
      </c>
      <c r="X59" s="36"/>
      <c r="Y59" s="36">
        <v>0</v>
      </c>
      <c r="Z59" s="36"/>
      <c r="AA59" s="36">
        <v>10000</v>
      </c>
      <c r="AB59" s="36"/>
      <c r="AC59" s="36">
        <v>0</v>
      </c>
      <c r="AD59" s="36"/>
      <c r="AE59" s="36">
        <v>0</v>
      </c>
      <c r="AF59" s="36"/>
      <c r="AG59" s="36">
        <v>0</v>
      </c>
      <c r="AH59" s="36"/>
      <c r="AI59" s="36">
        <f>SUM(E59:AG59)</f>
        <v>350601.06</v>
      </c>
      <c r="AJ59" s="24"/>
      <c r="AK59" s="15" t="str">
        <f>'Gen Rev'!A59</f>
        <v>Beloit</v>
      </c>
      <c r="AL59" s="15" t="str">
        <f t="shared" si="1"/>
        <v>Beloit</v>
      </c>
      <c r="AM59" s="15" t="b">
        <f t="shared" si="2"/>
        <v>1</v>
      </c>
    </row>
    <row r="60" spans="1:42" ht="12" customHeight="1" hidden="1">
      <c r="A60" s="15" t="s">
        <v>315</v>
      </c>
      <c r="C60" s="15" t="s">
        <v>316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>
        <f t="shared" si="0"/>
        <v>0</v>
      </c>
      <c r="AJ60" s="24"/>
      <c r="AK60" s="15" t="str">
        <f>'Gen Rev'!A60</f>
        <v>Bentleyville</v>
      </c>
      <c r="AL60" s="15" t="str">
        <f t="shared" si="1"/>
        <v>Bentleyville</v>
      </c>
      <c r="AM60" s="15" t="b">
        <f t="shared" si="2"/>
        <v>1</v>
      </c>
      <c r="AN60" s="30"/>
      <c r="AO60" s="30"/>
      <c r="AP60" s="30"/>
    </row>
    <row r="61" spans="1:39" s="31" customFormat="1" ht="12.75" hidden="1">
      <c r="A61" s="15" t="s">
        <v>892</v>
      </c>
      <c r="B61" s="15"/>
      <c r="C61" s="15" t="s">
        <v>388</v>
      </c>
      <c r="D61" s="1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>
        <f t="shared" si="0"/>
        <v>0</v>
      </c>
      <c r="AJ61" s="24"/>
      <c r="AK61" s="15" t="str">
        <f>'Gen Rev'!A61</f>
        <v>Benton Ridge</v>
      </c>
      <c r="AL61" s="15" t="str">
        <f t="shared" si="1"/>
        <v>Benton Ridge</v>
      </c>
      <c r="AM61" s="15" t="b">
        <f t="shared" si="2"/>
        <v>1</v>
      </c>
    </row>
    <row r="62" spans="1:39" s="31" customFormat="1" ht="12.75">
      <c r="A62" s="15" t="s">
        <v>422</v>
      </c>
      <c r="B62" s="15"/>
      <c r="C62" s="15" t="s">
        <v>420</v>
      </c>
      <c r="D62" s="15"/>
      <c r="E62" s="95">
        <v>22943.01</v>
      </c>
      <c r="F62" s="95"/>
      <c r="G62" s="95">
        <v>0</v>
      </c>
      <c r="H62" s="95"/>
      <c r="I62" s="95">
        <v>46757.58</v>
      </c>
      <c r="J62" s="95"/>
      <c r="K62" s="95">
        <v>545.48</v>
      </c>
      <c r="L62" s="95"/>
      <c r="M62" s="95">
        <v>0</v>
      </c>
      <c r="N62" s="95"/>
      <c r="O62" s="95">
        <v>3010.24</v>
      </c>
      <c r="P62" s="95"/>
      <c r="Q62" s="95">
        <v>61.5</v>
      </c>
      <c r="R62" s="95"/>
      <c r="S62" s="95">
        <v>11955.66</v>
      </c>
      <c r="T62" s="95"/>
      <c r="U62" s="95">
        <v>0</v>
      </c>
      <c r="V62" s="95"/>
      <c r="W62" s="95">
        <v>0</v>
      </c>
      <c r="X62" s="95"/>
      <c r="Y62" s="95">
        <v>0</v>
      </c>
      <c r="Z62" s="95"/>
      <c r="AA62" s="95">
        <v>0</v>
      </c>
      <c r="AB62" s="95"/>
      <c r="AC62" s="95">
        <v>0</v>
      </c>
      <c r="AD62" s="95"/>
      <c r="AE62" s="95">
        <v>4815.57</v>
      </c>
      <c r="AF62" s="95"/>
      <c r="AG62" s="95">
        <v>0</v>
      </c>
      <c r="AH62" s="95"/>
      <c r="AI62" s="95">
        <f aca="true" t="shared" si="3" ref="AI62:AI69">SUM(E62:AG62)</f>
        <v>90089.04000000001</v>
      </c>
      <c r="AJ62" s="24"/>
      <c r="AK62" s="15" t="str">
        <f>'Gen Rev'!A62</f>
        <v>Bergholz</v>
      </c>
      <c r="AL62" s="15" t="str">
        <f t="shared" si="1"/>
        <v>Bergholz</v>
      </c>
      <c r="AM62" s="15" t="b">
        <f t="shared" si="2"/>
        <v>1</v>
      </c>
    </row>
    <row r="63" spans="1:39" s="31" customFormat="1" ht="12.75">
      <c r="A63" s="15" t="s">
        <v>139</v>
      </c>
      <c r="B63" s="15"/>
      <c r="C63" s="15" t="s">
        <v>788</v>
      </c>
      <c r="D63" s="15"/>
      <c r="E63" s="95">
        <v>22578.02</v>
      </c>
      <c r="F63" s="95"/>
      <c r="G63" s="95">
        <v>0</v>
      </c>
      <c r="H63" s="95"/>
      <c r="I63" s="95">
        <v>82790.51</v>
      </c>
      <c r="J63" s="95"/>
      <c r="K63" s="95">
        <v>0</v>
      </c>
      <c r="L63" s="95"/>
      <c r="M63" s="95">
        <v>15563.5</v>
      </c>
      <c r="N63" s="95"/>
      <c r="O63" s="95">
        <v>36892</v>
      </c>
      <c r="P63" s="95"/>
      <c r="Q63" s="95">
        <v>67.22</v>
      </c>
      <c r="R63" s="95"/>
      <c r="S63" s="95">
        <v>3200</v>
      </c>
      <c r="T63" s="95"/>
      <c r="U63" s="95">
        <v>0</v>
      </c>
      <c r="V63" s="95"/>
      <c r="W63" s="95">
        <v>0</v>
      </c>
      <c r="X63" s="95"/>
      <c r="Y63" s="95">
        <v>0</v>
      </c>
      <c r="Z63" s="95"/>
      <c r="AA63" s="95">
        <v>0</v>
      </c>
      <c r="AB63" s="95"/>
      <c r="AC63" s="95">
        <v>0</v>
      </c>
      <c r="AD63" s="95"/>
      <c r="AE63" s="95">
        <v>0</v>
      </c>
      <c r="AF63" s="95"/>
      <c r="AG63" s="95">
        <v>0</v>
      </c>
      <c r="AH63" s="95"/>
      <c r="AI63" s="95">
        <f t="shared" si="3"/>
        <v>161091.25</v>
      </c>
      <c r="AJ63" s="24"/>
      <c r="AK63" s="15" t="str">
        <f>'Gen Rev'!A63</f>
        <v>Berkey</v>
      </c>
      <c r="AL63" s="15" t="str">
        <f t="shared" si="1"/>
        <v>Berkey</v>
      </c>
      <c r="AM63" s="15" t="b">
        <f t="shared" si="2"/>
        <v>1</v>
      </c>
    </row>
    <row r="64" spans="1:42" ht="12.6" customHeight="1">
      <c r="A64" s="15" t="s">
        <v>59</v>
      </c>
      <c r="C64" s="15" t="s">
        <v>765</v>
      </c>
      <c r="E64" s="36">
        <v>122524.84</v>
      </c>
      <c r="F64" s="36"/>
      <c r="G64" s="36">
        <v>0</v>
      </c>
      <c r="H64" s="36"/>
      <c r="I64" s="36">
        <v>238367.5</v>
      </c>
      <c r="J64" s="36"/>
      <c r="K64" s="36">
        <v>0</v>
      </c>
      <c r="L64" s="36"/>
      <c r="M64" s="36">
        <v>0</v>
      </c>
      <c r="N64" s="36"/>
      <c r="O64" s="36">
        <v>10658.33</v>
      </c>
      <c r="P64" s="36"/>
      <c r="Q64" s="36">
        <v>528.58</v>
      </c>
      <c r="R64" s="36"/>
      <c r="S64" s="36">
        <v>9102.63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v>0</v>
      </c>
      <c r="AF64" s="36"/>
      <c r="AG64" s="36">
        <v>0</v>
      </c>
      <c r="AH64" s="36"/>
      <c r="AI64" s="36">
        <f t="shared" si="3"/>
        <v>381181.88</v>
      </c>
      <c r="AJ64" s="24"/>
      <c r="AK64" s="15" t="str">
        <f>'Gen Rev'!A64</f>
        <v>Berlin Heights</v>
      </c>
      <c r="AL64" s="15" t="str">
        <f t="shared" si="1"/>
        <v>Berlin Heights</v>
      </c>
      <c r="AM64" s="15" t="b">
        <f t="shared" si="2"/>
        <v>1</v>
      </c>
      <c r="AN64" s="30"/>
      <c r="AO64" s="30"/>
      <c r="AP64" s="30"/>
    </row>
    <row r="65" spans="1:42" ht="12.6" customHeight="1">
      <c r="A65" s="15" t="s">
        <v>296</v>
      </c>
      <c r="C65" s="15" t="s">
        <v>295</v>
      </c>
      <c r="E65" s="36">
        <v>343723.6</v>
      </c>
      <c r="F65" s="36"/>
      <c r="G65" s="36">
        <v>0</v>
      </c>
      <c r="H65" s="36"/>
      <c r="I65" s="36">
        <v>285602.96</v>
      </c>
      <c r="J65" s="36"/>
      <c r="K65" s="36">
        <v>217.88</v>
      </c>
      <c r="L65" s="36"/>
      <c r="M65" s="36">
        <v>143868.48</v>
      </c>
      <c r="N65" s="36"/>
      <c r="O65" s="36">
        <v>78789.95</v>
      </c>
      <c r="P65" s="36"/>
      <c r="Q65" s="36">
        <v>1184.71</v>
      </c>
      <c r="R65" s="36"/>
      <c r="S65" s="36">
        <v>9105.26</v>
      </c>
      <c r="T65" s="36"/>
      <c r="U65" s="36">
        <v>0</v>
      </c>
      <c r="V65" s="36"/>
      <c r="W65" s="36">
        <v>0</v>
      </c>
      <c r="X65" s="36"/>
      <c r="Y65" s="36">
        <v>0</v>
      </c>
      <c r="Z65" s="36"/>
      <c r="AA65" s="36">
        <v>16362.01</v>
      </c>
      <c r="AB65" s="36"/>
      <c r="AC65" s="36">
        <v>0</v>
      </c>
      <c r="AD65" s="36"/>
      <c r="AE65" s="36">
        <v>0</v>
      </c>
      <c r="AF65" s="36"/>
      <c r="AG65" s="36">
        <v>0</v>
      </c>
      <c r="AH65" s="36"/>
      <c r="AI65" s="36">
        <f t="shared" si="3"/>
        <v>878854.85</v>
      </c>
      <c r="AJ65" s="24"/>
      <c r="AK65" s="15" t="str">
        <f>'Gen Rev'!A65</f>
        <v>Bethel</v>
      </c>
      <c r="AL65" s="15" t="str">
        <f t="shared" si="1"/>
        <v>Bethel</v>
      </c>
      <c r="AM65" s="15" t="b">
        <f t="shared" si="2"/>
        <v>1</v>
      </c>
      <c r="AN65" s="30"/>
      <c r="AO65" s="30"/>
      <c r="AP65" s="30"/>
    </row>
    <row r="66" spans="1:39" ht="12.75">
      <c r="A66" s="15" t="s">
        <v>15</v>
      </c>
      <c r="C66" s="15" t="s">
        <v>750</v>
      </c>
      <c r="E66" s="36">
        <v>77454.39</v>
      </c>
      <c r="F66" s="36"/>
      <c r="G66" s="36">
        <v>0</v>
      </c>
      <c r="H66" s="36"/>
      <c r="I66" s="36">
        <v>177575.97</v>
      </c>
      <c r="J66" s="36"/>
      <c r="K66" s="36">
        <v>2065.94</v>
      </c>
      <c r="L66" s="36"/>
      <c r="M66" s="36">
        <v>153403.31</v>
      </c>
      <c r="N66" s="36"/>
      <c r="O66" s="36">
        <v>8378</v>
      </c>
      <c r="P66" s="36"/>
      <c r="Q66" s="36">
        <v>2454.81</v>
      </c>
      <c r="R66" s="36"/>
      <c r="S66" s="36">
        <v>43630.89</v>
      </c>
      <c r="T66" s="36"/>
      <c r="U66" s="36">
        <v>0</v>
      </c>
      <c r="V66" s="36"/>
      <c r="W66" s="36">
        <v>0</v>
      </c>
      <c r="X66" s="36"/>
      <c r="Y66" s="36">
        <v>0</v>
      </c>
      <c r="Z66" s="36"/>
      <c r="AA66" s="36">
        <v>12850</v>
      </c>
      <c r="AB66" s="36"/>
      <c r="AC66" s="36">
        <v>16625</v>
      </c>
      <c r="AD66" s="36"/>
      <c r="AE66" s="36">
        <v>0</v>
      </c>
      <c r="AF66" s="36"/>
      <c r="AG66" s="36">
        <v>0</v>
      </c>
      <c r="AH66" s="36"/>
      <c r="AI66" s="36">
        <f t="shared" si="3"/>
        <v>494438.31</v>
      </c>
      <c r="AJ66" s="24"/>
      <c r="AK66" s="15" t="str">
        <f>'Gen Rev'!A66</f>
        <v>Bethesda</v>
      </c>
      <c r="AL66" s="15" t="str">
        <f t="shared" si="1"/>
        <v>Bethesda</v>
      </c>
      <c r="AM66" s="15" t="b">
        <f t="shared" si="2"/>
        <v>1</v>
      </c>
    </row>
    <row r="67" spans="1:39" s="31" customFormat="1" ht="12.75">
      <c r="A67" s="15" t="s">
        <v>533</v>
      </c>
      <c r="B67" s="15"/>
      <c r="C67" s="15" t="s">
        <v>534</v>
      </c>
      <c r="D67" s="15"/>
      <c r="E67" s="36">
        <v>58195.56</v>
      </c>
      <c r="F67" s="36"/>
      <c r="G67" s="36">
        <v>139765.16</v>
      </c>
      <c r="H67" s="36"/>
      <c r="I67" s="36">
        <v>103983.72</v>
      </c>
      <c r="J67" s="36"/>
      <c r="K67" s="36">
        <v>0</v>
      </c>
      <c r="L67" s="36"/>
      <c r="M67" s="36">
        <v>73563.79</v>
      </c>
      <c r="N67" s="36"/>
      <c r="O67" s="36">
        <v>24770.55</v>
      </c>
      <c r="P67" s="36"/>
      <c r="Q67" s="36">
        <v>1874.69</v>
      </c>
      <c r="R67" s="36"/>
      <c r="S67" s="36">
        <v>17532.06</v>
      </c>
      <c r="T67" s="36"/>
      <c r="U67" s="36">
        <v>0</v>
      </c>
      <c r="V67" s="36"/>
      <c r="W67" s="36">
        <v>0</v>
      </c>
      <c r="X67" s="36"/>
      <c r="Y67" s="36">
        <v>0</v>
      </c>
      <c r="Z67" s="36"/>
      <c r="AA67" s="36">
        <v>8133</v>
      </c>
      <c r="AB67" s="36"/>
      <c r="AC67" s="36">
        <v>23734</v>
      </c>
      <c r="AD67" s="36"/>
      <c r="AE67" s="36">
        <v>60000</v>
      </c>
      <c r="AF67" s="36"/>
      <c r="AG67" s="36">
        <v>0</v>
      </c>
      <c r="AH67" s="36"/>
      <c r="AI67" s="36">
        <f t="shared" si="3"/>
        <v>511552.52999999997</v>
      </c>
      <c r="AJ67" s="24"/>
      <c r="AK67" s="15" t="str">
        <f>'Gen Rev'!A67</f>
        <v>Bettsville</v>
      </c>
      <c r="AL67" s="15" t="str">
        <f t="shared" si="1"/>
        <v>Bettsville</v>
      </c>
      <c r="AM67" s="15" t="b">
        <f t="shared" si="2"/>
        <v>1</v>
      </c>
    </row>
    <row r="68" spans="1:39" ht="12.75">
      <c r="A68" s="15" t="s">
        <v>586</v>
      </c>
      <c r="C68" s="15" t="s">
        <v>587</v>
      </c>
      <c r="E68" s="95">
        <v>53458.09</v>
      </c>
      <c r="F68" s="95"/>
      <c r="G68" s="95">
        <v>276121.69</v>
      </c>
      <c r="H68" s="95"/>
      <c r="I68" s="95">
        <v>114714.59</v>
      </c>
      <c r="J68" s="95"/>
      <c r="K68" s="95">
        <v>0</v>
      </c>
      <c r="L68" s="95"/>
      <c r="M68" s="95">
        <v>146792.94</v>
      </c>
      <c r="N68" s="95"/>
      <c r="O68" s="95">
        <v>10243.5</v>
      </c>
      <c r="P68" s="95"/>
      <c r="Q68" s="95">
        <v>5803.11</v>
      </c>
      <c r="R68" s="95"/>
      <c r="S68" s="95">
        <v>21009.8</v>
      </c>
      <c r="T68" s="95"/>
      <c r="U68" s="95">
        <v>0</v>
      </c>
      <c r="V68" s="95"/>
      <c r="W68" s="95">
        <v>0</v>
      </c>
      <c r="X68" s="95"/>
      <c r="Y68" s="95">
        <v>0</v>
      </c>
      <c r="Z68" s="95"/>
      <c r="AA68" s="95">
        <v>55162.65</v>
      </c>
      <c r="AB68" s="95"/>
      <c r="AC68" s="95">
        <v>20000</v>
      </c>
      <c r="AD68" s="95"/>
      <c r="AE68" s="95">
        <v>60</v>
      </c>
      <c r="AF68" s="95"/>
      <c r="AG68" s="95">
        <v>0</v>
      </c>
      <c r="AH68" s="95"/>
      <c r="AI68" s="95">
        <f t="shared" si="3"/>
        <v>703366.3700000001</v>
      </c>
      <c r="AJ68" s="24"/>
      <c r="AK68" s="15" t="str">
        <f>'Gen Rev'!A68</f>
        <v>Beverly</v>
      </c>
      <c r="AL68" s="15" t="str">
        <f t="shared" si="1"/>
        <v>Beverly</v>
      </c>
      <c r="AM68" s="15" t="b">
        <f t="shared" si="2"/>
        <v>1</v>
      </c>
    </row>
    <row r="69" spans="1:39" ht="12.75">
      <c r="A69" s="15" t="s">
        <v>252</v>
      </c>
      <c r="C69" s="15" t="s">
        <v>824</v>
      </c>
      <c r="E69" s="95">
        <v>7759.35</v>
      </c>
      <c r="F69" s="95"/>
      <c r="G69" s="95">
        <v>0</v>
      </c>
      <c r="H69" s="95"/>
      <c r="I69" s="95">
        <v>15422.54</v>
      </c>
      <c r="J69" s="95"/>
      <c r="K69" s="95">
        <v>0</v>
      </c>
      <c r="L69" s="95"/>
      <c r="M69" s="95">
        <v>0</v>
      </c>
      <c r="N69" s="95"/>
      <c r="O69" s="95">
        <v>853</v>
      </c>
      <c r="P69" s="95"/>
      <c r="Q69" s="95">
        <v>1296.05</v>
      </c>
      <c r="R69" s="95"/>
      <c r="S69" s="95">
        <v>100</v>
      </c>
      <c r="T69" s="95"/>
      <c r="U69" s="95">
        <v>0</v>
      </c>
      <c r="V69" s="95"/>
      <c r="W69" s="95">
        <v>0</v>
      </c>
      <c r="X69" s="95"/>
      <c r="Y69" s="95">
        <v>0</v>
      </c>
      <c r="Z69" s="95"/>
      <c r="AA69" s="95">
        <v>0</v>
      </c>
      <c r="AB69" s="95"/>
      <c r="AC69" s="95">
        <v>0</v>
      </c>
      <c r="AD69" s="95"/>
      <c r="AE69" s="95">
        <v>0</v>
      </c>
      <c r="AF69" s="95"/>
      <c r="AG69" s="95">
        <v>0</v>
      </c>
      <c r="AH69" s="95"/>
      <c r="AI69" s="95">
        <f t="shared" si="3"/>
        <v>25430.94</v>
      </c>
      <c r="AJ69" s="24"/>
      <c r="AK69" s="15" t="str">
        <f>'Gen Rev'!A69</f>
        <v>Blakeslee</v>
      </c>
      <c r="AL69" s="15" t="str">
        <f t="shared" si="1"/>
        <v>Blakeslee</v>
      </c>
      <c r="AM69" s="15" t="b">
        <f t="shared" si="2"/>
        <v>1</v>
      </c>
    </row>
    <row r="70" spans="1:39" ht="12.75" hidden="1">
      <c r="A70" s="15" t="s">
        <v>928</v>
      </c>
      <c r="C70" s="15" t="s">
        <v>299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>
        <f t="shared" si="0"/>
        <v>0</v>
      </c>
      <c r="AJ70" s="24"/>
      <c r="AK70" s="15" t="str">
        <f>'Gen Rev'!A70</f>
        <v>Blanchester</v>
      </c>
      <c r="AL70" s="15" t="str">
        <f t="shared" si="1"/>
        <v>Blanchester</v>
      </c>
      <c r="AM70" s="15" t="b">
        <f t="shared" si="2"/>
        <v>1</v>
      </c>
    </row>
    <row r="71" spans="1:39" s="31" customFormat="1" ht="12.75">
      <c r="A71" s="15" t="s">
        <v>604</v>
      </c>
      <c r="B71" s="15"/>
      <c r="C71" s="15" t="s">
        <v>603</v>
      </c>
      <c r="D71" s="15"/>
      <c r="E71" s="85">
        <v>29711.87</v>
      </c>
      <c r="F71" s="85"/>
      <c r="G71" s="85">
        <v>92656.28</v>
      </c>
      <c r="H71" s="85"/>
      <c r="I71" s="85">
        <v>89682.7</v>
      </c>
      <c r="J71" s="85"/>
      <c r="K71" s="85">
        <v>0</v>
      </c>
      <c r="L71" s="85"/>
      <c r="M71" s="85">
        <v>31318.5</v>
      </c>
      <c r="N71" s="85"/>
      <c r="O71" s="85">
        <v>224</v>
      </c>
      <c r="P71" s="85"/>
      <c r="Q71" s="85">
        <v>524.9</v>
      </c>
      <c r="R71" s="85"/>
      <c r="S71" s="85">
        <v>13887.05</v>
      </c>
      <c r="T71" s="85"/>
      <c r="U71" s="85">
        <v>0</v>
      </c>
      <c r="V71" s="85"/>
      <c r="W71" s="85">
        <v>0</v>
      </c>
      <c r="X71" s="85"/>
      <c r="Y71" s="85">
        <v>0</v>
      </c>
      <c r="Z71" s="85"/>
      <c r="AA71" s="85">
        <v>0</v>
      </c>
      <c r="AB71" s="85"/>
      <c r="AC71" s="85">
        <v>41266.21</v>
      </c>
      <c r="AD71" s="85"/>
      <c r="AE71" s="85">
        <v>0</v>
      </c>
      <c r="AF71" s="85"/>
      <c r="AG71" s="85">
        <v>0</v>
      </c>
      <c r="AH71" s="85"/>
      <c r="AI71" s="85">
        <f t="shared" si="0"/>
        <v>299271.50999999995</v>
      </c>
      <c r="AJ71" s="24"/>
      <c r="AK71" s="15" t="str">
        <f>'Gen Rev'!A71</f>
        <v>Bloomdale</v>
      </c>
      <c r="AL71" s="15" t="str">
        <f t="shared" si="1"/>
        <v>Bloomdale</v>
      </c>
      <c r="AM71" s="15" t="b">
        <f t="shared" si="2"/>
        <v>1</v>
      </c>
    </row>
    <row r="72" spans="1:42" s="31" customFormat="1" ht="12.75">
      <c r="A72" s="15" t="s">
        <v>68</v>
      </c>
      <c r="B72" s="15"/>
      <c r="C72" s="15" t="s">
        <v>767</v>
      </c>
      <c r="D72" s="15"/>
      <c r="E72" s="36">
        <v>62336.34</v>
      </c>
      <c r="F72" s="36"/>
      <c r="G72" s="36">
        <v>0</v>
      </c>
      <c r="H72" s="36"/>
      <c r="I72" s="36">
        <v>65553.44</v>
      </c>
      <c r="J72" s="36"/>
      <c r="K72" s="36">
        <v>0</v>
      </c>
      <c r="L72" s="36"/>
      <c r="M72" s="36">
        <v>4364.63</v>
      </c>
      <c r="N72" s="36"/>
      <c r="O72" s="36">
        <v>3389.13</v>
      </c>
      <c r="P72" s="36"/>
      <c r="Q72" s="36">
        <v>4359.38</v>
      </c>
      <c r="R72" s="36"/>
      <c r="S72" s="36">
        <v>43818.31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v>0</v>
      </c>
      <c r="AF72" s="36"/>
      <c r="AG72" s="36">
        <v>0</v>
      </c>
      <c r="AH72" s="36"/>
      <c r="AI72" s="36">
        <f>SUM(E72:AG72)</f>
        <v>183821.23</v>
      </c>
      <c r="AJ72" s="24"/>
      <c r="AK72" s="15" t="str">
        <f>'Gen Rev'!A72</f>
        <v>Bloomingburg</v>
      </c>
      <c r="AL72" s="15" t="str">
        <f t="shared" si="1"/>
        <v>Bloomingburg</v>
      </c>
      <c r="AM72" s="15" t="b">
        <f t="shared" si="2"/>
        <v>1</v>
      </c>
      <c r="AN72" s="32"/>
      <c r="AO72" s="32"/>
      <c r="AP72" s="32"/>
    </row>
    <row r="73" spans="1:39" s="31" customFormat="1" ht="12.75">
      <c r="A73" s="15" t="s">
        <v>115</v>
      </c>
      <c r="B73" s="15"/>
      <c r="C73" s="15" t="s">
        <v>781</v>
      </c>
      <c r="D73" s="15"/>
      <c r="E73" s="95">
        <v>6938.27</v>
      </c>
      <c r="F73" s="95"/>
      <c r="G73" s="95">
        <v>0</v>
      </c>
      <c r="H73" s="95"/>
      <c r="I73" s="95">
        <v>28260.17</v>
      </c>
      <c r="J73" s="95"/>
      <c r="K73" s="95">
        <v>0</v>
      </c>
      <c r="L73" s="95"/>
      <c r="M73" s="95">
        <v>8200</v>
      </c>
      <c r="N73" s="95"/>
      <c r="O73" s="95">
        <v>815.05</v>
      </c>
      <c r="P73" s="95"/>
      <c r="Q73" s="95">
        <v>2.28</v>
      </c>
      <c r="R73" s="95"/>
      <c r="S73" s="95">
        <v>6689.65</v>
      </c>
      <c r="T73" s="95"/>
      <c r="U73" s="95">
        <v>0</v>
      </c>
      <c r="V73" s="95"/>
      <c r="W73" s="95">
        <v>0</v>
      </c>
      <c r="X73" s="95"/>
      <c r="Y73" s="95">
        <v>0</v>
      </c>
      <c r="Z73" s="95"/>
      <c r="AA73" s="95">
        <v>0</v>
      </c>
      <c r="AB73" s="95"/>
      <c r="AC73" s="95">
        <v>0</v>
      </c>
      <c r="AD73" s="95"/>
      <c r="AE73" s="95">
        <v>0</v>
      </c>
      <c r="AF73" s="95"/>
      <c r="AG73" s="95">
        <v>0</v>
      </c>
      <c r="AH73" s="95"/>
      <c r="AI73" s="95">
        <f>SUM(E73:AG73)</f>
        <v>50905.420000000006</v>
      </c>
      <c r="AJ73" s="24"/>
      <c r="AK73" s="15" t="str">
        <f>'Gen Rev'!A73</f>
        <v>Bloomingdale</v>
      </c>
      <c r="AL73" s="15" t="str">
        <f aca="true" t="shared" si="4" ref="AL73:AL138">A73</f>
        <v>Bloomingdale</v>
      </c>
      <c r="AM73" s="15" t="b">
        <f aca="true" t="shared" si="5" ref="AM73:AM138">AK73=AL73</f>
        <v>1</v>
      </c>
    </row>
    <row r="74" spans="1:39" ht="12.75">
      <c r="A74" s="15" t="s">
        <v>535</v>
      </c>
      <c r="C74" s="15" t="s">
        <v>534</v>
      </c>
      <c r="E74" s="85">
        <v>55129</v>
      </c>
      <c r="F74" s="85"/>
      <c r="G74" s="85">
        <v>0</v>
      </c>
      <c r="H74" s="85"/>
      <c r="I74" s="85">
        <v>118466</v>
      </c>
      <c r="J74" s="85"/>
      <c r="K74" s="85">
        <v>0</v>
      </c>
      <c r="L74" s="85"/>
      <c r="M74" s="85">
        <v>20257</v>
      </c>
      <c r="N74" s="85"/>
      <c r="O74" s="85">
        <v>12198</v>
      </c>
      <c r="P74" s="85"/>
      <c r="Q74" s="85">
        <v>5296</v>
      </c>
      <c r="R74" s="85"/>
      <c r="S74" s="85">
        <v>20066</v>
      </c>
      <c r="T74" s="85"/>
      <c r="U74" s="85">
        <v>0</v>
      </c>
      <c r="V74" s="85"/>
      <c r="W74" s="85">
        <v>0</v>
      </c>
      <c r="X74" s="85"/>
      <c r="Y74" s="85">
        <v>0</v>
      </c>
      <c r="Z74" s="85"/>
      <c r="AA74" s="85">
        <v>45790</v>
      </c>
      <c r="AB74" s="85"/>
      <c r="AC74" s="85">
        <v>0</v>
      </c>
      <c r="AD74" s="85"/>
      <c r="AE74" s="85">
        <v>0</v>
      </c>
      <c r="AF74" s="85"/>
      <c r="AG74" s="85">
        <v>0</v>
      </c>
      <c r="AH74" s="85"/>
      <c r="AI74" s="85">
        <f aca="true" t="shared" si="6" ref="AI74:AI135">SUM(E74:AG74)</f>
        <v>277202</v>
      </c>
      <c r="AJ74" s="24"/>
      <c r="AK74" s="15" t="str">
        <f>'Gen Rev'!A74</f>
        <v>Bloomville</v>
      </c>
      <c r="AL74" s="15" t="str">
        <f t="shared" si="4"/>
        <v>Bloomville</v>
      </c>
      <c r="AM74" s="15" t="b">
        <f t="shared" si="5"/>
        <v>1</v>
      </c>
    </row>
    <row r="75" spans="1:39" s="31" customFormat="1" ht="12.6" customHeight="1">
      <c r="A75" s="15" t="s">
        <v>685</v>
      </c>
      <c r="B75" s="15"/>
      <c r="C75" s="15" t="s">
        <v>686</v>
      </c>
      <c r="D75" s="15"/>
      <c r="E75" s="85">
        <v>299649</v>
      </c>
      <c r="F75" s="85"/>
      <c r="G75" s="85">
        <v>1710016</v>
      </c>
      <c r="H75" s="85"/>
      <c r="I75" s="85">
        <v>314300</v>
      </c>
      <c r="J75" s="85"/>
      <c r="K75" s="85">
        <v>40330</v>
      </c>
      <c r="L75" s="85"/>
      <c r="M75" s="85">
        <v>331675</v>
      </c>
      <c r="N75" s="85"/>
      <c r="O75" s="85">
        <v>83024</v>
      </c>
      <c r="P75" s="85"/>
      <c r="Q75" s="85">
        <v>6585</v>
      </c>
      <c r="R75" s="85"/>
      <c r="S75" s="85">
        <f>6548+6649+32347</f>
        <v>45544</v>
      </c>
      <c r="T75" s="85"/>
      <c r="U75" s="85">
        <v>0</v>
      </c>
      <c r="V75" s="85"/>
      <c r="W75" s="85">
        <v>0</v>
      </c>
      <c r="X75" s="85"/>
      <c r="Y75" s="85">
        <v>0</v>
      </c>
      <c r="Z75" s="85"/>
      <c r="AA75" s="85">
        <v>277000</v>
      </c>
      <c r="AB75" s="85"/>
      <c r="AC75" s="85">
        <v>-82890</v>
      </c>
      <c r="AD75" s="85"/>
      <c r="AE75" s="85">
        <v>0</v>
      </c>
      <c r="AF75" s="85"/>
      <c r="AG75" s="85">
        <v>0</v>
      </c>
      <c r="AH75" s="85"/>
      <c r="AI75" s="85">
        <f t="shared" si="6"/>
        <v>3025233</v>
      </c>
      <c r="AJ75" s="24"/>
      <c r="AK75" s="15" t="str">
        <f>'Gen Rev'!A75</f>
        <v>Bluffton</v>
      </c>
      <c r="AL75" s="15" t="str">
        <f t="shared" si="4"/>
        <v>Bluffton</v>
      </c>
      <c r="AM75" s="15" t="b">
        <f t="shared" si="5"/>
        <v>1</v>
      </c>
    </row>
    <row r="76" spans="1:39" s="31" customFormat="1" ht="12.75">
      <c r="A76" s="15" t="s">
        <v>564</v>
      </c>
      <c r="B76" s="15"/>
      <c r="C76" s="15" t="s">
        <v>562</v>
      </c>
      <c r="D76" s="15" t="s">
        <v>894</v>
      </c>
      <c r="E76" s="85">
        <v>173780</v>
      </c>
      <c r="F76" s="85"/>
      <c r="G76" s="85">
        <v>135956</v>
      </c>
      <c r="H76" s="85"/>
      <c r="I76" s="85">
        <v>123034</v>
      </c>
      <c r="J76" s="85"/>
      <c r="K76" s="85">
        <v>0</v>
      </c>
      <c r="L76" s="85"/>
      <c r="M76" s="85">
        <v>45862</v>
      </c>
      <c r="N76" s="85"/>
      <c r="O76" s="85">
        <v>12222</v>
      </c>
      <c r="P76" s="85"/>
      <c r="Q76" s="85">
        <v>292</v>
      </c>
      <c r="R76" s="85"/>
      <c r="S76" s="85">
        <v>0</v>
      </c>
      <c r="T76" s="85"/>
      <c r="U76" s="85">
        <v>0</v>
      </c>
      <c r="V76" s="85"/>
      <c r="W76" s="85">
        <v>0</v>
      </c>
      <c r="X76" s="85"/>
      <c r="Y76" s="85">
        <v>20483</v>
      </c>
      <c r="Z76" s="85"/>
      <c r="AA76" s="85">
        <v>128415</v>
      </c>
      <c r="AB76" s="85"/>
      <c r="AC76" s="85">
        <v>0</v>
      </c>
      <c r="AD76" s="85"/>
      <c r="AE76" s="85">
        <v>0</v>
      </c>
      <c r="AF76" s="85"/>
      <c r="AG76" s="96">
        <v>0</v>
      </c>
      <c r="AH76" s="85"/>
      <c r="AI76" s="85">
        <f t="shared" si="6"/>
        <v>640044</v>
      </c>
      <c r="AJ76" s="24"/>
      <c r="AK76" s="15" t="str">
        <f>'Gen Rev'!A76</f>
        <v>Bolivar</v>
      </c>
      <c r="AL76" s="15" t="str">
        <f t="shared" si="4"/>
        <v>Bolivar</v>
      </c>
      <c r="AM76" s="15" t="b">
        <f t="shared" si="5"/>
        <v>1</v>
      </c>
    </row>
    <row r="77" spans="1:39" ht="12.75">
      <c r="A77" s="15" t="s">
        <v>550</v>
      </c>
      <c r="C77" s="15" t="s">
        <v>551</v>
      </c>
      <c r="E77" s="85">
        <f>383134.4+83055.44+302182.84</f>
        <v>768372.68</v>
      </c>
      <c r="F77" s="85"/>
      <c r="G77" s="85">
        <v>912147.56</v>
      </c>
      <c r="H77" s="85"/>
      <c r="I77" s="85">
        <v>1082.17</v>
      </c>
      <c r="J77" s="85"/>
      <c r="K77" s="85">
        <v>0</v>
      </c>
      <c r="L77" s="85"/>
      <c r="M77" s="85">
        <v>20245.53</v>
      </c>
      <c r="N77" s="85"/>
      <c r="O77" s="85">
        <f>24981.89+282923.51</f>
        <v>307905.4</v>
      </c>
      <c r="P77" s="85"/>
      <c r="Q77" s="85">
        <v>2574.05</v>
      </c>
      <c r="R77" s="85"/>
      <c r="S77" s="85">
        <v>26797.72</v>
      </c>
      <c r="T77" s="85"/>
      <c r="U77" s="85">
        <v>0</v>
      </c>
      <c r="V77" s="85"/>
      <c r="W77" s="85">
        <v>0</v>
      </c>
      <c r="X77" s="85"/>
      <c r="Y77" s="85">
        <v>0</v>
      </c>
      <c r="Z77" s="85"/>
      <c r="AA77" s="85">
        <v>15000</v>
      </c>
      <c r="AB77" s="85"/>
      <c r="AC77" s="85">
        <v>0</v>
      </c>
      <c r="AD77" s="85"/>
      <c r="AE77" s="85">
        <v>0</v>
      </c>
      <c r="AF77" s="85"/>
      <c r="AG77" s="85">
        <v>0</v>
      </c>
      <c r="AH77" s="85"/>
      <c r="AI77" s="85">
        <f t="shared" si="6"/>
        <v>2054125.1100000003</v>
      </c>
      <c r="AJ77" s="24"/>
      <c r="AK77" s="15" t="str">
        <f>'Gen Rev'!A77</f>
        <v>Boston Heights</v>
      </c>
      <c r="AL77" s="15" t="str">
        <f t="shared" si="4"/>
        <v>Boston Heights</v>
      </c>
      <c r="AM77" s="15" t="b">
        <f t="shared" si="5"/>
        <v>1</v>
      </c>
    </row>
    <row r="78" spans="1:39" s="29" customFormat="1" ht="12.75">
      <c r="A78" s="24" t="s">
        <v>537</v>
      </c>
      <c r="B78" s="24"/>
      <c r="C78" s="24" t="s">
        <v>538</v>
      </c>
      <c r="D78" s="24"/>
      <c r="E78" s="85">
        <v>36504</v>
      </c>
      <c r="F78" s="85"/>
      <c r="G78" s="85">
        <v>553020</v>
      </c>
      <c r="H78" s="85"/>
      <c r="I78" s="85">
        <v>370941</v>
      </c>
      <c r="J78" s="85"/>
      <c r="K78" s="85">
        <v>0</v>
      </c>
      <c r="L78" s="85"/>
      <c r="M78" s="85">
        <v>39850</v>
      </c>
      <c r="N78" s="85"/>
      <c r="O78" s="85">
        <v>10797</v>
      </c>
      <c r="P78" s="85"/>
      <c r="Q78" s="85">
        <v>9489</v>
      </c>
      <c r="R78" s="85"/>
      <c r="S78" s="85">
        <v>52088</v>
      </c>
      <c r="T78" s="85"/>
      <c r="U78" s="85">
        <v>0</v>
      </c>
      <c r="V78" s="85"/>
      <c r="W78" s="85">
        <v>0</v>
      </c>
      <c r="X78" s="85"/>
      <c r="Y78" s="85">
        <v>0</v>
      </c>
      <c r="Z78" s="85"/>
      <c r="AA78" s="85">
        <v>99</v>
      </c>
      <c r="AB78" s="85"/>
      <c r="AC78" s="85">
        <v>0</v>
      </c>
      <c r="AD78" s="85"/>
      <c r="AE78" s="85">
        <v>0</v>
      </c>
      <c r="AF78" s="85"/>
      <c r="AG78" s="85">
        <v>0</v>
      </c>
      <c r="AH78" s="85"/>
      <c r="AI78" s="85">
        <f t="shared" si="6"/>
        <v>1072788</v>
      </c>
      <c r="AJ78" s="24"/>
      <c r="AK78" s="15" t="str">
        <f>'Gen Rev'!A78</f>
        <v>Botkins</v>
      </c>
      <c r="AL78" s="15" t="str">
        <f t="shared" si="4"/>
        <v>Botkins</v>
      </c>
      <c r="AM78" s="15" t="b">
        <f t="shared" si="5"/>
        <v>1</v>
      </c>
    </row>
    <row r="79" spans="1:39" s="31" customFormat="1" ht="12.75">
      <c r="A79" s="15" t="s">
        <v>402</v>
      </c>
      <c r="B79" s="15"/>
      <c r="C79" s="15" t="s">
        <v>403</v>
      </c>
      <c r="D79" s="15"/>
      <c r="E79" s="36">
        <v>14640.61</v>
      </c>
      <c r="F79" s="36"/>
      <c r="G79" s="36">
        <v>59607.78</v>
      </c>
      <c r="H79" s="36"/>
      <c r="I79" s="36">
        <v>37679.67</v>
      </c>
      <c r="J79" s="36"/>
      <c r="K79" s="36">
        <v>0</v>
      </c>
      <c r="L79" s="36"/>
      <c r="M79" s="36">
        <v>1000</v>
      </c>
      <c r="N79" s="36"/>
      <c r="O79" s="36">
        <v>1584.62</v>
      </c>
      <c r="P79" s="36"/>
      <c r="Q79" s="36">
        <v>387.65</v>
      </c>
      <c r="R79" s="36"/>
      <c r="S79" s="36">
        <v>510.03</v>
      </c>
      <c r="T79" s="36"/>
      <c r="U79" s="36">
        <v>0</v>
      </c>
      <c r="V79" s="36"/>
      <c r="W79" s="36">
        <v>0</v>
      </c>
      <c r="X79" s="36"/>
      <c r="Y79" s="36">
        <v>0</v>
      </c>
      <c r="Z79" s="36"/>
      <c r="AA79" s="36">
        <v>0</v>
      </c>
      <c r="AB79" s="36"/>
      <c r="AC79" s="36">
        <v>0</v>
      </c>
      <c r="AD79" s="36"/>
      <c r="AE79" s="36">
        <v>215.87</v>
      </c>
      <c r="AF79" s="36"/>
      <c r="AG79" s="36">
        <v>0</v>
      </c>
      <c r="AH79" s="36"/>
      <c r="AI79" s="36">
        <f>SUM(E79:AG79)</f>
        <v>115626.22999999998</v>
      </c>
      <c r="AJ79" s="24"/>
      <c r="AK79" s="15" t="str">
        <f>'Gen Rev'!A79</f>
        <v>Bowerston</v>
      </c>
      <c r="AL79" s="15" t="str">
        <f t="shared" si="4"/>
        <v>Bowerston</v>
      </c>
      <c r="AM79" s="15" t="b">
        <f t="shared" si="5"/>
        <v>1</v>
      </c>
    </row>
    <row r="80" spans="1:39" s="31" customFormat="1" ht="12.75">
      <c r="A80" s="15" t="s">
        <v>83</v>
      </c>
      <c r="B80" s="15"/>
      <c r="C80" s="15" t="s">
        <v>771</v>
      </c>
      <c r="D80" s="15"/>
      <c r="E80" s="36">
        <v>33108.29</v>
      </c>
      <c r="F80" s="36"/>
      <c r="G80" s="36">
        <v>0</v>
      </c>
      <c r="H80" s="36"/>
      <c r="I80" s="36">
        <v>26786.53</v>
      </c>
      <c r="J80" s="36"/>
      <c r="K80" s="36">
        <v>0</v>
      </c>
      <c r="L80" s="36"/>
      <c r="M80" s="36">
        <v>0</v>
      </c>
      <c r="N80" s="36"/>
      <c r="O80" s="36">
        <v>0</v>
      </c>
      <c r="P80" s="36"/>
      <c r="Q80" s="36">
        <v>73.56</v>
      </c>
      <c r="R80" s="36"/>
      <c r="S80" s="36">
        <v>300</v>
      </c>
      <c r="T80" s="36"/>
      <c r="U80" s="36">
        <v>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0</v>
      </c>
      <c r="AD80" s="36"/>
      <c r="AE80" s="36">
        <v>0</v>
      </c>
      <c r="AF80" s="36"/>
      <c r="AG80" s="36">
        <v>0</v>
      </c>
      <c r="AH80" s="36"/>
      <c r="AI80" s="36">
        <f>SUM(E80:AG80)</f>
        <v>60268.38</v>
      </c>
      <c r="AJ80" s="24"/>
      <c r="AK80" s="15" t="str">
        <f>'Gen Rev'!A80</f>
        <v>Bowersville</v>
      </c>
      <c r="AL80" s="15" t="str">
        <f t="shared" si="4"/>
        <v>Bowersville</v>
      </c>
      <c r="AM80" s="15" t="b">
        <f t="shared" si="5"/>
        <v>1</v>
      </c>
    </row>
    <row r="81" spans="1:39" ht="12.75">
      <c r="A81" s="15" t="s">
        <v>469</v>
      </c>
      <c r="C81" s="15" t="s">
        <v>919</v>
      </c>
      <c r="E81" s="85">
        <f>24735.1+150721.11</f>
        <v>175456.21</v>
      </c>
      <c r="F81" s="85"/>
      <c r="G81" s="85">
        <v>142104.93</v>
      </c>
      <c r="H81" s="85"/>
      <c r="I81" s="85">
        <f>101218.19+117835.89</f>
        <v>219054.08000000002</v>
      </c>
      <c r="J81" s="85"/>
      <c r="K81" s="85">
        <v>42407.92</v>
      </c>
      <c r="L81" s="85"/>
      <c r="M81" s="85">
        <v>0</v>
      </c>
      <c r="N81" s="85"/>
      <c r="O81" s="85">
        <v>20954.2</v>
      </c>
      <c r="P81" s="85"/>
      <c r="Q81" s="85">
        <v>2243.64</v>
      </c>
      <c r="R81" s="85"/>
      <c r="S81" s="85">
        <f>3857+1699.93</f>
        <v>5556.93</v>
      </c>
      <c r="T81" s="85"/>
      <c r="U81" s="85">
        <v>0</v>
      </c>
      <c r="V81" s="85"/>
      <c r="W81" s="85">
        <v>0</v>
      </c>
      <c r="X81" s="85"/>
      <c r="Y81" s="85">
        <v>0</v>
      </c>
      <c r="Z81" s="85"/>
      <c r="AA81" s="85">
        <v>0</v>
      </c>
      <c r="AB81" s="85"/>
      <c r="AC81" s="85">
        <v>0</v>
      </c>
      <c r="AD81" s="85"/>
      <c r="AE81" s="85">
        <v>0</v>
      </c>
      <c r="AF81" s="85"/>
      <c r="AG81" s="85">
        <v>0</v>
      </c>
      <c r="AH81" s="85"/>
      <c r="AI81" s="85">
        <f t="shared" si="6"/>
        <v>607777.91</v>
      </c>
      <c r="AJ81" s="24"/>
      <c r="AK81" s="15" t="str">
        <f>'Gen Rev'!A81</f>
        <v>Bradford</v>
      </c>
      <c r="AL81" s="15" t="str">
        <f t="shared" si="4"/>
        <v>Bradford</v>
      </c>
      <c r="AM81" s="15" t="b">
        <f t="shared" si="5"/>
        <v>1</v>
      </c>
    </row>
    <row r="82" spans="1:39" s="31" customFormat="1" ht="12.75" hidden="1">
      <c r="A82" s="15" t="s">
        <v>605</v>
      </c>
      <c r="B82" s="15"/>
      <c r="C82" s="15" t="s">
        <v>603</v>
      </c>
      <c r="D82" s="1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>
        <f t="shared" si="6"/>
        <v>0</v>
      </c>
      <c r="AJ82" s="24"/>
      <c r="AK82" s="15" t="str">
        <f>'Gen Rev'!A82</f>
        <v>Bradner</v>
      </c>
      <c r="AL82" s="15" t="str">
        <f t="shared" si="4"/>
        <v>Bradner</v>
      </c>
      <c r="AM82" s="15" t="b">
        <f t="shared" si="5"/>
        <v>1</v>
      </c>
    </row>
    <row r="83" spans="1:42" s="31" customFormat="1" ht="12" customHeight="1" hidden="1">
      <c r="A83" s="15" t="s">
        <v>895</v>
      </c>
      <c r="B83" s="15"/>
      <c r="C83" s="15" t="s">
        <v>259</v>
      </c>
      <c r="D83" s="1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>
        <f t="shared" si="6"/>
        <v>0</v>
      </c>
      <c r="AJ83" s="24"/>
      <c r="AK83" s="15" t="str">
        <f>'Gen Rev'!A83</f>
        <v>Brady Lake</v>
      </c>
      <c r="AL83" s="15" t="str">
        <f t="shared" si="4"/>
        <v>Brady Lake</v>
      </c>
      <c r="AM83" s="15" t="b">
        <f t="shared" si="5"/>
        <v>1</v>
      </c>
      <c r="AN83" s="32"/>
      <c r="AO83" s="32"/>
      <c r="AP83" s="32"/>
    </row>
    <row r="84" spans="1:42" s="31" customFormat="1" ht="13.5" customHeight="1">
      <c r="A84" s="15" t="s">
        <v>317</v>
      </c>
      <c r="B84" s="15"/>
      <c r="C84" s="15" t="s">
        <v>316</v>
      </c>
      <c r="D84" s="15"/>
      <c r="E84" s="36">
        <v>1294757.63</v>
      </c>
      <c r="F84" s="36"/>
      <c r="G84" s="36">
        <v>1165608.78</v>
      </c>
      <c r="H84" s="36"/>
      <c r="I84" s="36">
        <v>502399.19</v>
      </c>
      <c r="J84" s="36"/>
      <c r="K84" s="36">
        <v>0</v>
      </c>
      <c r="L84" s="36"/>
      <c r="M84" s="36">
        <v>25410.16</v>
      </c>
      <c r="N84" s="36"/>
      <c r="O84" s="36">
        <v>417024.29</v>
      </c>
      <c r="P84" s="36"/>
      <c r="Q84" s="36">
        <v>710.11</v>
      </c>
      <c r="R84" s="36"/>
      <c r="S84" s="36">
        <v>84809.64</v>
      </c>
      <c r="T84" s="36"/>
      <c r="U84" s="36">
        <v>0</v>
      </c>
      <c r="V84" s="36"/>
      <c r="W84" s="36">
        <v>809000</v>
      </c>
      <c r="X84" s="36"/>
      <c r="Y84" s="36">
        <v>0</v>
      </c>
      <c r="Z84" s="36"/>
      <c r="AA84" s="36">
        <v>151333.18</v>
      </c>
      <c r="AB84" s="36"/>
      <c r="AC84" s="36">
        <v>0</v>
      </c>
      <c r="AD84" s="36"/>
      <c r="AE84" s="36">
        <v>0</v>
      </c>
      <c r="AF84" s="36"/>
      <c r="AG84" s="36">
        <v>0</v>
      </c>
      <c r="AH84" s="36"/>
      <c r="AI84" s="36">
        <f>SUM(E84:AG84)</f>
        <v>4451052.98</v>
      </c>
      <c r="AJ84" s="24"/>
      <c r="AK84" s="15" t="str">
        <f>'Gen Rev'!A84</f>
        <v>Bratenahl</v>
      </c>
      <c r="AL84" s="15" t="str">
        <f t="shared" si="4"/>
        <v>Bratenahl</v>
      </c>
      <c r="AM84" s="15" t="b">
        <f t="shared" si="5"/>
        <v>1</v>
      </c>
      <c r="AN84" s="32"/>
      <c r="AO84" s="32"/>
      <c r="AP84" s="32"/>
    </row>
    <row r="85" spans="1:42" ht="12" customHeight="1">
      <c r="A85" s="15" t="s">
        <v>61</v>
      </c>
      <c r="C85" s="15" t="s">
        <v>766</v>
      </c>
      <c r="E85" s="36">
        <v>42772.53</v>
      </c>
      <c r="F85" s="36"/>
      <c r="G85" s="36">
        <v>222235.81</v>
      </c>
      <c r="H85" s="36"/>
      <c r="I85" s="36">
        <v>122449.52</v>
      </c>
      <c r="J85" s="36"/>
      <c r="K85" s="36">
        <v>0</v>
      </c>
      <c r="L85" s="36"/>
      <c r="M85" s="36">
        <v>174</v>
      </c>
      <c r="N85" s="36"/>
      <c r="O85" s="36">
        <v>10182.68</v>
      </c>
      <c r="P85" s="36"/>
      <c r="Q85" s="36">
        <v>1513.45</v>
      </c>
      <c r="R85" s="36"/>
      <c r="S85" s="36">
        <v>4827.21</v>
      </c>
      <c r="T85" s="36"/>
      <c r="U85" s="36">
        <v>0</v>
      </c>
      <c r="V85" s="36"/>
      <c r="W85" s="36">
        <v>0</v>
      </c>
      <c r="X85" s="36"/>
      <c r="Y85" s="36">
        <v>0</v>
      </c>
      <c r="Z85" s="36"/>
      <c r="AA85" s="36">
        <v>179149.2</v>
      </c>
      <c r="AB85" s="36"/>
      <c r="AC85" s="36">
        <v>0</v>
      </c>
      <c r="AD85" s="36"/>
      <c r="AE85" s="36">
        <v>0</v>
      </c>
      <c r="AF85" s="36"/>
      <c r="AG85" s="36">
        <v>0</v>
      </c>
      <c r="AH85" s="36"/>
      <c r="AI85" s="36">
        <f>SUM(E85:AG85)</f>
        <v>583304.4</v>
      </c>
      <c r="AJ85" s="24"/>
      <c r="AK85" s="15" t="str">
        <f>'Gen Rev'!A85</f>
        <v>Bremen</v>
      </c>
      <c r="AL85" s="15" t="str">
        <f t="shared" si="4"/>
        <v>Bremen</v>
      </c>
      <c r="AM85" s="15" t="b">
        <f t="shared" si="5"/>
        <v>1</v>
      </c>
      <c r="AN85" s="30"/>
      <c r="AO85" s="30"/>
      <c r="AP85" s="30"/>
    </row>
    <row r="86" spans="5:42" ht="13.5" customHeight="1"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83" t="s">
        <v>864</v>
      </c>
      <c r="AJ86" s="24"/>
      <c r="AN86" s="30"/>
      <c r="AO86" s="30"/>
      <c r="AP86" s="30"/>
    </row>
    <row r="87" spans="1:39" s="31" customFormat="1" ht="12.75">
      <c r="A87" s="15" t="s">
        <v>543</v>
      </c>
      <c r="B87" s="15"/>
      <c r="C87" s="15" t="s">
        <v>542</v>
      </c>
      <c r="D87" s="15"/>
      <c r="E87" s="102">
        <v>119950.65</v>
      </c>
      <c r="F87" s="102"/>
      <c r="G87" s="102">
        <v>823425.4</v>
      </c>
      <c r="H87" s="102"/>
      <c r="I87" s="102">
        <v>327446.5</v>
      </c>
      <c r="J87" s="102"/>
      <c r="K87" s="102">
        <v>4099.3</v>
      </c>
      <c r="L87" s="102"/>
      <c r="M87" s="102">
        <v>223931.89</v>
      </c>
      <c r="N87" s="102"/>
      <c r="O87" s="102">
        <v>4803.65</v>
      </c>
      <c r="P87" s="102"/>
      <c r="Q87" s="102">
        <v>1448.92</v>
      </c>
      <c r="R87" s="102"/>
      <c r="S87" s="102">
        <v>17683.49</v>
      </c>
      <c r="T87" s="102"/>
      <c r="U87" s="102">
        <v>0</v>
      </c>
      <c r="V87" s="102"/>
      <c r="W87" s="102">
        <v>0</v>
      </c>
      <c r="X87" s="102"/>
      <c r="Y87" s="102">
        <v>0</v>
      </c>
      <c r="Z87" s="102"/>
      <c r="AA87" s="102">
        <v>586572.43</v>
      </c>
      <c r="AB87" s="102"/>
      <c r="AC87" s="102">
        <v>0</v>
      </c>
      <c r="AD87" s="102"/>
      <c r="AE87" s="102">
        <v>0</v>
      </c>
      <c r="AF87" s="102"/>
      <c r="AG87" s="102">
        <v>0</v>
      </c>
      <c r="AH87" s="102"/>
      <c r="AI87" s="102">
        <f t="shared" si="6"/>
        <v>2109362.23</v>
      </c>
      <c r="AJ87" s="24"/>
      <c r="AK87" s="15" t="e">
        <f>#REF!</f>
        <v>#REF!</v>
      </c>
      <c r="AL87" s="15" t="str">
        <f t="shared" si="4"/>
        <v>Brewster</v>
      </c>
      <c r="AM87" s="15" t="e">
        <f t="shared" si="5"/>
        <v>#REF!</v>
      </c>
    </row>
    <row r="88" spans="1:42" s="39" customFormat="1" ht="12.6" customHeight="1">
      <c r="A88" s="39" t="s">
        <v>72</v>
      </c>
      <c r="C88" s="39" t="s">
        <v>768</v>
      </c>
      <c r="E88" s="36">
        <v>38652.05</v>
      </c>
      <c r="F88" s="36"/>
      <c r="G88" s="36">
        <v>33578.74</v>
      </c>
      <c r="H88" s="36"/>
      <c r="I88" s="36">
        <v>17995.37</v>
      </c>
      <c r="J88" s="36"/>
      <c r="K88" s="36">
        <v>0</v>
      </c>
      <c r="L88" s="36"/>
      <c r="M88" s="36">
        <v>400</v>
      </c>
      <c r="N88" s="36"/>
      <c r="O88" s="36">
        <v>51459.68</v>
      </c>
      <c r="P88" s="36"/>
      <c r="Q88" s="36">
        <v>10.86</v>
      </c>
      <c r="R88" s="36"/>
      <c r="S88" s="36">
        <v>583.57</v>
      </c>
      <c r="T88" s="36"/>
      <c r="U88" s="36">
        <v>0</v>
      </c>
      <c r="V88" s="36"/>
      <c r="W88" s="36">
        <v>0</v>
      </c>
      <c r="X88" s="36"/>
      <c r="Y88" s="36">
        <v>1000</v>
      </c>
      <c r="Z88" s="36"/>
      <c r="AA88" s="36">
        <v>0</v>
      </c>
      <c r="AB88" s="36"/>
      <c r="AC88" s="36">
        <v>0</v>
      </c>
      <c r="AD88" s="36"/>
      <c r="AE88" s="36">
        <v>175</v>
      </c>
      <c r="AF88" s="36"/>
      <c r="AG88" s="36">
        <v>0</v>
      </c>
      <c r="AH88" s="36"/>
      <c r="AI88" s="36">
        <f>SUM(E88:AG88)</f>
        <v>143855.27</v>
      </c>
      <c r="AK88" s="15" t="e">
        <f>#REF!</f>
        <v>#REF!</v>
      </c>
      <c r="AL88" s="15" t="str">
        <f t="shared" si="4"/>
        <v>Brice</v>
      </c>
      <c r="AM88" s="15" t="e">
        <f t="shared" si="5"/>
        <v>#REF!</v>
      </c>
      <c r="AN88" s="43"/>
      <c r="AO88" s="43"/>
      <c r="AP88" s="43"/>
    </row>
    <row r="89" spans="1:39" ht="12.6" customHeight="1">
      <c r="A89" s="15" t="s">
        <v>281</v>
      </c>
      <c r="C89" s="15" t="s">
        <v>279</v>
      </c>
      <c r="E89" s="36">
        <v>179506.22</v>
      </c>
      <c r="F89" s="36"/>
      <c r="G89" s="36">
        <v>0</v>
      </c>
      <c r="H89" s="36"/>
      <c r="I89" s="36">
        <v>300544.19</v>
      </c>
      <c r="J89" s="36"/>
      <c r="K89" s="36">
        <v>0</v>
      </c>
      <c r="L89" s="36"/>
      <c r="M89" s="36">
        <v>265537.55</v>
      </c>
      <c r="N89" s="36"/>
      <c r="O89" s="36">
        <v>45661.18</v>
      </c>
      <c r="P89" s="36"/>
      <c r="Q89" s="36">
        <v>538.7</v>
      </c>
      <c r="R89" s="36"/>
      <c r="S89" s="36">
        <v>69765.39</v>
      </c>
      <c r="T89" s="36"/>
      <c r="U89" s="36">
        <v>0</v>
      </c>
      <c r="V89" s="36"/>
      <c r="W89" s="36">
        <v>0</v>
      </c>
      <c r="X89" s="36"/>
      <c r="Y89" s="36">
        <v>0</v>
      </c>
      <c r="Z89" s="36"/>
      <c r="AA89" s="36">
        <v>0</v>
      </c>
      <c r="AB89" s="36"/>
      <c r="AC89" s="36">
        <v>40000</v>
      </c>
      <c r="AD89" s="36"/>
      <c r="AE89" s="36">
        <v>21752.47</v>
      </c>
      <c r="AF89" s="36"/>
      <c r="AG89" s="36">
        <v>11160</v>
      </c>
      <c r="AH89" s="36"/>
      <c r="AI89" s="36">
        <f>SUM(E89:AG89)</f>
        <v>934465.7</v>
      </c>
      <c r="AJ89" s="24"/>
      <c r="AK89" s="15" t="e">
        <f>#REF!</f>
        <v>#REF!</v>
      </c>
      <c r="AL89" s="15" t="str">
        <f t="shared" si="4"/>
        <v>Bridgeport</v>
      </c>
      <c r="AM89" s="15" t="e">
        <f t="shared" si="5"/>
        <v>#REF!</v>
      </c>
    </row>
    <row r="90" spans="1:42" ht="12.6" customHeight="1">
      <c r="A90" s="15" t="s">
        <v>318</v>
      </c>
      <c r="C90" s="15" t="s">
        <v>316</v>
      </c>
      <c r="E90" s="85">
        <v>372606</v>
      </c>
      <c r="F90" s="85"/>
      <c r="G90" s="85">
        <v>3936293</v>
      </c>
      <c r="H90" s="85"/>
      <c r="I90" s="85">
        <v>812192</v>
      </c>
      <c r="J90" s="85"/>
      <c r="K90" s="85">
        <v>15811</v>
      </c>
      <c r="L90" s="85"/>
      <c r="M90" s="85">
        <v>106113</v>
      </c>
      <c r="N90" s="85"/>
      <c r="O90" s="85">
        <v>122197</v>
      </c>
      <c r="P90" s="85"/>
      <c r="Q90" s="85">
        <v>2107</v>
      </c>
      <c r="R90" s="85"/>
      <c r="S90" s="85">
        <v>62840</v>
      </c>
      <c r="T90" s="85"/>
      <c r="U90" s="85">
        <v>0</v>
      </c>
      <c r="V90" s="85"/>
      <c r="W90" s="85">
        <v>0</v>
      </c>
      <c r="X90" s="85"/>
      <c r="Y90" s="85">
        <v>1306</v>
      </c>
      <c r="Z90" s="85"/>
      <c r="AA90" s="85">
        <v>12524</v>
      </c>
      <c r="AB90" s="85"/>
      <c r="AC90" s="85">
        <v>0</v>
      </c>
      <c r="AD90" s="85"/>
      <c r="AE90" s="85">
        <v>0</v>
      </c>
      <c r="AF90" s="85"/>
      <c r="AG90" s="85">
        <v>0</v>
      </c>
      <c r="AH90" s="85"/>
      <c r="AI90" s="85">
        <f t="shared" si="6"/>
        <v>5443989</v>
      </c>
      <c r="AJ90" s="24"/>
      <c r="AK90" s="15" t="str">
        <f>'Gen Rev'!A90</f>
        <v>Brooklyn Heights</v>
      </c>
      <c r="AL90" s="15" t="str">
        <f t="shared" si="4"/>
        <v>Brooklyn Heights</v>
      </c>
      <c r="AM90" s="15" t="b">
        <f t="shared" si="5"/>
        <v>1</v>
      </c>
      <c r="AN90" s="30"/>
      <c r="AO90" s="30"/>
      <c r="AP90" s="30"/>
    </row>
    <row r="91" spans="1:39" ht="12" customHeight="1">
      <c r="A91" s="15" t="s">
        <v>16</v>
      </c>
      <c r="C91" s="15" t="s">
        <v>750</v>
      </c>
      <c r="E91" s="96">
        <v>62877.7</v>
      </c>
      <c r="F91" s="96"/>
      <c r="G91" s="96">
        <v>0</v>
      </c>
      <c r="H91" s="96"/>
      <c r="I91" s="96">
        <v>88152.02</v>
      </c>
      <c r="J91" s="96"/>
      <c r="K91" s="96">
        <v>0</v>
      </c>
      <c r="L91" s="96"/>
      <c r="M91" s="96">
        <v>13523.68</v>
      </c>
      <c r="N91" s="96"/>
      <c r="O91" s="96">
        <v>1771</v>
      </c>
      <c r="P91" s="96"/>
      <c r="Q91" s="96">
        <v>500.99</v>
      </c>
      <c r="R91" s="96"/>
      <c r="S91" s="96">
        <f>15623.27+22897.01</f>
        <v>38520.28</v>
      </c>
      <c r="T91" s="96"/>
      <c r="U91" s="96">
        <v>0</v>
      </c>
      <c r="V91" s="96"/>
      <c r="W91" s="96">
        <v>0</v>
      </c>
      <c r="X91" s="96"/>
      <c r="Y91" s="96">
        <v>0</v>
      </c>
      <c r="Z91" s="96"/>
      <c r="AA91" s="96">
        <v>56538.78</v>
      </c>
      <c r="AB91" s="96"/>
      <c r="AC91" s="96">
        <v>0</v>
      </c>
      <c r="AD91" s="96"/>
      <c r="AE91" s="96">
        <v>0</v>
      </c>
      <c r="AF91" s="96"/>
      <c r="AG91" s="96">
        <v>0</v>
      </c>
      <c r="AH91" s="96"/>
      <c r="AI91" s="96">
        <f>SUM(E91:AG91)</f>
        <v>261884.44999999998</v>
      </c>
      <c r="AJ91" s="24"/>
      <c r="AK91" s="15" t="str">
        <f>'Gen Rev'!A91</f>
        <v>Brookside</v>
      </c>
      <c r="AL91" s="15" t="str">
        <f t="shared" si="4"/>
        <v>Brookside</v>
      </c>
      <c r="AM91" s="15" t="b">
        <f t="shared" si="5"/>
        <v>1</v>
      </c>
    </row>
    <row r="92" spans="1:39" s="29" customFormat="1" ht="12.75">
      <c r="A92" s="24" t="s">
        <v>498</v>
      </c>
      <c r="B92" s="24"/>
      <c r="C92" s="24" t="s">
        <v>497</v>
      </c>
      <c r="D92" s="24"/>
      <c r="E92" s="36">
        <v>5472.51</v>
      </c>
      <c r="F92" s="36"/>
      <c r="G92" s="36">
        <v>0</v>
      </c>
      <c r="H92" s="36"/>
      <c r="I92" s="36">
        <v>13894.35</v>
      </c>
      <c r="J92" s="36"/>
      <c r="K92" s="36">
        <v>0</v>
      </c>
      <c r="L92" s="36"/>
      <c r="M92" s="36">
        <v>0</v>
      </c>
      <c r="N92" s="36"/>
      <c r="O92" s="36">
        <v>0</v>
      </c>
      <c r="P92" s="36"/>
      <c r="Q92" s="36">
        <v>36.53</v>
      </c>
      <c r="R92" s="36"/>
      <c r="S92" s="36">
        <v>204.12</v>
      </c>
      <c r="T92" s="36"/>
      <c r="U92" s="36">
        <v>0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0</v>
      </c>
      <c r="AD92" s="36"/>
      <c r="AE92" s="36">
        <v>0</v>
      </c>
      <c r="AF92" s="36"/>
      <c r="AG92" s="36">
        <v>0</v>
      </c>
      <c r="AH92" s="36"/>
      <c r="AI92" s="36">
        <f>SUM(E92:AG92)</f>
        <v>19607.51</v>
      </c>
      <c r="AJ92" s="24"/>
      <c r="AK92" s="15" t="str">
        <f>'Gen Rev'!A92</f>
        <v>Broughton</v>
      </c>
      <c r="AL92" s="15" t="str">
        <f t="shared" si="4"/>
        <v>Broughton</v>
      </c>
      <c r="AM92" s="15" t="b">
        <f t="shared" si="5"/>
        <v>1</v>
      </c>
    </row>
    <row r="93" spans="1:39" ht="12.6" customHeight="1">
      <c r="A93" s="15" t="s">
        <v>272</v>
      </c>
      <c r="C93" s="15" t="s">
        <v>271</v>
      </c>
      <c r="E93" s="85">
        <v>65056.21</v>
      </c>
      <c r="F93" s="85"/>
      <c r="G93" s="85">
        <v>0</v>
      </c>
      <c r="H93" s="85"/>
      <c r="I93" s="85">
        <v>43441.98</v>
      </c>
      <c r="J93" s="85"/>
      <c r="K93" s="85">
        <v>0</v>
      </c>
      <c r="L93" s="85"/>
      <c r="M93" s="85">
        <v>0</v>
      </c>
      <c r="N93" s="85"/>
      <c r="O93" s="85">
        <v>17625.2</v>
      </c>
      <c r="P93" s="85"/>
      <c r="Q93" s="85">
        <v>240.43</v>
      </c>
      <c r="R93" s="85"/>
      <c r="S93" s="85">
        <v>725</v>
      </c>
      <c r="T93" s="85"/>
      <c r="U93" s="85">
        <v>0</v>
      </c>
      <c r="V93" s="85"/>
      <c r="W93" s="85">
        <v>0</v>
      </c>
      <c r="X93" s="85"/>
      <c r="Y93" s="85">
        <v>0</v>
      </c>
      <c r="Z93" s="85"/>
      <c r="AA93" s="85">
        <v>0</v>
      </c>
      <c r="AB93" s="85"/>
      <c r="AC93" s="85">
        <v>0</v>
      </c>
      <c r="AD93" s="85"/>
      <c r="AE93" s="85">
        <v>0</v>
      </c>
      <c r="AF93" s="85"/>
      <c r="AG93" s="85">
        <v>0</v>
      </c>
      <c r="AH93" s="85"/>
      <c r="AI93" s="85">
        <f t="shared" si="6"/>
        <v>127088.81999999999</v>
      </c>
      <c r="AJ93" s="24"/>
      <c r="AK93" s="15" t="str">
        <f>'Gen Rev'!A93</f>
        <v>Buchtel</v>
      </c>
      <c r="AL93" s="15" t="str">
        <f t="shared" si="4"/>
        <v>Buchtel</v>
      </c>
      <c r="AM93" s="15" t="b">
        <f t="shared" si="5"/>
        <v>1</v>
      </c>
    </row>
    <row r="94" spans="1:39" ht="12.75">
      <c r="A94" s="15" t="s">
        <v>130</v>
      </c>
      <c r="C94" s="15" t="s">
        <v>785</v>
      </c>
      <c r="E94" s="36">
        <v>462864.55</v>
      </c>
      <c r="F94" s="36"/>
      <c r="G94" s="36">
        <v>0</v>
      </c>
      <c r="H94" s="36"/>
      <c r="I94" s="36">
        <v>203769.17</v>
      </c>
      <c r="J94" s="36"/>
      <c r="K94" s="36">
        <v>13917.9</v>
      </c>
      <c r="L94" s="36"/>
      <c r="M94" s="36">
        <v>17892</v>
      </c>
      <c r="N94" s="36"/>
      <c r="O94" s="36">
        <v>56311.14</v>
      </c>
      <c r="P94" s="36"/>
      <c r="Q94" s="36">
        <v>1824.23</v>
      </c>
      <c r="R94" s="36"/>
      <c r="S94" s="36">
        <v>50212.35</v>
      </c>
      <c r="T94" s="36"/>
      <c r="U94" s="36">
        <v>0</v>
      </c>
      <c r="V94" s="36"/>
      <c r="W94" s="36">
        <v>0</v>
      </c>
      <c r="X94" s="36"/>
      <c r="Y94" s="36">
        <v>2718</v>
      </c>
      <c r="Z94" s="36"/>
      <c r="AA94" s="36">
        <v>101000</v>
      </c>
      <c r="AB94" s="36"/>
      <c r="AC94" s="36">
        <v>0</v>
      </c>
      <c r="AD94" s="36"/>
      <c r="AE94" s="36">
        <v>0</v>
      </c>
      <c r="AF94" s="36"/>
      <c r="AG94" s="36">
        <v>10</v>
      </c>
      <c r="AH94" s="36"/>
      <c r="AI94" s="36">
        <f>SUM(E94:AG94)</f>
        <v>910519.34</v>
      </c>
      <c r="AJ94" s="24"/>
      <c r="AK94" s="15" t="str">
        <f>'Gen Rev'!A94</f>
        <v>Buckeye Lake</v>
      </c>
      <c r="AL94" s="15" t="str">
        <f t="shared" si="4"/>
        <v>Buckeye Lake</v>
      </c>
      <c r="AM94" s="15" t="b">
        <f t="shared" si="5"/>
        <v>1</v>
      </c>
    </row>
    <row r="95" spans="1:39" ht="12.75">
      <c r="A95" s="15" t="s">
        <v>11</v>
      </c>
      <c r="C95" s="15" t="s">
        <v>749</v>
      </c>
      <c r="E95" s="36">
        <v>5483.27</v>
      </c>
      <c r="F95" s="36"/>
      <c r="G95" s="36">
        <v>0</v>
      </c>
      <c r="H95" s="36"/>
      <c r="I95" s="36">
        <v>76060.59</v>
      </c>
      <c r="J95" s="36"/>
      <c r="K95" s="36">
        <v>0</v>
      </c>
      <c r="L95" s="36"/>
      <c r="M95" s="36">
        <v>0</v>
      </c>
      <c r="N95" s="36"/>
      <c r="O95" s="36">
        <v>1737.99</v>
      </c>
      <c r="P95" s="36"/>
      <c r="Q95" s="36">
        <v>117.59</v>
      </c>
      <c r="R95" s="36"/>
      <c r="S95" s="36">
        <v>3847.5</v>
      </c>
      <c r="T95" s="36"/>
      <c r="U95" s="36">
        <v>0</v>
      </c>
      <c r="V95" s="36"/>
      <c r="W95" s="36">
        <v>0</v>
      </c>
      <c r="X95" s="36"/>
      <c r="Y95" s="36">
        <v>0</v>
      </c>
      <c r="Z95" s="36"/>
      <c r="AA95" s="36">
        <v>27332.14</v>
      </c>
      <c r="AB95" s="36"/>
      <c r="AC95" s="36">
        <v>0</v>
      </c>
      <c r="AD95" s="36"/>
      <c r="AE95" s="36">
        <v>0</v>
      </c>
      <c r="AF95" s="36"/>
      <c r="AG95" s="36">
        <v>0</v>
      </c>
      <c r="AH95" s="36"/>
      <c r="AI95" s="36">
        <f>SUM(E95:AG95)</f>
        <v>114579.08</v>
      </c>
      <c r="AJ95" s="24"/>
      <c r="AK95" s="15" t="str">
        <f>'Gen Rev'!A95</f>
        <v>Buckland</v>
      </c>
      <c r="AL95" s="15" t="str">
        <f t="shared" si="4"/>
        <v>Buckland</v>
      </c>
      <c r="AM95" s="15" t="b">
        <f t="shared" si="5"/>
        <v>1</v>
      </c>
    </row>
    <row r="96" spans="1:39" ht="12.75">
      <c r="A96" s="15" t="s">
        <v>248</v>
      </c>
      <c r="C96" s="15" t="s">
        <v>823</v>
      </c>
      <c r="E96" s="36">
        <v>48318.39</v>
      </c>
      <c r="F96" s="36"/>
      <c r="G96" s="36">
        <v>0</v>
      </c>
      <c r="H96" s="36"/>
      <c r="I96" s="36">
        <v>32134.19</v>
      </c>
      <c r="J96" s="36"/>
      <c r="K96" s="36">
        <v>0</v>
      </c>
      <c r="L96" s="36"/>
      <c r="M96" s="36">
        <v>0</v>
      </c>
      <c r="N96" s="36"/>
      <c r="O96" s="36">
        <v>205</v>
      </c>
      <c r="P96" s="36"/>
      <c r="Q96" s="36">
        <v>805.15</v>
      </c>
      <c r="R96" s="36"/>
      <c r="S96" s="36">
        <v>961.36</v>
      </c>
      <c r="T96" s="36"/>
      <c r="U96" s="36">
        <v>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0</v>
      </c>
      <c r="AD96" s="36"/>
      <c r="AE96" s="36">
        <v>0</v>
      </c>
      <c r="AF96" s="36"/>
      <c r="AG96" s="36">
        <v>0</v>
      </c>
      <c r="AH96" s="36"/>
      <c r="AI96" s="36">
        <f>SUM(E96:AG96)</f>
        <v>82424.09</v>
      </c>
      <c r="AJ96" s="24"/>
      <c r="AK96" s="15" t="str">
        <f>'Gen Rev'!A96</f>
        <v>Burbank</v>
      </c>
      <c r="AL96" s="15" t="str">
        <f t="shared" si="4"/>
        <v>Burbank</v>
      </c>
      <c r="AM96" s="15" t="b">
        <f t="shared" si="5"/>
        <v>1</v>
      </c>
    </row>
    <row r="97" spans="1:39" ht="12.75">
      <c r="A97" s="15" t="s">
        <v>526</v>
      </c>
      <c r="C97" s="15" t="s">
        <v>527</v>
      </c>
      <c r="E97" s="36">
        <v>23506.21</v>
      </c>
      <c r="F97" s="36"/>
      <c r="G97" s="36">
        <v>0</v>
      </c>
      <c r="H97" s="36"/>
      <c r="I97" s="36">
        <v>23636.8</v>
      </c>
      <c r="J97" s="36"/>
      <c r="K97" s="36">
        <v>0</v>
      </c>
      <c r="L97" s="36"/>
      <c r="M97" s="36">
        <v>0</v>
      </c>
      <c r="N97" s="36"/>
      <c r="O97" s="36">
        <v>1392.05</v>
      </c>
      <c r="P97" s="36"/>
      <c r="Q97" s="36">
        <v>109.96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0</v>
      </c>
      <c r="AD97" s="36"/>
      <c r="AE97" s="36">
        <v>0</v>
      </c>
      <c r="AF97" s="36"/>
      <c r="AG97" s="36">
        <v>0</v>
      </c>
      <c r="AH97" s="36"/>
      <c r="AI97" s="36">
        <f>SUM(E97:AG97)</f>
        <v>48645.02</v>
      </c>
      <c r="AJ97" s="24"/>
      <c r="AK97" s="15" t="str">
        <f>'Gen Rev'!A97</f>
        <v>Burgoon</v>
      </c>
      <c r="AL97" s="15" t="str">
        <f t="shared" si="4"/>
        <v>Burgoon</v>
      </c>
      <c r="AM97" s="15" t="b">
        <f t="shared" si="5"/>
        <v>1</v>
      </c>
    </row>
    <row r="98" spans="1:39" ht="12.75">
      <c r="A98" s="15" t="s">
        <v>465</v>
      </c>
      <c r="C98" s="15" t="s">
        <v>705</v>
      </c>
      <c r="E98" s="85">
        <v>13750</v>
      </c>
      <c r="F98" s="85"/>
      <c r="G98" s="85">
        <v>0</v>
      </c>
      <c r="H98" s="85"/>
      <c r="I98" s="85">
        <v>46385</v>
      </c>
      <c r="J98" s="85"/>
      <c r="K98" s="85">
        <v>26414</v>
      </c>
      <c r="L98" s="85"/>
      <c r="M98" s="85">
        <v>4175</v>
      </c>
      <c r="N98" s="85"/>
      <c r="O98" s="85">
        <v>1487</v>
      </c>
      <c r="P98" s="85"/>
      <c r="Q98" s="85">
        <v>0</v>
      </c>
      <c r="R98" s="85"/>
      <c r="S98" s="85">
        <v>12235</v>
      </c>
      <c r="T98" s="85"/>
      <c r="U98" s="85">
        <v>0</v>
      </c>
      <c r="V98" s="85"/>
      <c r="W98" s="85">
        <v>0</v>
      </c>
      <c r="X98" s="85"/>
      <c r="Y98" s="85">
        <v>0</v>
      </c>
      <c r="Z98" s="85"/>
      <c r="AA98" s="85">
        <v>0</v>
      </c>
      <c r="AB98" s="85"/>
      <c r="AC98" s="85">
        <v>0</v>
      </c>
      <c r="AD98" s="85"/>
      <c r="AE98" s="85">
        <v>0</v>
      </c>
      <c r="AF98" s="85"/>
      <c r="AG98" s="85">
        <v>0</v>
      </c>
      <c r="AH98" s="85"/>
      <c r="AI98" s="85">
        <f t="shared" si="6"/>
        <v>104446</v>
      </c>
      <c r="AJ98" s="24"/>
      <c r="AK98" s="15" t="str">
        <f>'Gen Rev'!A98</f>
        <v>Burkettsville</v>
      </c>
      <c r="AL98" s="15" t="str">
        <f t="shared" si="4"/>
        <v>Burkettsville</v>
      </c>
      <c r="AM98" s="15" t="b">
        <f t="shared" si="5"/>
        <v>1</v>
      </c>
    </row>
    <row r="99" spans="1:39" ht="12.75">
      <c r="A99" s="15" t="s">
        <v>687</v>
      </c>
      <c r="C99" s="15" t="s">
        <v>366</v>
      </c>
      <c r="E99" s="85">
        <v>202676</v>
      </c>
      <c r="F99" s="85"/>
      <c r="G99" s="85">
        <v>470007</v>
      </c>
      <c r="H99" s="85"/>
      <c r="I99" s="85">
        <v>1019506</v>
      </c>
      <c r="J99" s="85"/>
      <c r="K99" s="85">
        <v>38707</v>
      </c>
      <c r="L99" s="85"/>
      <c r="M99" s="85">
        <v>51988</v>
      </c>
      <c r="N99" s="85"/>
      <c r="O99" s="85">
        <v>3291</v>
      </c>
      <c r="P99" s="85"/>
      <c r="Q99" s="85">
        <v>10354</v>
      </c>
      <c r="R99" s="85"/>
      <c r="S99" s="85">
        <v>6211</v>
      </c>
      <c r="T99" s="85"/>
      <c r="U99" s="85">
        <v>0</v>
      </c>
      <c r="V99" s="85"/>
      <c r="W99" s="85">
        <v>0</v>
      </c>
      <c r="X99" s="85"/>
      <c r="Y99" s="85">
        <v>0</v>
      </c>
      <c r="Z99" s="85"/>
      <c r="AA99" s="85">
        <v>330480</v>
      </c>
      <c r="AB99" s="85"/>
      <c r="AC99" s="85">
        <v>45000</v>
      </c>
      <c r="AD99" s="85"/>
      <c r="AE99" s="85">
        <v>8556</v>
      </c>
      <c r="AF99" s="85"/>
      <c r="AG99" s="85">
        <v>29377</v>
      </c>
      <c r="AH99" s="85"/>
      <c r="AI99" s="85">
        <f t="shared" si="6"/>
        <v>2216153</v>
      </c>
      <c r="AJ99" s="24"/>
      <c r="AK99" s="15" t="str">
        <f>'Gen Rev'!A99</f>
        <v>Burton</v>
      </c>
      <c r="AL99" s="15" t="str">
        <f t="shared" si="4"/>
        <v>Burton</v>
      </c>
      <c r="AM99" s="15" t="b">
        <f t="shared" si="5"/>
        <v>1</v>
      </c>
    </row>
    <row r="100" spans="1:39" s="31" customFormat="1" ht="12.75" hidden="1">
      <c r="A100" s="15" t="s">
        <v>519</v>
      </c>
      <c r="B100" s="15"/>
      <c r="C100" s="15" t="s">
        <v>520</v>
      </c>
      <c r="D100" s="1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>
        <f t="shared" si="6"/>
        <v>0</v>
      </c>
      <c r="AJ100" s="24"/>
      <c r="AK100" s="15" t="str">
        <f>'Gen Rev'!A100</f>
        <v>Butler</v>
      </c>
      <c r="AL100" s="15" t="str">
        <f t="shared" si="4"/>
        <v>Butler</v>
      </c>
      <c r="AM100" s="15" t="b">
        <f t="shared" si="5"/>
        <v>1</v>
      </c>
    </row>
    <row r="101" spans="1:39" ht="12.75">
      <c r="A101" s="15" t="s">
        <v>241</v>
      </c>
      <c r="C101" s="15" t="s">
        <v>821</v>
      </c>
      <c r="E101" s="36">
        <v>10957.94</v>
      </c>
      <c r="F101" s="36"/>
      <c r="G101" s="36">
        <v>0</v>
      </c>
      <c r="H101" s="36"/>
      <c r="I101" s="36">
        <v>5280.52</v>
      </c>
      <c r="J101" s="36"/>
      <c r="K101" s="36">
        <v>0</v>
      </c>
      <c r="L101" s="36"/>
      <c r="M101" s="36">
        <v>0</v>
      </c>
      <c r="N101" s="36"/>
      <c r="O101" s="36">
        <v>5382.63</v>
      </c>
      <c r="P101" s="36"/>
      <c r="Q101" s="36">
        <v>0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v>6</v>
      </c>
      <c r="AF101" s="36"/>
      <c r="AG101" s="36">
        <v>0</v>
      </c>
      <c r="AH101" s="36"/>
      <c r="AI101" s="36">
        <f aca="true" t="shared" si="7" ref="AI101:AI107">SUM(E101:AG101)</f>
        <v>21627.09</v>
      </c>
      <c r="AJ101" s="24"/>
      <c r="AK101" s="15" t="str">
        <f>'Gen Rev'!A101</f>
        <v>Butlerville</v>
      </c>
      <c r="AL101" s="15" t="str">
        <f t="shared" si="4"/>
        <v>Butlerville</v>
      </c>
      <c r="AM101" s="15" t="b">
        <f t="shared" si="5"/>
        <v>1</v>
      </c>
    </row>
    <row r="102" spans="1:39" s="31" customFormat="1" ht="12.75">
      <c r="A102" s="15" t="s">
        <v>86</v>
      </c>
      <c r="B102" s="15"/>
      <c r="C102" s="15" t="s">
        <v>772</v>
      </c>
      <c r="D102" s="15"/>
      <c r="E102" s="36">
        <v>131245.79</v>
      </c>
      <c r="F102" s="36"/>
      <c r="G102" s="36">
        <v>326671.23</v>
      </c>
      <c r="H102" s="36"/>
      <c r="I102" s="36">
        <v>226394.4</v>
      </c>
      <c r="J102" s="36"/>
      <c r="K102" s="36">
        <v>0</v>
      </c>
      <c r="L102" s="36"/>
      <c r="M102" s="36">
        <v>60000</v>
      </c>
      <c r="N102" s="36"/>
      <c r="O102" s="36">
        <v>1981.1</v>
      </c>
      <c r="P102" s="36"/>
      <c r="Q102" s="36">
        <v>2817.63</v>
      </c>
      <c r="R102" s="36"/>
      <c r="S102" s="36">
        <v>104613.97</v>
      </c>
      <c r="T102" s="36"/>
      <c r="U102" s="36">
        <v>0</v>
      </c>
      <c r="V102" s="36"/>
      <c r="W102" s="36">
        <v>0</v>
      </c>
      <c r="X102" s="36"/>
      <c r="Y102" s="36">
        <v>0</v>
      </c>
      <c r="Z102" s="36"/>
      <c r="AA102" s="36">
        <v>177295.34</v>
      </c>
      <c r="AB102" s="36"/>
      <c r="AC102" s="36">
        <v>0</v>
      </c>
      <c r="AD102" s="36"/>
      <c r="AE102" s="36">
        <v>0</v>
      </c>
      <c r="AF102" s="36"/>
      <c r="AG102" s="36">
        <v>0</v>
      </c>
      <c r="AH102" s="36"/>
      <c r="AI102" s="36">
        <f t="shared" si="7"/>
        <v>1031019.46</v>
      </c>
      <c r="AJ102" s="24"/>
      <c r="AK102" s="15" t="str">
        <f>'Gen Rev'!A102</f>
        <v>Byesville</v>
      </c>
      <c r="AL102" s="15" t="str">
        <f t="shared" si="4"/>
        <v>Byesville</v>
      </c>
      <c r="AM102" s="15" t="b">
        <f t="shared" si="5"/>
        <v>1</v>
      </c>
    </row>
    <row r="103" spans="1:39" s="31" customFormat="1" ht="12.6" customHeight="1">
      <c r="A103" s="15" t="s">
        <v>100</v>
      </c>
      <c r="B103" s="15"/>
      <c r="C103" s="15" t="s">
        <v>403</v>
      </c>
      <c r="D103" s="15"/>
      <c r="E103" s="36">
        <v>116806.3</v>
      </c>
      <c r="F103" s="36"/>
      <c r="G103" s="36">
        <v>627123.04</v>
      </c>
      <c r="H103" s="36"/>
      <c r="I103" s="36">
        <v>198562.97</v>
      </c>
      <c r="J103" s="36"/>
      <c r="K103" s="36">
        <v>0</v>
      </c>
      <c r="L103" s="36"/>
      <c r="M103" s="36">
        <v>256013.44</v>
      </c>
      <c r="N103" s="36"/>
      <c r="O103" s="36">
        <v>45044.96</v>
      </c>
      <c r="P103" s="36"/>
      <c r="Q103" s="36">
        <v>2663.61</v>
      </c>
      <c r="R103" s="36"/>
      <c r="S103" s="36">
        <v>32022.47</v>
      </c>
      <c r="T103" s="36"/>
      <c r="U103" s="36">
        <v>0</v>
      </c>
      <c r="V103" s="36"/>
      <c r="W103" s="36">
        <v>6.13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v>27367.83</v>
      </c>
      <c r="AF103" s="36"/>
      <c r="AG103" s="36">
        <v>0</v>
      </c>
      <c r="AH103" s="36"/>
      <c r="AI103" s="36">
        <f t="shared" si="7"/>
        <v>1305610.75</v>
      </c>
      <c r="AJ103" s="39"/>
      <c r="AK103" s="15" t="str">
        <f>'Gen Rev'!A103</f>
        <v>Cadiz</v>
      </c>
      <c r="AL103" s="15" t="str">
        <f t="shared" si="4"/>
        <v>Cadiz</v>
      </c>
      <c r="AM103" s="15" t="b">
        <f t="shared" si="5"/>
        <v>1</v>
      </c>
    </row>
    <row r="104" spans="1:39" s="31" customFormat="1" ht="12.6" customHeight="1">
      <c r="A104" s="15" t="s">
        <v>708</v>
      </c>
      <c r="B104" s="15"/>
      <c r="C104" s="15" t="s">
        <v>709</v>
      </c>
      <c r="D104" s="15"/>
      <c r="E104" s="36">
        <v>44856.72</v>
      </c>
      <c r="F104" s="36"/>
      <c r="G104" s="36">
        <v>20580.73</v>
      </c>
      <c r="H104" s="36"/>
      <c r="I104" s="36">
        <v>57502.91</v>
      </c>
      <c r="J104" s="36"/>
      <c r="K104" s="36">
        <v>49701.64</v>
      </c>
      <c r="L104" s="36"/>
      <c r="M104" s="36">
        <v>5775</v>
      </c>
      <c r="N104" s="36"/>
      <c r="O104" s="36">
        <v>1707.59</v>
      </c>
      <c r="P104" s="36"/>
      <c r="Q104" s="36">
        <v>21.22</v>
      </c>
      <c r="R104" s="36"/>
      <c r="S104" s="36">
        <v>3366.17</v>
      </c>
      <c r="T104" s="36"/>
      <c r="U104" s="36">
        <v>0</v>
      </c>
      <c r="V104" s="36"/>
      <c r="W104" s="36">
        <v>0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v>0</v>
      </c>
      <c r="AF104" s="36"/>
      <c r="AG104" s="36">
        <v>0</v>
      </c>
      <c r="AH104" s="36"/>
      <c r="AI104" s="36">
        <f t="shared" si="7"/>
        <v>183511.98</v>
      </c>
      <c r="AJ104" s="24"/>
      <c r="AK104" s="15" t="str">
        <f>'Gen Rev'!A104</f>
        <v>Cairo</v>
      </c>
      <c r="AL104" s="15" t="str">
        <f t="shared" si="4"/>
        <v>Cairo</v>
      </c>
      <c r="AM104" s="15" t="b">
        <f t="shared" si="5"/>
        <v>1</v>
      </c>
    </row>
    <row r="105" spans="1:39" ht="12.75">
      <c r="A105" s="15" t="s">
        <v>177</v>
      </c>
      <c r="C105" s="15" t="s">
        <v>801</v>
      </c>
      <c r="E105" s="36">
        <v>42902.09</v>
      </c>
      <c r="F105" s="36"/>
      <c r="G105" s="36">
        <v>0</v>
      </c>
      <c r="H105" s="36"/>
      <c r="I105" s="36">
        <v>784034.27</v>
      </c>
      <c r="J105" s="36"/>
      <c r="K105" s="36">
        <v>933.58</v>
      </c>
      <c r="L105" s="36"/>
      <c r="M105" s="36">
        <v>12939.69</v>
      </c>
      <c r="N105" s="36"/>
      <c r="O105" s="36">
        <v>938</v>
      </c>
      <c r="P105" s="36"/>
      <c r="Q105" s="36">
        <v>193016.08</v>
      </c>
      <c r="R105" s="36"/>
      <c r="S105" s="36">
        <v>1655.52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v>0</v>
      </c>
      <c r="AF105" s="36"/>
      <c r="AG105" s="36">
        <v>0</v>
      </c>
      <c r="AH105" s="36"/>
      <c r="AI105" s="36">
        <f t="shared" si="7"/>
        <v>1036419.2299999999</v>
      </c>
      <c r="AJ105" s="24"/>
      <c r="AK105" s="15" t="str">
        <f>'Gen Rev'!A105</f>
        <v>Caldwell</v>
      </c>
      <c r="AL105" s="15" t="str">
        <f t="shared" si="4"/>
        <v>Caldwell</v>
      </c>
      <c r="AM105" s="15" t="b">
        <f t="shared" si="5"/>
        <v>1</v>
      </c>
    </row>
    <row r="106" spans="1:39" ht="12.75">
      <c r="A106" s="15" t="s">
        <v>147</v>
      </c>
      <c r="C106" s="15" t="s">
        <v>791</v>
      </c>
      <c r="E106" s="36">
        <v>55128.85</v>
      </c>
      <c r="F106" s="36"/>
      <c r="G106" s="36">
        <v>0</v>
      </c>
      <c r="H106" s="36"/>
      <c r="I106" s="36">
        <v>139706.33</v>
      </c>
      <c r="J106" s="36"/>
      <c r="K106" s="36">
        <v>0</v>
      </c>
      <c r="L106" s="36"/>
      <c r="M106" s="36">
        <v>2025</v>
      </c>
      <c r="N106" s="36"/>
      <c r="O106" s="36">
        <v>3806.84</v>
      </c>
      <c r="P106" s="36"/>
      <c r="Q106" s="36">
        <v>328.38</v>
      </c>
      <c r="R106" s="36"/>
      <c r="S106" s="36">
        <v>448.88</v>
      </c>
      <c r="T106" s="36"/>
      <c r="U106" s="36">
        <v>0</v>
      </c>
      <c r="V106" s="36"/>
      <c r="W106" s="36">
        <v>0</v>
      </c>
      <c r="X106" s="36"/>
      <c r="Y106" s="36">
        <v>0</v>
      </c>
      <c r="Z106" s="36"/>
      <c r="AA106" s="36">
        <v>0</v>
      </c>
      <c r="AB106" s="36"/>
      <c r="AC106" s="36">
        <v>0</v>
      </c>
      <c r="AD106" s="36"/>
      <c r="AE106" s="36">
        <v>0</v>
      </c>
      <c r="AF106" s="36"/>
      <c r="AG106" s="36">
        <v>0</v>
      </c>
      <c r="AH106" s="36"/>
      <c r="AI106" s="36">
        <f t="shared" si="7"/>
        <v>201444.28</v>
      </c>
      <c r="AJ106" s="24"/>
      <c r="AK106" s="15" t="str">
        <f>'Gen Rev'!A106</f>
        <v>Caledonia</v>
      </c>
      <c r="AL106" s="15" t="str">
        <f t="shared" si="4"/>
        <v>Caledonia</v>
      </c>
      <c r="AM106" s="15" t="b">
        <f t="shared" si="5"/>
        <v>1</v>
      </c>
    </row>
    <row r="107" spans="1:39" ht="12.75">
      <c r="A107" s="15" t="s">
        <v>198</v>
      </c>
      <c r="C107" s="15" t="s">
        <v>807</v>
      </c>
      <c r="E107" s="36">
        <v>242421.36</v>
      </c>
      <c r="F107" s="36"/>
      <c r="G107" s="36">
        <v>0</v>
      </c>
      <c r="H107" s="36"/>
      <c r="I107" s="36">
        <v>153009.84</v>
      </c>
      <c r="J107" s="36"/>
      <c r="K107" s="36">
        <v>0</v>
      </c>
      <c r="L107" s="36"/>
      <c r="M107" s="36">
        <v>7204.75</v>
      </c>
      <c r="N107" s="36"/>
      <c r="O107" s="36">
        <v>15650.06</v>
      </c>
      <c r="P107" s="36"/>
      <c r="Q107" s="36">
        <v>4063.2</v>
      </c>
      <c r="R107" s="36"/>
      <c r="S107" s="36">
        <v>21058.17</v>
      </c>
      <c r="T107" s="36"/>
      <c r="U107" s="36">
        <v>0</v>
      </c>
      <c r="V107" s="36"/>
      <c r="W107" s="36">
        <v>0</v>
      </c>
      <c r="X107" s="36"/>
      <c r="Y107" s="36">
        <v>0</v>
      </c>
      <c r="Z107" s="36"/>
      <c r="AA107" s="36">
        <v>0</v>
      </c>
      <c r="AB107" s="36"/>
      <c r="AC107" s="36">
        <v>0</v>
      </c>
      <c r="AD107" s="36"/>
      <c r="AE107" s="36">
        <v>0</v>
      </c>
      <c r="AF107" s="36"/>
      <c r="AG107" s="36">
        <v>0</v>
      </c>
      <c r="AH107" s="36"/>
      <c r="AI107" s="36">
        <f t="shared" si="7"/>
        <v>443407.37999999995</v>
      </c>
      <c r="AJ107" s="24"/>
      <c r="AK107" s="15" t="str">
        <f>'Gen Rev'!A107</f>
        <v>Camden</v>
      </c>
      <c r="AL107" s="15" t="str">
        <f t="shared" si="4"/>
        <v>Camden</v>
      </c>
      <c r="AM107" s="15" t="b">
        <f t="shared" si="5"/>
        <v>1</v>
      </c>
    </row>
    <row r="108" spans="1:42" s="31" customFormat="1" ht="12" customHeight="1" hidden="1">
      <c r="A108" s="15" t="s">
        <v>352</v>
      </c>
      <c r="B108" s="15"/>
      <c r="C108" s="15" t="s">
        <v>353</v>
      </c>
      <c r="D108" s="1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>
        <f t="shared" si="6"/>
        <v>0</v>
      </c>
      <c r="AJ108" s="24"/>
      <c r="AK108" s="15" t="str">
        <f>'Gen Rev'!A108</f>
        <v>Canal Winchester</v>
      </c>
      <c r="AL108" s="15" t="str">
        <f t="shared" si="4"/>
        <v>Canal Winchester</v>
      </c>
      <c r="AM108" s="15" t="b">
        <f t="shared" si="5"/>
        <v>1</v>
      </c>
      <c r="AN108" s="32"/>
      <c r="AO108" s="32"/>
      <c r="AP108" s="32"/>
    </row>
    <row r="109" spans="1:39" ht="12.75">
      <c r="A109" s="15" t="s">
        <v>170</v>
      </c>
      <c r="C109" s="15" t="s">
        <v>799</v>
      </c>
      <c r="E109" s="85">
        <v>379944</v>
      </c>
      <c r="F109" s="85"/>
      <c r="G109" s="85">
        <v>483456</v>
      </c>
      <c r="H109" s="85"/>
      <c r="I109" s="85">
        <v>113333</v>
      </c>
      <c r="J109" s="85"/>
      <c r="K109" s="85">
        <v>429</v>
      </c>
      <c r="L109" s="85"/>
      <c r="M109" s="85">
        <v>98614</v>
      </c>
      <c r="N109" s="85"/>
      <c r="O109" s="85">
        <v>56005</v>
      </c>
      <c r="P109" s="85"/>
      <c r="Q109" s="85">
        <v>581</v>
      </c>
      <c r="R109" s="85"/>
      <c r="S109" s="85">
        <v>52658</v>
      </c>
      <c r="T109" s="85"/>
      <c r="U109" s="85">
        <v>0</v>
      </c>
      <c r="V109" s="85"/>
      <c r="W109" s="85">
        <v>0</v>
      </c>
      <c r="X109" s="85"/>
      <c r="Y109" s="85">
        <v>2500</v>
      </c>
      <c r="Z109" s="85"/>
      <c r="AA109" s="85">
        <v>478183</v>
      </c>
      <c r="AB109" s="85"/>
      <c r="AC109" s="85">
        <v>0</v>
      </c>
      <c r="AD109" s="85"/>
      <c r="AE109" s="85">
        <v>0</v>
      </c>
      <c r="AF109" s="85"/>
      <c r="AG109" s="85">
        <v>0</v>
      </c>
      <c r="AH109" s="85"/>
      <c r="AI109" s="85">
        <f t="shared" si="6"/>
        <v>1665703</v>
      </c>
      <c r="AJ109" s="24"/>
      <c r="AK109" s="15" t="str">
        <f>'Gen Rev'!A109</f>
        <v>Cardington</v>
      </c>
      <c r="AL109" s="15" t="str">
        <f t="shared" si="4"/>
        <v>Cardington</v>
      </c>
      <c r="AM109" s="15" t="b">
        <f t="shared" si="5"/>
        <v>1</v>
      </c>
    </row>
    <row r="110" spans="1:39" ht="12.75">
      <c r="A110" s="15" t="s">
        <v>610</v>
      </c>
      <c r="C110" s="15" t="s">
        <v>611</v>
      </c>
      <c r="E110" s="85">
        <f>77955+288428</f>
        <v>366383</v>
      </c>
      <c r="F110" s="85"/>
      <c r="G110" s="85">
        <v>689547</v>
      </c>
      <c r="H110" s="85"/>
      <c r="I110" s="85">
        <v>576874</v>
      </c>
      <c r="J110" s="85"/>
      <c r="K110" s="85">
        <v>470</v>
      </c>
      <c r="L110" s="85"/>
      <c r="M110" s="85">
        <v>54657</v>
      </c>
      <c r="N110" s="85"/>
      <c r="O110" s="85">
        <f>2707+10671</f>
        <v>13378</v>
      </c>
      <c r="P110" s="85"/>
      <c r="Q110" s="85">
        <v>4260</v>
      </c>
      <c r="R110" s="85"/>
      <c r="S110" s="85">
        <f>18440+7890+68594</f>
        <v>94924</v>
      </c>
      <c r="T110" s="85"/>
      <c r="U110" s="85">
        <v>0</v>
      </c>
      <c r="V110" s="85"/>
      <c r="W110" s="85">
        <v>0</v>
      </c>
      <c r="X110" s="85"/>
      <c r="Y110" s="85">
        <v>0</v>
      </c>
      <c r="Z110" s="85"/>
      <c r="AA110" s="85">
        <v>0</v>
      </c>
      <c r="AB110" s="85"/>
      <c r="AC110" s="85">
        <v>0</v>
      </c>
      <c r="AD110" s="85"/>
      <c r="AE110" s="85">
        <v>0</v>
      </c>
      <c r="AF110" s="85"/>
      <c r="AG110" s="85">
        <v>0</v>
      </c>
      <c r="AH110" s="85"/>
      <c r="AI110" s="85">
        <f t="shared" si="6"/>
        <v>1800493</v>
      </c>
      <c r="AJ110" s="24"/>
      <c r="AK110" s="15" t="str">
        <f>'Gen Rev'!A110</f>
        <v>Carey</v>
      </c>
      <c r="AL110" s="15" t="str">
        <f t="shared" si="4"/>
        <v>Carey</v>
      </c>
      <c r="AM110" s="15" t="b">
        <f t="shared" si="5"/>
        <v>1</v>
      </c>
    </row>
    <row r="111" spans="1:39" ht="12.75">
      <c r="A111" s="15" t="s">
        <v>963</v>
      </c>
      <c r="C111" s="15" t="s">
        <v>583</v>
      </c>
      <c r="E111" s="85">
        <v>198820</v>
      </c>
      <c r="F111" s="85"/>
      <c r="G111" s="85">
        <v>884746</v>
      </c>
      <c r="H111" s="85"/>
      <c r="I111" s="85">
        <v>741366</v>
      </c>
      <c r="J111" s="85"/>
      <c r="K111" s="85">
        <v>31220</v>
      </c>
      <c r="L111" s="85"/>
      <c r="M111" s="85">
        <v>0</v>
      </c>
      <c r="N111" s="85"/>
      <c r="O111" s="85">
        <f>98634+51284</f>
        <v>149918</v>
      </c>
      <c r="P111" s="85"/>
      <c r="Q111" s="85">
        <v>25934</v>
      </c>
      <c r="R111" s="85"/>
      <c r="S111" s="85">
        <v>256686</v>
      </c>
      <c r="T111" s="85"/>
      <c r="U111" s="85">
        <v>0</v>
      </c>
      <c r="V111" s="85"/>
      <c r="W111" s="85">
        <v>2090696</v>
      </c>
      <c r="X111" s="85"/>
      <c r="Y111" s="85">
        <v>0</v>
      </c>
      <c r="Z111" s="85"/>
      <c r="AA111" s="85">
        <v>251500</v>
      </c>
      <c r="AB111" s="85"/>
      <c r="AC111" s="85">
        <v>0</v>
      </c>
      <c r="AD111" s="85"/>
      <c r="AE111" s="85">
        <v>0</v>
      </c>
      <c r="AF111" s="85"/>
      <c r="AG111" s="85">
        <v>0</v>
      </c>
      <c r="AH111" s="85"/>
      <c r="AI111" s="85">
        <f t="shared" si="6"/>
        <v>4630886</v>
      </c>
      <c r="AJ111" s="24"/>
      <c r="AK111" s="15" t="str">
        <f>'Gen Rev'!A111</f>
        <v>Carlisle</v>
      </c>
      <c r="AL111" s="15" t="str">
        <f t="shared" si="4"/>
        <v>Carlisle</v>
      </c>
      <c r="AM111" s="15" t="b">
        <f t="shared" si="5"/>
        <v>1</v>
      </c>
    </row>
    <row r="112" spans="1:42" ht="12.6" customHeight="1">
      <c r="A112" s="15" t="s">
        <v>62</v>
      </c>
      <c r="C112" s="15" t="s">
        <v>766</v>
      </c>
      <c r="E112" s="36">
        <v>21455.72</v>
      </c>
      <c r="F112" s="36"/>
      <c r="G112" s="36">
        <v>136977.97</v>
      </c>
      <c r="H112" s="36"/>
      <c r="I112" s="36">
        <v>179587.19</v>
      </c>
      <c r="J112" s="36"/>
      <c r="K112" s="36">
        <v>0</v>
      </c>
      <c r="L112" s="36"/>
      <c r="M112" s="36">
        <v>14666.67</v>
      </c>
      <c r="N112" s="36"/>
      <c r="O112" s="36">
        <v>12578.77</v>
      </c>
      <c r="P112" s="36"/>
      <c r="Q112" s="36">
        <v>18632.79</v>
      </c>
      <c r="R112" s="36"/>
      <c r="S112" s="36">
        <v>6645.83</v>
      </c>
      <c r="T112" s="36"/>
      <c r="U112" s="36">
        <v>0</v>
      </c>
      <c r="V112" s="36"/>
      <c r="W112" s="36">
        <v>0</v>
      </c>
      <c r="X112" s="36"/>
      <c r="Y112" s="36">
        <v>0</v>
      </c>
      <c r="Z112" s="36"/>
      <c r="AA112" s="36">
        <v>0</v>
      </c>
      <c r="AB112" s="36"/>
      <c r="AC112" s="36">
        <v>15000</v>
      </c>
      <c r="AD112" s="36"/>
      <c r="AE112" s="36">
        <v>0</v>
      </c>
      <c r="AF112" s="36"/>
      <c r="AG112" s="36">
        <v>0</v>
      </c>
      <c r="AH112" s="36"/>
      <c r="AI112" s="36">
        <f>SUM(E112:AG112)</f>
        <v>405544.94</v>
      </c>
      <c r="AJ112" s="24"/>
      <c r="AK112" s="15" t="str">
        <f>'Gen Rev'!A112</f>
        <v>Carroll</v>
      </c>
      <c r="AL112" s="15" t="str">
        <f t="shared" si="4"/>
        <v>Carroll</v>
      </c>
      <c r="AM112" s="15" t="b">
        <f t="shared" si="5"/>
        <v>1</v>
      </c>
      <c r="AN112" s="30"/>
      <c r="AO112" s="30"/>
      <c r="AP112" s="30"/>
    </row>
    <row r="113" spans="1:39" ht="12.6" customHeight="1">
      <c r="A113" s="15" t="s">
        <v>285</v>
      </c>
      <c r="C113" s="15" t="s">
        <v>62</v>
      </c>
      <c r="E113" s="85">
        <v>266011</v>
      </c>
      <c r="F113" s="85"/>
      <c r="G113" s="85">
        <v>851454</v>
      </c>
      <c r="H113" s="85"/>
      <c r="I113" s="85">
        <v>414608</v>
      </c>
      <c r="J113" s="85"/>
      <c r="K113" s="85">
        <v>0</v>
      </c>
      <c r="L113" s="85"/>
      <c r="M113" s="85">
        <v>34502</v>
      </c>
      <c r="N113" s="85"/>
      <c r="O113" s="85">
        <v>98318</v>
      </c>
      <c r="P113" s="85"/>
      <c r="Q113" s="85">
        <v>3372</v>
      </c>
      <c r="R113" s="85"/>
      <c r="S113" s="85">
        <v>70813</v>
      </c>
      <c r="T113" s="85"/>
      <c r="U113" s="85">
        <v>0</v>
      </c>
      <c r="V113" s="85"/>
      <c r="W113" s="85">
        <v>0</v>
      </c>
      <c r="X113" s="85"/>
      <c r="Y113" s="85">
        <v>6457</v>
      </c>
      <c r="Z113" s="85"/>
      <c r="AA113" s="85">
        <v>809200</v>
      </c>
      <c r="AB113" s="85"/>
      <c r="AC113" s="85">
        <v>0</v>
      </c>
      <c r="AD113" s="85"/>
      <c r="AE113" s="85">
        <v>14223</v>
      </c>
      <c r="AF113" s="85"/>
      <c r="AG113" s="85">
        <v>0</v>
      </c>
      <c r="AH113" s="85"/>
      <c r="AI113" s="85">
        <f t="shared" si="6"/>
        <v>2568958</v>
      </c>
      <c r="AJ113" s="24"/>
      <c r="AK113" s="15" t="str">
        <f>'Gen Rev'!A113</f>
        <v>Carrollton</v>
      </c>
      <c r="AL113" s="15" t="str">
        <f t="shared" si="4"/>
        <v>Carrollton</v>
      </c>
      <c r="AM113" s="15" t="b">
        <f t="shared" si="5"/>
        <v>1</v>
      </c>
    </row>
    <row r="114" spans="1:39" ht="12.6" customHeight="1">
      <c r="A114" s="15" t="s">
        <v>936</v>
      </c>
      <c r="C114" s="15" t="s">
        <v>470</v>
      </c>
      <c r="E114" s="36">
        <v>14187.07</v>
      </c>
      <c r="F114" s="36"/>
      <c r="G114" s="36">
        <v>0</v>
      </c>
      <c r="H114" s="36"/>
      <c r="I114" s="36">
        <v>1379414.57</v>
      </c>
      <c r="J114" s="36"/>
      <c r="K114" s="36">
        <v>4501.44</v>
      </c>
      <c r="L114" s="36"/>
      <c r="M114" s="36">
        <v>47863.51</v>
      </c>
      <c r="N114" s="36"/>
      <c r="O114" s="36">
        <v>1878.32</v>
      </c>
      <c r="P114" s="36"/>
      <c r="Q114" s="36">
        <v>596.27</v>
      </c>
      <c r="R114" s="36"/>
      <c r="S114" s="36">
        <v>1050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0</v>
      </c>
      <c r="AD114" s="36"/>
      <c r="AE114" s="36">
        <v>0</v>
      </c>
      <c r="AF114" s="36"/>
      <c r="AG114" s="36">
        <v>0</v>
      </c>
      <c r="AH114" s="36"/>
      <c r="AI114" s="36">
        <f>SUM(E114:AG114)</f>
        <v>1449491.1800000002</v>
      </c>
      <c r="AJ114" s="24"/>
      <c r="AK114" s="15" t="str">
        <f>'Gen Rev'!A114</f>
        <v>Casstown</v>
      </c>
      <c r="AL114" s="15" t="str">
        <f t="shared" si="4"/>
        <v>Casstown</v>
      </c>
      <c r="AM114" s="15" t="b">
        <f t="shared" si="5"/>
        <v>1</v>
      </c>
    </row>
    <row r="115" spans="1:42" s="31" customFormat="1" ht="12.6" customHeight="1">
      <c r="A115" s="15" t="s">
        <v>60</v>
      </c>
      <c r="B115" s="15"/>
      <c r="C115" s="15" t="s">
        <v>765</v>
      </c>
      <c r="D115" s="15"/>
      <c r="E115" s="36">
        <v>168438.58</v>
      </c>
      <c r="F115" s="36"/>
      <c r="G115" s="36">
        <v>0</v>
      </c>
      <c r="H115" s="36"/>
      <c r="I115" s="36">
        <v>86107.57</v>
      </c>
      <c r="J115" s="36"/>
      <c r="K115" s="36">
        <v>456.46</v>
      </c>
      <c r="L115" s="36"/>
      <c r="M115" s="36">
        <v>272696</v>
      </c>
      <c r="N115" s="36"/>
      <c r="O115" s="36">
        <v>28385.4</v>
      </c>
      <c r="P115" s="36"/>
      <c r="Q115" s="36">
        <v>532.56</v>
      </c>
      <c r="R115" s="36"/>
      <c r="S115" s="36">
        <v>5099.96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v>0</v>
      </c>
      <c r="AF115" s="36"/>
      <c r="AG115" s="36">
        <v>0</v>
      </c>
      <c r="AH115" s="36"/>
      <c r="AI115" s="36">
        <f>SUM(E115:AG115)</f>
        <v>561716.53</v>
      </c>
      <c r="AJ115" s="24"/>
      <c r="AK115" s="15" t="str">
        <f>'Gen Rev'!A115</f>
        <v>Castalia</v>
      </c>
      <c r="AL115" s="15" t="str">
        <f t="shared" si="4"/>
        <v>Castalia</v>
      </c>
      <c r="AM115" s="15" t="b">
        <f t="shared" si="5"/>
        <v>1</v>
      </c>
      <c r="AN115" s="32"/>
      <c r="AO115" s="32"/>
      <c r="AP115" s="32"/>
    </row>
    <row r="116" spans="1:42" s="31" customFormat="1" ht="12.75">
      <c r="A116" s="15" t="s">
        <v>51</v>
      </c>
      <c r="B116" s="15"/>
      <c r="C116" s="15" t="s">
        <v>762</v>
      </c>
      <c r="D116" s="15"/>
      <c r="E116" s="95">
        <v>736.8</v>
      </c>
      <c r="F116" s="95"/>
      <c r="G116" s="95">
        <v>0</v>
      </c>
      <c r="H116" s="95"/>
      <c r="I116" s="95">
        <v>28437.41</v>
      </c>
      <c r="J116" s="95"/>
      <c r="K116" s="95">
        <v>0</v>
      </c>
      <c r="L116" s="95"/>
      <c r="M116" s="95">
        <v>362.31</v>
      </c>
      <c r="N116" s="95"/>
      <c r="O116" s="95">
        <v>0</v>
      </c>
      <c r="P116" s="95"/>
      <c r="Q116" s="95">
        <v>52.32</v>
      </c>
      <c r="R116" s="95"/>
      <c r="S116" s="95">
        <v>431.54</v>
      </c>
      <c r="T116" s="95"/>
      <c r="U116" s="95">
        <v>0</v>
      </c>
      <c r="V116" s="95"/>
      <c r="W116" s="95">
        <v>0</v>
      </c>
      <c r="X116" s="95"/>
      <c r="Y116" s="95">
        <v>0</v>
      </c>
      <c r="Z116" s="95"/>
      <c r="AA116" s="95">
        <v>0</v>
      </c>
      <c r="AB116" s="95"/>
      <c r="AC116" s="95">
        <v>0</v>
      </c>
      <c r="AD116" s="95"/>
      <c r="AE116" s="95">
        <v>0</v>
      </c>
      <c r="AF116" s="95"/>
      <c r="AG116" s="95">
        <v>0</v>
      </c>
      <c r="AH116" s="95"/>
      <c r="AI116" s="95">
        <f>SUM(E116:AG116)</f>
        <v>30020.38</v>
      </c>
      <c r="AJ116" s="24"/>
      <c r="AK116" s="15" t="str">
        <f>'Gen Rev'!A116</f>
        <v>Castine</v>
      </c>
      <c r="AL116" s="15" t="str">
        <f t="shared" si="4"/>
        <v>Castine</v>
      </c>
      <c r="AM116" s="15" t="b">
        <f t="shared" si="5"/>
        <v>1</v>
      </c>
      <c r="AN116" s="32"/>
      <c r="AO116" s="32"/>
      <c r="AP116" s="32"/>
    </row>
    <row r="117" spans="1:39" ht="12.75">
      <c r="A117" s="15" t="s">
        <v>34</v>
      </c>
      <c r="C117" s="15" t="s">
        <v>755</v>
      </c>
      <c r="E117" s="95">
        <v>4215.84</v>
      </c>
      <c r="F117" s="95"/>
      <c r="G117" s="95">
        <v>32556.36</v>
      </c>
      <c r="H117" s="95"/>
      <c r="I117" s="95">
        <v>21926.26</v>
      </c>
      <c r="J117" s="95"/>
      <c r="K117" s="95">
        <v>0</v>
      </c>
      <c r="L117" s="95"/>
      <c r="M117" s="95">
        <v>0</v>
      </c>
      <c r="N117" s="95"/>
      <c r="O117" s="95">
        <v>10292.1</v>
      </c>
      <c r="P117" s="95"/>
      <c r="Q117" s="95">
        <v>41.46</v>
      </c>
      <c r="R117" s="95"/>
      <c r="S117" s="95">
        <v>700</v>
      </c>
      <c r="T117" s="95"/>
      <c r="U117" s="95">
        <v>0</v>
      </c>
      <c r="V117" s="95"/>
      <c r="W117" s="95">
        <v>0</v>
      </c>
      <c r="X117" s="95"/>
      <c r="Y117" s="95">
        <v>0</v>
      </c>
      <c r="Z117" s="95"/>
      <c r="AA117" s="95">
        <v>0</v>
      </c>
      <c r="AB117" s="95"/>
      <c r="AC117" s="95">
        <v>0</v>
      </c>
      <c r="AD117" s="95"/>
      <c r="AE117" s="95">
        <v>0</v>
      </c>
      <c r="AF117" s="95"/>
      <c r="AG117" s="95">
        <v>0</v>
      </c>
      <c r="AH117" s="95"/>
      <c r="AI117" s="95">
        <f>SUM(E117:AG117)</f>
        <v>69732.02</v>
      </c>
      <c r="AJ117" s="24"/>
      <c r="AK117" s="15" t="str">
        <f>'Gen Rev'!A117</f>
        <v>Catawba</v>
      </c>
      <c r="AL117" s="15" t="str">
        <f t="shared" si="4"/>
        <v>Catawba</v>
      </c>
      <c r="AM117" s="15" t="b">
        <f t="shared" si="5"/>
        <v>1</v>
      </c>
    </row>
    <row r="118" spans="1:39" ht="12.75">
      <c r="A118" s="15" t="s">
        <v>182</v>
      </c>
      <c r="C118" s="15" t="s">
        <v>803</v>
      </c>
      <c r="E118" s="36">
        <v>2401.96</v>
      </c>
      <c r="F118" s="36"/>
      <c r="G118" s="36">
        <v>13530.59</v>
      </c>
      <c r="H118" s="36"/>
      <c r="I118" s="36">
        <v>21762.43</v>
      </c>
      <c r="J118" s="36"/>
      <c r="K118" s="36">
        <v>0</v>
      </c>
      <c r="L118" s="36"/>
      <c r="M118" s="36">
        <v>200</v>
      </c>
      <c r="N118" s="36"/>
      <c r="O118" s="36">
        <v>732.93</v>
      </c>
      <c r="P118" s="36"/>
      <c r="Q118" s="36">
        <v>30.95</v>
      </c>
      <c r="R118" s="36"/>
      <c r="S118" s="36">
        <v>79.5</v>
      </c>
      <c r="T118" s="36"/>
      <c r="U118" s="36">
        <v>0</v>
      </c>
      <c r="V118" s="36"/>
      <c r="W118" s="36">
        <v>364.25</v>
      </c>
      <c r="X118" s="36"/>
      <c r="Y118" s="36">
        <v>226</v>
      </c>
      <c r="Z118" s="36"/>
      <c r="AA118" s="36">
        <v>0</v>
      </c>
      <c r="AB118" s="36"/>
      <c r="AC118" s="36">
        <v>0</v>
      </c>
      <c r="AD118" s="36"/>
      <c r="AE118" s="36">
        <v>0</v>
      </c>
      <c r="AF118" s="36"/>
      <c r="AG118" s="36">
        <v>0</v>
      </c>
      <c r="AH118" s="36"/>
      <c r="AI118" s="36">
        <f>SUM(E118:AG118)</f>
        <v>39328.60999999999</v>
      </c>
      <c r="AJ118" s="24"/>
      <c r="AK118" s="15" t="str">
        <f>'Gen Rev'!A118</f>
        <v>Cecil</v>
      </c>
      <c r="AL118" s="15" t="str">
        <f t="shared" si="4"/>
        <v>Cecil</v>
      </c>
      <c r="AM118" s="15" t="b">
        <f t="shared" si="5"/>
        <v>1</v>
      </c>
    </row>
    <row r="119" spans="1:39" s="31" customFormat="1" ht="12.75">
      <c r="A119" s="15" t="s">
        <v>370</v>
      </c>
      <c r="B119" s="15"/>
      <c r="C119" s="15" t="s">
        <v>371</v>
      </c>
      <c r="D119" s="15"/>
      <c r="E119" s="85">
        <f>68293+68000</f>
        <v>136293</v>
      </c>
      <c r="F119" s="85"/>
      <c r="G119" s="85">
        <v>521345</v>
      </c>
      <c r="H119" s="85"/>
      <c r="I119" s="85">
        <v>200225</v>
      </c>
      <c r="J119" s="85"/>
      <c r="K119" s="85">
        <v>0</v>
      </c>
      <c r="L119" s="85"/>
      <c r="M119" s="85">
        <v>280</v>
      </c>
      <c r="N119" s="85"/>
      <c r="O119" s="85">
        <v>1631</v>
      </c>
      <c r="P119" s="85"/>
      <c r="Q119" s="85">
        <v>1118</v>
      </c>
      <c r="R119" s="85"/>
      <c r="S119" s="85">
        <v>0</v>
      </c>
      <c r="T119" s="85"/>
      <c r="U119" s="85">
        <v>0</v>
      </c>
      <c r="V119" s="85"/>
      <c r="W119" s="85">
        <v>0</v>
      </c>
      <c r="X119" s="85"/>
      <c r="Y119" s="85">
        <v>0</v>
      </c>
      <c r="Z119" s="85"/>
      <c r="AA119" s="85">
        <v>335000</v>
      </c>
      <c r="AB119" s="85"/>
      <c r="AC119" s="85">
        <v>0</v>
      </c>
      <c r="AD119" s="85"/>
      <c r="AE119" s="85">
        <v>0</v>
      </c>
      <c r="AF119" s="85"/>
      <c r="AG119" s="85">
        <v>0</v>
      </c>
      <c r="AH119" s="85"/>
      <c r="AI119" s="85">
        <f t="shared" si="6"/>
        <v>1195892</v>
      </c>
      <c r="AJ119" s="24"/>
      <c r="AK119" s="15" t="str">
        <f>'Gen Rev'!A119</f>
        <v>Cedarville</v>
      </c>
      <c r="AL119" s="15" t="str">
        <f t="shared" si="4"/>
        <v>Cedarville</v>
      </c>
      <c r="AM119" s="15" t="b">
        <f t="shared" si="5"/>
        <v>1</v>
      </c>
    </row>
    <row r="120" spans="1:39" ht="12.75">
      <c r="A120" s="15" t="s">
        <v>121</v>
      </c>
      <c r="C120" s="15" t="s">
        <v>782</v>
      </c>
      <c r="E120" s="36">
        <v>124373.01</v>
      </c>
      <c r="F120" s="36"/>
      <c r="G120" s="36">
        <v>330872.58</v>
      </c>
      <c r="H120" s="36"/>
      <c r="I120" s="36">
        <v>177550.28</v>
      </c>
      <c r="J120" s="36"/>
      <c r="K120" s="36">
        <v>0</v>
      </c>
      <c r="L120" s="36"/>
      <c r="M120" s="36">
        <v>0</v>
      </c>
      <c r="N120" s="36"/>
      <c r="O120" s="36">
        <v>27301.39</v>
      </c>
      <c r="P120" s="36"/>
      <c r="Q120" s="36">
        <v>1134.31</v>
      </c>
      <c r="R120" s="36"/>
      <c r="S120" s="36">
        <v>7994.79</v>
      </c>
      <c r="T120" s="36"/>
      <c r="U120" s="36">
        <v>0</v>
      </c>
      <c r="V120" s="36"/>
      <c r="W120" s="36">
        <v>0</v>
      </c>
      <c r="X120" s="36"/>
      <c r="Y120" s="36">
        <v>0</v>
      </c>
      <c r="Z120" s="36"/>
      <c r="AA120" s="36">
        <v>16.36</v>
      </c>
      <c r="AB120" s="36"/>
      <c r="AC120" s="36">
        <v>0</v>
      </c>
      <c r="AD120" s="36"/>
      <c r="AE120" s="36">
        <v>0</v>
      </c>
      <c r="AF120" s="36"/>
      <c r="AG120" s="36">
        <v>0</v>
      </c>
      <c r="AH120" s="36"/>
      <c r="AI120" s="36">
        <f>SUM(E120:AG120)</f>
        <v>669242.7200000001</v>
      </c>
      <c r="AJ120" s="24"/>
      <c r="AK120" s="15" t="str">
        <f>'Gen Rev'!A120</f>
        <v>Centerburg</v>
      </c>
      <c r="AL120" s="15" t="str">
        <f t="shared" si="4"/>
        <v>Centerburg</v>
      </c>
      <c r="AM120" s="15" t="b">
        <f t="shared" si="5"/>
        <v>1</v>
      </c>
    </row>
    <row r="121" spans="1:39" ht="12.75">
      <c r="A121" s="15" t="s">
        <v>839</v>
      </c>
      <c r="C121" s="15" t="s">
        <v>770</v>
      </c>
      <c r="E121" s="36">
        <v>2451.97</v>
      </c>
      <c r="F121" s="36"/>
      <c r="G121" s="36">
        <v>0</v>
      </c>
      <c r="H121" s="36"/>
      <c r="I121" s="36">
        <v>68887.19</v>
      </c>
      <c r="J121" s="36"/>
      <c r="K121" s="36">
        <v>0</v>
      </c>
      <c r="L121" s="36"/>
      <c r="M121" s="36">
        <v>4948.36</v>
      </c>
      <c r="N121" s="36"/>
      <c r="O121" s="36">
        <v>34</v>
      </c>
      <c r="P121" s="36"/>
      <c r="Q121" s="36">
        <v>0</v>
      </c>
      <c r="R121" s="36"/>
      <c r="S121" s="36">
        <v>12712.44</v>
      </c>
      <c r="T121" s="36"/>
      <c r="U121" s="36">
        <v>0</v>
      </c>
      <c r="V121" s="36"/>
      <c r="W121" s="36">
        <v>0</v>
      </c>
      <c r="X121" s="36"/>
      <c r="Y121" s="36">
        <v>0</v>
      </c>
      <c r="Z121" s="36"/>
      <c r="AA121" s="36">
        <v>0</v>
      </c>
      <c r="AB121" s="36"/>
      <c r="AC121" s="36">
        <v>6000</v>
      </c>
      <c r="AD121" s="36"/>
      <c r="AE121" s="36">
        <v>2466.4</v>
      </c>
      <c r="AF121" s="36"/>
      <c r="AG121" s="36">
        <v>0</v>
      </c>
      <c r="AH121" s="36"/>
      <c r="AI121" s="36">
        <f>SUM(E121:AG121)</f>
        <v>97500.36</v>
      </c>
      <c r="AJ121" s="24"/>
      <c r="AK121" s="15" t="str">
        <f>'Gen Rev'!A121</f>
        <v>Centerville</v>
      </c>
      <c r="AL121" s="15" t="str">
        <f t="shared" si="4"/>
        <v>Centerville</v>
      </c>
      <c r="AM121" s="15" t="b">
        <f t="shared" si="5"/>
        <v>1</v>
      </c>
    </row>
    <row r="122" spans="1:42" s="31" customFormat="1" ht="12.6" customHeight="1">
      <c r="A122" s="15" t="s">
        <v>319</v>
      </c>
      <c r="B122" s="15"/>
      <c r="C122" s="15" t="s">
        <v>316</v>
      </c>
      <c r="D122" s="15"/>
      <c r="E122" s="85">
        <v>1719128</v>
      </c>
      <c r="F122" s="85"/>
      <c r="G122" s="85">
        <v>2848097</v>
      </c>
      <c r="H122" s="85"/>
      <c r="I122" s="85">
        <v>1289505</v>
      </c>
      <c r="J122" s="85"/>
      <c r="K122" s="85">
        <v>32249</v>
      </c>
      <c r="L122" s="85"/>
      <c r="M122" s="85">
        <v>841560</v>
      </c>
      <c r="N122" s="85"/>
      <c r="O122" s="85">
        <v>94762</v>
      </c>
      <c r="P122" s="85"/>
      <c r="Q122" s="85">
        <v>5419</v>
      </c>
      <c r="R122" s="85"/>
      <c r="S122" s="85">
        <v>143052</v>
      </c>
      <c r="T122" s="85"/>
      <c r="U122" s="85">
        <v>0</v>
      </c>
      <c r="V122" s="85"/>
      <c r="W122" s="85">
        <v>0</v>
      </c>
      <c r="X122" s="85"/>
      <c r="Y122" s="85">
        <v>0</v>
      </c>
      <c r="Z122" s="85"/>
      <c r="AA122" s="85">
        <v>893658</v>
      </c>
      <c r="AB122" s="85"/>
      <c r="AC122" s="85">
        <v>75000</v>
      </c>
      <c r="AD122" s="85"/>
      <c r="AE122" s="85">
        <v>0</v>
      </c>
      <c r="AF122" s="85"/>
      <c r="AG122" s="85">
        <v>0</v>
      </c>
      <c r="AH122" s="85"/>
      <c r="AI122" s="85">
        <f t="shared" si="6"/>
        <v>7942430</v>
      </c>
      <c r="AJ122" s="24"/>
      <c r="AK122" s="15" t="str">
        <f>'Gen Rev'!A122</f>
        <v>Chagrin Falls</v>
      </c>
      <c r="AL122" s="15" t="str">
        <f t="shared" si="4"/>
        <v>Chagrin Falls</v>
      </c>
      <c r="AM122" s="15" t="b">
        <f t="shared" si="5"/>
        <v>1</v>
      </c>
      <c r="AN122" s="32"/>
      <c r="AO122" s="32"/>
      <c r="AP122" s="32"/>
    </row>
    <row r="123" spans="1:39" s="31" customFormat="1" ht="12.6" customHeight="1">
      <c r="A123" s="15" t="s">
        <v>311</v>
      </c>
      <c r="B123" s="15"/>
      <c r="C123" s="15" t="s">
        <v>312</v>
      </c>
      <c r="D123" s="15"/>
      <c r="E123" s="85">
        <f>2174+4611</f>
        <v>6785</v>
      </c>
      <c r="F123" s="85"/>
      <c r="G123" s="85">
        <v>0</v>
      </c>
      <c r="H123" s="85"/>
      <c r="I123" s="85">
        <f>10539+3594</f>
        <v>14133</v>
      </c>
      <c r="J123" s="85"/>
      <c r="K123" s="85">
        <v>0</v>
      </c>
      <c r="L123" s="85"/>
      <c r="M123" s="85">
        <v>0</v>
      </c>
      <c r="N123" s="85"/>
      <c r="O123" s="85">
        <v>50</v>
      </c>
      <c r="P123" s="85"/>
      <c r="Q123" s="85">
        <f>71+70</f>
        <v>141</v>
      </c>
      <c r="R123" s="85"/>
      <c r="S123" s="85">
        <v>202</v>
      </c>
      <c r="T123" s="85"/>
      <c r="U123" s="85">
        <v>0</v>
      </c>
      <c r="V123" s="85"/>
      <c r="W123" s="85">
        <v>0</v>
      </c>
      <c r="X123" s="85"/>
      <c r="Y123" s="85">
        <v>0</v>
      </c>
      <c r="Z123" s="85"/>
      <c r="AA123" s="85">
        <v>0</v>
      </c>
      <c r="AB123" s="85"/>
      <c r="AC123" s="85">
        <v>0</v>
      </c>
      <c r="AD123" s="85"/>
      <c r="AE123" s="85">
        <v>0</v>
      </c>
      <c r="AF123" s="85"/>
      <c r="AG123" s="85">
        <v>0</v>
      </c>
      <c r="AH123" s="85"/>
      <c r="AI123" s="85">
        <f t="shared" si="6"/>
        <v>21311</v>
      </c>
      <c r="AJ123" s="24"/>
      <c r="AK123" s="15" t="str">
        <f>'Gen Rev'!A123</f>
        <v>Chatfield</v>
      </c>
      <c r="AL123" s="15" t="str">
        <f t="shared" si="4"/>
        <v>Chatfield</v>
      </c>
      <c r="AM123" s="15" t="b">
        <f t="shared" si="5"/>
        <v>1</v>
      </c>
    </row>
    <row r="124" spans="1:42" ht="12.6" customHeight="1">
      <c r="A124" s="15" t="s">
        <v>273</v>
      </c>
      <c r="C124" s="15" t="s">
        <v>271</v>
      </c>
      <c r="E124" s="36">
        <v>51905.47</v>
      </c>
      <c r="F124" s="36"/>
      <c r="G124" s="36">
        <v>0</v>
      </c>
      <c r="H124" s="36"/>
      <c r="I124" s="36">
        <v>193637.61</v>
      </c>
      <c r="J124" s="36"/>
      <c r="K124" s="36">
        <v>0</v>
      </c>
      <c r="L124" s="36"/>
      <c r="M124" s="36">
        <v>0</v>
      </c>
      <c r="N124" s="36"/>
      <c r="O124" s="36">
        <v>0</v>
      </c>
      <c r="P124" s="36"/>
      <c r="Q124" s="36">
        <v>173.7</v>
      </c>
      <c r="R124" s="36"/>
      <c r="S124" s="36">
        <v>27371.2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v>0</v>
      </c>
      <c r="AF124" s="36"/>
      <c r="AG124" s="36">
        <v>0</v>
      </c>
      <c r="AH124" s="36"/>
      <c r="AI124" s="36">
        <f>SUM(E124:AG124)</f>
        <v>273087.98</v>
      </c>
      <c r="AJ124" s="24"/>
      <c r="AK124" s="15" t="str">
        <f>'Gen Rev'!A124</f>
        <v>Chauncey</v>
      </c>
      <c r="AL124" s="15" t="str">
        <f t="shared" si="4"/>
        <v>Chauncey</v>
      </c>
      <c r="AM124" s="15" t="b">
        <f t="shared" si="5"/>
        <v>1</v>
      </c>
      <c r="AN124" s="30"/>
      <c r="AO124" s="30"/>
      <c r="AP124" s="30"/>
    </row>
    <row r="125" spans="1:39" s="31" customFormat="1" ht="12.75">
      <c r="A125" s="15" t="s">
        <v>663</v>
      </c>
      <c r="B125" s="15"/>
      <c r="C125" s="15" t="s">
        <v>664</v>
      </c>
      <c r="D125" s="15"/>
      <c r="E125" s="85">
        <v>7119</v>
      </c>
      <c r="F125" s="85"/>
      <c r="G125" s="85">
        <v>0</v>
      </c>
      <c r="H125" s="85"/>
      <c r="I125" s="85">
        <f>1644+3668</f>
        <v>5312</v>
      </c>
      <c r="J125" s="85"/>
      <c r="K125" s="85">
        <v>0</v>
      </c>
      <c r="L125" s="85"/>
      <c r="M125" s="85">
        <v>0</v>
      </c>
      <c r="N125" s="85"/>
      <c r="O125" s="85">
        <v>1458</v>
      </c>
      <c r="P125" s="85"/>
      <c r="Q125" s="85">
        <v>0</v>
      </c>
      <c r="R125" s="85"/>
      <c r="S125" s="85">
        <v>245</v>
      </c>
      <c r="T125" s="85"/>
      <c r="U125" s="85">
        <v>0</v>
      </c>
      <c r="V125" s="85"/>
      <c r="W125" s="85">
        <v>0</v>
      </c>
      <c r="X125" s="85"/>
      <c r="Y125" s="85">
        <v>0</v>
      </c>
      <c r="Z125" s="85"/>
      <c r="AA125" s="85">
        <v>0</v>
      </c>
      <c r="AB125" s="85"/>
      <c r="AC125" s="85">
        <v>0</v>
      </c>
      <c r="AD125" s="85"/>
      <c r="AE125" s="85">
        <v>0</v>
      </c>
      <c r="AF125" s="85"/>
      <c r="AG125" s="85">
        <v>0</v>
      </c>
      <c r="AH125" s="85"/>
      <c r="AI125" s="85">
        <f t="shared" si="6"/>
        <v>14134</v>
      </c>
      <c r="AJ125" s="24"/>
      <c r="AK125" s="15" t="str">
        <f>'Gen Rev'!A125</f>
        <v>Cherry Fork</v>
      </c>
      <c r="AL125" s="15" t="str">
        <f t="shared" si="4"/>
        <v>Cherry Fork</v>
      </c>
      <c r="AM125" s="15" t="b">
        <f t="shared" si="5"/>
        <v>1</v>
      </c>
    </row>
    <row r="126" spans="1:39" ht="12.75">
      <c r="A126" s="15" t="s">
        <v>436</v>
      </c>
      <c r="C126" s="15" t="s">
        <v>437</v>
      </c>
      <c r="E126" s="36">
        <v>48733.12</v>
      </c>
      <c r="F126" s="36"/>
      <c r="G126" s="36">
        <v>0</v>
      </c>
      <c r="H126" s="36"/>
      <c r="I126" s="36">
        <v>92357.23</v>
      </c>
      <c r="J126" s="36"/>
      <c r="K126" s="36">
        <v>0</v>
      </c>
      <c r="L126" s="36"/>
      <c r="M126" s="36">
        <v>0</v>
      </c>
      <c r="N126" s="36"/>
      <c r="O126" s="36">
        <v>137172.89</v>
      </c>
      <c r="P126" s="36"/>
      <c r="Q126" s="36">
        <v>113.1</v>
      </c>
      <c r="R126" s="36"/>
      <c r="S126" s="36">
        <f>33752.97+3900</f>
        <v>37652.97</v>
      </c>
      <c r="T126" s="36"/>
      <c r="U126" s="36">
        <v>0</v>
      </c>
      <c r="V126" s="36"/>
      <c r="W126" s="36">
        <v>0</v>
      </c>
      <c r="X126" s="36"/>
      <c r="Y126" s="36">
        <v>0</v>
      </c>
      <c r="Z126" s="36"/>
      <c r="AA126" s="36">
        <v>10000</v>
      </c>
      <c r="AB126" s="36"/>
      <c r="AC126" s="36">
        <v>0</v>
      </c>
      <c r="AD126" s="36"/>
      <c r="AE126" s="36">
        <v>170003.2</v>
      </c>
      <c r="AF126" s="36"/>
      <c r="AG126" s="36">
        <v>0</v>
      </c>
      <c r="AH126" s="36"/>
      <c r="AI126" s="36">
        <f>SUM(E126:AG126)</f>
        <v>496032.50999999995</v>
      </c>
      <c r="AJ126" s="24"/>
      <c r="AK126" s="15" t="str">
        <f>'Gen Rev'!A126</f>
        <v>Chesapeake</v>
      </c>
      <c r="AL126" s="15" t="str">
        <f t="shared" si="4"/>
        <v>Chesapeake</v>
      </c>
      <c r="AM126" s="15" t="b">
        <f t="shared" si="5"/>
        <v>1</v>
      </c>
    </row>
    <row r="127" spans="1:39" s="31" customFormat="1" ht="12.75">
      <c r="A127" s="15" t="s">
        <v>79</v>
      </c>
      <c r="B127" s="15"/>
      <c r="C127" s="15" t="s">
        <v>770</v>
      </c>
      <c r="D127" s="15"/>
      <c r="E127" s="36">
        <v>2928.02</v>
      </c>
      <c r="F127" s="36"/>
      <c r="G127" s="36">
        <v>0</v>
      </c>
      <c r="H127" s="36"/>
      <c r="I127" s="36">
        <v>112182.41</v>
      </c>
      <c r="J127" s="36"/>
      <c r="K127" s="36">
        <v>0</v>
      </c>
      <c r="L127" s="36"/>
      <c r="M127" s="36">
        <v>0</v>
      </c>
      <c r="N127" s="36"/>
      <c r="O127" s="36">
        <v>669.4</v>
      </c>
      <c r="P127" s="36"/>
      <c r="Q127" s="36">
        <v>10017.2</v>
      </c>
      <c r="R127" s="36"/>
      <c r="S127" s="36">
        <v>14043.77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v>0</v>
      </c>
      <c r="AF127" s="36"/>
      <c r="AG127" s="36">
        <v>100</v>
      </c>
      <c r="AH127" s="36"/>
      <c r="AI127" s="36">
        <f>SUM(E127:AG127)</f>
        <v>139940.8</v>
      </c>
      <c r="AJ127" s="24"/>
      <c r="AK127" s="15" t="str">
        <f>'Gen Rev'!A127</f>
        <v>Cheshire</v>
      </c>
      <c r="AL127" s="15" t="str">
        <f t="shared" si="4"/>
        <v>Cheshire</v>
      </c>
      <c r="AM127" s="15" t="b">
        <f t="shared" si="5"/>
        <v>1</v>
      </c>
    </row>
    <row r="128" spans="1:39" ht="12.75" hidden="1">
      <c r="A128" s="15" t="s">
        <v>896</v>
      </c>
      <c r="C128" s="15" t="s">
        <v>897</v>
      </c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>
        <f t="shared" si="6"/>
        <v>0</v>
      </c>
      <c r="AJ128" s="24"/>
      <c r="AK128" s="15" t="str">
        <f>'Gen Rev'!A128</f>
        <v>Chesterhill</v>
      </c>
      <c r="AL128" s="15" t="str">
        <f t="shared" si="4"/>
        <v>Chesterhill</v>
      </c>
      <c r="AM128" s="15" t="b">
        <f t="shared" si="5"/>
        <v>1</v>
      </c>
    </row>
    <row r="129" spans="1:39" ht="12.75">
      <c r="A129" s="15" t="s">
        <v>171</v>
      </c>
      <c r="C129" s="15" t="s">
        <v>799</v>
      </c>
      <c r="E129" s="95">
        <v>35206.31</v>
      </c>
      <c r="F129" s="95"/>
      <c r="G129" s="95">
        <v>0</v>
      </c>
      <c r="H129" s="95"/>
      <c r="I129" s="95">
        <v>19844.81</v>
      </c>
      <c r="J129" s="95"/>
      <c r="K129" s="95">
        <v>0</v>
      </c>
      <c r="L129" s="95"/>
      <c r="M129" s="95">
        <v>2251.74</v>
      </c>
      <c r="N129" s="95"/>
      <c r="O129" s="95">
        <v>2117.01</v>
      </c>
      <c r="P129" s="95"/>
      <c r="Q129" s="95">
        <v>88.26</v>
      </c>
      <c r="R129" s="95"/>
      <c r="S129" s="95">
        <v>0</v>
      </c>
      <c r="T129" s="95"/>
      <c r="U129" s="95">
        <v>0</v>
      </c>
      <c r="V129" s="95"/>
      <c r="W129" s="95">
        <v>0</v>
      </c>
      <c r="X129" s="95"/>
      <c r="Y129" s="95">
        <v>0</v>
      </c>
      <c r="Z129" s="95"/>
      <c r="AA129" s="95">
        <v>0</v>
      </c>
      <c r="AB129" s="95"/>
      <c r="AC129" s="95">
        <v>0</v>
      </c>
      <c r="AD129" s="95"/>
      <c r="AE129" s="95">
        <v>0</v>
      </c>
      <c r="AF129" s="95"/>
      <c r="AG129" s="95">
        <v>0</v>
      </c>
      <c r="AH129" s="95"/>
      <c r="AI129" s="95">
        <f>SUM(E129:AG129)</f>
        <v>59508.13</v>
      </c>
      <c r="AJ129" s="24"/>
      <c r="AK129" s="15" t="str">
        <f>'Gen Rev'!A129</f>
        <v>Chesterville</v>
      </c>
      <c r="AL129" s="15" t="str">
        <f t="shared" si="4"/>
        <v>Chesterville</v>
      </c>
      <c r="AM129" s="15" t="b">
        <f t="shared" si="5"/>
        <v>1</v>
      </c>
    </row>
    <row r="130" spans="1:39" ht="12.75">
      <c r="A130" s="15" t="s">
        <v>851</v>
      </c>
      <c r="C130" s="15" t="s">
        <v>794</v>
      </c>
      <c r="E130" s="36">
        <v>34644.94</v>
      </c>
      <c r="F130" s="36"/>
      <c r="G130" s="36">
        <v>0</v>
      </c>
      <c r="H130" s="36"/>
      <c r="I130" s="36">
        <v>516062.76</v>
      </c>
      <c r="J130" s="36"/>
      <c r="K130" s="36">
        <v>0</v>
      </c>
      <c r="L130" s="36"/>
      <c r="M130" s="36">
        <v>2201.14</v>
      </c>
      <c r="N130" s="36"/>
      <c r="O130" s="36">
        <v>100</v>
      </c>
      <c r="P130" s="36"/>
      <c r="Q130" s="36">
        <v>1984</v>
      </c>
      <c r="R130" s="36"/>
      <c r="S130" s="36">
        <v>0</v>
      </c>
      <c r="T130" s="36"/>
      <c r="U130" s="36">
        <v>0</v>
      </c>
      <c r="V130" s="36"/>
      <c r="W130" s="36">
        <v>0</v>
      </c>
      <c r="X130" s="36"/>
      <c r="Y130" s="36">
        <v>4910</v>
      </c>
      <c r="Z130" s="36"/>
      <c r="AA130" s="36">
        <v>0</v>
      </c>
      <c r="AB130" s="36"/>
      <c r="AC130" s="36">
        <v>0</v>
      </c>
      <c r="AD130" s="36"/>
      <c r="AE130" s="36">
        <v>0</v>
      </c>
      <c r="AF130" s="36"/>
      <c r="AG130" s="36">
        <v>0</v>
      </c>
      <c r="AH130" s="36"/>
      <c r="AI130" s="36">
        <f>SUM(E130:AG130)</f>
        <v>559902.84</v>
      </c>
      <c r="AJ130" s="24"/>
      <c r="AK130" s="15" t="str">
        <f>'Gen Rev'!A130</f>
        <v>Chickasaw</v>
      </c>
      <c r="AL130" s="15" t="str">
        <f t="shared" si="4"/>
        <v>Chickasaw</v>
      </c>
      <c r="AM130" s="15" t="b">
        <f t="shared" si="5"/>
        <v>1</v>
      </c>
    </row>
    <row r="131" spans="1:39" ht="12.75">
      <c r="A131" s="15" t="s">
        <v>898</v>
      </c>
      <c r="C131" s="15" t="s">
        <v>295</v>
      </c>
      <c r="E131" s="85">
        <v>843</v>
      </c>
      <c r="F131" s="85"/>
      <c r="G131" s="85">
        <v>0</v>
      </c>
      <c r="H131" s="85"/>
      <c r="I131" s="85">
        <f>18829+5051</f>
        <v>23880</v>
      </c>
      <c r="J131" s="85"/>
      <c r="K131" s="85">
        <v>0</v>
      </c>
      <c r="L131" s="85"/>
      <c r="M131" s="85">
        <v>0</v>
      </c>
      <c r="N131" s="85"/>
      <c r="O131" s="85">
        <v>0</v>
      </c>
      <c r="P131" s="85"/>
      <c r="Q131" s="85">
        <v>83</v>
      </c>
      <c r="R131" s="85"/>
      <c r="S131" s="85">
        <v>2667</v>
      </c>
      <c r="T131" s="85"/>
      <c r="U131" s="85">
        <v>0</v>
      </c>
      <c r="V131" s="85"/>
      <c r="W131" s="85">
        <v>0</v>
      </c>
      <c r="X131" s="85"/>
      <c r="Y131" s="85">
        <v>0</v>
      </c>
      <c r="Z131" s="85"/>
      <c r="AA131" s="85">
        <v>0</v>
      </c>
      <c r="AB131" s="85"/>
      <c r="AC131" s="85">
        <v>0</v>
      </c>
      <c r="AD131" s="85"/>
      <c r="AE131" s="85">
        <v>0</v>
      </c>
      <c r="AF131" s="85"/>
      <c r="AG131" s="85">
        <v>0</v>
      </c>
      <c r="AH131" s="85"/>
      <c r="AI131" s="85">
        <f t="shared" si="6"/>
        <v>27473</v>
      </c>
      <c r="AJ131" s="24"/>
      <c r="AK131" s="15" t="str">
        <f>'Gen Rev'!A131</f>
        <v>Chilo</v>
      </c>
      <c r="AL131" s="15" t="str">
        <f t="shared" si="4"/>
        <v>Chilo</v>
      </c>
      <c r="AM131" s="15" t="b">
        <f t="shared" si="5"/>
        <v>1</v>
      </c>
    </row>
    <row r="132" spans="1:39" ht="12.75">
      <c r="A132" s="15" t="s">
        <v>152</v>
      </c>
      <c r="C132" s="15" t="s">
        <v>792</v>
      </c>
      <c r="E132" s="95">
        <v>127924.5</v>
      </c>
      <c r="F132" s="95"/>
      <c r="G132" s="95">
        <v>0</v>
      </c>
      <c r="H132" s="95"/>
      <c r="I132" s="95">
        <v>90464.56</v>
      </c>
      <c r="J132" s="95"/>
      <c r="K132" s="95">
        <v>0</v>
      </c>
      <c r="L132" s="95"/>
      <c r="M132" s="95">
        <v>0</v>
      </c>
      <c r="N132" s="95"/>
      <c r="O132" s="95">
        <v>2145</v>
      </c>
      <c r="P132" s="95"/>
      <c r="Q132" s="95">
        <v>252.02</v>
      </c>
      <c r="R132" s="95"/>
      <c r="S132" s="95">
        <v>9820.96</v>
      </c>
      <c r="T132" s="95"/>
      <c r="U132" s="95">
        <v>0</v>
      </c>
      <c r="V132" s="95"/>
      <c r="W132" s="95">
        <v>0</v>
      </c>
      <c r="X132" s="95"/>
      <c r="Y132" s="95">
        <v>0</v>
      </c>
      <c r="Z132" s="95"/>
      <c r="AA132" s="95">
        <v>0</v>
      </c>
      <c r="AB132" s="95"/>
      <c r="AC132" s="95">
        <v>0</v>
      </c>
      <c r="AD132" s="95"/>
      <c r="AE132" s="95">
        <v>0</v>
      </c>
      <c r="AF132" s="95"/>
      <c r="AG132" s="95">
        <v>0</v>
      </c>
      <c r="AH132" s="95"/>
      <c r="AI132" s="95">
        <f>SUM(E132:AG132)</f>
        <v>230607.03999999998</v>
      </c>
      <c r="AJ132" s="24"/>
      <c r="AK132" s="15" t="str">
        <f>'Gen Rev'!A132</f>
        <v>Chippewa Lake</v>
      </c>
      <c r="AL132" s="15" t="str">
        <f t="shared" si="4"/>
        <v>Chippewa Lake</v>
      </c>
      <c r="AM132" s="15" t="b">
        <f t="shared" si="5"/>
        <v>1</v>
      </c>
    </row>
    <row r="133" spans="1:39" ht="12.75">
      <c r="A133" s="15" t="s">
        <v>32</v>
      </c>
      <c r="C133" s="15" t="s">
        <v>754</v>
      </c>
      <c r="E133" s="95">
        <v>44799.6</v>
      </c>
      <c r="F133" s="95"/>
      <c r="G133" s="95">
        <v>0</v>
      </c>
      <c r="H133" s="95"/>
      <c r="I133" s="95">
        <v>58270.93</v>
      </c>
      <c r="J133" s="95"/>
      <c r="K133" s="95">
        <v>0</v>
      </c>
      <c r="L133" s="95"/>
      <c r="M133" s="95">
        <v>7860.98</v>
      </c>
      <c r="N133" s="95"/>
      <c r="O133" s="95">
        <v>88</v>
      </c>
      <c r="P133" s="95"/>
      <c r="Q133" s="95">
        <v>1249.95</v>
      </c>
      <c r="R133" s="95"/>
      <c r="S133" s="95">
        <v>1734.52</v>
      </c>
      <c r="T133" s="95"/>
      <c r="U133" s="95">
        <v>0</v>
      </c>
      <c r="V133" s="95"/>
      <c r="W133" s="95">
        <v>0</v>
      </c>
      <c r="X133" s="95"/>
      <c r="Y133" s="95">
        <v>0</v>
      </c>
      <c r="Z133" s="95"/>
      <c r="AA133" s="95">
        <v>0</v>
      </c>
      <c r="AB133" s="95"/>
      <c r="AC133" s="95">
        <v>0</v>
      </c>
      <c r="AD133" s="95"/>
      <c r="AE133" s="95">
        <v>1600</v>
      </c>
      <c r="AF133" s="95"/>
      <c r="AG133" s="95">
        <v>0</v>
      </c>
      <c r="AH133" s="95"/>
      <c r="AI133" s="95">
        <f>SUM(E133:AG133)</f>
        <v>115603.98</v>
      </c>
      <c r="AJ133" s="24"/>
      <c r="AK133" s="15" t="str">
        <f>'Gen Rev'!A133</f>
        <v>Christiansburg</v>
      </c>
      <c r="AL133" s="15" t="str">
        <f t="shared" si="4"/>
        <v>Christiansburg</v>
      </c>
      <c r="AM133" s="15" t="b">
        <f t="shared" si="5"/>
        <v>1</v>
      </c>
    </row>
    <row r="134" spans="1:39" ht="12.75">
      <c r="A134" s="15" t="s">
        <v>211</v>
      </c>
      <c r="C134" s="15" t="s">
        <v>810</v>
      </c>
      <c r="E134" s="36">
        <v>7805.16</v>
      </c>
      <c r="F134" s="36"/>
      <c r="G134" s="36">
        <v>0</v>
      </c>
      <c r="H134" s="36"/>
      <c r="I134" s="36">
        <v>67784.74</v>
      </c>
      <c r="J134" s="36"/>
      <c r="K134" s="36">
        <v>29211</v>
      </c>
      <c r="L134" s="36"/>
      <c r="M134" s="36">
        <v>51</v>
      </c>
      <c r="N134" s="36"/>
      <c r="O134" s="36">
        <v>2872.2</v>
      </c>
      <c r="P134" s="36"/>
      <c r="Q134" s="36">
        <v>1131.09</v>
      </c>
      <c r="R134" s="36"/>
      <c r="S134" s="36">
        <v>1338.69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v>0</v>
      </c>
      <c r="AF134" s="36"/>
      <c r="AG134" s="36">
        <v>0</v>
      </c>
      <c r="AH134" s="36"/>
      <c r="AI134" s="36">
        <f>SUM(E134:AG134)</f>
        <v>110193.88</v>
      </c>
      <c r="AJ134" s="24"/>
      <c r="AK134" s="15" t="str">
        <f>'Gen Rev'!A134</f>
        <v>Clarksburg</v>
      </c>
      <c r="AL134" s="15" t="str">
        <f t="shared" si="4"/>
        <v>Clarksburg</v>
      </c>
      <c r="AM134" s="15" t="b">
        <f t="shared" si="5"/>
        <v>1</v>
      </c>
    </row>
    <row r="135" spans="1:42" s="31" customFormat="1" ht="12" customHeight="1" hidden="1">
      <c r="A135" s="15" t="s">
        <v>300</v>
      </c>
      <c r="B135" s="15"/>
      <c r="C135" s="15" t="s">
        <v>299</v>
      </c>
      <c r="D135" s="1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>
        <f t="shared" si="6"/>
        <v>0</v>
      </c>
      <c r="AJ135" s="24"/>
      <c r="AK135" s="15" t="str">
        <f>'Gen Rev'!A135</f>
        <v>Clarksville</v>
      </c>
      <c r="AL135" s="15" t="str">
        <f t="shared" si="4"/>
        <v>Clarksville</v>
      </c>
      <c r="AM135" s="15" t="b">
        <f t="shared" si="5"/>
        <v>1</v>
      </c>
      <c r="AN135" s="32"/>
      <c r="AO135" s="32"/>
      <c r="AP135" s="32"/>
    </row>
    <row r="136" spans="1:39" ht="12.75">
      <c r="A136" s="15" t="s">
        <v>179</v>
      </c>
      <c r="C136" s="15" t="s">
        <v>802</v>
      </c>
      <c r="E136" s="36">
        <v>9964.22</v>
      </c>
      <c r="F136" s="36"/>
      <c r="G136" s="36">
        <v>67441.92</v>
      </c>
      <c r="H136" s="36"/>
      <c r="I136" s="36">
        <v>39405.09</v>
      </c>
      <c r="J136" s="36"/>
      <c r="K136" s="36">
        <v>0</v>
      </c>
      <c r="L136" s="36"/>
      <c r="M136" s="36">
        <v>4729</v>
      </c>
      <c r="N136" s="36"/>
      <c r="O136" s="36">
        <v>2019.48</v>
      </c>
      <c r="P136" s="36"/>
      <c r="Q136" s="36">
        <v>244.82</v>
      </c>
      <c r="R136" s="36"/>
      <c r="S136" s="36">
        <v>11347.85</v>
      </c>
      <c r="T136" s="36"/>
      <c r="U136" s="36">
        <v>0</v>
      </c>
      <c r="V136" s="36"/>
      <c r="W136" s="36">
        <v>0</v>
      </c>
      <c r="X136" s="36"/>
      <c r="Y136" s="36">
        <v>0</v>
      </c>
      <c r="Z136" s="36"/>
      <c r="AA136" s="36">
        <v>60000</v>
      </c>
      <c r="AB136" s="36"/>
      <c r="AC136" s="36">
        <v>0</v>
      </c>
      <c r="AD136" s="36"/>
      <c r="AE136" s="36">
        <v>11117.62</v>
      </c>
      <c r="AF136" s="36"/>
      <c r="AG136" s="36">
        <v>0</v>
      </c>
      <c r="AH136" s="36"/>
      <c r="AI136" s="36">
        <f>SUM(E136:AG136)</f>
        <v>206270</v>
      </c>
      <c r="AJ136" s="24"/>
      <c r="AK136" s="15" t="str">
        <f>'Gen Rev'!A136</f>
        <v>Clay Center</v>
      </c>
      <c r="AL136" s="15" t="str">
        <f t="shared" si="4"/>
        <v>Clay Center</v>
      </c>
      <c r="AM136" s="15" t="b">
        <f t="shared" si="5"/>
        <v>1</v>
      </c>
    </row>
    <row r="137" spans="1:39" ht="12.75">
      <c r="A137" s="15" t="s">
        <v>852</v>
      </c>
      <c r="C137" s="15" t="s">
        <v>773</v>
      </c>
      <c r="E137" s="95">
        <v>379251.42</v>
      </c>
      <c r="F137" s="95"/>
      <c r="G137" s="95">
        <v>0</v>
      </c>
      <c r="H137" s="95"/>
      <c r="I137" s="95">
        <v>878502.06</v>
      </c>
      <c r="J137" s="95"/>
      <c r="K137" s="95">
        <v>0</v>
      </c>
      <c r="L137" s="95"/>
      <c r="M137" s="95">
        <v>32241.71</v>
      </c>
      <c r="N137" s="95"/>
      <c r="O137" s="95">
        <v>110820.91</v>
      </c>
      <c r="P137" s="95"/>
      <c r="Q137" s="95">
        <v>3409.57</v>
      </c>
      <c r="R137" s="95"/>
      <c r="S137" s="95">
        <v>278226.41</v>
      </c>
      <c r="T137" s="95"/>
      <c r="U137" s="95">
        <v>0</v>
      </c>
      <c r="V137" s="95"/>
      <c r="W137" s="95">
        <v>0</v>
      </c>
      <c r="X137" s="95"/>
      <c r="Y137" s="95">
        <v>6300</v>
      </c>
      <c r="Z137" s="95"/>
      <c r="AA137" s="95">
        <v>6000</v>
      </c>
      <c r="AB137" s="95"/>
      <c r="AC137" s="95">
        <v>0</v>
      </c>
      <c r="AD137" s="95"/>
      <c r="AE137" s="95">
        <v>110435.98</v>
      </c>
      <c r="AF137" s="95"/>
      <c r="AG137" s="95">
        <v>0</v>
      </c>
      <c r="AH137" s="95"/>
      <c r="AI137" s="95">
        <f>SUM(E137:AG137)</f>
        <v>1805188.0599999998</v>
      </c>
      <c r="AJ137" s="24"/>
      <c r="AK137" s="15" t="str">
        <f>'Gen Rev'!A137</f>
        <v>Cleves</v>
      </c>
      <c r="AL137" s="15" t="str">
        <f t="shared" si="4"/>
        <v>Cleves</v>
      </c>
      <c r="AM137" s="15" t="b">
        <f t="shared" si="5"/>
        <v>1</v>
      </c>
    </row>
    <row r="138" spans="1:39" s="31" customFormat="1" ht="12.75">
      <c r="A138" s="15" t="s">
        <v>372</v>
      </c>
      <c r="B138" s="15"/>
      <c r="C138" s="15" t="s">
        <v>373</v>
      </c>
      <c r="D138" s="15"/>
      <c r="E138" s="85">
        <v>21515</v>
      </c>
      <c r="F138" s="85"/>
      <c r="G138" s="85">
        <v>0</v>
      </c>
      <c r="H138" s="85"/>
      <c r="I138" s="85">
        <v>10138</v>
      </c>
      <c r="J138" s="85"/>
      <c r="K138" s="85">
        <v>0</v>
      </c>
      <c r="L138" s="85"/>
      <c r="M138" s="85">
        <v>0</v>
      </c>
      <c r="N138" s="85"/>
      <c r="O138" s="85">
        <v>0</v>
      </c>
      <c r="P138" s="85"/>
      <c r="Q138" s="85">
        <v>5</v>
      </c>
      <c r="R138" s="85"/>
      <c r="S138" s="85">
        <f>23973+1680</f>
        <v>25653</v>
      </c>
      <c r="T138" s="85"/>
      <c r="U138" s="85">
        <v>0</v>
      </c>
      <c r="V138" s="85"/>
      <c r="W138" s="85">
        <v>0</v>
      </c>
      <c r="X138" s="85"/>
      <c r="Y138" s="85">
        <v>0</v>
      </c>
      <c r="Z138" s="85"/>
      <c r="AA138" s="85">
        <v>0</v>
      </c>
      <c r="AB138" s="85"/>
      <c r="AC138" s="85">
        <v>0</v>
      </c>
      <c r="AD138" s="85"/>
      <c r="AE138" s="85">
        <v>0</v>
      </c>
      <c r="AF138" s="85"/>
      <c r="AG138" s="85">
        <v>0</v>
      </c>
      <c r="AH138" s="85"/>
      <c r="AI138" s="85">
        <f aca="true" t="shared" si="8" ref="AI138:AI202">SUM(E138:AG138)</f>
        <v>57311</v>
      </c>
      <c r="AJ138" s="24"/>
      <c r="AK138" s="15" t="str">
        <f>'Gen Rev'!A138</f>
        <v>Clifton</v>
      </c>
      <c r="AL138" s="15" t="str">
        <f t="shared" si="4"/>
        <v>Clifton</v>
      </c>
      <c r="AM138" s="15" t="b">
        <f t="shared" si="5"/>
        <v>1</v>
      </c>
    </row>
    <row r="139" spans="1:39" s="31" customFormat="1" ht="12.75">
      <c r="A139" s="15" t="s">
        <v>299</v>
      </c>
      <c r="B139" s="15"/>
      <c r="C139" s="15" t="s">
        <v>551</v>
      </c>
      <c r="D139" s="15"/>
      <c r="E139" s="36">
        <v>356079.24</v>
      </c>
      <c r="F139" s="36"/>
      <c r="G139" s="36">
        <v>0</v>
      </c>
      <c r="H139" s="36"/>
      <c r="I139" s="36">
        <v>144888.43</v>
      </c>
      <c r="J139" s="36"/>
      <c r="K139" s="36">
        <v>0</v>
      </c>
      <c r="L139" s="36"/>
      <c r="M139" s="36">
        <v>63712.73</v>
      </c>
      <c r="N139" s="36"/>
      <c r="O139" s="36">
        <v>13161.5</v>
      </c>
      <c r="P139" s="36"/>
      <c r="Q139" s="36">
        <v>396.97</v>
      </c>
      <c r="R139" s="36"/>
      <c r="S139" s="36">
        <v>48832.17</v>
      </c>
      <c r="T139" s="36"/>
      <c r="U139" s="36">
        <v>0</v>
      </c>
      <c r="V139" s="36"/>
      <c r="W139" s="36">
        <v>0</v>
      </c>
      <c r="X139" s="36"/>
      <c r="Y139" s="36">
        <v>0</v>
      </c>
      <c r="Z139" s="36"/>
      <c r="AA139" s="36">
        <v>0</v>
      </c>
      <c r="AB139" s="36"/>
      <c r="AC139" s="36">
        <v>0</v>
      </c>
      <c r="AD139" s="36"/>
      <c r="AE139" s="36">
        <v>0</v>
      </c>
      <c r="AF139" s="36"/>
      <c r="AG139" s="36">
        <v>0</v>
      </c>
      <c r="AH139" s="36"/>
      <c r="AI139" s="36">
        <f>SUM(E139:AG139)</f>
        <v>627071.04</v>
      </c>
      <c r="AJ139" s="24"/>
      <c r="AK139" s="15" t="str">
        <f>'Gen Rev'!A139</f>
        <v>Clinton</v>
      </c>
      <c r="AL139" s="15" t="str">
        <f aca="true" t="shared" si="9" ref="AL139:AL205">A139</f>
        <v>Clinton</v>
      </c>
      <c r="AM139" s="15" t="b">
        <f aca="true" t="shared" si="10" ref="AM139:AM205">AK139=AL139</f>
        <v>1</v>
      </c>
    </row>
    <row r="140" spans="1:39" ht="12.75">
      <c r="A140" s="15" t="s">
        <v>665</v>
      </c>
      <c r="C140" s="15" t="s">
        <v>514</v>
      </c>
      <c r="E140" s="85">
        <v>126602</v>
      </c>
      <c r="F140" s="85"/>
      <c r="G140" s="85">
        <v>0</v>
      </c>
      <c r="H140" s="85"/>
      <c r="I140" s="85">
        <v>8320</v>
      </c>
      <c r="J140" s="85"/>
      <c r="K140" s="85">
        <v>0</v>
      </c>
      <c r="L140" s="85"/>
      <c r="M140" s="85">
        <v>0</v>
      </c>
      <c r="N140" s="85"/>
      <c r="O140" s="85">
        <v>0</v>
      </c>
      <c r="P140" s="85"/>
      <c r="Q140" s="85">
        <v>184</v>
      </c>
      <c r="R140" s="85"/>
      <c r="S140" s="85">
        <v>1144</v>
      </c>
      <c r="T140" s="85"/>
      <c r="U140" s="85">
        <v>0</v>
      </c>
      <c r="V140" s="85"/>
      <c r="W140" s="85">
        <v>0</v>
      </c>
      <c r="X140" s="85"/>
      <c r="Y140" s="85">
        <v>0</v>
      </c>
      <c r="Z140" s="85"/>
      <c r="AA140" s="85">
        <v>0</v>
      </c>
      <c r="AB140" s="85"/>
      <c r="AC140" s="85">
        <v>0</v>
      </c>
      <c r="AD140" s="85"/>
      <c r="AE140" s="85">
        <v>0</v>
      </c>
      <c r="AF140" s="86"/>
      <c r="AG140" s="85">
        <v>0</v>
      </c>
      <c r="AH140" s="86"/>
      <c r="AI140" s="85">
        <f t="shared" si="8"/>
        <v>136250</v>
      </c>
      <c r="AJ140" s="24"/>
      <c r="AK140" s="15" t="str">
        <f>'Gen Rev'!A140</f>
        <v>Cloverdale</v>
      </c>
      <c r="AL140" s="15" t="str">
        <f t="shared" si="9"/>
        <v>Cloverdale</v>
      </c>
      <c r="AM140" s="15" t="b">
        <f t="shared" si="10"/>
        <v>1</v>
      </c>
    </row>
    <row r="141" spans="1:39" s="31" customFormat="1" ht="12.75">
      <c r="A141" s="15" t="s">
        <v>125</v>
      </c>
      <c r="B141" s="15"/>
      <c r="C141" s="15" t="s">
        <v>784</v>
      </c>
      <c r="D141" s="15"/>
      <c r="E141" s="36">
        <v>43167.14</v>
      </c>
      <c r="F141" s="36"/>
      <c r="G141" s="36">
        <v>246321.96</v>
      </c>
      <c r="H141" s="36"/>
      <c r="I141" s="36">
        <v>186348.51</v>
      </c>
      <c r="J141" s="36"/>
      <c r="K141" s="36">
        <v>475397.27</v>
      </c>
      <c r="L141" s="36"/>
      <c r="M141" s="36">
        <v>1583</v>
      </c>
      <c r="N141" s="36"/>
      <c r="O141" s="36">
        <v>188102.45</v>
      </c>
      <c r="P141" s="36"/>
      <c r="Q141" s="36">
        <v>0</v>
      </c>
      <c r="R141" s="36"/>
      <c r="S141" s="36">
        <v>13665</v>
      </c>
      <c r="T141" s="36"/>
      <c r="U141" s="36">
        <v>0</v>
      </c>
      <c r="V141" s="36"/>
      <c r="W141" s="36">
        <v>40000</v>
      </c>
      <c r="X141" s="36"/>
      <c r="Y141" s="36">
        <v>625</v>
      </c>
      <c r="Z141" s="36"/>
      <c r="AA141" s="36">
        <v>1649.35</v>
      </c>
      <c r="AB141" s="36"/>
      <c r="AC141" s="36">
        <v>483</v>
      </c>
      <c r="AD141" s="36"/>
      <c r="AE141" s="36">
        <v>0</v>
      </c>
      <c r="AF141" s="36"/>
      <c r="AG141" s="36">
        <v>0</v>
      </c>
      <c r="AH141" s="36"/>
      <c r="AI141" s="36">
        <f>SUM(E141:AG141)</f>
        <v>1197342.6800000002</v>
      </c>
      <c r="AJ141" s="24"/>
      <c r="AK141" s="15" t="str">
        <f>'Gen Rev'!A141</f>
        <v>Coal Grove</v>
      </c>
      <c r="AL141" s="15" t="str">
        <f t="shared" si="9"/>
        <v>Coal Grove</v>
      </c>
      <c r="AM141" s="15" t="b">
        <f t="shared" si="10"/>
        <v>1</v>
      </c>
    </row>
    <row r="142" spans="1:39" s="31" customFormat="1" ht="12.75">
      <c r="A142" s="15" t="s">
        <v>667</v>
      </c>
      <c r="B142" s="15"/>
      <c r="C142" s="15" t="s">
        <v>666</v>
      </c>
      <c r="D142" s="15"/>
      <c r="E142" s="36">
        <v>32190.13</v>
      </c>
      <c r="F142" s="36"/>
      <c r="G142" s="36">
        <v>0</v>
      </c>
      <c r="H142" s="36"/>
      <c r="I142" s="36">
        <v>106635.73</v>
      </c>
      <c r="J142" s="36"/>
      <c r="K142" s="36">
        <v>0</v>
      </c>
      <c r="L142" s="36"/>
      <c r="M142" s="36">
        <v>24398.92</v>
      </c>
      <c r="N142" s="36"/>
      <c r="O142" s="36">
        <v>13992.82</v>
      </c>
      <c r="P142" s="36"/>
      <c r="Q142" s="36">
        <v>3497.04</v>
      </c>
      <c r="R142" s="36"/>
      <c r="S142" s="36">
        <v>2008.23</v>
      </c>
      <c r="T142" s="36"/>
      <c r="U142" s="36">
        <v>0</v>
      </c>
      <c r="V142" s="36"/>
      <c r="W142" s="36">
        <v>0</v>
      </c>
      <c r="X142" s="36"/>
      <c r="Y142" s="36">
        <v>0</v>
      </c>
      <c r="Z142" s="36"/>
      <c r="AA142" s="36">
        <v>0</v>
      </c>
      <c r="AB142" s="36"/>
      <c r="AC142" s="36">
        <v>0</v>
      </c>
      <c r="AD142" s="36"/>
      <c r="AE142" s="36">
        <v>0</v>
      </c>
      <c r="AF142" s="36"/>
      <c r="AG142" s="36">
        <v>0</v>
      </c>
      <c r="AH142" s="36"/>
      <c r="AI142" s="36">
        <f>SUM(E142:AG142)</f>
        <v>182722.87</v>
      </c>
      <c r="AJ142" s="24"/>
      <c r="AK142" s="15" t="str">
        <f>'Gen Rev'!A142</f>
        <v>Coalton</v>
      </c>
      <c r="AL142" s="15" t="str">
        <f t="shared" si="9"/>
        <v>Coalton</v>
      </c>
      <c r="AM142" s="15" t="b">
        <f t="shared" si="10"/>
        <v>1</v>
      </c>
    </row>
    <row r="143" spans="1:39" ht="12.75">
      <c r="A143" s="15" t="s">
        <v>899</v>
      </c>
      <c r="C143" s="15" t="s">
        <v>466</v>
      </c>
      <c r="E143" s="85">
        <v>1689043</v>
      </c>
      <c r="F143" s="85"/>
      <c r="G143" s="85">
        <v>0</v>
      </c>
      <c r="H143" s="85"/>
      <c r="I143" s="85">
        <f>481918+82532</f>
        <v>564450</v>
      </c>
      <c r="J143" s="85"/>
      <c r="K143" s="85">
        <v>2113</v>
      </c>
      <c r="L143" s="85"/>
      <c r="M143" s="85">
        <v>380386</v>
      </c>
      <c r="N143" s="85"/>
      <c r="O143" s="85">
        <v>28532</v>
      </c>
      <c r="P143" s="85"/>
      <c r="Q143" s="85">
        <v>520</v>
      </c>
      <c r="R143" s="85"/>
      <c r="S143" s="85">
        <v>6231</v>
      </c>
      <c r="T143" s="85"/>
      <c r="U143" s="85">
        <v>0</v>
      </c>
      <c r="V143" s="85"/>
      <c r="W143" s="85">
        <v>0</v>
      </c>
      <c r="X143" s="85"/>
      <c r="Y143" s="85">
        <v>0</v>
      </c>
      <c r="Z143" s="85"/>
      <c r="AA143" s="85">
        <v>0</v>
      </c>
      <c r="AB143" s="85"/>
      <c r="AC143" s="85">
        <v>0</v>
      </c>
      <c r="AD143" s="85"/>
      <c r="AE143" s="85">
        <v>1141092</v>
      </c>
      <c r="AF143" s="85"/>
      <c r="AG143" s="85">
        <v>0</v>
      </c>
      <c r="AH143" s="85"/>
      <c r="AI143" s="85">
        <f t="shared" si="8"/>
        <v>3812367</v>
      </c>
      <c r="AJ143" s="24"/>
      <c r="AK143" s="15" t="str">
        <f>'Gen Rev'!A143</f>
        <v>Coldwater</v>
      </c>
      <c r="AL143" s="15" t="str">
        <f t="shared" si="9"/>
        <v>Coldwater</v>
      </c>
      <c r="AM143" s="15" t="b">
        <f t="shared" si="10"/>
        <v>1</v>
      </c>
    </row>
    <row r="144" spans="1:39" ht="12.75">
      <c r="A144" s="15" t="s">
        <v>199</v>
      </c>
      <c r="C144" s="15" t="s">
        <v>807</v>
      </c>
      <c r="E144" s="36">
        <v>31341.63</v>
      </c>
      <c r="F144" s="36"/>
      <c r="G144" s="36">
        <v>0</v>
      </c>
      <c r="H144" s="36"/>
      <c r="I144" s="36">
        <v>82141.22</v>
      </c>
      <c r="J144" s="36"/>
      <c r="K144" s="36">
        <v>0</v>
      </c>
      <c r="L144" s="36"/>
      <c r="M144" s="36">
        <v>22000</v>
      </c>
      <c r="N144" s="36"/>
      <c r="O144" s="36">
        <v>2619.76</v>
      </c>
      <c r="P144" s="36"/>
      <c r="Q144" s="36">
        <v>787.86</v>
      </c>
      <c r="R144" s="36"/>
      <c r="S144" s="36">
        <v>0</v>
      </c>
      <c r="T144" s="36"/>
      <c r="U144" s="36">
        <v>0</v>
      </c>
      <c r="V144" s="36"/>
      <c r="W144" s="36">
        <v>0</v>
      </c>
      <c r="X144" s="36"/>
      <c r="Y144" s="36">
        <v>0</v>
      </c>
      <c r="Z144" s="36"/>
      <c r="AA144" s="36">
        <v>0</v>
      </c>
      <c r="AB144" s="36"/>
      <c r="AC144" s="36">
        <v>0</v>
      </c>
      <c r="AD144" s="36"/>
      <c r="AE144" s="36">
        <v>0</v>
      </c>
      <c r="AF144" s="36"/>
      <c r="AG144" s="36">
        <v>0</v>
      </c>
      <c r="AH144" s="36"/>
      <c r="AI144" s="36">
        <f>SUM(E144:AG144)</f>
        <v>138890.47</v>
      </c>
      <c r="AJ144" s="24"/>
      <c r="AK144" s="15" t="str">
        <f>'Gen Rev'!A144</f>
        <v>College Corner</v>
      </c>
      <c r="AL144" s="15" t="str">
        <f t="shared" si="9"/>
        <v>College Corner</v>
      </c>
      <c r="AM144" s="15" t="b">
        <f t="shared" si="10"/>
        <v>1</v>
      </c>
    </row>
    <row r="145" spans="1:39" ht="12.75">
      <c r="A145" s="15" t="s">
        <v>515</v>
      </c>
      <c r="C145" s="15" t="s">
        <v>514</v>
      </c>
      <c r="E145" s="85">
        <f>77917+58085</f>
        <v>136002</v>
      </c>
      <c r="F145" s="85"/>
      <c r="G145" s="85">
        <f>457129+126967</f>
        <v>584096</v>
      </c>
      <c r="H145" s="85"/>
      <c r="I145" s="85">
        <f>104177+130914</f>
        <v>235091</v>
      </c>
      <c r="J145" s="85"/>
      <c r="K145" s="85">
        <v>0</v>
      </c>
      <c r="L145" s="85"/>
      <c r="M145" s="85">
        <f>62259+82597</f>
        <v>144856</v>
      </c>
      <c r="N145" s="85"/>
      <c r="O145" s="85">
        <f>607+15655</f>
        <v>16262</v>
      </c>
      <c r="P145" s="85"/>
      <c r="Q145" s="85">
        <f>9565+332</f>
        <v>9897</v>
      </c>
      <c r="R145" s="85"/>
      <c r="S145" s="85">
        <f>17295+26492+6315</f>
        <v>50102</v>
      </c>
      <c r="T145" s="85"/>
      <c r="U145" s="85">
        <v>0</v>
      </c>
      <c r="V145" s="85"/>
      <c r="W145" s="85">
        <v>0</v>
      </c>
      <c r="X145" s="85"/>
      <c r="Y145" s="85">
        <v>39131</v>
      </c>
      <c r="Z145" s="85"/>
      <c r="AA145" s="85">
        <f>6683+158450</f>
        <v>165133</v>
      </c>
      <c r="AB145" s="85"/>
      <c r="AC145" s="85">
        <v>0</v>
      </c>
      <c r="AD145" s="85"/>
      <c r="AE145" s="85">
        <v>0</v>
      </c>
      <c r="AF145" s="85"/>
      <c r="AG145" s="85">
        <v>0</v>
      </c>
      <c r="AH145" s="85"/>
      <c r="AI145" s="85">
        <f t="shared" si="8"/>
        <v>1380570</v>
      </c>
      <c r="AJ145" s="24"/>
      <c r="AK145" s="15" t="str">
        <f>'Gen Rev'!A145</f>
        <v>Columbus Grove</v>
      </c>
      <c r="AL145" s="15" t="str">
        <f t="shared" si="9"/>
        <v>Columbus Grove</v>
      </c>
      <c r="AM145" s="15" t="b">
        <f t="shared" si="10"/>
        <v>1</v>
      </c>
    </row>
    <row r="146" spans="1:39" ht="12.75">
      <c r="A146" s="15" t="s">
        <v>188</v>
      </c>
      <c r="C146" s="15" t="s">
        <v>804</v>
      </c>
      <c r="E146" s="36">
        <v>185138.79</v>
      </c>
      <c r="F146" s="36"/>
      <c r="G146" s="36">
        <v>330286.93</v>
      </c>
      <c r="H146" s="36"/>
      <c r="I146" s="36">
        <v>90952.41</v>
      </c>
      <c r="J146" s="36"/>
      <c r="K146" s="36">
        <v>0</v>
      </c>
      <c r="L146" s="36"/>
      <c r="M146" s="36">
        <v>42490.4</v>
      </c>
      <c r="N146" s="36"/>
      <c r="O146" s="36">
        <v>25980.08</v>
      </c>
      <c r="P146" s="36"/>
      <c r="Q146" s="36">
        <v>1665.73</v>
      </c>
      <c r="R146" s="36"/>
      <c r="S146" s="36">
        <v>7739.54</v>
      </c>
      <c r="T146" s="36"/>
      <c r="U146" s="36">
        <v>0</v>
      </c>
      <c r="V146" s="36"/>
      <c r="W146" s="36">
        <v>0</v>
      </c>
      <c r="X146" s="36"/>
      <c r="Y146" s="36">
        <v>0</v>
      </c>
      <c r="Z146" s="36"/>
      <c r="AA146" s="36">
        <v>0</v>
      </c>
      <c r="AB146" s="36"/>
      <c r="AC146" s="36">
        <v>0</v>
      </c>
      <c r="AD146" s="36"/>
      <c r="AE146" s="36">
        <v>0</v>
      </c>
      <c r="AF146" s="36"/>
      <c r="AG146" s="36">
        <v>0</v>
      </c>
      <c r="AH146" s="36"/>
      <c r="AI146" s="36">
        <f>SUM(E146:AG146)</f>
        <v>684253.88</v>
      </c>
      <c r="AJ146" s="24"/>
      <c r="AK146" s="15" t="str">
        <f>'Gen Rev'!A146</f>
        <v>Commercial Poin</v>
      </c>
      <c r="AL146" s="15" t="str">
        <f t="shared" si="9"/>
        <v>Commercial Poin</v>
      </c>
      <c r="AM146" s="15" t="b">
        <f t="shared" si="10"/>
        <v>1</v>
      </c>
    </row>
    <row r="147" spans="1:42" s="31" customFormat="1" ht="12" customHeight="1" hidden="1">
      <c r="A147" s="15" t="s">
        <v>307</v>
      </c>
      <c r="B147" s="15"/>
      <c r="C147" s="15" t="s">
        <v>308</v>
      </c>
      <c r="D147" s="1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>
        <f t="shared" si="8"/>
        <v>0</v>
      </c>
      <c r="AJ147" s="24"/>
      <c r="AK147" s="15" t="str">
        <f>'Gen Rev'!A147</f>
        <v>Conesville</v>
      </c>
      <c r="AL147" s="15" t="str">
        <f t="shared" si="9"/>
        <v>Conesville</v>
      </c>
      <c r="AM147" s="15" t="b">
        <f t="shared" si="10"/>
        <v>1</v>
      </c>
      <c r="AN147" s="32"/>
      <c r="AO147" s="32"/>
      <c r="AP147" s="32"/>
    </row>
    <row r="148" spans="1:42" s="31" customFormat="1" ht="12.6" customHeight="1">
      <c r="A148" s="15" t="s">
        <v>937</v>
      </c>
      <c r="B148" s="15"/>
      <c r="C148" s="15" t="s">
        <v>590</v>
      </c>
      <c r="D148" s="15"/>
      <c r="E148" s="95">
        <v>20179.53</v>
      </c>
      <c r="F148" s="95"/>
      <c r="G148" s="95">
        <v>0</v>
      </c>
      <c r="H148" s="95"/>
      <c r="I148" s="95">
        <v>13309.35</v>
      </c>
      <c r="J148" s="95"/>
      <c r="K148" s="95">
        <v>0</v>
      </c>
      <c r="L148" s="95"/>
      <c r="M148" s="95">
        <v>0</v>
      </c>
      <c r="N148" s="95"/>
      <c r="O148" s="95">
        <v>0</v>
      </c>
      <c r="P148" s="95"/>
      <c r="Q148" s="95">
        <v>0</v>
      </c>
      <c r="R148" s="95"/>
      <c r="S148" s="95">
        <v>1719.51</v>
      </c>
      <c r="T148" s="95"/>
      <c r="U148" s="95">
        <v>0</v>
      </c>
      <c r="V148" s="95"/>
      <c r="W148" s="95">
        <v>0</v>
      </c>
      <c r="X148" s="95"/>
      <c r="Y148" s="95">
        <v>0</v>
      </c>
      <c r="Z148" s="95"/>
      <c r="AA148" s="95">
        <v>3303.78</v>
      </c>
      <c r="AB148" s="95"/>
      <c r="AC148" s="95">
        <v>0</v>
      </c>
      <c r="AD148" s="95"/>
      <c r="AE148" s="95">
        <v>5101.08</v>
      </c>
      <c r="AF148" s="95"/>
      <c r="AG148" s="95">
        <v>0</v>
      </c>
      <c r="AH148" s="95"/>
      <c r="AI148" s="95">
        <f aca="true" t="shared" si="11" ref="AI148:AI153">SUM(E148:AG148)</f>
        <v>43613.25</v>
      </c>
      <c r="AJ148" s="24"/>
      <c r="AK148" s="15" t="str">
        <f>'Gen Rev'!A148</f>
        <v>Congress</v>
      </c>
      <c r="AL148" s="15" t="str">
        <f t="shared" si="9"/>
        <v>Congress</v>
      </c>
      <c r="AM148" s="15" t="b">
        <f t="shared" si="10"/>
        <v>1</v>
      </c>
      <c r="AN148" s="32"/>
      <c r="AO148" s="32"/>
      <c r="AP148" s="32"/>
    </row>
    <row r="149" spans="1:39" ht="12.75">
      <c r="A149" s="15" t="s">
        <v>202</v>
      </c>
      <c r="C149" s="15" t="s">
        <v>808</v>
      </c>
      <c r="E149" s="36">
        <v>172369.67</v>
      </c>
      <c r="F149" s="36"/>
      <c r="G149" s="36">
        <v>0</v>
      </c>
      <c r="H149" s="36"/>
      <c r="I149" s="36">
        <v>225696.89</v>
      </c>
      <c r="J149" s="36"/>
      <c r="K149" s="36">
        <v>0</v>
      </c>
      <c r="L149" s="36"/>
      <c r="M149" s="36">
        <v>99802.13</v>
      </c>
      <c r="N149" s="36"/>
      <c r="O149" s="36">
        <v>3423.82</v>
      </c>
      <c r="P149" s="36"/>
      <c r="Q149" s="36">
        <v>280.63</v>
      </c>
      <c r="R149" s="36"/>
      <c r="S149" s="36">
        <v>21772.69</v>
      </c>
      <c r="T149" s="36"/>
      <c r="U149" s="36">
        <v>0</v>
      </c>
      <c r="V149" s="36"/>
      <c r="W149" s="36">
        <v>288461.41</v>
      </c>
      <c r="X149" s="36"/>
      <c r="Y149" s="36">
        <v>0</v>
      </c>
      <c r="Z149" s="36"/>
      <c r="AA149" s="36">
        <v>17000</v>
      </c>
      <c r="AB149" s="36"/>
      <c r="AC149" s="36">
        <v>20500</v>
      </c>
      <c r="AD149" s="36"/>
      <c r="AE149" s="36">
        <v>0</v>
      </c>
      <c r="AF149" s="36"/>
      <c r="AG149" s="36">
        <v>0</v>
      </c>
      <c r="AH149" s="36"/>
      <c r="AI149" s="36">
        <f t="shared" si="11"/>
        <v>849307.24</v>
      </c>
      <c r="AJ149" s="24"/>
      <c r="AK149" s="15" t="str">
        <f>'Gen Rev'!A149</f>
        <v>Continental</v>
      </c>
      <c r="AL149" s="15" t="str">
        <f t="shared" si="9"/>
        <v>Continental</v>
      </c>
      <c r="AM149" s="15" t="b">
        <f t="shared" si="10"/>
        <v>1</v>
      </c>
    </row>
    <row r="150" spans="1:39" ht="12.75">
      <c r="A150" s="15" t="s">
        <v>239</v>
      </c>
      <c r="C150" s="15" t="s">
        <v>820</v>
      </c>
      <c r="E150" s="36">
        <v>78767.37</v>
      </c>
      <c r="F150" s="36"/>
      <c r="G150" s="36">
        <v>128573.17</v>
      </c>
      <c r="H150" s="36"/>
      <c r="I150" s="36">
        <v>125826.69</v>
      </c>
      <c r="J150" s="36"/>
      <c r="K150" s="36">
        <v>0</v>
      </c>
      <c r="L150" s="36"/>
      <c r="M150" s="36">
        <v>70107.28</v>
      </c>
      <c r="N150" s="36"/>
      <c r="O150" s="36">
        <v>624</v>
      </c>
      <c r="P150" s="36"/>
      <c r="Q150" s="36">
        <v>14167.42</v>
      </c>
      <c r="R150" s="36"/>
      <c r="S150" s="36">
        <v>151400.87</v>
      </c>
      <c r="T150" s="36"/>
      <c r="U150" s="36">
        <v>0</v>
      </c>
      <c r="V150" s="36"/>
      <c r="W150" s="36">
        <v>0</v>
      </c>
      <c r="X150" s="36"/>
      <c r="Y150" s="36">
        <v>0</v>
      </c>
      <c r="Z150" s="36"/>
      <c r="AA150" s="36">
        <v>1727.58</v>
      </c>
      <c r="AB150" s="36"/>
      <c r="AC150" s="36">
        <v>0</v>
      </c>
      <c r="AD150" s="36"/>
      <c r="AE150" s="36">
        <v>0</v>
      </c>
      <c r="AF150" s="36"/>
      <c r="AG150" s="36">
        <v>0</v>
      </c>
      <c r="AH150" s="36"/>
      <c r="AI150" s="36">
        <f t="shared" si="11"/>
        <v>571194.38</v>
      </c>
      <c r="AJ150" s="24"/>
      <c r="AK150" s="15" t="str">
        <f>'Gen Rev'!A150</f>
        <v>Convoy</v>
      </c>
      <c r="AL150" s="15" t="str">
        <f t="shared" si="9"/>
        <v>Convoy</v>
      </c>
      <c r="AM150" s="15" t="b">
        <f t="shared" si="10"/>
        <v>1</v>
      </c>
    </row>
    <row r="151" spans="1:39" ht="12.75">
      <c r="A151" s="15" t="s">
        <v>938</v>
      </c>
      <c r="C151" s="15" t="s">
        <v>271</v>
      </c>
      <c r="E151" s="36">
        <v>42104.76</v>
      </c>
      <c r="F151" s="36"/>
      <c r="G151" s="36">
        <v>0</v>
      </c>
      <c r="H151" s="36"/>
      <c r="I151" s="36">
        <v>36378.07</v>
      </c>
      <c r="J151" s="36"/>
      <c r="K151" s="36">
        <v>7291.49</v>
      </c>
      <c r="L151" s="36"/>
      <c r="M151" s="36">
        <v>5313.96</v>
      </c>
      <c r="N151" s="36"/>
      <c r="O151" s="36">
        <v>8561.1</v>
      </c>
      <c r="P151" s="36"/>
      <c r="Q151" s="36">
        <v>101.05</v>
      </c>
      <c r="R151" s="36"/>
      <c r="S151" s="36">
        <v>0</v>
      </c>
      <c r="T151" s="36"/>
      <c r="U151" s="36">
        <v>0</v>
      </c>
      <c r="V151" s="36"/>
      <c r="W151" s="36">
        <v>0</v>
      </c>
      <c r="X151" s="36"/>
      <c r="Y151" s="36">
        <v>0</v>
      </c>
      <c r="Z151" s="36"/>
      <c r="AA151" s="36">
        <v>0</v>
      </c>
      <c r="AB151" s="36"/>
      <c r="AC151" s="36">
        <v>7000</v>
      </c>
      <c r="AD151" s="36"/>
      <c r="AE151" s="36">
        <v>0</v>
      </c>
      <c r="AF151" s="36"/>
      <c r="AG151" s="36">
        <v>0</v>
      </c>
      <c r="AH151" s="36"/>
      <c r="AI151" s="36">
        <f t="shared" si="11"/>
        <v>106750.43000000002</v>
      </c>
      <c r="AJ151" s="24"/>
      <c r="AK151" s="15" t="str">
        <f>'Gen Rev'!A151</f>
        <v>Coolville</v>
      </c>
      <c r="AL151" s="15" t="str">
        <f t="shared" si="9"/>
        <v>Coolville</v>
      </c>
      <c r="AM151" s="15" t="b">
        <f t="shared" si="10"/>
        <v>1</v>
      </c>
    </row>
    <row r="152" spans="1:39" ht="12.75">
      <c r="A152" s="15" t="s">
        <v>186</v>
      </c>
      <c r="C152" s="15" t="s">
        <v>433</v>
      </c>
      <c r="E152" s="36">
        <v>56345.4</v>
      </c>
      <c r="F152" s="36"/>
      <c r="G152" s="36">
        <v>0</v>
      </c>
      <c r="H152" s="36"/>
      <c r="I152" s="36">
        <v>39140.96</v>
      </c>
      <c r="J152" s="36"/>
      <c r="K152" s="36">
        <v>0</v>
      </c>
      <c r="L152" s="36"/>
      <c r="M152" s="36">
        <v>165556.4</v>
      </c>
      <c r="N152" s="36"/>
      <c r="O152" s="36">
        <v>541</v>
      </c>
      <c r="P152" s="36"/>
      <c r="Q152" s="36">
        <v>1051.71</v>
      </c>
      <c r="R152" s="36"/>
      <c r="S152" s="36">
        <v>2799.87</v>
      </c>
      <c r="T152" s="36"/>
      <c r="U152" s="36">
        <v>0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v>0</v>
      </c>
      <c r="AF152" s="36"/>
      <c r="AG152" s="36">
        <v>0</v>
      </c>
      <c r="AH152" s="36"/>
      <c r="AI152" s="36">
        <f t="shared" si="11"/>
        <v>265435.34</v>
      </c>
      <c r="AJ152" s="39"/>
      <c r="AK152" s="15" t="str">
        <f>'Gen Rev'!A152</f>
        <v>Corning</v>
      </c>
      <c r="AL152" s="15" t="str">
        <f t="shared" si="9"/>
        <v>Corning</v>
      </c>
      <c r="AM152" s="15" t="b">
        <f t="shared" si="10"/>
        <v>1</v>
      </c>
    </row>
    <row r="153" spans="1:39" ht="12.75">
      <c r="A153" s="15" t="s">
        <v>939</v>
      </c>
      <c r="C153" s="15" t="s">
        <v>800</v>
      </c>
      <c r="E153" s="36">
        <v>82676.1</v>
      </c>
      <c r="F153" s="36"/>
      <c r="G153" s="36">
        <v>309152.4</v>
      </c>
      <c r="H153" s="36"/>
      <c r="I153" s="36">
        <v>180316.24</v>
      </c>
      <c r="J153" s="36"/>
      <c r="K153" s="36">
        <v>18898.2</v>
      </c>
      <c r="L153" s="36"/>
      <c r="M153" s="36">
        <v>84676.97</v>
      </c>
      <c r="N153" s="36"/>
      <c r="O153" s="36">
        <v>5700</v>
      </c>
      <c r="P153" s="36"/>
      <c r="Q153" s="36">
        <v>475.71</v>
      </c>
      <c r="R153" s="36"/>
      <c r="S153" s="36">
        <v>39956.78</v>
      </c>
      <c r="T153" s="36"/>
      <c r="U153" s="36">
        <v>25000</v>
      </c>
      <c r="V153" s="36"/>
      <c r="W153" s="36">
        <v>0</v>
      </c>
      <c r="X153" s="36"/>
      <c r="Y153" s="36">
        <v>0</v>
      </c>
      <c r="Z153" s="36"/>
      <c r="AA153" s="36">
        <v>84362.06</v>
      </c>
      <c r="AB153" s="36"/>
      <c r="AC153" s="36">
        <v>0</v>
      </c>
      <c r="AD153" s="36"/>
      <c r="AE153" s="36">
        <v>0</v>
      </c>
      <c r="AF153" s="36"/>
      <c r="AG153" s="36">
        <v>0</v>
      </c>
      <c r="AH153" s="36"/>
      <c r="AI153" s="36">
        <f t="shared" si="11"/>
        <v>831214.46</v>
      </c>
      <c r="AJ153" s="39"/>
      <c r="AK153" s="15" t="str">
        <f>'Gen Rev'!A153</f>
        <v>Corp of South Zanesville</v>
      </c>
      <c r="AL153" s="15" t="str">
        <f t="shared" si="9"/>
        <v>Corp of South Zanesville</v>
      </c>
      <c r="AM153" s="15" t="b">
        <f t="shared" si="10"/>
        <v>1</v>
      </c>
    </row>
    <row r="154" spans="1:39" s="31" customFormat="1" ht="12.75">
      <c r="A154" s="15" t="s">
        <v>581</v>
      </c>
      <c r="B154" s="15"/>
      <c r="C154" s="15" t="s">
        <v>583</v>
      </c>
      <c r="D154" s="15"/>
      <c r="E154" s="85">
        <v>15896</v>
      </c>
      <c r="F154" s="85"/>
      <c r="G154" s="85">
        <v>15684</v>
      </c>
      <c r="H154" s="85"/>
      <c r="I154" s="85">
        <v>25285</v>
      </c>
      <c r="J154" s="85"/>
      <c r="K154" s="85">
        <v>0</v>
      </c>
      <c r="L154" s="85"/>
      <c r="M154" s="85">
        <v>0</v>
      </c>
      <c r="N154" s="85"/>
      <c r="O154" s="85">
        <v>2944</v>
      </c>
      <c r="P154" s="85"/>
      <c r="Q154" s="85">
        <v>1542</v>
      </c>
      <c r="R154" s="85"/>
      <c r="S154" s="85">
        <v>0</v>
      </c>
      <c r="T154" s="85"/>
      <c r="U154" s="85">
        <v>0</v>
      </c>
      <c r="V154" s="85"/>
      <c r="W154" s="85">
        <v>0</v>
      </c>
      <c r="X154" s="85"/>
      <c r="Y154" s="85">
        <v>0</v>
      </c>
      <c r="Z154" s="85"/>
      <c r="AA154" s="85">
        <v>0</v>
      </c>
      <c r="AB154" s="85"/>
      <c r="AC154" s="85">
        <v>0</v>
      </c>
      <c r="AD154" s="85"/>
      <c r="AE154" s="85">
        <v>0</v>
      </c>
      <c r="AF154" s="85"/>
      <c r="AG154" s="85">
        <v>0</v>
      </c>
      <c r="AH154" s="85"/>
      <c r="AI154" s="85">
        <f t="shared" si="8"/>
        <v>61351</v>
      </c>
      <c r="AJ154" s="24"/>
      <c r="AK154" s="15" t="str">
        <f>'Gen Rev'!A154</f>
        <v>Corwin</v>
      </c>
      <c r="AL154" s="15" t="str">
        <f t="shared" si="9"/>
        <v>Corwin</v>
      </c>
      <c r="AM154" s="15" t="b">
        <f t="shared" si="10"/>
        <v>1</v>
      </c>
    </row>
    <row r="155" spans="1:39" ht="12.75">
      <c r="A155" s="15" t="s">
        <v>900</v>
      </c>
      <c r="C155" s="15" t="s">
        <v>470</v>
      </c>
      <c r="E155" s="85">
        <v>243355</v>
      </c>
      <c r="F155" s="85"/>
      <c r="G155" s="85">
        <f>656963+161147</f>
        <v>818110</v>
      </c>
      <c r="H155" s="85"/>
      <c r="I155" s="85">
        <f>121732+121142</f>
        <v>242874</v>
      </c>
      <c r="J155" s="85"/>
      <c r="K155" s="85">
        <f>1454+47745</f>
        <v>49199</v>
      </c>
      <c r="L155" s="85"/>
      <c r="M155" s="85">
        <v>8050</v>
      </c>
      <c r="N155" s="85"/>
      <c r="O155" s="85">
        <v>22261</v>
      </c>
      <c r="P155" s="85"/>
      <c r="Q155" s="85">
        <v>101</v>
      </c>
      <c r="R155" s="85"/>
      <c r="S155" s="85">
        <f>46638+347+252074</f>
        <v>299059</v>
      </c>
      <c r="T155" s="85"/>
      <c r="U155" s="85">
        <v>450000</v>
      </c>
      <c r="V155" s="85"/>
      <c r="W155" s="85">
        <v>0</v>
      </c>
      <c r="X155" s="85"/>
      <c r="Y155" s="85">
        <v>0</v>
      </c>
      <c r="Z155" s="85"/>
      <c r="AA155" s="85">
        <v>65000</v>
      </c>
      <c r="AB155" s="85"/>
      <c r="AC155" s="85">
        <v>20000</v>
      </c>
      <c r="AD155" s="85"/>
      <c r="AE155" s="85">
        <v>0</v>
      </c>
      <c r="AF155" s="85"/>
      <c r="AG155" s="85">
        <v>0</v>
      </c>
      <c r="AH155" s="85"/>
      <c r="AI155" s="85">
        <f t="shared" si="8"/>
        <v>2218009</v>
      </c>
      <c r="AJ155" s="24"/>
      <c r="AK155" s="15" t="str">
        <f>'Gen Rev'!A155</f>
        <v>Covington</v>
      </c>
      <c r="AL155" s="15" t="str">
        <f t="shared" si="9"/>
        <v>Covington</v>
      </c>
      <c r="AM155" s="15" t="b">
        <f t="shared" si="10"/>
        <v>1</v>
      </c>
    </row>
    <row r="156" spans="1:39" ht="12.75">
      <c r="A156" s="15" t="s">
        <v>144</v>
      </c>
      <c r="C156" s="15" t="s">
        <v>790</v>
      </c>
      <c r="E156" s="36">
        <v>109481.5</v>
      </c>
      <c r="F156" s="36"/>
      <c r="G156" s="36">
        <v>0</v>
      </c>
      <c r="H156" s="36"/>
      <c r="I156" s="36">
        <v>222800.64</v>
      </c>
      <c r="J156" s="36"/>
      <c r="K156" s="36">
        <v>0</v>
      </c>
      <c r="L156" s="36"/>
      <c r="M156" s="36">
        <v>0</v>
      </c>
      <c r="N156" s="36"/>
      <c r="O156" s="36">
        <v>59884.92</v>
      </c>
      <c r="P156" s="36"/>
      <c r="Q156" s="36">
        <v>135.32</v>
      </c>
      <c r="R156" s="36"/>
      <c r="S156" s="36">
        <v>513.28</v>
      </c>
      <c r="T156" s="36"/>
      <c r="U156" s="36">
        <v>0</v>
      </c>
      <c r="V156" s="36"/>
      <c r="W156" s="36">
        <v>0</v>
      </c>
      <c r="X156" s="36"/>
      <c r="Y156" s="36">
        <v>3120</v>
      </c>
      <c r="Z156" s="36"/>
      <c r="AA156" s="36">
        <v>0</v>
      </c>
      <c r="AB156" s="36"/>
      <c r="AC156" s="36">
        <v>0</v>
      </c>
      <c r="AD156" s="36"/>
      <c r="AE156" s="36">
        <v>450</v>
      </c>
      <c r="AF156" s="36"/>
      <c r="AG156" s="36">
        <v>0</v>
      </c>
      <c r="AH156" s="36"/>
      <c r="AI156" s="36">
        <f>SUM(E156:AG156)</f>
        <v>396385.66000000003</v>
      </c>
      <c r="AJ156" s="24"/>
      <c r="AK156" s="15" t="str">
        <f>'Gen Rev'!A156</f>
        <v>Craig Beach</v>
      </c>
      <c r="AL156" s="15" t="str">
        <f t="shared" si="9"/>
        <v>Craig Beach</v>
      </c>
      <c r="AM156" s="15" t="b">
        <f t="shared" si="10"/>
        <v>1</v>
      </c>
    </row>
    <row r="157" spans="1:39" ht="12.75">
      <c r="A157" s="15" t="s">
        <v>973</v>
      </c>
      <c r="C157" s="15" t="s">
        <v>312</v>
      </c>
      <c r="E157" s="36">
        <v>187038</v>
      </c>
      <c r="F157" s="36"/>
      <c r="G157" s="36">
        <v>1070171</v>
      </c>
      <c r="H157" s="36"/>
      <c r="I157" s="36">
        <v>1138130</v>
      </c>
      <c r="J157" s="36"/>
      <c r="K157" s="36">
        <v>0</v>
      </c>
      <c r="L157" s="36"/>
      <c r="M157" s="36">
        <v>121334</v>
      </c>
      <c r="N157" s="36"/>
      <c r="O157" s="36">
        <f>71711+80782</f>
        <v>152493</v>
      </c>
      <c r="P157" s="36"/>
      <c r="Q157" s="36">
        <v>20167</v>
      </c>
      <c r="R157" s="36"/>
      <c r="S157" s="36">
        <f>6950+718+67591</f>
        <v>75259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100000</v>
      </c>
      <c r="AB157" s="36"/>
      <c r="AC157" s="36">
        <v>0</v>
      </c>
      <c r="AD157" s="36"/>
      <c r="AE157" s="36">
        <v>0</v>
      </c>
      <c r="AF157" s="36"/>
      <c r="AG157" s="36">
        <v>0</v>
      </c>
      <c r="AH157" s="36"/>
      <c r="AI157" s="36">
        <f>SUM(E157:AG157)</f>
        <v>2864592</v>
      </c>
      <c r="AJ157" s="24"/>
      <c r="AK157" s="15" t="str">
        <f>'Gen Rev'!A157</f>
        <v>Crestline</v>
      </c>
      <c r="AL157" s="15" t="str">
        <f t="shared" si="9"/>
        <v>Crestline</v>
      </c>
      <c r="AM157" s="15" t="b">
        <f t="shared" si="10"/>
        <v>1</v>
      </c>
    </row>
    <row r="158" spans="1:39" s="31" customFormat="1" ht="12.75">
      <c r="A158" s="15" t="s">
        <v>591</v>
      </c>
      <c r="B158" s="15"/>
      <c r="C158" s="15" t="s">
        <v>592</v>
      </c>
      <c r="D158" s="15"/>
      <c r="E158" s="36">
        <v>177619.55</v>
      </c>
      <c r="F158" s="36"/>
      <c r="G158" s="36">
        <v>198958.68</v>
      </c>
      <c r="H158" s="36"/>
      <c r="I158" s="36">
        <v>228499.34</v>
      </c>
      <c r="J158" s="36"/>
      <c r="K158" s="36">
        <v>0</v>
      </c>
      <c r="L158" s="36"/>
      <c r="M158" s="36">
        <v>21202</v>
      </c>
      <c r="N158" s="36"/>
      <c r="O158" s="36">
        <v>25458.61</v>
      </c>
      <c r="P158" s="36"/>
      <c r="Q158" s="36">
        <v>2153.76</v>
      </c>
      <c r="R158" s="36"/>
      <c r="S158" s="36">
        <v>17907.28</v>
      </c>
      <c r="T158" s="36"/>
      <c r="U158" s="36">
        <v>0</v>
      </c>
      <c r="V158" s="36"/>
      <c r="W158" s="36">
        <v>0</v>
      </c>
      <c r="X158" s="36"/>
      <c r="Y158" s="36">
        <v>0</v>
      </c>
      <c r="Z158" s="36"/>
      <c r="AA158" s="36">
        <v>111000</v>
      </c>
      <c r="AB158" s="36"/>
      <c r="AC158" s="36">
        <v>0</v>
      </c>
      <c r="AD158" s="36"/>
      <c r="AE158" s="36">
        <v>0</v>
      </c>
      <c r="AF158" s="36"/>
      <c r="AG158" s="36">
        <v>0</v>
      </c>
      <c r="AH158" s="36"/>
      <c r="AI158" s="36">
        <f>SUM(E158:AG158)</f>
        <v>782799.22</v>
      </c>
      <c r="AJ158" s="24"/>
      <c r="AK158" s="15" t="str">
        <f>'Gen Rev'!A158</f>
        <v>Creston</v>
      </c>
      <c r="AL158" s="15" t="str">
        <f t="shared" si="9"/>
        <v>Creston</v>
      </c>
      <c r="AM158" s="15" t="b">
        <f t="shared" si="10"/>
        <v>1</v>
      </c>
    </row>
    <row r="159" spans="1:39" ht="12.6" customHeight="1">
      <c r="A159" s="15" t="s">
        <v>274</v>
      </c>
      <c r="C159" s="15" t="s">
        <v>275</v>
      </c>
      <c r="E159" s="85">
        <v>122243</v>
      </c>
      <c r="F159" s="85"/>
      <c r="G159" s="85">
        <v>305347</v>
      </c>
      <c r="H159" s="85"/>
      <c r="I159" s="85">
        <v>236712</v>
      </c>
      <c r="J159" s="85"/>
      <c r="K159" s="85">
        <v>496</v>
      </c>
      <c r="L159" s="85"/>
      <c r="M159" s="85">
        <v>64508</v>
      </c>
      <c r="N159" s="85"/>
      <c r="O159" s="85">
        <v>43740</v>
      </c>
      <c r="P159" s="85"/>
      <c r="Q159" s="85">
        <v>666</v>
      </c>
      <c r="R159" s="85"/>
      <c r="S159" s="85">
        <v>24329</v>
      </c>
      <c r="T159" s="85"/>
      <c r="U159" s="85">
        <v>0</v>
      </c>
      <c r="V159" s="85"/>
      <c r="W159" s="85">
        <v>0</v>
      </c>
      <c r="X159" s="85"/>
      <c r="Y159" s="85">
        <v>0</v>
      </c>
      <c r="Z159" s="85"/>
      <c r="AA159" s="85">
        <v>72320</v>
      </c>
      <c r="AB159" s="85"/>
      <c r="AC159" s="85">
        <v>0</v>
      </c>
      <c r="AD159" s="85"/>
      <c r="AE159" s="85">
        <v>0</v>
      </c>
      <c r="AF159" s="85"/>
      <c r="AG159" s="85">
        <v>0</v>
      </c>
      <c r="AH159" s="85"/>
      <c r="AI159" s="85">
        <f t="shared" si="8"/>
        <v>870361</v>
      </c>
      <c r="AJ159" s="24"/>
      <c r="AK159" s="15" t="str">
        <f>'Gen Rev'!A159</f>
        <v>Cridersville</v>
      </c>
      <c r="AL159" s="15" t="str">
        <f t="shared" si="9"/>
        <v>Cridersville</v>
      </c>
      <c r="AM159" s="15" t="b">
        <f t="shared" si="10"/>
        <v>1</v>
      </c>
    </row>
    <row r="160" spans="1:39" s="29" customFormat="1" ht="12.75">
      <c r="A160" s="24" t="s">
        <v>500</v>
      </c>
      <c r="B160" s="24"/>
      <c r="C160" s="24" t="s">
        <v>501</v>
      </c>
      <c r="D160" s="24"/>
      <c r="E160" s="85">
        <v>100226</v>
      </c>
      <c r="F160" s="85"/>
      <c r="G160" s="85">
        <v>475012</v>
      </c>
      <c r="H160" s="85"/>
      <c r="I160" s="85">
        <f>172748+74701</f>
        <v>247449</v>
      </c>
      <c r="J160" s="85"/>
      <c r="K160" s="85">
        <v>0</v>
      </c>
      <c r="L160" s="85"/>
      <c r="M160" s="85">
        <v>439848</v>
      </c>
      <c r="N160" s="85"/>
      <c r="O160" s="85">
        <v>52580</v>
      </c>
      <c r="P160" s="85"/>
      <c r="Q160" s="85">
        <v>9721</v>
      </c>
      <c r="R160" s="85"/>
      <c r="S160" s="85">
        <v>216</v>
      </c>
      <c r="T160" s="85"/>
      <c r="U160" s="85">
        <v>0</v>
      </c>
      <c r="V160" s="85"/>
      <c r="W160" s="85">
        <v>0</v>
      </c>
      <c r="X160" s="85"/>
      <c r="Y160" s="85">
        <v>0</v>
      </c>
      <c r="Z160" s="85"/>
      <c r="AA160" s="85">
        <v>0</v>
      </c>
      <c r="AB160" s="85"/>
      <c r="AC160" s="85">
        <v>0</v>
      </c>
      <c r="AD160" s="85"/>
      <c r="AE160" s="85">
        <v>766043</v>
      </c>
      <c r="AF160" s="85"/>
      <c r="AG160" s="85">
        <v>0</v>
      </c>
      <c r="AH160" s="85"/>
      <c r="AI160" s="85">
        <f t="shared" si="8"/>
        <v>2091095</v>
      </c>
      <c r="AJ160" s="24"/>
      <c r="AK160" s="15" t="str">
        <f>'Gen Rev'!A160</f>
        <v>Crooksville</v>
      </c>
      <c r="AL160" s="15" t="str">
        <f t="shared" si="9"/>
        <v>Crooksville</v>
      </c>
      <c r="AM160" s="15" t="b">
        <f t="shared" si="10"/>
        <v>1</v>
      </c>
    </row>
    <row r="161" spans="1:39" ht="12.75">
      <c r="A161" s="15" t="s">
        <v>80</v>
      </c>
      <c r="C161" s="15" t="s">
        <v>770</v>
      </c>
      <c r="E161" s="36">
        <v>1304.27</v>
      </c>
      <c r="F161" s="36"/>
      <c r="G161" s="36">
        <v>0</v>
      </c>
      <c r="H161" s="36"/>
      <c r="I161" s="36">
        <v>83042.67</v>
      </c>
      <c r="J161" s="36"/>
      <c r="K161" s="36">
        <v>212330.86</v>
      </c>
      <c r="L161" s="36"/>
      <c r="M161" s="36">
        <v>1086.86</v>
      </c>
      <c r="N161" s="36"/>
      <c r="O161" s="36">
        <v>685</v>
      </c>
      <c r="P161" s="36"/>
      <c r="Q161" s="36">
        <v>327.37</v>
      </c>
      <c r="R161" s="36"/>
      <c r="S161" s="36">
        <v>9003.35</v>
      </c>
      <c r="T161" s="36"/>
      <c r="U161" s="36">
        <v>0</v>
      </c>
      <c r="V161" s="36"/>
      <c r="W161" s="36">
        <v>0</v>
      </c>
      <c r="X161" s="36"/>
      <c r="Y161" s="36">
        <v>0</v>
      </c>
      <c r="Z161" s="36"/>
      <c r="AA161" s="36">
        <v>440</v>
      </c>
      <c r="AB161" s="36"/>
      <c r="AC161" s="36">
        <v>0</v>
      </c>
      <c r="AD161" s="36"/>
      <c r="AE161" s="36">
        <v>0</v>
      </c>
      <c r="AF161" s="36"/>
      <c r="AG161" s="36">
        <v>0</v>
      </c>
      <c r="AH161" s="36"/>
      <c r="AI161" s="36">
        <f>SUM(E161:AG161)</f>
        <v>308220.37999999995</v>
      </c>
      <c r="AJ161" s="24"/>
      <c r="AK161" s="15" t="str">
        <f>'Gen Rev'!A161</f>
        <v>Crown City</v>
      </c>
      <c r="AL161" s="15" t="str">
        <f t="shared" si="9"/>
        <v>Crown City</v>
      </c>
      <c r="AM161" s="15" t="b">
        <f t="shared" si="10"/>
        <v>1</v>
      </c>
    </row>
    <row r="162" spans="1:39" s="31" customFormat="1" ht="12.75">
      <c r="A162" s="15" t="s">
        <v>87</v>
      </c>
      <c r="B162" s="15"/>
      <c r="C162" s="15" t="s">
        <v>772</v>
      </c>
      <c r="D162" s="15"/>
      <c r="E162" s="36">
        <v>26271.52</v>
      </c>
      <c r="F162" s="36"/>
      <c r="G162" s="36">
        <v>0</v>
      </c>
      <c r="H162" s="36"/>
      <c r="I162" s="36">
        <v>458057.37</v>
      </c>
      <c r="J162" s="36"/>
      <c r="K162" s="36">
        <v>0</v>
      </c>
      <c r="L162" s="36"/>
      <c r="M162" s="36">
        <v>0</v>
      </c>
      <c r="N162" s="36"/>
      <c r="O162" s="36">
        <v>0</v>
      </c>
      <c r="P162" s="36"/>
      <c r="Q162" s="36">
        <v>621.91</v>
      </c>
      <c r="R162" s="36"/>
      <c r="S162" s="36">
        <v>1494.68</v>
      </c>
      <c r="T162" s="36"/>
      <c r="U162" s="36">
        <v>0</v>
      </c>
      <c r="V162" s="36"/>
      <c r="W162" s="36">
        <v>0</v>
      </c>
      <c r="X162" s="36"/>
      <c r="Y162" s="36">
        <v>0</v>
      </c>
      <c r="Z162" s="36"/>
      <c r="AA162" s="36">
        <v>0</v>
      </c>
      <c r="AB162" s="36"/>
      <c r="AC162" s="36">
        <v>0</v>
      </c>
      <c r="AD162" s="36"/>
      <c r="AE162" s="36">
        <v>0</v>
      </c>
      <c r="AF162" s="36"/>
      <c r="AG162" s="36">
        <v>0</v>
      </c>
      <c r="AH162" s="36"/>
      <c r="AI162" s="36">
        <f>SUM(E162:AG162)</f>
        <v>486445.48</v>
      </c>
      <c r="AJ162" s="24"/>
      <c r="AK162" s="15" t="str">
        <f>'Gen Rev'!A162</f>
        <v>Cumberland</v>
      </c>
      <c r="AL162" s="15" t="str">
        <f t="shared" si="9"/>
        <v>Cumberland</v>
      </c>
      <c r="AM162" s="15" t="b">
        <f t="shared" si="10"/>
        <v>1</v>
      </c>
    </row>
    <row r="163" spans="1:39" ht="12.75">
      <c r="A163" s="15" t="s">
        <v>254</v>
      </c>
      <c r="C163" s="15" t="s">
        <v>825</v>
      </c>
      <c r="E163" s="36">
        <v>21083.97</v>
      </c>
      <c r="F163" s="36"/>
      <c r="G163" s="36">
        <v>0</v>
      </c>
      <c r="H163" s="36"/>
      <c r="I163" s="36">
        <v>19491.99</v>
      </c>
      <c r="J163" s="36"/>
      <c r="K163" s="36">
        <v>0</v>
      </c>
      <c r="L163" s="36"/>
      <c r="M163" s="36">
        <v>0</v>
      </c>
      <c r="N163" s="36"/>
      <c r="O163" s="36">
        <v>50</v>
      </c>
      <c r="P163" s="36"/>
      <c r="Q163" s="36">
        <v>3984.59</v>
      </c>
      <c r="R163" s="36"/>
      <c r="S163" s="36">
        <v>165.24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v>0</v>
      </c>
      <c r="AF163" s="36"/>
      <c r="AG163" s="36">
        <v>0</v>
      </c>
      <c r="AH163" s="36"/>
      <c r="AI163" s="36">
        <f>SUM(E163:AG163)</f>
        <v>44775.79</v>
      </c>
      <c r="AJ163" s="24"/>
      <c r="AK163" s="15" t="str">
        <f>'Gen Rev'!A163</f>
        <v>Custar</v>
      </c>
      <c r="AL163" s="15" t="str">
        <f t="shared" si="9"/>
        <v>Custar</v>
      </c>
      <c r="AM163" s="15" t="b">
        <f t="shared" si="10"/>
        <v>1</v>
      </c>
    </row>
    <row r="164" spans="5:36" ht="12.75"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83" t="s">
        <v>864</v>
      </c>
      <c r="AJ164" s="24"/>
    </row>
    <row r="165" spans="1:39" ht="12.75">
      <c r="A165" s="15" t="s">
        <v>927</v>
      </c>
      <c r="C165" s="15" t="s">
        <v>316</v>
      </c>
      <c r="E165" s="102">
        <v>656776</v>
      </c>
      <c r="F165" s="102"/>
      <c r="G165" s="102">
        <v>7507543</v>
      </c>
      <c r="H165" s="102"/>
      <c r="I165" s="102">
        <v>866743</v>
      </c>
      <c r="J165" s="102"/>
      <c r="K165" s="102">
        <v>0</v>
      </c>
      <c r="L165" s="102"/>
      <c r="M165" s="102">
        <v>359291</v>
      </c>
      <c r="N165" s="102"/>
      <c r="O165" s="102">
        <v>188280</v>
      </c>
      <c r="P165" s="102"/>
      <c r="Q165" s="102">
        <v>6361</v>
      </c>
      <c r="R165" s="102"/>
      <c r="S165" s="102">
        <v>400598</v>
      </c>
      <c r="T165" s="102"/>
      <c r="U165" s="102">
        <v>0</v>
      </c>
      <c r="V165" s="102"/>
      <c r="W165" s="102">
        <v>2000000</v>
      </c>
      <c r="X165" s="102"/>
      <c r="Y165" s="102">
        <v>7900</v>
      </c>
      <c r="Z165" s="102"/>
      <c r="AA165" s="102">
        <v>977500</v>
      </c>
      <c r="AB165" s="102"/>
      <c r="AC165" s="102">
        <v>0</v>
      </c>
      <c r="AD165" s="102"/>
      <c r="AE165" s="102">
        <v>0</v>
      </c>
      <c r="AF165" s="102"/>
      <c r="AG165" s="102">
        <v>17740</v>
      </c>
      <c r="AH165" s="102"/>
      <c r="AI165" s="102">
        <f t="shared" si="8"/>
        <v>12988732</v>
      </c>
      <c r="AJ165" s="24"/>
      <c r="AK165" s="15" t="str">
        <f>'Gen Rev'!A164</f>
        <v>Cuyahoga Heights</v>
      </c>
      <c r="AL165" s="15" t="str">
        <f t="shared" si="9"/>
        <v>Cuyahoga Heights</v>
      </c>
      <c r="AM165" s="15" t="b">
        <f t="shared" si="10"/>
        <v>1</v>
      </c>
    </row>
    <row r="166" spans="1:39" ht="12.75">
      <c r="A166" s="15" t="s">
        <v>843</v>
      </c>
      <c r="C166" s="15" t="s">
        <v>825</v>
      </c>
      <c r="E166" s="36">
        <v>17597.82</v>
      </c>
      <c r="F166" s="36"/>
      <c r="G166" s="36">
        <v>79145.72</v>
      </c>
      <c r="H166" s="36"/>
      <c r="I166" s="36">
        <v>99592.47</v>
      </c>
      <c r="J166" s="36"/>
      <c r="K166" s="36">
        <v>0</v>
      </c>
      <c r="L166" s="36"/>
      <c r="M166" s="36">
        <v>10342.16</v>
      </c>
      <c r="N166" s="36"/>
      <c r="O166" s="36">
        <v>1306.8</v>
      </c>
      <c r="P166" s="36"/>
      <c r="Q166" s="36">
        <v>787.43</v>
      </c>
      <c r="R166" s="36"/>
      <c r="S166" s="36">
        <v>2792.38</v>
      </c>
      <c r="T166" s="36"/>
      <c r="U166" s="36">
        <v>0</v>
      </c>
      <c r="V166" s="36"/>
      <c r="W166" s="36">
        <v>0</v>
      </c>
      <c r="X166" s="36"/>
      <c r="Y166" s="36">
        <v>0</v>
      </c>
      <c r="Z166" s="36"/>
      <c r="AA166" s="36">
        <v>98923.72</v>
      </c>
      <c r="AB166" s="36"/>
      <c r="AC166" s="36">
        <v>0</v>
      </c>
      <c r="AD166" s="36"/>
      <c r="AE166" s="36">
        <v>2067.39</v>
      </c>
      <c r="AF166" s="36"/>
      <c r="AG166" s="36">
        <v>0</v>
      </c>
      <c r="AH166" s="36"/>
      <c r="AI166" s="36">
        <f>SUM(E166:AG166)</f>
        <v>312555.89</v>
      </c>
      <c r="AJ166" s="24"/>
      <c r="AK166" s="15" t="e">
        <f>#REF!</f>
        <v>#REF!</v>
      </c>
      <c r="AL166" s="15" t="str">
        <f t="shared" si="9"/>
        <v>Cygnet</v>
      </c>
      <c r="AM166" s="15" t="e">
        <f t="shared" si="10"/>
        <v>#REF!</v>
      </c>
    </row>
    <row r="167" spans="1:39" s="31" customFormat="1" ht="12.75">
      <c r="A167" s="15" t="s">
        <v>593</v>
      </c>
      <c r="B167" s="15"/>
      <c r="C167" s="15" t="s">
        <v>590</v>
      </c>
      <c r="D167" s="15"/>
      <c r="E167" s="85">
        <v>160122.24</v>
      </c>
      <c r="F167" s="85"/>
      <c r="G167" s="85">
        <v>413171.52</v>
      </c>
      <c r="H167" s="85"/>
      <c r="I167" s="85">
        <v>416695.26</v>
      </c>
      <c r="J167" s="85"/>
      <c r="K167" s="85">
        <v>0</v>
      </c>
      <c r="L167" s="85"/>
      <c r="M167" s="85">
        <v>13300.46</v>
      </c>
      <c r="N167" s="85"/>
      <c r="O167" s="85">
        <v>35854.37</v>
      </c>
      <c r="P167" s="85"/>
      <c r="Q167" s="85">
        <v>827.64</v>
      </c>
      <c r="R167" s="85"/>
      <c r="S167" s="85">
        <v>899</v>
      </c>
      <c r="T167" s="85"/>
      <c r="U167" s="85">
        <v>0</v>
      </c>
      <c r="V167" s="85"/>
      <c r="W167" s="85">
        <v>0</v>
      </c>
      <c r="X167" s="85"/>
      <c r="Y167" s="85">
        <v>0</v>
      </c>
      <c r="Z167" s="85"/>
      <c r="AA167" s="85">
        <v>158761.57</v>
      </c>
      <c r="AB167" s="85"/>
      <c r="AC167" s="85">
        <v>0</v>
      </c>
      <c r="AD167" s="85"/>
      <c r="AE167" s="85">
        <v>46769.87</v>
      </c>
      <c r="AF167" s="85"/>
      <c r="AG167" s="85">
        <v>0</v>
      </c>
      <c r="AH167" s="85"/>
      <c r="AI167" s="85">
        <f t="shared" si="8"/>
        <v>1246401.9300000002</v>
      </c>
      <c r="AJ167" s="24"/>
      <c r="AK167" s="15" t="e">
        <f>#REF!</f>
        <v>#REF!</v>
      </c>
      <c r="AL167" s="15" t="str">
        <f t="shared" si="9"/>
        <v>Dalton</v>
      </c>
      <c r="AM167" s="15" t="e">
        <f t="shared" si="10"/>
        <v>#REF!</v>
      </c>
    </row>
    <row r="168" spans="1:39" s="31" customFormat="1" ht="12.75">
      <c r="A168" s="15" t="s">
        <v>426</v>
      </c>
      <c r="B168" s="15"/>
      <c r="C168" s="15" t="s">
        <v>427</v>
      </c>
      <c r="D168" s="15"/>
      <c r="E168" s="36">
        <v>99399.12</v>
      </c>
      <c r="F168" s="36"/>
      <c r="G168" s="36">
        <v>173779.79</v>
      </c>
      <c r="H168" s="36"/>
      <c r="I168" s="36">
        <v>288149.6</v>
      </c>
      <c r="J168" s="36"/>
      <c r="K168" s="36">
        <v>0</v>
      </c>
      <c r="L168" s="36"/>
      <c r="M168" s="36">
        <v>124.27</v>
      </c>
      <c r="N168" s="36"/>
      <c r="O168" s="36">
        <v>10964.93</v>
      </c>
      <c r="P168" s="36"/>
      <c r="Q168" s="36">
        <v>1323.01</v>
      </c>
      <c r="R168" s="36"/>
      <c r="S168" s="36">
        <v>9047.51</v>
      </c>
      <c r="T168" s="36"/>
      <c r="U168" s="36">
        <v>0</v>
      </c>
      <c r="V168" s="36"/>
      <c r="W168" s="36">
        <v>0</v>
      </c>
      <c r="X168" s="36"/>
      <c r="Y168" s="36">
        <v>250</v>
      </c>
      <c r="Z168" s="36"/>
      <c r="AA168" s="36">
        <v>330369.03</v>
      </c>
      <c r="AB168" s="36"/>
      <c r="AC168" s="36">
        <v>0</v>
      </c>
      <c r="AD168" s="36"/>
      <c r="AE168" s="36">
        <v>351.97</v>
      </c>
      <c r="AF168" s="36"/>
      <c r="AG168" s="36">
        <v>100</v>
      </c>
      <c r="AH168" s="36"/>
      <c r="AI168" s="36">
        <f>SUM(E168:AG168)</f>
        <v>913859.2300000001</v>
      </c>
      <c r="AJ168" s="24"/>
      <c r="AK168" s="15" t="e">
        <f>#REF!</f>
        <v>#REF!</v>
      </c>
      <c r="AL168" s="15" t="str">
        <f t="shared" si="9"/>
        <v>Danville</v>
      </c>
      <c r="AM168" s="15" t="e">
        <f t="shared" si="10"/>
        <v>#REF!</v>
      </c>
    </row>
    <row r="169" spans="1:39" s="31" customFormat="1" ht="12.75">
      <c r="A169" s="15" t="s">
        <v>404</v>
      </c>
      <c r="B169" s="15"/>
      <c r="C169" s="15" t="s">
        <v>403</v>
      </c>
      <c r="D169" s="15"/>
      <c r="E169" s="85">
        <v>0</v>
      </c>
      <c r="F169" s="85"/>
      <c r="G169" s="85">
        <v>0</v>
      </c>
      <c r="H169" s="85"/>
      <c r="I169" s="85">
        <v>19711</v>
      </c>
      <c r="J169" s="85"/>
      <c r="K169" s="85">
        <v>0</v>
      </c>
      <c r="L169" s="85"/>
      <c r="M169" s="85">
        <v>0</v>
      </c>
      <c r="N169" s="85"/>
      <c r="O169" s="85">
        <v>0</v>
      </c>
      <c r="P169" s="85"/>
      <c r="Q169" s="85">
        <v>19</v>
      </c>
      <c r="R169" s="85"/>
      <c r="S169" s="85">
        <v>96</v>
      </c>
      <c r="T169" s="85"/>
      <c r="U169" s="85">
        <v>0</v>
      </c>
      <c r="V169" s="85"/>
      <c r="W169" s="85">
        <v>0</v>
      </c>
      <c r="X169" s="85"/>
      <c r="Y169" s="85">
        <v>0</v>
      </c>
      <c r="Z169" s="85"/>
      <c r="AA169" s="85">
        <v>0</v>
      </c>
      <c r="AB169" s="85"/>
      <c r="AC169" s="85">
        <v>0</v>
      </c>
      <c r="AD169" s="85"/>
      <c r="AE169" s="85">
        <v>0</v>
      </c>
      <c r="AF169" s="85"/>
      <c r="AG169" s="85">
        <v>0</v>
      </c>
      <c r="AH169" s="85"/>
      <c r="AI169" s="85">
        <f t="shared" si="8"/>
        <v>19826</v>
      </c>
      <c r="AJ169" s="24"/>
      <c r="AK169" s="15" t="str">
        <f>'Gen Rev'!A169</f>
        <v>Deersville</v>
      </c>
      <c r="AL169" s="15" t="str">
        <f t="shared" si="9"/>
        <v>Deersville</v>
      </c>
      <c r="AM169" s="15" t="b">
        <f t="shared" si="10"/>
        <v>1</v>
      </c>
    </row>
    <row r="170" spans="1:39" s="72" customFormat="1" ht="12.75">
      <c r="A170" s="39" t="s">
        <v>445</v>
      </c>
      <c r="B170" s="39"/>
      <c r="C170" s="39" t="s">
        <v>446</v>
      </c>
      <c r="D170" s="39"/>
      <c r="E170" s="36">
        <v>76377.47</v>
      </c>
      <c r="F170" s="36"/>
      <c r="G170" s="36">
        <v>147147.89</v>
      </c>
      <c r="H170" s="36"/>
      <c r="I170" s="36">
        <v>158277.69</v>
      </c>
      <c r="J170" s="36"/>
      <c r="K170" s="36">
        <v>0</v>
      </c>
      <c r="L170" s="36"/>
      <c r="M170" s="36">
        <v>11995</v>
      </c>
      <c r="N170" s="36"/>
      <c r="O170" s="36">
        <v>9458.32</v>
      </c>
      <c r="P170" s="36"/>
      <c r="Q170" s="36">
        <v>1560.98</v>
      </c>
      <c r="R170" s="36"/>
      <c r="S170" s="36">
        <v>17094.63</v>
      </c>
      <c r="T170" s="36"/>
      <c r="U170" s="36">
        <v>0</v>
      </c>
      <c r="V170" s="36"/>
      <c r="W170" s="36">
        <v>0</v>
      </c>
      <c r="X170" s="36"/>
      <c r="Y170" s="36">
        <v>0</v>
      </c>
      <c r="Z170" s="36"/>
      <c r="AA170" s="36">
        <v>283.49</v>
      </c>
      <c r="AB170" s="36"/>
      <c r="AC170" s="36">
        <v>0</v>
      </c>
      <c r="AD170" s="36"/>
      <c r="AE170" s="36">
        <v>0</v>
      </c>
      <c r="AF170" s="36"/>
      <c r="AG170" s="36">
        <v>0</v>
      </c>
      <c r="AH170" s="36"/>
      <c r="AI170" s="36">
        <f>SUM(E170:AG170)</f>
        <v>422195.47000000003</v>
      </c>
      <c r="AJ170" s="39"/>
      <c r="AK170" s="15" t="str">
        <f>'Gen Rev'!A170</f>
        <v>DeGraff</v>
      </c>
      <c r="AL170" s="15" t="str">
        <f t="shared" si="9"/>
        <v>DeGraff</v>
      </c>
      <c r="AM170" s="15" t="b">
        <f t="shared" si="10"/>
        <v>1</v>
      </c>
    </row>
    <row r="171" spans="1:39" ht="12.75">
      <c r="A171" s="15" t="s">
        <v>28</v>
      </c>
      <c r="C171" s="15" t="s">
        <v>753</v>
      </c>
      <c r="E171" s="36">
        <v>27766.84</v>
      </c>
      <c r="F171" s="36"/>
      <c r="G171" s="36">
        <v>0</v>
      </c>
      <c r="H171" s="36"/>
      <c r="I171" s="36">
        <v>58155.22</v>
      </c>
      <c r="J171" s="36"/>
      <c r="K171" s="36">
        <v>0</v>
      </c>
      <c r="L171" s="36"/>
      <c r="M171" s="36">
        <v>0</v>
      </c>
      <c r="N171" s="36"/>
      <c r="O171" s="36">
        <v>2014.59</v>
      </c>
      <c r="P171" s="36"/>
      <c r="Q171" s="36">
        <v>69.55</v>
      </c>
      <c r="R171" s="36"/>
      <c r="S171" s="36">
        <v>4943.87</v>
      </c>
      <c r="T171" s="36"/>
      <c r="U171" s="36">
        <v>0</v>
      </c>
      <c r="V171" s="36"/>
      <c r="W171" s="36">
        <v>0</v>
      </c>
      <c r="X171" s="36"/>
      <c r="Y171" s="36">
        <v>5212</v>
      </c>
      <c r="Z171" s="36"/>
      <c r="AA171" s="36">
        <v>1500</v>
      </c>
      <c r="AB171" s="36"/>
      <c r="AC171" s="36">
        <v>0</v>
      </c>
      <c r="AD171" s="36"/>
      <c r="AE171" s="36">
        <v>0</v>
      </c>
      <c r="AF171" s="36"/>
      <c r="AG171" s="36">
        <v>0</v>
      </c>
      <c r="AH171" s="36"/>
      <c r="AI171" s="36">
        <f>SUM(E171:AG171)</f>
        <v>99662.06999999999</v>
      </c>
      <c r="AJ171" s="24"/>
      <c r="AK171" s="15" t="str">
        <f>'Gen Rev'!A171</f>
        <v>Dellroy</v>
      </c>
      <c r="AL171" s="15" t="str">
        <f t="shared" si="9"/>
        <v>Dellroy</v>
      </c>
      <c r="AM171" s="15" t="b">
        <f t="shared" si="10"/>
        <v>1</v>
      </c>
    </row>
    <row r="172" spans="1:39" s="31" customFormat="1" ht="12.75">
      <c r="A172" s="15" t="s">
        <v>359</v>
      </c>
      <c r="B172" s="15"/>
      <c r="C172" s="15" t="s">
        <v>358</v>
      </c>
      <c r="D172" s="15"/>
      <c r="E172" s="85">
        <v>244797.34</v>
      </c>
      <c r="F172" s="85"/>
      <c r="G172" s="85">
        <v>579219.25</v>
      </c>
      <c r="H172" s="85"/>
      <c r="I172" s="85">
        <v>391635.69</v>
      </c>
      <c r="J172" s="85"/>
      <c r="K172" s="85">
        <v>7245</v>
      </c>
      <c r="L172" s="85"/>
      <c r="M172" s="85">
        <v>111369.95</v>
      </c>
      <c r="N172" s="85"/>
      <c r="O172" s="85">
        <v>44519</v>
      </c>
      <c r="P172" s="85"/>
      <c r="Q172" s="85">
        <v>12027.99</v>
      </c>
      <c r="R172" s="85"/>
      <c r="S172" s="85">
        <v>45885.93</v>
      </c>
      <c r="T172" s="85"/>
      <c r="U172" s="85">
        <v>0</v>
      </c>
      <c r="V172" s="85"/>
      <c r="W172" s="85">
        <v>0</v>
      </c>
      <c r="X172" s="85"/>
      <c r="Y172" s="85">
        <v>0</v>
      </c>
      <c r="Z172" s="85"/>
      <c r="AA172" s="85">
        <v>3000</v>
      </c>
      <c r="AB172" s="85"/>
      <c r="AC172" s="85">
        <v>0</v>
      </c>
      <c r="AD172" s="85"/>
      <c r="AE172" s="85">
        <v>0</v>
      </c>
      <c r="AF172" s="85"/>
      <c r="AG172" s="85">
        <v>0</v>
      </c>
      <c r="AH172" s="85"/>
      <c r="AI172" s="85">
        <f t="shared" si="8"/>
        <v>1439700.15</v>
      </c>
      <c r="AJ172" s="24"/>
      <c r="AK172" s="15" t="str">
        <f>'Gen Rev'!A172</f>
        <v>Delta</v>
      </c>
      <c r="AL172" s="15" t="str">
        <f t="shared" si="9"/>
        <v>Delta</v>
      </c>
      <c r="AM172" s="15" t="b">
        <f t="shared" si="10"/>
        <v>1</v>
      </c>
    </row>
    <row r="173" spans="1:39" ht="12.75">
      <c r="A173" s="15" t="s">
        <v>232</v>
      </c>
      <c r="C173" s="15" t="s">
        <v>818</v>
      </c>
      <c r="E173" s="96">
        <v>133063.75</v>
      </c>
      <c r="F173" s="96"/>
      <c r="G173" s="96">
        <v>628720.24</v>
      </c>
      <c r="H173" s="96"/>
      <c r="I173" s="96">
        <v>305094.8</v>
      </c>
      <c r="J173" s="96"/>
      <c r="K173" s="96">
        <v>43338.7</v>
      </c>
      <c r="L173" s="96"/>
      <c r="M173" s="96">
        <v>36400</v>
      </c>
      <c r="N173" s="96"/>
      <c r="O173" s="96">
        <v>8722.5</v>
      </c>
      <c r="P173" s="96"/>
      <c r="Q173" s="96">
        <v>1500.65</v>
      </c>
      <c r="R173" s="96"/>
      <c r="S173" s="96">
        <v>30006.9</v>
      </c>
      <c r="T173" s="96"/>
      <c r="U173" s="96">
        <v>0</v>
      </c>
      <c r="V173" s="96"/>
      <c r="W173" s="96">
        <v>0</v>
      </c>
      <c r="X173" s="96"/>
      <c r="Y173" s="96">
        <v>236331</v>
      </c>
      <c r="Z173" s="96"/>
      <c r="AA173" s="96">
        <v>52000</v>
      </c>
      <c r="AB173" s="96"/>
      <c r="AC173" s="96">
        <v>0</v>
      </c>
      <c r="AD173" s="96"/>
      <c r="AE173" s="96">
        <v>353.6</v>
      </c>
      <c r="AF173" s="96"/>
      <c r="AG173" s="96">
        <v>0</v>
      </c>
      <c r="AH173" s="96"/>
      <c r="AI173" s="96">
        <f>SUM(E173:AG173)</f>
        <v>1475532.14</v>
      </c>
      <c r="AJ173" s="24"/>
      <c r="AK173" s="15" t="str">
        <f>'Gen Rev'!A173</f>
        <v>Dennison</v>
      </c>
      <c r="AL173" s="15" t="str">
        <f t="shared" si="9"/>
        <v>Dennison</v>
      </c>
      <c r="AM173" s="15" t="b">
        <f t="shared" si="10"/>
        <v>1</v>
      </c>
    </row>
    <row r="174" spans="1:39" ht="12.75">
      <c r="A174" s="15" t="s">
        <v>104</v>
      </c>
      <c r="C174" s="15" t="s">
        <v>777</v>
      </c>
      <c r="E174" s="36">
        <v>130268.85</v>
      </c>
      <c r="F174" s="36"/>
      <c r="G174" s="36">
        <v>226512.63</v>
      </c>
      <c r="H174" s="36"/>
      <c r="I174" s="36">
        <v>656640.48</v>
      </c>
      <c r="J174" s="36"/>
      <c r="K174" s="36">
        <v>0</v>
      </c>
      <c r="L174" s="36"/>
      <c r="M174" s="36">
        <v>2500</v>
      </c>
      <c r="N174" s="36"/>
      <c r="O174" s="36">
        <v>14472.33</v>
      </c>
      <c r="P174" s="36"/>
      <c r="Q174" s="36">
        <v>5559.3</v>
      </c>
      <c r="R174" s="36"/>
      <c r="S174" s="36">
        <v>15371.68</v>
      </c>
      <c r="T174" s="36"/>
      <c r="U174" s="36">
        <v>0</v>
      </c>
      <c r="V174" s="36"/>
      <c r="W174" s="36">
        <v>0</v>
      </c>
      <c r="X174" s="36"/>
      <c r="Y174" s="36">
        <v>1200</v>
      </c>
      <c r="Z174" s="36"/>
      <c r="AA174" s="36">
        <v>185000</v>
      </c>
      <c r="AB174" s="36"/>
      <c r="AC174" s="36">
        <v>0</v>
      </c>
      <c r="AD174" s="36"/>
      <c r="AE174" s="36">
        <v>25121.48</v>
      </c>
      <c r="AF174" s="36"/>
      <c r="AG174" s="36">
        <v>0</v>
      </c>
      <c r="AH174" s="36"/>
      <c r="AI174" s="36">
        <f>SUM(E174:AG174)</f>
        <v>1262646.75</v>
      </c>
      <c r="AJ174" s="24"/>
      <c r="AK174" s="15" t="str">
        <f>'Gen Rev'!A174</f>
        <v>Deshler</v>
      </c>
      <c r="AL174" s="15" t="str">
        <f t="shared" si="9"/>
        <v>Deshler</v>
      </c>
      <c r="AM174" s="15" t="b">
        <f t="shared" si="10"/>
        <v>1</v>
      </c>
    </row>
    <row r="175" spans="1:39" ht="12.75" hidden="1">
      <c r="A175" s="15" t="s">
        <v>493</v>
      </c>
      <c r="C175" s="15" t="s">
        <v>491</v>
      </c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>
        <f t="shared" si="8"/>
        <v>0</v>
      </c>
      <c r="AJ175" s="24"/>
      <c r="AK175" s="15" t="str">
        <f>'Gen Rev'!A175</f>
        <v>Dexter City</v>
      </c>
      <c r="AL175" s="15" t="str">
        <f t="shared" si="9"/>
        <v>Dexter City</v>
      </c>
      <c r="AM175" s="15" t="b">
        <f t="shared" si="10"/>
        <v>1</v>
      </c>
    </row>
    <row r="176" spans="1:39" s="31" customFormat="1" ht="12.75">
      <c r="A176" s="15" t="s">
        <v>116</v>
      </c>
      <c r="B176" s="15"/>
      <c r="C176" s="15" t="s">
        <v>781</v>
      </c>
      <c r="D176" s="15"/>
      <c r="E176" s="36">
        <v>54903.85</v>
      </c>
      <c r="F176" s="36"/>
      <c r="G176" s="36">
        <v>0</v>
      </c>
      <c r="H176" s="36"/>
      <c r="I176" s="36">
        <v>143866.12</v>
      </c>
      <c r="J176" s="36"/>
      <c r="K176" s="36">
        <v>0</v>
      </c>
      <c r="L176" s="36"/>
      <c r="M176" s="36">
        <v>2285.63</v>
      </c>
      <c r="N176" s="36"/>
      <c r="O176" s="36">
        <v>12184.77</v>
      </c>
      <c r="P176" s="36"/>
      <c r="Q176" s="36">
        <v>1667.14</v>
      </c>
      <c r="R176" s="36"/>
      <c r="S176" s="36">
        <v>1216</v>
      </c>
      <c r="T176" s="36"/>
      <c r="U176" s="36">
        <v>0</v>
      </c>
      <c r="V176" s="36"/>
      <c r="W176" s="36">
        <v>0</v>
      </c>
      <c r="X176" s="36"/>
      <c r="Y176" s="36">
        <v>0</v>
      </c>
      <c r="Z176" s="36"/>
      <c r="AA176" s="36">
        <v>0</v>
      </c>
      <c r="AB176" s="36"/>
      <c r="AC176" s="36">
        <v>0</v>
      </c>
      <c r="AD176" s="36"/>
      <c r="AE176" s="36">
        <v>0</v>
      </c>
      <c r="AF176" s="36"/>
      <c r="AG176" s="36">
        <v>0</v>
      </c>
      <c r="AH176" s="36"/>
      <c r="AI176" s="36">
        <f aca="true" t="shared" si="12" ref="AI176:AI182">SUM(E176:AG176)</f>
        <v>216123.51</v>
      </c>
      <c r="AJ176" s="24"/>
      <c r="AK176" s="15" t="str">
        <f>'Gen Rev'!A176</f>
        <v>Dillonvale</v>
      </c>
      <c r="AL176" s="15" t="str">
        <f t="shared" si="9"/>
        <v>Dillonvale</v>
      </c>
      <c r="AM176" s="15" t="b">
        <f t="shared" si="10"/>
        <v>1</v>
      </c>
    </row>
    <row r="177" spans="1:39" ht="12.6" customHeight="1">
      <c r="A177" s="15" t="s">
        <v>829</v>
      </c>
      <c r="C177" s="15" t="s">
        <v>292</v>
      </c>
      <c r="E177" s="36">
        <v>42943.23</v>
      </c>
      <c r="F177" s="36"/>
      <c r="G177" s="36">
        <v>0</v>
      </c>
      <c r="H177" s="36"/>
      <c r="I177" s="36">
        <v>21433.94</v>
      </c>
      <c r="J177" s="36"/>
      <c r="K177" s="36">
        <v>0</v>
      </c>
      <c r="L177" s="36"/>
      <c r="M177" s="36">
        <v>3168</v>
      </c>
      <c r="N177" s="36"/>
      <c r="O177" s="36">
        <v>10100.07</v>
      </c>
      <c r="P177" s="36"/>
      <c r="Q177" s="36">
        <v>528.85</v>
      </c>
      <c r="R177" s="36"/>
      <c r="S177" s="36">
        <v>1322.21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v>0</v>
      </c>
      <c r="AF177" s="36"/>
      <c r="AG177" s="36">
        <v>0</v>
      </c>
      <c r="AH177" s="36"/>
      <c r="AI177" s="36">
        <f t="shared" si="12"/>
        <v>79496.3</v>
      </c>
      <c r="AJ177" s="24"/>
      <c r="AK177" s="15" t="str">
        <f>'Gen Rev'!A177</f>
        <v>Donnelsville</v>
      </c>
      <c r="AL177" s="15" t="str">
        <f t="shared" si="9"/>
        <v>Donnelsville</v>
      </c>
      <c r="AM177" s="15" t="b">
        <f t="shared" si="10"/>
        <v>1</v>
      </c>
    </row>
    <row r="178" spans="1:39" s="31" customFormat="1" ht="12.75">
      <c r="A178" s="15" t="s">
        <v>594</v>
      </c>
      <c r="B178" s="15"/>
      <c r="C178" s="15" t="s">
        <v>590</v>
      </c>
      <c r="D178" s="15"/>
      <c r="E178" s="36">
        <v>306425.82</v>
      </c>
      <c r="F178" s="36"/>
      <c r="G178" s="36">
        <v>782297.87</v>
      </c>
      <c r="H178" s="36"/>
      <c r="I178" s="36">
        <v>322333.87</v>
      </c>
      <c r="J178" s="36"/>
      <c r="K178" s="36">
        <v>2585</v>
      </c>
      <c r="L178" s="36"/>
      <c r="M178" s="36">
        <v>43627.37</v>
      </c>
      <c r="N178" s="36"/>
      <c r="O178" s="36">
        <v>44442.46</v>
      </c>
      <c r="P178" s="36"/>
      <c r="Q178" s="36">
        <v>5160.09</v>
      </c>
      <c r="R178" s="36"/>
      <c r="S178" s="36">
        <v>42060.7</v>
      </c>
      <c r="T178" s="36"/>
      <c r="U178" s="36">
        <v>0</v>
      </c>
      <c r="V178" s="36"/>
      <c r="W178" s="36">
        <v>0</v>
      </c>
      <c r="X178" s="36"/>
      <c r="Y178" s="36">
        <v>0</v>
      </c>
      <c r="Z178" s="36"/>
      <c r="AA178" s="36">
        <v>201900</v>
      </c>
      <c r="AB178" s="36"/>
      <c r="AC178" s="36">
        <v>40000</v>
      </c>
      <c r="AD178" s="36"/>
      <c r="AE178" s="36">
        <v>0</v>
      </c>
      <c r="AF178" s="36"/>
      <c r="AG178" s="36">
        <v>0</v>
      </c>
      <c r="AH178" s="36"/>
      <c r="AI178" s="36">
        <f t="shared" si="12"/>
        <v>1790833.1800000002</v>
      </c>
      <c r="AJ178" s="24"/>
      <c r="AK178" s="15" t="str">
        <f>'Gen Rev'!A178</f>
        <v>Doylestown</v>
      </c>
      <c r="AL178" s="15" t="str">
        <f t="shared" si="9"/>
        <v>Doylestown</v>
      </c>
      <c r="AM178" s="15" t="b">
        <f t="shared" si="10"/>
        <v>1</v>
      </c>
    </row>
    <row r="179" spans="1:39" ht="12.75">
      <c r="A179" s="15" t="s">
        <v>174</v>
      </c>
      <c r="C179" s="15" t="s">
        <v>800</v>
      </c>
      <c r="E179" s="36">
        <v>144989.64</v>
      </c>
      <c r="F179" s="36"/>
      <c r="G179" s="36">
        <v>236348.97</v>
      </c>
      <c r="H179" s="36"/>
      <c r="I179" s="36">
        <v>137677.78</v>
      </c>
      <c r="J179" s="36"/>
      <c r="K179" s="36">
        <v>20172.07</v>
      </c>
      <c r="L179" s="36"/>
      <c r="M179" s="36">
        <v>19625</v>
      </c>
      <c r="N179" s="36"/>
      <c r="O179" s="36">
        <v>1141.87</v>
      </c>
      <c r="P179" s="36"/>
      <c r="Q179" s="36">
        <v>2448.81</v>
      </c>
      <c r="R179" s="36"/>
      <c r="S179" s="36">
        <v>66535.73</v>
      </c>
      <c r="T179" s="36"/>
      <c r="U179" s="36">
        <v>546418.5</v>
      </c>
      <c r="V179" s="36"/>
      <c r="W179" s="36">
        <v>0</v>
      </c>
      <c r="X179" s="36"/>
      <c r="Y179" s="36">
        <v>0</v>
      </c>
      <c r="Z179" s="36"/>
      <c r="AA179" s="36">
        <v>361582.73</v>
      </c>
      <c r="AB179" s="36"/>
      <c r="AC179" s="36">
        <v>152274.46</v>
      </c>
      <c r="AD179" s="36"/>
      <c r="AE179" s="36">
        <v>6515</v>
      </c>
      <c r="AF179" s="36"/>
      <c r="AG179" s="36">
        <v>0</v>
      </c>
      <c r="AH179" s="36"/>
      <c r="AI179" s="36">
        <f t="shared" si="12"/>
        <v>1695730.56</v>
      </c>
      <c r="AJ179" s="24"/>
      <c r="AK179" s="15" t="str">
        <f>'Gen Rev'!A179</f>
        <v>Dresden</v>
      </c>
      <c r="AL179" s="15" t="str">
        <f t="shared" si="9"/>
        <v>Dresden</v>
      </c>
      <c r="AM179" s="15" t="b">
        <f t="shared" si="10"/>
        <v>1</v>
      </c>
    </row>
    <row r="180" spans="1:39" s="31" customFormat="1" ht="12.75">
      <c r="A180" s="15" t="s">
        <v>397</v>
      </c>
      <c r="B180" s="15"/>
      <c r="C180" s="15" t="s">
        <v>396</v>
      </c>
      <c r="D180" s="15"/>
      <c r="E180" s="36">
        <v>14017.98</v>
      </c>
      <c r="F180" s="36"/>
      <c r="G180" s="36">
        <v>67422.58</v>
      </c>
      <c r="H180" s="36"/>
      <c r="I180" s="36">
        <v>96668.51</v>
      </c>
      <c r="J180" s="36"/>
      <c r="K180" s="36">
        <v>0</v>
      </c>
      <c r="L180" s="36"/>
      <c r="M180" s="36">
        <v>1400</v>
      </c>
      <c r="N180" s="36"/>
      <c r="O180" s="36">
        <v>4802.73</v>
      </c>
      <c r="P180" s="36"/>
      <c r="Q180" s="36">
        <v>2074.54</v>
      </c>
      <c r="R180" s="36"/>
      <c r="S180" s="36">
        <v>11936.75</v>
      </c>
      <c r="T180" s="36"/>
      <c r="U180" s="36">
        <v>0</v>
      </c>
      <c r="V180" s="36"/>
      <c r="W180" s="36">
        <v>0</v>
      </c>
      <c r="X180" s="36"/>
      <c r="Y180" s="36">
        <v>0</v>
      </c>
      <c r="Z180" s="36"/>
      <c r="AA180" s="36">
        <v>0</v>
      </c>
      <c r="AB180" s="36"/>
      <c r="AC180" s="36">
        <v>0</v>
      </c>
      <c r="AD180" s="36"/>
      <c r="AE180" s="36">
        <v>0</v>
      </c>
      <c r="AF180" s="36"/>
      <c r="AG180" s="36">
        <v>0</v>
      </c>
      <c r="AH180" s="36"/>
      <c r="AI180" s="36">
        <f t="shared" si="12"/>
        <v>198323.09000000003</v>
      </c>
      <c r="AJ180" s="24"/>
      <c r="AK180" s="15" t="str">
        <f>'Gen Rev'!A180</f>
        <v>Dunkirk</v>
      </c>
      <c r="AL180" s="15" t="str">
        <f t="shared" si="9"/>
        <v>Dunkirk</v>
      </c>
      <c r="AM180" s="15" t="b">
        <f t="shared" si="10"/>
        <v>1</v>
      </c>
    </row>
    <row r="181" spans="1:39" ht="12.75">
      <c r="A181" s="15" t="s">
        <v>203</v>
      </c>
      <c r="C181" s="15" t="s">
        <v>808</v>
      </c>
      <c r="E181" s="36">
        <v>13453.39</v>
      </c>
      <c r="F181" s="36"/>
      <c r="G181" s="36">
        <v>0</v>
      </c>
      <c r="H181" s="36"/>
      <c r="I181" s="36">
        <v>52292.08</v>
      </c>
      <c r="J181" s="36"/>
      <c r="K181" s="36">
        <v>0</v>
      </c>
      <c r="L181" s="36"/>
      <c r="M181" s="36">
        <v>0</v>
      </c>
      <c r="N181" s="36"/>
      <c r="O181" s="36">
        <v>0</v>
      </c>
      <c r="P181" s="36"/>
      <c r="Q181" s="36">
        <v>97.78</v>
      </c>
      <c r="R181" s="36"/>
      <c r="S181" s="36">
        <v>650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v>0</v>
      </c>
      <c r="AF181" s="36"/>
      <c r="AG181" s="36">
        <v>0</v>
      </c>
      <c r="AH181" s="36"/>
      <c r="AI181" s="36">
        <f t="shared" si="12"/>
        <v>66493.25</v>
      </c>
      <c r="AJ181" s="24"/>
      <c r="AK181" s="15" t="str">
        <f>'Gen Rev'!A181</f>
        <v>Dupont</v>
      </c>
      <c r="AL181" s="15" t="str">
        <f t="shared" si="9"/>
        <v>Dupont</v>
      </c>
      <c r="AM181" s="15" t="b">
        <f t="shared" si="10"/>
        <v>1</v>
      </c>
    </row>
    <row r="182" spans="1:39" s="29" customFormat="1" ht="12.75">
      <c r="A182" s="24" t="s">
        <v>544</v>
      </c>
      <c r="B182" s="24"/>
      <c r="C182" s="24" t="s">
        <v>542</v>
      </c>
      <c r="D182" s="24"/>
      <c r="E182" s="36">
        <v>50055.11</v>
      </c>
      <c r="F182" s="36"/>
      <c r="G182" s="36">
        <v>293205.54</v>
      </c>
      <c r="H182" s="36"/>
      <c r="I182" s="36">
        <v>239494.55</v>
      </c>
      <c r="J182" s="36"/>
      <c r="K182" s="36">
        <v>0</v>
      </c>
      <c r="L182" s="36"/>
      <c r="M182" s="36">
        <v>2681.32</v>
      </c>
      <c r="N182" s="36"/>
      <c r="O182" s="36">
        <v>156543.38</v>
      </c>
      <c r="P182" s="36"/>
      <c r="Q182" s="36">
        <v>22725.7</v>
      </c>
      <c r="R182" s="36"/>
      <c r="S182" s="36">
        <v>0</v>
      </c>
      <c r="T182" s="36"/>
      <c r="U182" s="36">
        <v>0</v>
      </c>
      <c r="V182" s="36"/>
      <c r="W182" s="36">
        <v>0</v>
      </c>
      <c r="X182" s="36"/>
      <c r="Y182" s="36">
        <v>1006.5</v>
      </c>
      <c r="Z182" s="36"/>
      <c r="AA182" s="36">
        <v>10000</v>
      </c>
      <c r="AB182" s="36"/>
      <c r="AC182" s="36">
        <v>0</v>
      </c>
      <c r="AD182" s="36"/>
      <c r="AE182" s="36">
        <v>0</v>
      </c>
      <c r="AF182" s="36"/>
      <c r="AG182" s="36">
        <v>3573.43</v>
      </c>
      <c r="AH182" s="36"/>
      <c r="AI182" s="36">
        <f t="shared" si="12"/>
        <v>779285.5299999999</v>
      </c>
      <c r="AJ182" s="24"/>
      <c r="AK182" s="15" t="str">
        <f>'Gen Rev'!A182</f>
        <v>East Canton</v>
      </c>
      <c r="AL182" s="15" t="str">
        <f t="shared" si="9"/>
        <v>East Canton</v>
      </c>
      <c r="AM182" s="15" t="b">
        <f t="shared" si="10"/>
        <v>1</v>
      </c>
    </row>
    <row r="183" spans="1:39" s="29" customFormat="1" ht="12.75">
      <c r="A183" s="24" t="s">
        <v>965</v>
      </c>
      <c r="B183" s="24"/>
      <c r="C183" s="24" t="s">
        <v>305</v>
      </c>
      <c r="D183" s="24"/>
      <c r="E183" s="83">
        <v>1601507</v>
      </c>
      <c r="F183" s="83"/>
      <c r="G183" s="83">
        <v>0</v>
      </c>
      <c r="H183" s="83"/>
      <c r="I183" s="83">
        <v>1302897</v>
      </c>
      <c r="J183" s="83"/>
      <c r="K183" s="83">
        <v>0</v>
      </c>
      <c r="L183" s="83"/>
      <c r="M183" s="83">
        <v>341572</v>
      </c>
      <c r="N183" s="83"/>
      <c r="O183" s="83">
        <f>74733+7068</f>
        <v>81801</v>
      </c>
      <c r="P183" s="83"/>
      <c r="Q183" s="83">
        <v>620</v>
      </c>
      <c r="R183" s="83"/>
      <c r="S183" s="83">
        <v>70951</v>
      </c>
      <c r="T183" s="83"/>
      <c r="U183" s="85">
        <v>0</v>
      </c>
      <c r="V183" s="85"/>
      <c r="W183" s="85">
        <v>0</v>
      </c>
      <c r="X183" s="85"/>
      <c r="Y183" s="85">
        <v>0</v>
      </c>
      <c r="Z183" s="85"/>
      <c r="AA183" s="85">
        <v>104972</v>
      </c>
      <c r="AB183" s="85"/>
      <c r="AC183" s="85">
        <v>0</v>
      </c>
      <c r="AD183" s="85"/>
      <c r="AE183" s="85">
        <v>0</v>
      </c>
      <c r="AF183" s="85"/>
      <c r="AG183" s="85">
        <v>61000</v>
      </c>
      <c r="AH183" s="85"/>
      <c r="AI183" s="85">
        <f t="shared" si="8"/>
        <v>3565320</v>
      </c>
      <c r="AJ183" s="24"/>
      <c r="AK183" s="15" t="str">
        <f>'Gen Rev'!A183</f>
        <v>East Palestine</v>
      </c>
      <c r="AL183" s="15" t="str">
        <f t="shared" si="9"/>
        <v>East Palestine</v>
      </c>
      <c r="AM183" s="15" t="b">
        <f t="shared" si="10"/>
        <v>1</v>
      </c>
    </row>
    <row r="184" spans="1:39" ht="12.75">
      <c r="A184" s="15" t="s">
        <v>224</v>
      </c>
      <c r="C184" s="15" t="s">
        <v>815</v>
      </c>
      <c r="E184" s="36">
        <v>195592.58</v>
      </c>
      <c r="F184" s="36"/>
      <c r="G184" s="36">
        <v>0</v>
      </c>
      <c r="H184" s="36"/>
      <c r="I184" s="36">
        <v>78853.43</v>
      </c>
      <c r="J184" s="36"/>
      <c r="K184" s="36">
        <v>0</v>
      </c>
      <c r="L184" s="36"/>
      <c r="M184" s="36">
        <v>55465.21</v>
      </c>
      <c r="N184" s="36"/>
      <c r="O184" s="36">
        <v>11313.87</v>
      </c>
      <c r="P184" s="36"/>
      <c r="Q184" s="36">
        <v>223.52</v>
      </c>
      <c r="R184" s="36"/>
      <c r="S184" s="36">
        <v>4445.97</v>
      </c>
      <c r="T184" s="36"/>
      <c r="U184" s="36">
        <v>0</v>
      </c>
      <c r="V184" s="36"/>
      <c r="W184" s="36">
        <v>0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v>0</v>
      </c>
      <c r="AF184" s="36"/>
      <c r="AG184" s="36">
        <v>0</v>
      </c>
      <c r="AH184" s="36"/>
      <c r="AI184" s="36">
        <f>SUM(E184:AG184)</f>
        <v>345894.58</v>
      </c>
      <c r="AJ184" s="24"/>
      <c r="AK184" s="15" t="str">
        <f>'Gen Rev'!A184</f>
        <v>East Sparta</v>
      </c>
      <c r="AL184" s="15" t="str">
        <f t="shared" si="9"/>
        <v>East Sparta</v>
      </c>
      <c r="AM184" s="15" t="b">
        <f t="shared" si="10"/>
        <v>1</v>
      </c>
    </row>
    <row r="185" spans="1:39" s="31" customFormat="1" ht="12.75">
      <c r="A185" s="15" t="s">
        <v>597</v>
      </c>
      <c r="B185" s="15"/>
      <c r="C185" s="15" t="s">
        <v>598</v>
      </c>
      <c r="D185" s="15"/>
      <c r="E185" s="85">
        <v>240875.16</v>
      </c>
      <c r="F185" s="85"/>
      <c r="G185" s="85">
        <v>411403.45</v>
      </c>
      <c r="H185" s="85"/>
      <c r="I185" s="85">
        <v>261125.07</v>
      </c>
      <c r="J185" s="85"/>
      <c r="K185" s="85">
        <v>0</v>
      </c>
      <c r="L185" s="85"/>
      <c r="M185" s="85">
        <v>51916.53</v>
      </c>
      <c r="N185" s="85"/>
      <c r="O185" s="85">
        <v>12546.53</v>
      </c>
      <c r="P185" s="85"/>
      <c r="Q185" s="85">
        <v>5671.8</v>
      </c>
      <c r="R185" s="85"/>
      <c r="S185" s="85">
        <v>33058.61</v>
      </c>
      <c r="T185" s="85"/>
      <c r="U185" s="85">
        <v>0</v>
      </c>
      <c r="V185" s="85"/>
      <c r="W185" s="85">
        <v>0</v>
      </c>
      <c r="X185" s="85"/>
      <c r="Y185" s="85">
        <v>0</v>
      </c>
      <c r="Z185" s="85"/>
      <c r="AA185" s="85">
        <v>0</v>
      </c>
      <c r="AB185" s="85"/>
      <c r="AC185" s="85">
        <v>0</v>
      </c>
      <c r="AD185" s="85"/>
      <c r="AE185" s="85">
        <v>3250</v>
      </c>
      <c r="AF185" s="85"/>
      <c r="AG185" s="85">
        <v>23664.41</v>
      </c>
      <c r="AH185" s="85"/>
      <c r="AI185" s="85">
        <f t="shared" si="8"/>
        <v>1043511.56</v>
      </c>
      <c r="AJ185" s="24"/>
      <c r="AK185" s="15" t="str">
        <f>'Gen Rev'!A185</f>
        <v>Edgerton</v>
      </c>
      <c r="AL185" s="15" t="str">
        <f t="shared" si="9"/>
        <v>Edgerton</v>
      </c>
      <c r="AM185" s="15" t="b">
        <f t="shared" si="10"/>
        <v>1</v>
      </c>
    </row>
    <row r="186" spans="1:39" ht="12.75">
      <c r="A186" s="15" t="s">
        <v>172</v>
      </c>
      <c r="C186" s="15" t="s">
        <v>799</v>
      </c>
      <c r="E186" s="36">
        <v>57468.27</v>
      </c>
      <c r="F186" s="36"/>
      <c r="G186" s="36">
        <v>18771.89</v>
      </c>
      <c r="H186" s="36"/>
      <c r="I186" s="36">
        <v>41497.44</v>
      </c>
      <c r="J186" s="36"/>
      <c r="K186" s="36">
        <v>0</v>
      </c>
      <c r="L186" s="36"/>
      <c r="M186" s="36">
        <v>0</v>
      </c>
      <c r="N186" s="36"/>
      <c r="O186" s="36">
        <v>16285.44</v>
      </c>
      <c r="P186" s="36"/>
      <c r="Q186" s="36">
        <v>43.63</v>
      </c>
      <c r="R186" s="36"/>
      <c r="S186" s="36">
        <v>892.39</v>
      </c>
      <c r="T186" s="36"/>
      <c r="U186" s="36">
        <v>0</v>
      </c>
      <c r="V186" s="36"/>
      <c r="W186" s="36">
        <v>0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v>0</v>
      </c>
      <c r="AF186" s="36"/>
      <c r="AG186" s="36">
        <v>0</v>
      </c>
      <c r="AH186" s="36"/>
      <c r="AI186" s="36">
        <f>SUM(E186:AG186)</f>
        <v>134959.06000000003</v>
      </c>
      <c r="AJ186" s="24"/>
      <c r="AK186" s="15" t="str">
        <f>'Gen Rev'!A186</f>
        <v>Edison</v>
      </c>
      <c r="AL186" s="15" t="str">
        <f t="shared" si="9"/>
        <v>Edison</v>
      </c>
      <c r="AM186" s="15" t="b">
        <f t="shared" si="10"/>
        <v>1</v>
      </c>
    </row>
    <row r="187" spans="1:39" ht="12.75">
      <c r="A187" s="15" t="s">
        <v>253</v>
      </c>
      <c r="C187" s="15" t="s">
        <v>824</v>
      </c>
      <c r="E187" s="36">
        <v>22235.8</v>
      </c>
      <c r="F187" s="36"/>
      <c r="G187" s="36">
        <v>311351.86</v>
      </c>
      <c r="H187" s="36"/>
      <c r="I187" s="36">
        <v>130165.36</v>
      </c>
      <c r="J187" s="36"/>
      <c r="K187" s="36">
        <v>4022.46</v>
      </c>
      <c r="L187" s="36"/>
      <c r="M187" s="36">
        <v>0</v>
      </c>
      <c r="N187" s="36"/>
      <c r="O187" s="36">
        <v>4697</v>
      </c>
      <c r="P187" s="36"/>
      <c r="Q187" s="36">
        <v>1530.89</v>
      </c>
      <c r="R187" s="36"/>
      <c r="S187" s="36">
        <v>15238.68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0</v>
      </c>
      <c r="AD187" s="36"/>
      <c r="AE187" s="36">
        <v>0</v>
      </c>
      <c r="AF187" s="36"/>
      <c r="AG187" s="36">
        <v>0</v>
      </c>
      <c r="AH187" s="36"/>
      <c r="AI187" s="36">
        <f>SUM(E187:AG187)</f>
        <v>489242.05</v>
      </c>
      <c r="AJ187" s="24"/>
      <c r="AK187" s="15" t="str">
        <f>'Gen Rev'!A187</f>
        <v>Edon</v>
      </c>
      <c r="AL187" s="15" t="str">
        <f t="shared" si="9"/>
        <v>Edon</v>
      </c>
      <c r="AM187" s="15" t="b">
        <f t="shared" si="10"/>
        <v>1</v>
      </c>
    </row>
    <row r="188" spans="1:39" ht="12.75">
      <c r="A188" s="15" t="s">
        <v>200</v>
      </c>
      <c r="C188" s="15" t="s">
        <v>807</v>
      </c>
      <c r="E188" s="36">
        <v>25403.81</v>
      </c>
      <c r="F188" s="36"/>
      <c r="G188" s="36">
        <v>0</v>
      </c>
      <c r="H188" s="36"/>
      <c r="I188" s="36">
        <v>234455.25</v>
      </c>
      <c r="J188" s="36"/>
      <c r="K188" s="36">
        <v>0</v>
      </c>
      <c r="L188" s="36"/>
      <c r="M188" s="36">
        <v>93425.41</v>
      </c>
      <c r="N188" s="36"/>
      <c r="O188" s="36">
        <v>100</v>
      </c>
      <c r="P188" s="36"/>
      <c r="Q188" s="36">
        <v>5364.48</v>
      </c>
      <c r="R188" s="36"/>
      <c r="S188" s="36">
        <v>3355.99</v>
      </c>
      <c r="T188" s="36"/>
      <c r="U188" s="36">
        <v>0</v>
      </c>
      <c r="V188" s="36"/>
      <c r="W188" s="36">
        <v>0</v>
      </c>
      <c r="X188" s="36"/>
      <c r="Y188" s="36">
        <v>0</v>
      </c>
      <c r="Z188" s="36"/>
      <c r="AA188" s="36">
        <v>18389.58</v>
      </c>
      <c r="AB188" s="36"/>
      <c r="AC188" s="36">
        <v>0</v>
      </c>
      <c r="AD188" s="36"/>
      <c r="AE188" s="36">
        <v>0</v>
      </c>
      <c r="AF188" s="36"/>
      <c r="AG188" s="36">
        <v>0</v>
      </c>
      <c r="AH188" s="36"/>
      <c r="AI188" s="36">
        <f>SUM(E188:AG188)</f>
        <v>380494.51999999996</v>
      </c>
      <c r="AJ188" s="24"/>
      <c r="AK188" s="15" t="str">
        <f>'Gen Rev'!A188</f>
        <v>Eldorado</v>
      </c>
      <c r="AL188" s="15" t="str">
        <f t="shared" si="9"/>
        <v>Eldorado</v>
      </c>
      <c r="AM188" s="15" t="b">
        <f t="shared" si="10"/>
        <v>1</v>
      </c>
    </row>
    <row r="189" spans="1:39" ht="12.75" hidden="1">
      <c r="A189" s="15" t="s">
        <v>573</v>
      </c>
      <c r="C189" s="15" t="s">
        <v>574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>
        <f t="shared" si="8"/>
        <v>0</v>
      </c>
      <c r="AJ189" s="24"/>
      <c r="AK189" s="15" t="str">
        <f>'Gen Rev'!A189</f>
        <v>Elgin</v>
      </c>
      <c r="AL189" s="15" t="str">
        <f t="shared" si="9"/>
        <v>Elgin</v>
      </c>
      <c r="AM189" s="15" t="b">
        <f t="shared" si="10"/>
        <v>1</v>
      </c>
    </row>
    <row r="190" spans="1:39" ht="12.75">
      <c r="A190" s="15" t="s">
        <v>3</v>
      </c>
      <c r="C190" s="15" t="s">
        <v>746</v>
      </c>
      <c r="E190" s="36">
        <v>59753.39</v>
      </c>
      <c r="F190" s="36"/>
      <c r="G190" s="36">
        <v>434102.03</v>
      </c>
      <c r="H190" s="36"/>
      <c r="I190" s="36">
        <v>199065.3</v>
      </c>
      <c r="J190" s="36"/>
      <c r="K190" s="36">
        <v>0</v>
      </c>
      <c r="L190" s="36"/>
      <c r="M190" s="36">
        <v>0</v>
      </c>
      <c r="N190" s="36"/>
      <c r="O190" s="36">
        <v>27278.63</v>
      </c>
      <c r="P190" s="36"/>
      <c r="Q190" s="36">
        <v>806.36</v>
      </c>
      <c r="R190" s="36"/>
      <c r="S190" s="36">
        <v>1877.14</v>
      </c>
      <c r="T190" s="36"/>
      <c r="U190" s="36">
        <v>0</v>
      </c>
      <c r="V190" s="36"/>
      <c r="W190" s="36">
        <v>0</v>
      </c>
      <c r="X190" s="36"/>
      <c r="Y190" s="36">
        <v>0</v>
      </c>
      <c r="Z190" s="36"/>
      <c r="AA190" s="36">
        <v>326061.94</v>
      </c>
      <c r="AB190" s="36"/>
      <c r="AC190" s="36">
        <v>0</v>
      </c>
      <c r="AD190" s="36"/>
      <c r="AE190" s="36">
        <v>46706.17</v>
      </c>
      <c r="AF190" s="36"/>
      <c r="AG190" s="36">
        <v>0</v>
      </c>
      <c r="AH190" s="36"/>
      <c r="AI190" s="36">
        <f>SUM(E190:AG190)</f>
        <v>1095650.96</v>
      </c>
      <c r="AJ190" s="24"/>
      <c r="AK190" s="15" t="str">
        <f>'Gen Rev'!A190</f>
        <v>Elida</v>
      </c>
      <c r="AL190" s="15" t="str">
        <f t="shared" si="9"/>
        <v>Elida</v>
      </c>
      <c r="AM190" s="15" t="b">
        <f t="shared" si="10"/>
        <v>1</v>
      </c>
    </row>
    <row r="191" spans="1:39" ht="12.75">
      <c r="A191" s="15" t="s">
        <v>180</v>
      </c>
      <c r="C191" s="15" t="s">
        <v>802</v>
      </c>
      <c r="E191" s="36">
        <v>335003.43</v>
      </c>
      <c r="F191" s="36"/>
      <c r="G191" s="36">
        <v>614116.58</v>
      </c>
      <c r="H191" s="36"/>
      <c r="I191" s="36">
        <v>172206.04</v>
      </c>
      <c r="J191" s="36"/>
      <c r="K191" s="36">
        <v>0</v>
      </c>
      <c r="L191" s="36"/>
      <c r="M191" s="36">
        <v>2015</v>
      </c>
      <c r="N191" s="36"/>
      <c r="O191" s="36">
        <v>15067.35</v>
      </c>
      <c r="P191" s="36"/>
      <c r="Q191" s="36">
        <v>2196</v>
      </c>
      <c r="R191" s="36"/>
      <c r="S191" s="36">
        <v>9614.35</v>
      </c>
      <c r="T191" s="36"/>
      <c r="U191" s="36">
        <v>0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0</v>
      </c>
      <c r="AD191" s="36"/>
      <c r="AE191" s="36">
        <v>0</v>
      </c>
      <c r="AF191" s="36"/>
      <c r="AG191" s="36">
        <v>0</v>
      </c>
      <c r="AH191" s="36"/>
      <c r="AI191" s="36">
        <f>SUM(E191:AG191)</f>
        <v>1150218.7500000002</v>
      </c>
      <c r="AJ191" s="24"/>
      <c r="AK191" s="15" t="str">
        <f>'Gen Rev'!A191</f>
        <v>Elmore</v>
      </c>
      <c r="AL191" s="15" t="str">
        <f t="shared" si="9"/>
        <v>Elmore</v>
      </c>
      <c r="AM191" s="15" t="b">
        <f t="shared" si="10"/>
        <v>1</v>
      </c>
    </row>
    <row r="192" spans="1:39" s="31" customFormat="1" ht="12.75">
      <c r="A192" s="15" t="s">
        <v>92</v>
      </c>
      <c r="B192" s="15"/>
      <c r="C192" s="15" t="s">
        <v>378</v>
      </c>
      <c r="D192" s="15"/>
      <c r="E192" s="36">
        <v>154843.64</v>
      </c>
      <c r="F192" s="36"/>
      <c r="G192" s="36">
        <v>2639802.49</v>
      </c>
      <c r="H192" s="36"/>
      <c r="I192" s="36">
        <v>180923.58</v>
      </c>
      <c r="J192" s="36"/>
      <c r="K192" s="36">
        <v>0</v>
      </c>
      <c r="L192" s="36"/>
      <c r="M192" s="36">
        <v>22167.48</v>
      </c>
      <c r="N192" s="36"/>
      <c r="O192" s="36">
        <v>105513.91</v>
      </c>
      <c r="P192" s="36"/>
      <c r="Q192" s="36">
        <v>12281.54</v>
      </c>
      <c r="R192" s="36"/>
      <c r="S192" s="36">
        <v>69893.19</v>
      </c>
      <c r="T192" s="36"/>
      <c r="U192" s="36">
        <v>0</v>
      </c>
      <c r="V192" s="36"/>
      <c r="W192" s="36">
        <v>0</v>
      </c>
      <c r="X192" s="36"/>
      <c r="Y192" s="36">
        <v>0</v>
      </c>
      <c r="Z192" s="36"/>
      <c r="AA192" s="36">
        <v>534146.9</v>
      </c>
      <c r="AB192" s="36"/>
      <c r="AC192" s="36">
        <v>61217.96</v>
      </c>
      <c r="AD192" s="36"/>
      <c r="AE192" s="36">
        <v>430572.12</v>
      </c>
      <c r="AF192" s="36"/>
      <c r="AG192" s="36">
        <v>0</v>
      </c>
      <c r="AH192" s="36"/>
      <c r="AI192" s="36">
        <f>SUM(E192:AG192)</f>
        <v>4211362.8100000005</v>
      </c>
      <c r="AJ192" s="24"/>
      <c r="AK192" s="15" t="str">
        <f>'Gen Rev'!A192</f>
        <v>Elmwood Place</v>
      </c>
      <c r="AL192" s="15" t="str">
        <f t="shared" si="9"/>
        <v>Elmwood Place</v>
      </c>
      <c r="AM192" s="15" t="b">
        <f t="shared" si="10"/>
        <v>1</v>
      </c>
    </row>
    <row r="193" spans="1:39" ht="12.75">
      <c r="A193" s="15" t="s">
        <v>117</v>
      </c>
      <c r="C193" s="15" t="s">
        <v>781</v>
      </c>
      <c r="E193" s="95">
        <v>16477.28</v>
      </c>
      <c r="F193" s="95"/>
      <c r="G193" s="95">
        <v>0</v>
      </c>
      <c r="H193" s="95"/>
      <c r="I193" s="95">
        <v>27722.34</v>
      </c>
      <c r="J193" s="95"/>
      <c r="K193" s="95">
        <v>0</v>
      </c>
      <c r="L193" s="95"/>
      <c r="M193" s="95">
        <v>0</v>
      </c>
      <c r="N193" s="95"/>
      <c r="O193" s="95">
        <v>18781</v>
      </c>
      <c r="P193" s="95"/>
      <c r="Q193" s="95">
        <v>42.45</v>
      </c>
      <c r="R193" s="95"/>
      <c r="S193" s="95">
        <v>0</v>
      </c>
      <c r="T193" s="95"/>
      <c r="U193" s="95">
        <v>0</v>
      </c>
      <c r="V193" s="95"/>
      <c r="W193" s="95">
        <v>0</v>
      </c>
      <c r="X193" s="95"/>
      <c r="Y193" s="95">
        <v>0</v>
      </c>
      <c r="Z193" s="95"/>
      <c r="AA193" s="95">
        <v>0</v>
      </c>
      <c r="AB193" s="95"/>
      <c r="AC193" s="95">
        <v>0</v>
      </c>
      <c r="AD193" s="95"/>
      <c r="AE193" s="95">
        <v>0</v>
      </c>
      <c r="AF193" s="95"/>
      <c r="AG193" s="95">
        <v>0</v>
      </c>
      <c r="AH193" s="95"/>
      <c r="AI193" s="95">
        <f>SUM(E193:AG193)</f>
        <v>63023.06999999999</v>
      </c>
      <c r="AJ193" s="24"/>
      <c r="AK193" s="15" t="str">
        <f>'Gen Rev'!A193</f>
        <v>Empire</v>
      </c>
      <c r="AL193" s="15" t="str">
        <f t="shared" si="9"/>
        <v>Empire</v>
      </c>
      <c r="AM193" s="15" t="b">
        <f t="shared" si="10"/>
        <v>1</v>
      </c>
    </row>
    <row r="194" spans="1:42" ht="12.6" customHeight="1">
      <c r="A194" s="15" t="s">
        <v>291</v>
      </c>
      <c r="C194" s="15" t="s">
        <v>292</v>
      </c>
      <c r="E194" s="85">
        <f>375534.59+18332.89</f>
        <v>393867.48000000004</v>
      </c>
      <c r="F194" s="85"/>
      <c r="G194" s="85">
        <v>248388.75</v>
      </c>
      <c r="H194" s="85"/>
      <c r="I194" s="85">
        <v>332375.66</v>
      </c>
      <c r="J194" s="85"/>
      <c r="K194" s="85">
        <v>10290.03</v>
      </c>
      <c r="L194" s="85"/>
      <c r="M194" s="85">
        <v>638905.63</v>
      </c>
      <c r="N194" s="85"/>
      <c r="O194" s="85">
        <f>3179.1+66828.48</f>
        <v>70007.58</v>
      </c>
      <c r="P194" s="85"/>
      <c r="Q194" s="85">
        <v>729.1</v>
      </c>
      <c r="R194" s="85"/>
      <c r="S194" s="85">
        <f>41337.94+375</f>
        <v>41712.94</v>
      </c>
      <c r="T194" s="85"/>
      <c r="U194" s="85">
        <v>0</v>
      </c>
      <c r="V194" s="85"/>
      <c r="W194" s="85">
        <v>0</v>
      </c>
      <c r="X194" s="85"/>
      <c r="Y194" s="85">
        <v>0</v>
      </c>
      <c r="Z194" s="85"/>
      <c r="AA194" s="85">
        <v>0</v>
      </c>
      <c r="AB194" s="85"/>
      <c r="AC194" s="85">
        <v>579.65</v>
      </c>
      <c r="AD194" s="85"/>
      <c r="AE194" s="85">
        <v>0</v>
      </c>
      <c r="AF194" s="85"/>
      <c r="AG194" s="85">
        <v>0</v>
      </c>
      <c r="AH194" s="85"/>
      <c r="AI194" s="85">
        <f t="shared" si="8"/>
        <v>1736856.8199999998</v>
      </c>
      <c r="AJ194" s="24"/>
      <c r="AK194" s="15" t="str">
        <f>'Gen Rev'!A194</f>
        <v>Enon</v>
      </c>
      <c r="AL194" s="15" t="str">
        <f t="shared" si="9"/>
        <v>Enon</v>
      </c>
      <c r="AM194" s="15" t="b">
        <f t="shared" si="10"/>
        <v>1</v>
      </c>
      <c r="AN194" s="30"/>
      <c r="AO194" s="30"/>
      <c r="AP194" s="30"/>
    </row>
    <row r="195" spans="1:39" s="31" customFormat="1" ht="12.75">
      <c r="A195" s="15" t="s">
        <v>380</v>
      </c>
      <c r="B195" s="15"/>
      <c r="C195" s="15" t="s">
        <v>378</v>
      </c>
      <c r="D195" s="15"/>
      <c r="E195" s="85">
        <v>154555</v>
      </c>
      <c r="F195" s="85"/>
      <c r="G195" s="85">
        <v>11626268</v>
      </c>
      <c r="H195" s="85"/>
      <c r="I195" s="85">
        <v>805667</v>
      </c>
      <c r="J195" s="85"/>
      <c r="K195" s="85">
        <v>0</v>
      </c>
      <c r="L195" s="85"/>
      <c r="M195" s="85">
        <v>436503</v>
      </c>
      <c r="N195" s="85"/>
      <c r="O195" s="85">
        <v>271820</v>
      </c>
      <c r="P195" s="85"/>
      <c r="Q195" s="85">
        <v>60080</v>
      </c>
      <c r="R195" s="85"/>
      <c r="S195" s="85">
        <v>0</v>
      </c>
      <c r="T195" s="85"/>
      <c r="U195" s="85">
        <v>0</v>
      </c>
      <c r="V195" s="85"/>
      <c r="W195" s="85">
        <v>0</v>
      </c>
      <c r="X195" s="85"/>
      <c r="Y195" s="85">
        <v>874</v>
      </c>
      <c r="Z195" s="85"/>
      <c r="AA195" s="85">
        <v>1879225</v>
      </c>
      <c r="AB195" s="85"/>
      <c r="AC195" s="85">
        <v>50000</v>
      </c>
      <c r="AD195" s="85"/>
      <c r="AE195" s="85">
        <v>50264</v>
      </c>
      <c r="AF195" s="85"/>
      <c r="AG195" s="85">
        <v>0</v>
      </c>
      <c r="AH195" s="85"/>
      <c r="AI195" s="85">
        <f t="shared" si="8"/>
        <v>15335256</v>
      </c>
      <c r="AJ195" s="24"/>
      <c r="AK195" s="15" t="str">
        <f>'Gen Rev'!A195</f>
        <v>Evendale</v>
      </c>
      <c r="AL195" s="15" t="str">
        <f t="shared" si="9"/>
        <v>Evendale</v>
      </c>
      <c r="AM195" s="15" t="b">
        <f t="shared" si="10"/>
        <v>1</v>
      </c>
    </row>
    <row r="196" spans="1:39" s="31" customFormat="1" ht="12.75" hidden="1">
      <c r="A196" s="15" t="s">
        <v>93</v>
      </c>
      <c r="B196" s="15"/>
      <c r="C196" s="15" t="s">
        <v>773</v>
      </c>
      <c r="D196" s="15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>
        <f t="shared" si="8"/>
        <v>0</v>
      </c>
      <c r="AJ196" s="24"/>
      <c r="AK196" s="15" t="str">
        <f>'Gen Rev'!A196</f>
        <v>Fairfax</v>
      </c>
      <c r="AL196" s="15" t="str">
        <f t="shared" si="9"/>
        <v>Fairfax</v>
      </c>
      <c r="AM196" s="15" t="b">
        <f t="shared" si="10"/>
        <v>1</v>
      </c>
    </row>
    <row r="197" spans="1:39" s="31" customFormat="1" ht="12.75">
      <c r="A197" s="15" t="s">
        <v>429</v>
      </c>
      <c r="B197" s="15"/>
      <c r="C197" s="15" t="s">
        <v>430</v>
      </c>
      <c r="D197" s="15"/>
      <c r="E197" s="36">
        <v>583268.54</v>
      </c>
      <c r="F197" s="36"/>
      <c r="G197" s="36">
        <v>770434.52</v>
      </c>
      <c r="H197" s="36"/>
      <c r="I197" s="36">
        <v>620571.28</v>
      </c>
      <c r="J197" s="36"/>
      <c r="K197" s="36">
        <v>108388.63</v>
      </c>
      <c r="L197" s="36"/>
      <c r="M197" s="36">
        <v>160606.25</v>
      </c>
      <c r="N197" s="36"/>
      <c r="O197" s="36">
        <v>98333.02</v>
      </c>
      <c r="P197" s="36"/>
      <c r="Q197" s="36">
        <v>5459.98</v>
      </c>
      <c r="R197" s="36"/>
      <c r="S197" s="36">
        <v>204801.95</v>
      </c>
      <c r="T197" s="36"/>
      <c r="U197" s="36">
        <v>0</v>
      </c>
      <c r="V197" s="36"/>
      <c r="W197" s="36">
        <v>0</v>
      </c>
      <c r="X197" s="36"/>
      <c r="Y197" s="36">
        <v>0</v>
      </c>
      <c r="Z197" s="36"/>
      <c r="AA197" s="36">
        <v>91632.83</v>
      </c>
      <c r="AB197" s="36"/>
      <c r="AC197" s="36">
        <v>30000</v>
      </c>
      <c r="AD197" s="36"/>
      <c r="AE197" s="36">
        <v>0</v>
      </c>
      <c r="AF197" s="36"/>
      <c r="AG197" s="36">
        <v>0</v>
      </c>
      <c r="AH197" s="36"/>
      <c r="AI197" s="36">
        <f>SUM(E197:AG197)</f>
        <v>2673497.0000000005</v>
      </c>
      <c r="AJ197" s="24"/>
      <c r="AK197" s="15" t="str">
        <f>'Gen Rev'!A197</f>
        <v>Fairport Harbor</v>
      </c>
      <c r="AL197" s="15" t="str">
        <f t="shared" si="9"/>
        <v>Fairport Harbor</v>
      </c>
      <c r="AM197" s="15" t="b">
        <f t="shared" si="10"/>
        <v>1</v>
      </c>
    </row>
    <row r="198" spans="1:39" ht="12.75" hidden="1">
      <c r="A198" s="15" t="s">
        <v>901</v>
      </c>
      <c r="C198" s="15" t="s">
        <v>375</v>
      </c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>
        <f t="shared" si="8"/>
        <v>0</v>
      </c>
      <c r="AJ198" s="24"/>
      <c r="AK198" s="15" t="str">
        <f>'Gen Rev'!A198</f>
        <v>Fairview</v>
      </c>
      <c r="AL198" s="15" t="str">
        <f t="shared" si="9"/>
        <v>Fairview</v>
      </c>
      <c r="AM198" s="15" t="b">
        <f t="shared" si="10"/>
        <v>1</v>
      </c>
    </row>
    <row r="199" spans="1:39" ht="12.75">
      <c r="A199" s="15" t="s">
        <v>167</v>
      </c>
      <c r="C199" s="15" t="s">
        <v>797</v>
      </c>
      <c r="E199" s="36">
        <v>150413.68</v>
      </c>
      <c r="F199" s="36"/>
      <c r="G199" s="36">
        <v>152445.28</v>
      </c>
      <c r="H199" s="36"/>
      <c r="I199" s="36">
        <v>718642.74</v>
      </c>
      <c r="J199" s="36"/>
      <c r="K199" s="36">
        <v>21300.53</v>
      </c>
      <c r="L199" s="36"/>
      <c r="M199" s="36">
        <v>3600</v>
      </c>
      <c r="N199" s="36"/>
      <c r="O199" s="36">
        <v>5559.08</v>
      </c>
      <c r="P199" s="36"/>
      <c r="Q199" s="36">
        <v>1.93</v>
      </c>
      <c r="R199" s="36"/>
      <c r="S199" s="36">
        <v>8068.8</v>
      </c>
      <c r="T199" s="36"/>
      <c r="U199" s="36">
        <v>0</v>
      </c>
      <c r="V199" s="36"/>
      <c r="W199" s="36">
        <v>0</v>
      </c>
      <c r="X199" s="36"/>
      <c r="Y199" s="36">
        <v>0</v>
      </c>
      <c r="Z199" s="36"/>
      <c r="AA199" s="36">
        <v>157760.97</v>
      </c>
      <c r="AB199" s="36"/>
      <c r="AC199" s="36">
        <v>40000</v>
      </c>
      <c r="AD199" s="36"/>
      <c r="AE199" s="36">
        <v>0</v>
      </c>
      <c r="AF199" s="36"/>
      <c r="AG199" s="36">
        <v>0</v>
      </c>
      <c r="AH199" s="36"/>
      <c r="AI199" s="36">
        <f>SUM(E199:AG199)</f>
        <v>1257793.01</v>
      </c>
      <c r="AJ199" s="24"/>
      <c r="AK199" s="15" t="str">
        <f>'Gen Rev'!A199</f>
        <v>Farmersville</v>
      </c>
      <c r="AL199" s="15" t="str">
        <f t="shared" si="9"/>
        <v>Farmersville</v>
      </c>
      <c r="AM199" s="15" t="b">
        <f t="shared" si="10"/>
        <v>1</v>
      </c>
    </row>
    <row r="200" spans="1:39" s="31" customFormat="1" ht="12.75">
      <c r="A200" s="15" t="s">
        <v>360</v>
      </c>
      <c r="B200" s="15"/>
      <c r="C200" s="15" t="s">
        <v>358</v>
      </c>
      <c r="D200" s="15"/>
      <c r="E200" s="85">
        <v>93095.95</v>
      </c>
      <c r="F200" s="85"/>
      <c r="G200" s="85">
        <v>308496.39</v>
      </c>
      <c r="H200" s="85"/>
      <c r="I200" s="85">
        <v>585265.39</v>
      </c>
      <c r="J200" s="85"/>
      <c r="K200" s="85">
        <v>0</v>
      </c>
      <c r="L200" s="85"/>
      <c r="M200" s="85">
        <v>18488.04</v>
      </c>
      <c r="N200" s="85"/>
      <c r="O200" s="85">
        <v>7412.58</v>
      </c>
      <c r="P200" s="85"/>
      <c r="Q200" s="85">
        <v>1471.36</v>
      </c>
      <c r="R200" s="85"/>
      <c r="S200" s="85">
        <v>29030.45</v>
      </c>
      <c r="T200" s="85"/>
      <c r="U200" s="85">
        <v>0</v>
      </c>
      <c r="V200" s="85"/>
      <c r="W200" s="85">
        <v>0</v>
      </c>
      <c r="X200" s="85"/>
      <c r="Y200" s="85">
        <v>15.5</v>
      </c>
      <c r="Z200" s="85"/>
      <c r="AA200" s="85">
        <v>56.01</v>
      </c>
      <c r="AB200" s="85"/>
      <c r="AC200" s="85">
        <v>50000</v>
      </c>
      <c r="AD200" s="85"/>
      <c r="AE200" s="85">
        <v>0</v>
      </c>
      <c r="AF200" s="85"/>
      <c r="AG200" s="85">
        <v>0</v>
      </c>
      <c r="AH200" s="85"/>
      <c r="AI200" s="85">
        <f t="shared" si="8"/>
        <v>1093331.67</v>
      </c>
      <c r="AJ200" s="24"/>
      <c r="AK200" s="15" t="str">
        <f>'Gen Rev'!A200</f>
        <v>Fayette</v>
      </c>
      <c r="AL200" s="15" t="str">
        <f t="shared" si="9"/>
        <v>Fayette</v>
      </c>
      <c r="AM200" s="15" t="b">
        <f t="shared" si="10"/>
        <v>1</v>
      </c>
    </row>
    <row r="201" spans="1:39" ht="12.75">
      <c r="A201" s="15" t="s">
        <v>21</v>
      </c>
      <c r="C201" s="15" t="s">
        <v>751</v>
      </c>
      <c r="E201" s="36">
        <v>64235.26</v>
      </c>
      <c r="F201" s="36"/>
      <c r="G201" s="36">
        <v>0</v>
      </c>
      <c r="H201" s="36"/>
      <c r="I201" s="36">
        <v>43119.11</v>
      </c>
      <c r="J201" s="36"/>
      <c r="K201" s="36">
        <v>0</v>
      </c>
      <c r="L201" s="36"/>
      <c r="M201" s="36">
        <v>12250</v>
      </c>
      <c r="N201" s="36"/>
      <c r="O201" s="36">
        <v>98286.62</v>
      </c>
      <c r="P201" s="36"/>
      <c r="Q201" s="36">
        <v>1357.65</v>
      </c>
      <c r="R201" s="36"/>
      <c r="S201" s="36">
        <v>1253.03</v>
      </c>
      <c r="T201" s="36"/>
      <c r="U201" s="36">
        <v>0</v>
      </c>
      <c r="V201" s="36"/>
      <c r="W201" s="36">
        <v>17.66</v>
      </c>
      <c r="X201" s="36"/>
      <c r="Y201" s="36">
        <v>0</v>
      </c>
      <c r="Z201" s="36"/>
      <c r="AA201" s="36">
        <v>0</v>
      </c>
      <c r="AB201" s="36"/>
      <c r="AC201" s="36">
        <v>0</v>
      </c>
      <c r="AD201" s="36"/>
      <c r="AE201" s="36">
        <v>374</v>
      </c>
      <c r="AF201" s="36"/>
      <c r="AG201" s="36">
        <v>0</v>
      </c>
      <c r="AH201" s="36"/>
      <c r="AI201" s="36">
        <f>SUM(E201:AG201)</f>
        <v>220893.33</v>
      </c>
      <c r="AJ201" s="39"/>
      <c r="AK201" s="15" t="str">
        <f>'Gen Rev'!A201</f>
        <v>Fayetteville</v>
      </c>
      <c r="AL201" s="15" t="str">
        <f t="shared" si="9"/>
        <v>Fayetteville</v>
      </c>
      <c r="AM201" s="15" t="b">
        <f t="shared" si="10"/>
        <v>1</v>
      </c>
    </row>
    <row r="202" spans="1:39" ht="12" customHeight="1" hidden="1">
      <c r="A202" s="15" t="s">
        <v>297</v>
      </c>
      <c r="C202" s="15" t="s">
        <v>295</v>
      </c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>
        <f t="shared" si="8"/>
        <v>0</v>
      </c>
      <c r="AJ202" s="24"/>
      <c r="AK202" s="15" t="str">
        <f>'Gen Rev'!A202</f>
        <v>Felicity</v>
      </c>
      <c r="AL202" s="15" t="str">
        <f t="shared" si="9"/>
        <v>Felicity</v>
      </c>
      <c r="AM202" s="15" t="b">
        <f t="shared" si="10"/>
        <v>1</v>
      </c>
    </row>
    <row r="203" spans="1:39" ht="12.6" customHeight="1">
      <c r="A203" s="15" t="s">
        <v>940</v>
      </c>
      <c r="C203" s="15" t="s">
        <v>470</v>
      </c>
      <c r="E203" s="95">
        <v>24103.89</v>
      </c>
      <c r="F203" s="95"/>
      <c r="G203" s="95">
        <v>0</v>
      </c>
      <c r="H203" s="95"/>
      <c r="I203" s="95">
        <v>50418.7</v>
      </c>
      <c r="J203" s="95"/>
      <c r="K203" s="95">
        <v>9612.65</v>
      </c>
      <c r="L203" s="95"/>
      <c r="M203" s="95">
        <v>0</v>
      </c>
      <c r="N203" s="95"/>
      <c r="O203" s="95">
        <v>2101</v>
      </c>
      <c r="P203" s="95"/>
      <c r="Q203" s="95">
        <v>147.78</v>
      </c>
      <c r="R203" s="95"/>
      <c r="S203" s="95">
        <v>856.16</v>
      </c>
      <c r="T203" s="95"/>
      <c r="U203" s="95">
        <v>0</v>
      </c>
      <c r="V203" s="95"/>
      <c r="W203" s="95">
        <v>0</v>
      </c>
      <c r="X203" s="95"/>
      <c r="Y203" s="95">
        <v>0</v>
      </c>
      <c r="Z203" s="95"/>
      <c r="AA203" s="95">
        <v>0</v>
      </c>
      <c r="AB203" s="95"/>
      <c r="AC203" s="95">
        <v>0</v>
      </c>
      <c r="AD203" s="95"/>
      <c r="AE203" s="95">
        <v>0</v>
      </c>
      <c r="AF203" s="95"/>
      <c r="AG203" s="95">
        <v>0</v>
      </c>
      <c r="AH203" s="95"/>
      <c r="AI203" s="95">
        <f>SUM(E203:AG203)</f>
        <v>87240.18</v>
      </c>
      <c r="AJ203" s="24"/>
      <c r="AK203" s="15" t="str">
        <f>'Gen Rev'!A203</f>
        <v>Fletcher</v>
      </c>
      <c r="AL203" s="15" t="str">
        <f t="shared" si="9"/>
        <v>Fletcher</v>
      </c>
      <c r="AM203" s="15" t="b">
        <f t="shared" si="10"/>
        <v>1</v>
      </c>
    </row>
    <row r="204" spans="1:39" s="31" customFormat="1" ht="12.75">
      <c r="A204" s="15" t="s">
        <v>105</v>
      </c>
      <c r="B204" s="15"/>
      <c r="C204" s="15" t="s">
        <v>777</v>
      </c>
      <c r="D204" s="15"/>
      <c r="E204" s="36">
        <v>18067.97</v>
      </c>
      <c r="F204" s="36"/>
      <c r="G204" s="36">
        <v>0</v>
      </c>
      <c r="H204" s="36"/>
      <c r="I204" s="36">
        <v>23573.41</v>
      </c>
      <c r="J204" s="36"/>
      <c r="K204" s="36">
        <v>0</v>
      </c>
      <c r="L204" s="36"/>
      <c r="M204" s="36">
        <v>2236</v>
      </c>
      <c r="N204" s="36"/>
      <c r="O204" s="36">
        <v>0</v>
      </c>
      <c r="P204" s="36"/>
      <c r="Q204" s="36">
        <v>528.23</v>
      </c>
      <c r="R204" s="36"/>
      <c r="S204" s="36">
        <v>3462.86</v>
      </c>
      <c r="T204" s="36"/>
      <c r="U204" s="36">
        <v>0</v>
      </c>
      <c r="V204" s="36"/>
      <c r="W204" s="36">
        <v>0</v>
      </c>
      <c r="X204" s="36"/>
      <c r="Y204" s="36">
        <v>0</v>
      </c>
      <c r="Z204" s="36"/>
      <c r="AA204" s="36">
        <v>500</v>
      </c>
      <c r="AB204" s="36"/>
      <c r="AC204" s="36">
        <v>0</v>
      </c>
      <c r="AD204" s="36"/>
      <c r="AE204" s="36">
        <v>0</v>
      </c>
      <c r="AF204" s="36"/>
      <c r="AG204" s="36">
        <v>0</v>
      </c>
      <c r="AH204" s="36"/>
      <c r="AI204" s="36">
        <f>SUM(E204:AG204)</f>
        <v>48368.47000000001</v>
      </c>
      <c r="AJ204" s="24"/>
      <c r="AK204" s="15" t="str">
        <f>'Gen Rev'!A204</f>
        <v>Florida</v>
      </c>
      <c r="AL204" s="15" t="str">
        <f t="shared" si="9"/>
        <v>Florida</v>
      </c>
      <c r="AM204" s="15" t="b">
        <f t="shared" si="10"/>
        <v>1</v>
      </c>
    </row>
    <row r="205" spans="1:39" s="31" customFormat="1" ht="12.75">
      <c r="A205" s="15" t="s">
        <v>941</v>
      </c>
      <c r="B205" s="15"/>
      <c r="C205" s="15" t="s">
        <v>279</v>
      </c>
      <c r="D205" s="15"/>
      <c r="E205" s="36">
        <v>86611.68</v>
      </c>
      <c r="F205" s="36"/>
      <c r="G205" s="36">
        <v>0</v>
      </c>
      <c r="H205" s="36"/>
      <c r="I205" s="36">
        <v>104507.04</v>
      </c>
      <c r="J205" s="36"/>
      <c r="K205" s="36">
        <v>0</v>
      </c>
      <c r="L205" s="36"/>
      <c r="M205" s="36">
        <v>0</v>
      </c>
      <c r="N205" s="36"/>
      <c r="O205" s="36">
        <v>0</v>
      </c>
      <c r="P205" s="36"/>
      <c r="Q205" s="36">
        <v>19941.63</v>
      </c>
      <c r="R205" s="36"/>
      <c r="S205" s="36">
        <v>2541.2</v>
      </c>
      <c r="T205" s="36"/>
      <c r="U205" s="36">
        <v>0</v>
      </c>
      <c r="V205" s="36"/>
      <c r="W205" s="36">
        <v>0</v>
      </c>
      <c r="X205" s="36"/>
      <c r="Y205" s="36">
        <v>8550</v>
      </c>
      <c r="Z205" s="36"/>
      <c r="AA205" s="36">
        <v>0</v>
      </c>
      <c r="AB205" s="36"/>
      <c r="AC205" s="36">
        <v>0</v>
      </c>
      <c r="AD205" s="36"/>
      <c r="AE205" s="36">
        <v>0</v>
      </c>
      <c r="AF205" s="36"/>
      <c r="AG205" s="36">
        <v>0</v>
      </c>
      <c r="AH205" s="36"/>
      <c r="AI205" s="36">
        <f>SUM(E205:AG205)</f>
        <v>222151.55</v>
      </c>
      <c r="AJ205" s="24"/>
      <c r="AK205" s="15" t="str">
        <f>'Gen Rev'!A205</f>
        <v>Flushing</v>
      </c>
      <c r="AL205" s="15" t="str">
        <f t="shared" si="9"/>
        <v>Flushing</v>
      </c>
      <c r="AM205" s="15" t="b">
        <f t="shared" si="10"/>
        <v>1</v>
      </c>
    </row>
    <row r="206" spans="1:39" ht="12.75">
      <c r="A206" s="15" t="s">
        <v>398</v>
      </c>
      <c r="C206" s="15" t="s">
        <v>396</v>
      </c>
      <c r="E206" s="85">
        <v>26272</v>
      </c>
      <c r="F206" s="85"/>
      <c r="G206" s="85">
        <v>325796</v>
      </c>
      <c r="H206" s="85"/>
      <c r="I206" s="85">
        <f>54834+86083</f>
        <v>140917</v>
      </c>
      <c r="J206" s="85"/>
      <c r="K206" s="85">
        <v>0</v>
      </c>
      <c r="L206" s="85"/>
      <c r="M206" s="85">
        <f>16934+12186</f>
        <v>29120</v>
      </c>
      <c r="N206" s="85"/>
      <c r="O206" s="85">
        <v>2189</v>
      </c>
      <c r="P206" s="85"/>
      <c r="Q206" s="85">
        <f>2323+31</f>
        <v>2354</v>
      </c>
      <c r="R206" s="85"/>
      <c r="S206" s="85">
        <f>16969+18994</f>
        <v>35963</v>
      </c>
      <c r="T206" s="85"/>
      <c r="U206" s="85">
        <v>0</v>
      </c>
      <c r="V206" s="85"/>
      <c r="W206" s="85">
        <v>0</v>
      </c>
      <c r="X206" s="85"/>
      <c r="Y206" s="85">
        <v>0</v>
      </c>
      <c r="Z206" s="85"/>
      <c r="AA206" s="85">
        <f>54069+15960</f>
        <v>70029</v>
      </c>
      <c r="AB206" s="85"/>
      <c r="AC206" s="85">
        <v>10007</v>
      </c>
      <c r="AD206" s="85"/>
      <c r="AE206" s="85">
        <v>0</v>
      </c>
      <c r="AF206" s="85"/>
      <c r="AG206" s="85">
        <v>0</v>
      </c>
      <c r="AH206" s="85"/>
      <c r="AI206" s="85">
        <f aca="true" t="shared" si="13" ref="AI206:AI268">SUM(E206:AG206)</f>
        <v>642647</v>
      </c>
      <c r="AJ206" s="24"/>
      <c r="AK206" s="15" t="str">
        <f>'Gen Rev'!A206</f>
        <v>Forest</v>
      </c>
      <c r="AL206" s="15" t="str">
        <f aca="true" t="shared" si="14" ref="AL206:AL271">A206</f>
        <v>Forest</v>
      </c>
      <c r="AM206" s="15" t="b">
        <f aca="true" t="shared" si="15" ref="AM206:AM271">AK206=AL206</f>
        <v>1</v>
      </c>
    </row>
    <row r="207" spans="1:39" ht="12.75">
      <c r="A207" s="15" t="s">
        <v>204</v>
      </c>
      <c r="C207" s="15" t="s">
        <v>808</v>
      </c>
      <c r="E207" s="36">
        <v>14553.41</v>
      </c>
      <c r="F207" s="36"/>
      <c r="G207" s="36">
        <v>69554.92</v>
      </c>
      <c r="H207" s="36"/>
      <c r="I207" s="36">
        <v>69755.18</v>
      </c>
      <c r="J207" s="36"/>
      <c r="K207" s="36">
        <v>0</v>
      </c>
      <c r="L207" s="36"/>
      <c r="M207" s="36">
        <v>1417.78</v>
      </c>
      <c r="N207" s="36"/>
      <c r="O207" s="36">
        <v>115</v>
      </c>
      <c r="P207" s="36"/>
      <c r="Q207" s="36">
        <v>3705.18</v>
      </c>
      <c r="R207" s="36"/>
      <c r="S207" s="36">
        <v>35455.98</v>
      </c>
      <c r="T207" s="36"/>
      <c r="U207" s="36">
        <v>0</v>
      </c>
      <c r="V207" s="36"/>
      <c r="W207" s="36">
        <v>0</v>
      </c>
      <c r="X207" s="36"/>
      <c r="Y207" s="36">
        <v>0</v>
      </c>
      <c r="Z207" s="36"/>
      <c r="AA207" s="36">
        <v>17500</v>
      </c>
      <c r="AB207" s="36"/>
      <c r="AC207" s="36">
        <v>0</v>
      </c>
      <c r="AD207" s="36"/>
      <c r="AE207" s="36">
        <v>0</v>
      </c>
      <c r="AF207" s="36"/>
      <c r="AG207" s="36">
        <v>0</v>
      </c>
      <c r="AH207" s="36"/>
      <c r="AI207" s="36">
        <f>SUM(E207:AG207)</f>
        <v>212057.45</v>
      </c>
      <c r="AJ207" s="24"/>
      <c r="AK207" s="15" t="str">
        <f>'Gen Rev'!A207</f>
        <v>Fort Jennings</v>
      </c>
      <c r="AL207" s="15" t="str">
        <f t="shared" si="14"/>
        <v>Fort Jennings</v>
      </c>
      <c r="AM207" s="15" t="b">
        <f t="shared" si="15"/>
        <v>1</v>
      </c>
    </row>
    <row r="208" spans="1:39" ht="12.75" customHeight="1">
      <c r="A208" s="15" t="s">
        <v>222</v>
      </c>
      <c r="C208" s="15" t="s">
        <v>814</v>
      </c>
      <c r="E208" s="36">
        <v>119459.34</v>
      </c>
      <c r="F208" s="36"/>
      <c r="G208" s="36">
        <v>1030376.85</v>
      </c>
      <c r="H208" s="36"/>
      <c r="I208" s="36">
        <v>675300.12</v>
      </c>
      <c r="J208" s="36"/>
      <c r="K208" s="36">
        <v>6951.87</v>
      </c>
      <c r="L208" s="36"/>
      <c r="M208" s="36">
        <v>325</v>
      </c>
      <c r="N208" s="36"/>
      <c r="O208" s="36">
        <v>1990</v>
      </c>
      <c r="P208" s="36"/>
      <c r="Q208" s="36">
        <v>4595.85</v>
      </c>
      <c r="R208" s="36"/>
      <c r="S208" s="36">
        <v>12159.56</v>
      </c>
      <c r="T208" s="36"/>
      <c r="U208" s="36">
        <v>0</v>
      </c>
      <c r="V208" s="36"/>
      <c r="W208" s="36">
        <v>0</v>
      </c>
      <c r="X208" s="36"/>
      <c r="Y208" s="36">
        <v>91185</v>
      </c>
      <c r="Z208" s="36"/>
      <c r="AA208" s="36">
        <v>0</v>
      </c>
      <c r="AB208" s="36"/>
      <c r="AC208" s="36">
        <v>0</v>
      </c>
      <c r="AD208" s="36"/>
      <c r="AE208" s="36">
        <v>0</v>
      </c>
      <c r="AF208" s="36"/>
      <c r="AG208" s="36">
        <v>0</v>
      </c>
      <c r="AH208" s="36"/>
      <c r="AI208" s="36">
        <f>SUM(E208:AG208)</f>
        <v>1942343.5900000003</v>
      </c>
      <c r="AJ208" s="24"/>
      <c r="AK208" s="15" t="str">
        <f>'Gen Rev'!A208</f>
        <v>Fort Loramie</v>
      </c>
      <c r="AL208" s="15" t="str">
        <f t="shared" si="14"/>
        <v>Fort Loramie</v>
      </c>
      <c r="AM208" s="15" t="b">
        <f t="shared" si="15"/>
        <v>1</v>
      </c>
    </row>
    <row r="209" spans="1:39" ht="12.75">
      <c r="A209" s="15" t="s">
        <v>467</v>
      </c>
      <c r="C209" s="15" t="s">
        <v>466</v>
      </c>
      <c r="E209" s="85">
        <v>532570</v>
      </c>
      <c r="F209" s="85"/>
      <c r="G209" s="85">
        <v>0</v>
      </c>
      <c r="H209" s="85"/>
      <c r="I209" s="85">
        <v>179729</v>
      </c>
      <c r="J209" s="85"/>
      <c r="K209" s="85">
        <v>956170</v>
      </c>
      <c r="L209" s="85"/>
      <c r="M209" s="85">
        <v>28639</v>
      </c>
      <c r="N209" s="85"/>
      <c r="O209" s="85">
        <v>1941</v>
      </c>
      <c r="P209" s="85"/>
      <c r="Q209" s="85">
        <v>4437</v>
      </c>
      <c r="R209" s="85"/>
      <c r="S209" s="85">
        <v>49177</v>
      </c>
      <c r="T209" s="85"/>
      <c r="U209" s="85">
        <v>1809578</v>
      </c>
      <c r="V209" s="85"/>
      <c r="W209" s="85">
        <v>0</v>
      </c>
      <c r="X209" s="85"/>
      <c r="Y209" s="85">
        <v>9525</v>
      </c>
      <c r="Z209" s="85"/>
      <c r="AA209" s="85">
        <v>359471</v>
      </c>
      <c r="AB209" s="85"/>
      <c r="AC209" s="85">
        <v>40000</v>
      </c>
      <c r="AD209" s="85"/>
      <c r="AE209" s="85">
        <v>6485</v>
      </c>
      <c r="AF209" s="85"/>
      <c r="AG209" s="85">
        <v>393568</v>
      </c>
      <c r="AH209" s="85"/>
      <c r="AI209" s="85">
        <f t="shared" si="13"/>
        <v>4371290</v>
      </c>
      <c r="AJ209" s="24"/>
      <c r="AK209" s="15" t="str">
        <f>'Gen Rev'!A209</f>
        <v>Fort Recovery</v>
      </c>
      <c r="AL209" s="15" t="str">
        <f t="shared" si="14"/>
        <v>Fort Recovery</v>
      </c>
      <c r="AM209" s="15" t="b">
        <f t="shared" si="15"/>
        <v>1</v>
      </c>
    </row>
    <row r="210" spans="1:39" ht="12.75">
      <c r="A210" s="15" t="s">
        <v>942</v>
      </c>
      <c r="C210" s="15" t="s">
        <v>709</v>
      </c>
      <c r="E210" s="36">
        <v>145323.85</v>
      </c>
      <c r="F210" s="36"/>
      <c r="G210" s="36">
        <v>0</v>
      </c>
      <c r="H210" s="36"/>
      <c r="I210" s="36">
        <v>456163.7</v>
      </c>
      <c r="J210" s="36"/>
      <c r="K210" s="36">
        <v>0</v>
      </c>
      <c r="L210" s="36"/>
      <c r="M210" s="36">
        <v>37491.41</v>
      </c>
      <c r="N210" s="36"/>
      <c r="O210" s="36">
        <v>89178.71</v>
      </c>
      <c r="P210" s="36"/>
      <c r="Q210" s="36">
        <v>192.84</v>
      </c>
      <c r="R210" s="36"/>
      <c r="S210" s="36">
        <v>12254.59</v>
      </c>
      <c r="T210" s="36"/>
      <c r="U210" s="36">
        <v>0</v>
      </c>
      <c r="V210" s="36"/>
      <c r="W210" s="36">
        <v>0</v>
      </c>
      <c r="X210" s="36"/>
      <c r="Y210" s="36">
        <v>0</v>
      </c>
      <c r="Z210" s="36"/>
      <c r="AA210" s="36">
        <v>113800</v>
      </c>
      <c r="AB210" s="36"/>
      <c r="AC210" s="36">
        <v>0</v>
      </c>
      <c r="AD210" s="36"/>
      <c r="AE210" s="36">
        <v>0</v>
      </c>
      <c r="AF210" s="36"/>
      <c r="AG210" s="36">
        <v>0</v>
      </c>
      <c r="AH210" s="36"/>
      <c r="AI210" s="36">
        <f>SUM(E210:AG210)</f>
        <v>854405.1</v>
      </c>
      <c r="AJ210" s="24"/>
      <c r="AK210" s="15" t="str">
        <f>'Gen Rev'!A210</f>
        <v>Fort Shawnee</v>
      </c>
      <c r="AL210" s="15" t="str">
        <f t="shared" si="14"/>
        <v>Fort Shawnee</v>
      </c>
      <c r="AM210" s="15" t="b">
        <f t="shared" si="15"/>
        <v>1</v>
      </c>
    </row>
    <row r="211" spans="1:39" ht="12.75">
      <c r="A211" s="15" t="s">
        <v>212</v>
      </c>
      <c r="C211" s="15" t="s">
        <v>810</v>
      </c>
      <c r="E211" s="36">
        <v>47657.8</v>
      </c>
      <c r="F211" s="36"/>
      <c r="G211" s="36">
        <v>0</v>
      </c>
      <c r="H211" s="36"/>
      <c r="I211" s="36">
        <v>107075.7</v>
      </c>
      <c r="J211" s="36"/>
      <c r="K211" s="36">
        <v>0</v>
      </c>
      <c r="L211" s="36"/>
      <c r="M211" s="36">
        <v>0</v>
      </c>
      <c r="N211" s="36"/>
      <c r="O211" s="36">
        <v>22574.27</v>
      </c>
      <c r="P211" s="36"/>
      <c r="Q211" s="36">
        <v>6744.01</v>
      </c>
      <c r="R211" s="36"/>
      <c r="S211" s="36">
        <v>190</v>
      </c>
      <c r="T211" s="36"/>
      <c r="U211" s="36">
        <v>0</v>
      </c>
      <c r="V211" s="36"/>
      <c r="W211" s="36">
        <v>0</v>
      </c>
      <c r="X211" s="36"/>
      <c r="Y211" s="36">
        <v>0</v>
      </c>
      <c r="Z211" s="36"/>
      <c r="AA211" s="36">
        <v>0</v>
      </c>
      <c r="AB211" s="36"/>
      <c r="AC211" s="36">
        <v>0</v>
      </c>
      <c r="AD211" s="36"/>
      <c r="AE211" s="36">
        <v>40945.38</v>
      </c>
      <c r="AF211" s="36"/>
      <c r="AG211" s="36">
        <v>0</v>
      </c>
      <c r="AH211" s="36"/>
      <c r="AI211" s="36">
        <f>SUM(E211:AG211)</f>
        <v>225187.16</v>
      </c>
      <c r="AJ211" s="24"/>
      <c r="AK211" s="15" t="str">
        <f>'Gen Rev'!A211</f>
        <v>Frankfort</v>
      </c>
      <c r="AL211" s="15" t="str">
        <f t="shared" si="14"/>
        <v>Frankfort</v>
      </c>
      <c r="AM211" s="15" t="b">
        <f t="shared" si="15"/>
        <v>1</v>
      </c>
    </row>
    <row r="212" spans="1:39" ht="12.75">
      <c r="A212" s="15" t="s">
        <v>175</v>
      </c>
      <c r="C212" s="15" t="s">
        <v>800</v>
      </c>
      <c r="E212" s="36">
        <v>79976.66</v>
      </c>
      <c r="F212" s="36"/>
      <c r="G212" s="36">
        <v>112559.38</v>
      </c>
      <c r="H212" s="36"/>
      <c r="I212" s="36">
        <v>245031.82</v>
      </c>
      <c r="J212" s="36"/>
      <c r="K212" s="36">
        <v>0</v>
      </c>
      <c r="L212" s="36"/>
      <c r="M212" s="36">
        <v>29511.68</v>
      </c>
      <c r="N212" s="36"/>
      <c r="O212" s="36">
        <v>23979.68</v>
      </c>
      <c r="P212" s="36"/>
      <c r="Q212" s="36">
        <v>1330.61</v>
      </c>
      <c r="R212" s="36"/>
      <c r="S212" s="36">
        <v>4550.93</v>
      </c>
      <c r="T212" s="36"/>
      <c r="U212" s="36">
        <v>0</v>
      </c>
      <c r="V212" s="36"/>
      <c r="W212" s="36">
        <v>0</v>
      </c>
      <c r="X212" s="36"/>
      <c r="Y212" s="36">
        <v>2472.45</v>
      </c>
      <c r="Z212" s="36"/>
      <c r="AA212" s="36">
        <v>0</v>
      </c>
      <c r="AB212" s="36"/>
      <c r="AC212" s="36">
        <v>0</v>
      </c>
      <c r="AD212" s="36"/>
      <c r="AE212" s="36">
        <v>124</v>
      </c>
      <c r="AF212" s="36"/>
      <c r="AG212" s="36">
        <v>0</v>
      </c>
      <c r="AH212" s="36"/>
      <c r="AI212" s="36">
        <f>SUM(E212:AG212)</f>
        <v>499537.20999999996</v>
      </c>
      <c r="AJ212" s="24"/>
      <c r="AK212" s="15" t="str">
        <f>'Gen Rev'!A212</f>
        <v>Frazeysburg</v>
      </c>
      <c r="AL212" s="15" t="str">
        <f t="shared" si="14"/>
        <v>Frazeysburg</v>
      </c>
      <c r="AM212" s="15" t="b">
        <f t="shared" si="15"/>
        <v>1</v>
      </c>
    </row>
    <row r="213" spans="1:39" ht="12.75">
      <c r="A213" s="15" t="s">
        <v>595</v>
      </c>
      <c r="C213" s="15" t="s">
        <v>590</v>
      </c>
      <c r="E213" s="85">
        <v>64240</v>
      </c>
      <c r="F213" s="85"/>
      <c r="G213" s="85">
        <v>0</v>
      </c>
      <c r="H213" s="85"/>
      <c r="I213" s="85">
        <v>29920</v>
      </c>
      <c r="J213" s="85"/>
      <c r="K213" s="85">
        <v>0</v>
      </c>
      <c r="L213" s="85"/>
      <c r="M213" s="85">
        <v>0</v>
      </c>
      <c r="N213" s="85"/>
      <c r="O213" s="85">
        <v>0</v>
      </c>
      <c r="P213" s="85"/>
      <c r="Q213" s="85">
        <v>0</v>
      </c>
      <c r="R213" s="85"/>
      <c r="S213" s="85">
        <v>12566</v>
      </c>
      <c r="T213" s="85"/>
      <c r="U213" s="85">
        <v>0</v>
      </c>
      <c r="V213" s="85"/>
      <c r="W213" s="85">
        <v>0</v>
      </c>
      <c r="X213" s="85"/>
      <c r="Y213" s="85">
        <v>0</v>
      </c>
      <c r="Z213" s="85"/>
      <c r="AA213" s="85">
        <v>10000</v>
      </c>
      <c r="AB213" s="85"/>
      <c r="AC213" s="85">
        <v>0</v>
      </c>
      <c r="AD213" s="85"/>
      <c r="AE213" s="85">
        <v>0</v>
      </c>
      <c r="AF213" s="85"/>
      <c r="AG213" s="85">
        <v>0</v>
      </c>
      <c r="AH213" s="85"/>
      <c r="AI213" s="85">
        <f t="shared" si="13"/>
        <v>116726</v>
      </c>
      <c r="AJ213" s="24"/>
      <c r="AK213" s="15" t="str">
        <f>'Gen Rev'!A213</f>
        <v>Fredericksburg</v>
      </c>
      <c r="AL213" s="15" t="str">
        <f t="shared" si="14"/>
        <v>Fredericksburg</v>
      </c>
      <c r="AM213" s="15" t="b">
        <f t="shared" si="15"/>
        <v>1</v>
      </c>
    </row>
    <row r="214" spans="1:39" s="31" customFormat="1" ht="12.75">
      <c r="A214" s="15" t="s">
        <v>428</v>
      </c>
      <c r="B214" s="15"/>
      <c r="C214" s="15" t="s">
        <v>427</v>
      </c>
      <c r="D214" s="15"/>
      <c r="E214" s="36">
        <v>131569.47</v>
      </c>
      <c r="F214" s="36"/>
      <c r="G214" s="36">
        <v>428448.35</v>
      </c>
      <c r="H214" s="36"/>
      <c r="I214" s="36">
        <v>282732.49</v>
      </c>
      <c r="J214" s="36"/>
      <c r="K214" s="36">
        <v>0</v>
      </c>
      <c r="L214" s="36"/>
      <c r="M214" s="36">
        <v>30</v>
      </c>
      <c r="N214" s="36"/>
      <c r="O214" s="36">
        <v>26399.69</v>
      </c>
      <c r="P214" s="36"/>
      <c r="Q214" s="36">
        <v>596.81</v>
      </c>
      <c r="R214" s="36"/>
      <c r="S214" s="36">
        <f>18402.39+4272.41+11839</f>
        <v>34513.8</v>
      </c>
      <c r="T214" s="36"/>
      <c r="U214" s="36">
        <v>0</v>
      </c>
      <c r="V214" s="36"/>
      <c r="W214" s="36">
        <v>0</v>
      </c>
      <c r="X214" s="36"/>
      <c r="Y214" s="36">
        <v>0</v>
      </c>
      <c r="Z214" s="36"/>
      <c r="AA214" s="36">
        <v>0</v>
      </c>
      <c r="AB214" s="36"/>
      <c r="AC214" s="36">
        <v>0</v>
      </c>
      <c r="AD214" s="36"/>
      <c r="AE214" s="36">
        <v>0</v>
      </c>
      <c r="AF214" s="36"/>
      <c r="AG214" s="36">
        <v>13387.14</v>
      </c>
      <c r="AH214" s="36"/>
      <c r="AI214" s="36">
        <f>SUM(E214:AG214)</f>
        <v>917677.75</v>
      </c>
      <c r="AJ214" s="24"/>
      <c r="AK214" s="15" t="str">
        <f>'Gen Rev'!A214</f>
        <v>Fredericktown</v>
      </c>
      <c r="AL214" s="15" t="str">
        <f t="shared" si="14"/>
        <v>Fredericktown</v>
      </c>
      <c r="AM214" s="15" t="b">
        <f t="shared" si="15"/>
        <v>1</v>
      </c>
    </row>
    <row r="215" spans="1:39" ht="12.75">
      <c r="A215" s="15" t="s">
        <v>405</v>
      </c>
      <c r="C215" s="15" t="s">
        <v>403</v>
      </c>
      <c r="E215" s="85">
        <v>47308.5</v>
      </c>
      <c r="F215" s="85"/>
      <c r="G215" s="85">
        <v>56907.97</v>
      </c>
      <c r="H215" s="85"/>
      <c r="I215" s="85">
        <v>17352.49</v>
      </c>
      <c r="J215" s="85"/>
      <c r="K215" s="85">
        <v>0</v>
      </c>
      <c r="L215" s="85"/>
      <c r="M215" s="24">
        <v>0</v>
      </c>
      <c r="N215" s="85"/>
      <c r="O215" s="85">
        <v>88.2</v>
      </c>
      <c r="P215" s="85"/>
      <c r="Q215" s="85">
        <v>235.13</v>
      </c>
      <c r="R215" s="85"/>
      <c r="S215" s="85">
        <v>25560.97</v>
      </c>
      <c r="T215" s="85"/>
      <c r="U215" s="85">
        <v>0</v>
      </c>
      <c r="V215" s="85"/>
      <c r="W215" s="85">
        <v>0</v>
      </c>
      <c r="X215" s="85"/>
      <c r="Y215" s="85">
        <v>0</v>
      </c>
      <c r="Z215" s="85"/>
      <c r="AA215" s="85">
        <v>0</v>
      </c>
      <c r="AB215" s="85"/>
      <c r="AC215" s="85">
        <v>0</v>
      </c>
      <c r="AD215" s="85"/>
      <c r="AE215" s="85">
        <v>0</v>
      </c>
      <c r="AF215" s="85"/>
      <c r="AG215" s="85">
        <v>0</v>
      </c>
      <c r="AH215" s="85"/>
      <c r="AI215" s="85">
        <f t="shared" si="13"/>
        <v>147453.26</v>
      </c>
      <c r="AJ215" s="24"/>
      <c r="AK215" s="15" t="str">
        <f>'Gen Rev'!A215</f>
        <v>Freeport</v>
      </c>
      <c r="AL215" s="15" t="str">
        <f t="shared" si="14"/>
        <v>Freeport</v>
      </c>
      <c r="AM215" s="15" t="b">
        <f t="shared" si="15"/>
        <v>1</v>
      </c>
    </row>
    <row r="216" spans="1:39" ht="12.75">
      <c r="A216" s="15" t="s">
        <v>358</v>
      </c>
      <c r="C216" s="15" t="s">
        <v>243</v>
      </c>
      <c r="E216" s="36">
        <v>9714.08</v>
      </c>
      <c r="F216" s="36"/>
      <c r="G216" s="36">
        <v>0</v>
      </c>
      <c r="H216" s="36"/>
      <c r="I216" s="36">
        <v>26739.11</v>
      </c>
      <c r="J216" s="36"/>
      <c r="K216" s="36">
        <v>0</v>
      </c>
      <c r="L216" s="36"/>
      <c r="M216" s="36">
        <v>35</v>
      </c>
      <c r="N216" s="36"/>
      <c r="O216" s="36">
        <v>4067.4</v>
      </c>
      <c r="P216" s="36"/>
      <c r="Q216" s="36">
        <v>56.78</v>
      </c>
      <c r="R216" s="36"/>
      <c r="S216" s="36">
        <v>35</v>
      </c>
      <c r="T216" s="36"/>
      <c r="U216" s="36">
        <v>0</v>
      </c>
      <c r="V216" s="36"/>
      <c r="W216" s="36">
        <v>0</v>
      </c>
      <c r="X216" s="36"/>
      <c r="Y216" s="36">
        <v>0</v>
      </c>
      <c r="Z216" s="36"/>
      <c r="AA216" s="36">
        <v>0</v>
      </c>
      <c r="AB216" s="36"/>
      <c r="AC216" s="36">
        <v>0</v>
      </c>
      <c r="AD216" s="36"/>
      <c r="AE216" s="36">
        <v>0</v>
      </c>
      <c r="AF216" s="36"/>
      <c r="AG216" s="36">
        <v>0</v>
      </c>
      <c r="AH216" s="36"/>
      <c r="AI216" s="36">
        <f>SUM(E216:AG216)</f>
        <v>40647.37</v>
      </c>
      <c r="AJ216" s="24"/>
      <c r="AK216" s="15" t="str">
        <f>'Gen Rev'!A216</f>
        <v>Fulton</v>
      </c>
      <c r="AL216" s="15" t="str">
        <f t="shared" si="14"/>
        <v>Fulton</v>
      </c>
      <c r="AM216" s="15" t="b">
        <f t="shared" si="15"/>
        <v>1</v>
      </c>
    </row>
    <row r="217" spans="1:39" s="31" customFormat="1" ht="12.75">
      <c r="A217" s="15" t="s">
        <v>486</v>
      </c>
      <c r="B217" s="15"/>
      <c r="C217" s="15" t="s">
        <v>485</v>
      </c>
      <c r="D217" s="15"/>
      <c r="E217" s="95">
        <v>2224.19</v>
      </c>
      <c r="F217" s="95"/>
      <c r="G217" s="95">
        <v>0</v>
      </c>
      <c r="H217" s="95"/>
      <c r="I217" s="95">
        <v>15126.31</v>
      </c>
      <c r="J217" s="95"/>
      <c r="K217" s="95">
        <v>0</v>
      </c>
      <c r="L217" s="95"/>
      <c r="M217" s="95">
        <v>0</v>
      </c>
      <c r="N217" s="95"/>
      <c r="O217" s="95">
        <v>0</v>
      </c>
      <c r="P217" s="95"/>
      <c r="Q217" s="95">
        <v>21.85</v>
      </c>
      <c r="R217" s="95"/>
      <c r="S217" s="95">
        <v>399.06</v>
      </c>
      <c r="T217" s="95"/>
      <c r="U217" s="95">
        <v>0</v>
      </c>
      <c r="V217" s="95"/>
      <c r="W217" s="95">
        <v>0</v>
      </c>
      <c r="X217" s="95"/>
      <c r="Y217" s="95">
        <v>0</v>
      </c>
      <c r="Z217" s="95"/>
      <c r="AA217" s="95">
        <v>0</v>
      </c>
      <c r="AB217" s="95"/>
      <c r="AC217" s="95">
        <v>0</v>
      </c>
      <c r="AD217" s="95"/>
      <c r="AE217" s="95">
        <v>0</v>
      </c>
      <c r="AF217" s="95"/>
      <c r="AG217" s="95">
        <v>0</v>
      </c>
      <c r="AH217" s="95"/>
      <c r="AI217" s="95">
        <f>SUM(E217:AG217)</f>
        <v>17771.41</v>
      </c>
      <c r="AJ217" s="24"/>
      <c r="AK217" s="15" t="str">
        <f>'Gen Rev'!A217</f>
        <v>Fultonham</v>
      </c>
      <c r="AL217" s="15" t="str">
        <f t="shared" si="14"/>
        <v>Fultonham</v>
      </c>
      <c r="AM217" s="15" t="b">
        <f t="shared" si="15"/>
        <v>1</v>
      </c>
    </row>
    <row r="218" spans="1:39" s="31" customFormat="1" ht="12.75">
      <c r="A218" s="15" t="s">
        <v>57</v>
      </c>
      <c r="B218" s="15"/>
      <c r="C218" s="15" t="s">
        <v>764</v>
      </c>
      <c r="D218" s="15"/>
      <c r="E218" s="36">
        <v>68331.61</v>
      </c>
      <c r="F218" s="36"/>
      <c r="G218" s="36">
        <v>265924.51</v>
      </c>
      <c r="H218" s="36"/>
      <c r="I218" s="36">
        <v>57589.19</v>
      </c>
      <c r="J218" s="36"/>
      <c r="K218" s="36">
        <v>0</v>
      </c>
      <c r="L218" s="36"/>
      <c r="M218" s="36">
        <v>0</v>
      </c>
      <c r="N218" s="36"/>
      <c r="O218" s="36">
        <v>2125</v>
      </c>
      <c r="P218" s="36"/>
      <c r="Q218" s="36">
        <v>2440.16</v>
      </c>
      <c r="R218" s="36"/>
      <c r="S218" s="36">
        <v>100581.93</v>
      </c>
      <c r="T218" s="36"/>
      <c r="U218" s="36">
        <v>0</v>
      </c>
      <c r="V218" s="36"/>
      <c r="W218" s="36">
        <v>799600</v>
      </c>
      <c r="X218" s="36"/>
      <c r="Y218" s="36">
        <v>0</v>
      </c>
      <c r="Z218" s="36"/>
      <c r="AA218" s="36">
        <v>0</v>
      </c>
      <c r="AB218" s="36"/>
      <c r="AC218" s="36">
        <v>0</v>
      </c>
      <c r="AD218" s="36"/>
      <c r="AE218" s="36">
        <v>2848.34</v>
      </c>
      <c r="AF218" s="36"/>
      <c r="AG218" s="36">
        <v>0</v>
      </c>
      <c r="AH218" s="36"/>
      <c r="AI218" s="36">
        <f>SUM(E218:AG218)</f>
        <v>1299440.74</v>
      </c>
      <c r="AJ218" s="24"/>
      <c r="AK218" s="15" t="str">
        <f>'Gen Rev'!A218</f>
        <v>Galena</v>
      </c>
      <c r="AL218" s="15" t="str">
        <f t="shared" si="14"/>
        <v>Galena</v>
      </c>
      <c r="AM218" s="15" t="b">
        <f t="shared" si="15"/>
        <v>1</v>
      </c>
    </row>
    <row r="219" spans="1:39" s="31" customFormat="1" ht="12.75">
      <c r="A219" s="15" t="s">
        <v>363</v>
      </c>
      <c r="B219" s="15"/>
      <c r="C219" s="15" t="s">
        <v>364</v>
      </c>
      <c r="D219" s="15"/>
      <c r="E219" s="85">
        <f>331380+60736</f>
        <v>392116</v>
      </c>
      <c r="F219" s="85"/>
      <c r="G219" s="85">
        <v>1595135</v>
      </c>
      <c r="H219" s="85"/>
      <c r="I219" s="85">
        <v>921417</v>
      </c>
      <c r="J219" s="85"/>
      <c r="K219" s="85">
        <v>0</v>
      </c>
      <c r="L219" s="85"/>
      <c r="M219" s="85">
        <v>742377</v>
      </c>
      <c r="N219" s="85"/>
      <c r="O219" s="85">
        <v>771561</v>
      </c>
      <c r="P219" s="85"/>
      <c r="Q219" s="85">
        <v>83161</v>
      </c>
      <c r="R219" s="85"/>
      <c r="S219" s="85">
        <f>31092+9400+60937+130734</f>
        <v>232163</v>
      </c>
      <c r="T219" s="85"/>
      <c r="U219" s="85">
        <v>2342000</v>
      </c>
      <c r="V219" s="85"/>
      <c r="W219" s="85">
        <v>0</v>
      </c>
      <c r="X219" s="85"/>
      <c r="Y219" s="85">
        <v>46050</v>
      </c>
      <c r="Z219" s="85"/>
      <c r="AA219" s="85">
        <v>829277</v>
      </c>
      <c r="AB219" s="85"/>
      <c r="AC219" s="85">
        <v>527835</v>
      </c>
      <c r="AD219" s="85"/>
      <c r="AE219" s="85">
        <v>0</v>
      </c>
      <c r="AF219" s="85"/>
      <c r="AG219" s="85">
        <v>0</v>
      </c>
      <c r="AH219" s="85"/>
      <c r="AI219" s="85">
        <f t="shared" si="13"/>
        <v>8483092</v>
      </c>
      <c r="AJ219" s="24"/>
      <c r="AK219" s="15" t="str">
        <f>'Gen Rev'!A219</f>
        <v>Gallipolis</v>
      </c>
      <c r="AL219" s="15" t="str">
        <f t="shared" si="14"/>
        <v>Gallipolis</v>
      </c>
      <c r="AM219" s="15" t="b">
        <f t="shared" si="15"/>
        <v>1</v>
      </c>
    </row>
    <row r="220" spans="1:39" ht="12.75">
      <c r="A220" s="15" t="s">
        <v>902</v>
      </c>
      <c r="C220" s="15" t="s">
        <v>782</v>
      </c>
      <c r="E220" s="85">
        <v>0</v>
      </c>
      <c r="F220" s="85"/>
      <c r="G220" s="85">
        <v>747833.59</v>
      </c>
      <c r="H220" s="85"/>
      <c r="I220" s="85">
        <v>86821.1</v>
      </c>
      <c r="J220" s="85"/>
      <c r="K220" s="85">
        <v>0</v>
      </c>
      <c r="L220" s="85"/>
      <c r="M220" s="85">
        <v>62409.7</v>
      </c>
      <c r="N220" s="85"/>
      <c r="O220" s="85">
        <v>12869.38</v>
      </c>
      <c r="P220" s="85"/>
      <c r="Q220" s="85">
        <v>1199.49</v>
      </c>
      <c r="R220" s="85"/>
      <c r="S220" s="85">
        <v>31480.85</v>
      </c>
      <c r="T220" s="85"/>
      <c r="U220" s="85">
        <v>0</v>
      </c>
      <c r="V220" s="85"/>
      <c r="W220" s="85">
        <v>0</v>
      </c>
      <c r="X220" s="85"/>
      <c r="Y220" s="85">
        <v>0</v>
      </c>
      <c r="Z220" s="85"/>
      <c r="AA220" s="85">
        <v>0</v>
      </c>
      <c r="AB220" s="85"/>
      <c r="AC220" s="85">
        <v>0</v>
      </c>
      <c r="AD220" s="85"/>
      <c r="AE220" s="85">
        <v>15107.07</v>
      </c>
      <c r="AF220" s="85"/>
      <c r="AG220" s="85">
        <v>0</v>
      </c>
      <c r="AH220" s="85"/>
      <c r="AI220" s="85">
        <f t="shared" si="13"/>
        <v>957721.1799999998</v>
      </c>
      <c r="AJ220" s="24"/>
      <c r="AK220" s="15" t="str">
        <f>'Gen Rev'!A220</f>
        <v>Gambier</v>
      </c>
      <c r="AL220" s="15" t="str">
        <f t="shared" si="14"/>
        <v>Gambier</v>
      </c>
      <c r="AM220" s="15" t="b">
        <f t="shared" si="15"/>
        <v>1</v>
      </c>
    </row>
    <row r="221" spans="1:39" ht="12.75" hidden="1">
      <c r="A221" s="15" t="s">
        <v>122</v>
      </c>
      <c r="C221" s="15" t="s">
        <v>782</v>
      </c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>
        <f t="shared" si="13"/>
        <v>0</v>
      </c>
      <c r="AJ221" s="24"/>
      <c r="AK221" s="15" t="str">
        <f>'Gen Rev'!A221</f>
        <v>Gann</v>
      </c>
      <c r="AL221" s="15" t="str">
        <f t="shared" si="14"/>
        <v>Gann</v>
      </c>
      <c r="AM221" s="15" t="b">
        <f t="shared" si="15"/>
        <v>1</v>
      </c>
    </row>
    <row r="222" spans="1:39" ht="12.75">
      <c r="A222" s="15" t="s">
        <v>508</v>
      </c>
      <c r="C222" s="15" t="s">
        <v>259</v>
      </c>
      <c r="E222" s="85">
        <v>137289</v>
      </c>
      <c r="F222" s="85"/>
      <c r="G222" s="85">
        <v>1084854</v>
      </c>
      <c r="H222" s="85"/>
      <c r="I222" s="85">
        <v>229696</v>
      </c>
      <c r="J222" s="85"/>
      <c r="K222" s="85">
        <v>26081</v>
      </c>
      <c r="L222" s="85"/>
      <c r="M222" s="85">
        <v>62020</v>
      </c>
      <c r="N222" s="85"/>
      <c r="O222" s="85">
        <v>1731</v>
      </c>
      <c r="P222" s="85"/>
      <c r="Q222" s="85">
        <v>8681</v>
      </c>
      <c r="R222" s="85"/>
      <c r="S222" s="85">
        <v>76797</v>
      </c>
      <c r="T222" s="85"/>
      <c r="U222" s="85">
        <v>0</v>
      </c>
      <c r="V222" s="85"/>
      <c r="W222" s="85">
        <v>0</v>
      </c>
      <c r="X222" s="85"/>
      <c r="Y222" s="85">
        <v>0</v>
      </c>
      <c r="Z222" s="85"/>
      <c r="AA222" s="85">
        <v>0</v>
      </c>
      <c r="AB222" s="85"/>
      <c r="AC222" s="85">
        <v>0</v>
      </c>
      <c r="AD222" s="85"/>
      <c r="AE222" s="85">
        <v>0</v>
      </c>
      <c r="AF222" s="85"/>
      <c r="AG222" s="85">
        <v>0</v>
      </c>
      <c r="AH222" s="85"/>
      <c r="AI222" s="85">
        <f t="shared" si="13"/>
        <v>1627149</v>
      </c>
      <c r="AJ222" s="24"/>
      <c r="AK222" s="15" t="str">
        <f>'Gen Rev'!A222</f>
        <v>Garrettsville</v>
      </c>
      <c r="AL222" s="15" t="str">
        <f t="shared" si="14"/>
        <v>Garrettsville</v>
      </c>
      <c r="AM222" s="15" t="b">
        <f t="shared" si="15"/>
        <v>1</v>
      </c>
    </row>
    <row r="223" spans="1:42" s="72" customFormat="1" ht="12.6" customHeight="1">
      <c r="A223" s="39" t="s">
        <v>320</v>
      </c>
      <c r="B223" s="39"/>
      <c r="C223" s="39" t="s">
        <v>316</v>
      </c>
      <c r="D223" s="39"/>
      <c r="E223" s="85">
        <v>2310871</v>
      </c>
      <c r="F223" s="85"/>
      <c r="G223" s="85">
        <v>1627549</v>
      </c>
      <c r="H223" s="85"/>
      <c r="I223" s="85">
        <v>1880945</v>
      </c>
      <c r="J223" s="85"/>
      <c r="K223" s="85">
        <v>32513</v>
      </c>
      <c r="L223" s="85"/>
      <c r="M223" s="85">
        <v>476060</v>
      </c>
      <c r="N223" s="85"/>
      <c r="O223" s="85">
        <v>104246</v>
      </c>
      <c r="P223" s="85"/>
      <c r="Q223" s="85">
        <v>13225</v>
      </c>
      <c r="R223" s="85"/>
      <c r="S223" s="85">
        <v>61972</v>
      </c>
      <c r="T223" s="85"/>
      <c r="U223" s="85">
        <v>0</v>
      </c>
      <c r="V223" s="85"/>
      <c r="W223" s="85">
        <v>450000</v>
      </c>
      <c r="X223" s="85"/>
      <c r="Y223" s="85">
        <v>0</v>
      </c>
      <c r="Z223" s="85"/>
      <c r="AA223" s="85">
        <v>1424556</v>
      </c>
      <c r="AB223" s="85"/>
      <c r="AC223" s="85">
        <v>0</v>
      </c>
      <c r="AD223" s="85"/>
      <c r="AE223" s="85">
        <v>1778</v>
      </c>
      <c r="AF223" s="85"/>
      <c r="AG223" s="85">
        <v>0</v>
      </c>
      <c r="AH223" s="85"/>
      <c r="AI223" s="85">
        <f t="shared" si="13"/>
        <v>8383715</v>
      </c>
      <c r="AJ223" s="39"/>
      <c r="AK223" s="15" t="str">
        <f>'Gen Rev'!A223</f>
        <v>Gates Mills</v>
      </c>
      <c r="AL223" s="15" t="str">
        <f t="shared" si="14"/>
        <v>Gates Mills</v>
      </c>
      <c r="AM223" s="15" t="b">
        <f t="shared" si="15"/>
        <v>1</v>
      </c>
      <c r="AN223" s="81"/>
      <c r="AO223" s="81"/>
      <c r="AP223" s="81"/>
    </row>
    <row r="224" spans="1:39" ht="12.75">
      <c r="A224" s="15" t="s">
        <v>269</v>
      </c>
      <c r="C224" s="15" t="s">
        <v>747</v>
      </c>
      <c r="E224" s="95">
        <v>436938.12</v>
      </c>
      <c r="F224" s="95"/>
      <c r="G224" s="95">
        <v>131944.3</v>
      </c>
      <c r="H224" s="95"/>
      <c r="I224" s="95">
        <v>340203.49</v>
      </c>
      <c r="J224" s="95"/>
      <c r="K224" s="95">
        <v>11089.54</v>
      </c>
      <c r="L224" s="95"/>
      <c r="M224" s="95">
        <v>28763.21</v>
      </c>
      <c r="N224" s="95"/>
      <c r="O224" s="95">
        <v>66666.15</v>
      </c>
      <c r="P224" s="95"/>
      <c r="Q224" s="95">
        <v>3573.37</v>
      </c>
      <c r="R224" s="95"/>
      <c r="S224" s="95">
        <v>43769.67</v>
      </c>
      <c r="T224" s="95"/>
      <c r="U224" s="95">
        <v>0</v>
      </c>
      <c r="V224" s="95"/>
      <c r="W224" s="95">
        <v>0</v>
      </c>
      <c r="X224" s="95"/>
      <c r="Y224" s="95">
        <v>0</v>
      </c>
      <c r="Z224" s="95"/>
      <c r="AA224" s="95">
        <v>0</v>
      </c>
      <c r="AB224" s="95"/>
      <c r="AC224" s="95">
        <v>0</v>
      </c>
      <c r="AD224" s="95"/>
      <c r="AE224" s="95">
        <v>60000</v>
      </c>
      <c r="AF224" s="95"/>
      <c r="AG224" s="95">
        <v>0</v>
      </c>
      <c r="AH224" s="95"/>
      <c r="AI224" s="95">
        <f>SUM(E224:AG224)</f>
        <v>1122947.8499999999</v>
      </c>
      <c r="AJ224" s="24"/>
      <c r="AK224" s="15" t="str">
        <f>'Gen Rev'!A224</f>
        <v>Geneva On The Lake</v>
      </c>
      <c r="AL224" s="15" t="str">
        <f t="shared" si="14"/>
        <v>Geneva On The Lake</v>
      </c>
      <c r="AM224" s="15" t="b">
        <f t="shared" si="15"/>
        <v>1</v>
      </c>
    </row>
    <row r="225" spans="1:39" ht="12.75">
      <c r="A225" s="15" t="s">
        <v>494</v>
      </c>
      <c r="C225" s="15" t="s">
        <v>207</v>
      </c>
      <c r="E225" s="85">
        <f>171268+65825</f>
        <v>237093</v>
      </c>
      <c r="F225" s="85"/>
      <c r="G225" s="85">
        <v>799705</v>
      </c>
      <c r="H225" s="85"/>
      <c r="I225" s="85">
        <v>125412</v>
      </c>
      <c r="J225" s="85"/>
      <c r="K225" s="85">
        <v>0</v>
      </c>
      <c r="L225" s="85"/>
      <c r="M225" s="85">
        <v>5203</v>
      </c>
      <c r="N225" s="85"/>
      <c r="O225" s="85">
        <v>13113</v>
      </c>
      <c r="P225" s="85"/>
      <c r="Q225" s="85">
        <v>22281</v>
      </c>
      <c r="R225" s="85"/>
      <c r="S225" s="85">
        <v>42984</v>
      </c>
      <c r="T225" s="85"/>
      <c r="U225" s="85">
        <v>0</v>
      </c>
      <c r="V225" s="85"/>
      <c r="W225" s="85">
        <v>0</v>
      </c>
      <c r="X225" s="85"/>
      <c r="Y225" s="85">
        <v>0</v>
      </c>
      <c r="Z225" s="85"/>
      <c r="AA225" s="85">
        <v>1141261</v>
      </c>
      <c r="AB225" s="85"/>
      <c r="AC225" s="85">
        <v>75000</v>
      </c>
      <c r="AD225" s="85"/>
      <c r="AE225" s="85">
        <v>0</v>
      </c>
      <c r="AF225" s="85"/>
      <c r="AG225" s="85">
        <v>24332</v>
      </c>
      <c r="AH225" s="85"/>
      <c r="AI225" s="85">
        <f t="shared" si="13"/>
        <v>2486384</v>
      </c>
      <c r="AJ225" s="24"/>
      <c r="AK225" s="15" t="str">
        <f>'Gen Rev'!A225</f>
        <v>Genoa</v>
      </c>
      <c r="AL225" s="15" t="str">
        <f t="shared" si="14"/>
        <v>Genoa</v>
      </c>
      <c r="AM225" s="15" t="b">
        <f t="shared" si="15"/>
        <v>1</v>
      </c>
    </row>
    <row r="226" spans="1:39" ht="12.75">
      <c r="A226" s="15" t="s">
        <v>22</v>
      </c>
      <c r="C226" s="15" t="s">
        <v>751</v>
      </c>
      <c r="E226" s="36">
        <v>162555.75</v>
      </c>
      <c r="F226" s="36"/>
      <c r="G226" s="36">
        <v>459102.85</v>
      </c>
      <c r="H226" s="36"/>
      <c r="I226" s="36">
        <v>282937.51</v>
      </c>
      <c r="J226" s="36"/>
      <c r="K226" s="36">
        <v>223727.9</v>
      </c>
      <c r="L226" s="36"/>
      <c r="M226" s="36">
        <v>148429.01</v>
      </c>
      <c r="N226" s="36"/>
      <c r="O226" s="36">
        <v>117855.33</v>
      </c>
      <c r="P226" s="36"/>
      <c r="Q226" s="36">
        <v>17844.09</v>
      </c>
      <c r="R226" s="36"/>
      <c r="S226" s="36">
        <v>20129.94</v>
      </c>
      <c r="T226" s="36"/>
      <c r="U226" s="36">
        <v>0</v>
      </c>
      <c r="V226" s="36"/>
      <c r="W226" s="36">
        <v>0</v>
      </c>
      <c r="X226" s="36"/>
      <c r="Y226" s="36">
        <v>2502</v>
      </c>
      <c r="Z226" s="36"/>
      <c r="AA226" s="36">
        <v>0</v>
      </c>
      <c r="AB226" s="36"/>
      <c r="AC226" s="36">
        <v>0</v>
      </c>
      <c r="AD226" s="36"/>
      <c r="AE226" s="36">
        <v>0</v>
      </c>
      <c r="AF226" s="36"/>
      <c r="AG226" s="36">
        <v>0</v>
      </c>
      <c r="AH226" s="36"/>
      <c r="AI226" s="36">
        <f>SUM(E226:AG226)</f>
        <v>1435084.3800000001</v>
      </c>
      <c r="AJ226" s="24"/>
      <c r="AK226" s="15" t="str">
        <f>'Gen Rev'!A226</f>
        <v>Georgetown</v>
      </c>
      <c r="AL226" s="15" t="str">
        <f t="shared" si="14"/>
        <v>Georgetown</v>
      </c>
      <c r="AM226" s="15" t="b">
        <f t="shared" si="15"/>
        <v>1</v>
      </c>
    </row>
    <row r="227" spans="1:39" s="31" customFormat="1" ht="12.75" hidden="1">
      <c r="A227" s="15" t="s">
        <v>480</v>
      </c>
      <c r="B227" s="15"/>
      <c r="C227" s="15" t="s">
        <v>479</v>
      </c>
      <c r="D227" s="1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>
        <f t="shared" si="13"/>
        <v>0</v>
      </c>
      <c r="AJ227" s="24"/>
      <c r="AK227" s="15" t="str">
        <f>'Gen Rev'!A227</f>
        <v>Germantown</v>
      </c>
      <c r="AL227" s="15" t="str">
        <f t="shared" si="14"/>
        <v>Germantown</v>
      </c>
      <c r="AM227" s="15" t="b">
        <f t="shared" si="15"/>
        <v>1</v>
      </c>
    </row>
    <row r="228" spans="1:42" ht="12.75">
      <c r="A228" s="15" t="s">
        <v>52</v>
      </c>
      <c r="C228" s="15" t="s">
        <v>762</v>
      </c>
      <c r="E228" s="36">
        <v>37404.1</v>
      </c>
      <c r="F228" s="36"/>
      <c r="G228" s="36">
        <v>0</v>
      </c>
      <c r="H228" s="36"/>
      <c r="I228" s="36">
        <v>89920.17</v>
      </c>
      <c r="J228" s="36"/>
      <c r="K228" s="36">
        <v>0</v>
      </c>
      <c r="L228" s="36"/>
      <c r="M228" s="36">
        <v>1000</v>
      </c>
      <c r="N228" s="36"/>
      <c r="O228" s="36">
        <v>3365.15</v>
      </c>
      <c r="P228" s="36"/>
      <c r="Q228" s="36">
        <v>415.98</v>
      </c>
      <c r="R228" s="36"/>
      <c r="S228" s="36">
        <v>10314.58</v>
      </c>
      <c r="T228" s="36"/>
      <c r="U228" s="36">
        <v>0</v>
      </c>
      <c r="V228" s="36"/>
      <c r="W228" s="36">
        <v>0</v>
      </c>
      <c r="X228" s="36"/>
      <c r="Y228" s="36">
        <v>0</v>
      </c>
      <c r="Z228" s="36"/>
      <c r="AA228" s="36">
        <v>0</v>
      </c>
      <c r="AB228" s="36"/>
      <c r="AC228" s="36">
        <v>0</v>
      </c>
      <c r="AD228" s="36"/>
      <c r="AE228" s="36">
        <v>0</v>
      </c>
      <c r="AF228" s="36"/>
      <c r="AG228" s="36">
        <v>15500</v>
      </c>
      <c r="AH228" s="36"/>
      <c r="AI228" s="36">
        <f>SUM(E228:AG228)</f>
        <v>157919.97999999998</v>
      </c>
      <c r="AJ228" s="24"/>
      <c r="AK228" s="15" t="str">
        <f>'Gen Rev'!A228</f>
        <v>Gettysburg</v>
      </c>
      <c r="AL228" s="15" t="str">
        <f t="shared" si="14"/>
        <v>Gettysburg</v>
      </c>
      <c r="AM228" s="15" t="b">
        <f t="shared" si="15"/>
        <v>1</v>
      </c>
      <c r="AN228" s="30"/>
      <c r="AO228" s="30"/>
      <c r="AP228" s="30"/>
    </row>
    <row r="229" spans="1:39" ht="12.75">
      <c r="A229" s="15" t="s">
        <v>528</v>
      </c>
      <c r="C229" s="15" t="s">
        <v>527</v>
      </c>
      <c r="E229" s="36">
        <v>118945.98</v>
      </c>
      <c r="F229" s="36"/>
      <c r="G229" s="36">
        <v>568021.79</v>
      </c>
      <c r="H229" s="36"/>
      <c r="I229" s="36">
        <v>256300.08</v>
      </c>
      <c r="J229" s="36"/>
      <c r="K229" s="36">
        <v>0</v>
      </c>
      <c r="L229" s="36"/>
      <c r="M229" s="36">
        <v>2496.03</v>
      </c>
      <c r="N229" s="36"/>
      <c r="O229" s="36">
        <v>36648.51</v>
      </c>
      <c r="P229" s="36"/>
      <c r="Q229" s="36">
        <v>8120.56</v>
      </c>
      <c r="R229" s="36"/>
      <c r="S229" s="36">
        <v>16156.32</v>
      </c>
      <c r="T229" s="36"/>
      <c r="U229" s="36">
        <v>0</v>
      </c>
      <c r="V229" s="36"/>
      <c r="W229" s="36">
        <v>0</v>
      </c>
      <c r="X229" s="36"/>
      <c r="Y229" s="36">
        <v>0</v>
      </c>
      <c r="Z229" s="36"/>
      <c r="AA229" s="36">
        <v>34120</v>
      </c>
      <c r="AB229" s="36"/>
      <c r="AC229" s="36">
        <v>0</v>
      </c>
      <c r="AD229" s="36"/>
      <c r="AE229" s="36">
        <v>0</v>
      </c>
      <c r="AF229" s="36"/>
      <c r="AG229" s="36">
        <v>0</v>
      </c>
      <c r="AH229" s="36"/>
      <c r="AI229" s="36">
        <f>SUM(E229:AG229)</f>
        <v>1040809.27</v>
      </c>
      <c r="AJ229" s="24"/>
      <c r="AK229" s="15" t="str">
        <f>'Gen Rev'!A229</f>
        <v>Gibsonburg</v>
      </c>
      <c r="AL229" s="15" t="str">
        <f t="shared" si="14"/>
        <v>Gibsonburg</v>
      </c>
      <c r="AM229" s="15" t="b">
        <f t="shared" si="15"/>
        <v>1</v>
      </c>
    </row>
    <row r="230" spans="1:39" ht="12.75">
      <c r="A230" s="15" t="s">
        <v>205</v>
      </c>
      <c r="C230" s="15" t="s">
        <v>808</v>
      </c>
      <c r="E230" s="95">
        <v>11505.3</v>
      </c>
      <c r="F230" s="95"/>
      <c r="G230" s="95">
        <v>0</v>
      </c>
      <c r="H230" s="95"/>
      <c r="I230" s="95">
        <v>48268.63</v>
      </c>
      <c r="J230" s="95"/>
      <c r="K230" s="95">
        <v>1021.32</v>
      </c>
      <c r="L230" s="95"/>
      <c r="M230" s="95">
        <v>20</v>
      </c>
      <c r="N230" s="95"/>
      <c r="O230" s="95">
        <v>1842.5</v>
      </c>
      <c r="P230" s="95"/>
      <c r="Q230" s="95">
        <v>2371.6</v>
      </c>
      <c r="R230" s="95"/>
      <c r="S230" s="95">
        <v>180</v>
      </c>
      <c r="T230" s="95"/>
      <c r="U230" s="95">
        <v>0</v>
      </c>
      <c r="V230" s="95"/>
      <c r="W230" s="95">
        <v>0</v>
      </c>
      <c r="X230" s="95"/>
      <c r="Y230" s="95">
        <v>0</v>
      </c>
      <c r="Z230" s="95"/>
      <c r="AA230" s="95">
        <v>0</v>
      </c>
      <c r="AB230" s="95"/>
      <c r="AC230" s="95">
        <v>0</v>
      </c>
      <c r="AD230" s="95"/>
      <c r="AE230" s="95">
        <v>0</v>
      </c>
      <c r="AF230" s="95"/>
      <c r="AG230" s="95">
        <v>0</v>
      </c>
      <c r="AH230" s="95"/>
      <c r="AI230" s="95">
        <f>SUM(E230:AG230)</f>
        <v>65209.34999999999</v>
      </c>
      <c r="AJ230" s="24"/>
      <c r="AK230" s="15" t="str">
        <f>'Gen Rev'!A230</f>
        <v>Gilboa</v>
      </c>
      <c r="AL230" s="15" t="str">
        <f t="shared" si="14"/>
        <v>Gilboa</v>
      </c>
      <c r="AM230" s="15" t="b">
        <f t="shared" si="15"/>
        <v>1</v>
      </c>
    </row>
    <row r="231" spans="1:39" ht="12.75">
      <c r="A231" s="15" t="s">
        <v>516</v>
      </c>
      <c r="C231" s="15" t="s">
        <v>808</v>
      </c>
      <c r="E231" s="95">
        <v>86763.07</v>
      </c>
      <c r="F231" s="95"/>
      <c r="G231" s="95">
        <v>231377.05</v>
      </c>
      <c r="H231" s="95"/>
      <c r="I231" s="95">
        <v>108096.63</v>
      </c>
      <c r="J231" s="95"/>
      <c r="K231" s="95">
        <v>0</v>
      </c>
      <c r="L231" s="95"/>
      <c r="M231" s="95">
        <v>19405.07</v>
      </c>
      <c r="N231" s="95"/>
      <c r="O231" s="95">
        <v>1372</v>
      </c>
      <c r="P231" s="95"/>
      <c r="Q231" s="95">
        <v>5116.7</v>
      </c>
      <c r="R231" s="95"/>
      <c r="S231" s="95">
        <v>2306.24</v>
      </c>
      <c r="T231" s="95"/>
      <c r="U231" s="95">
        <v>0</v>
      </c>
      <c r="V231" s="95"/>
      <c r="W231" s="95">
        <v>0</v>
      </c>
      <c r="X231" s="95"/>
      <c r="Y231" s="95">
        <v>0</v>
      </c>
      <c r="Z231" s="95"/>
      <c r="AA231" s="95">
        <v>80000</v>
      </c>
      <c r="AB231" s="95"/>
      <c r="AC231" s="95">
        <v>0</v>
      </c>
      <c r="AD231" s="95"/>
      <c r="AE231" s="95">
        <v>0</v>
      </c>
      <c r="AF231" s="95"/>
      <c r="AG231" s="95">
        <v>0</v>
      </c>
      <c r="AH231" s="95"/>
      <c r="AI231" s="95">
        <f>SUM(E231:AG231)</f>
        <v>534436.76</v>
      </c>
      <c r="AJ231" s="24"/>
      <c r="AK231" s="15" t="str">
        <f>'Gen Rev'!A231</f>
        <v>Glandorf</v>
      </c>
      <c r="AL231" s="15" t="str">
        <f t="shared" si="14"/>
        <v>Glandorf</v>
      </c>
      <c r="AM231" s="15" t="b">
        <f t="shared" si="15"/>
        <v>1</v>
      </c>
    </row>
    <row r="232" spans="1:39" s="24" customFormat="1" ht="12.75">
      <c r="A232" s="24" t="s">
        <v>381</v>
      </c>
      <c r="C232" s="24" t="s">
        <v>378</v>
      </c>
      <c r="E232" s="85">
        <v>1991257</v>
      </c>
      <c r="F232" s="85"/>
      <c r="G232" s="85">
        <v>0</v>
      </c>
      <c r="H232" s="85"/>
      <c r="I232" s="85">
        <v>463827</v>
      </c>
      <c r="J232" s="85"/>
      <c r="K232" s="85">
        <v>0</v>
      </c>
      <c r="L232" s="85"/>
      <c r="M232" s="85">
        <v>522738</v>
      </c>
      <c r="N232" s="85"/>
      <c r="O232" s="85">
        <v>73249</v>
      </c>
      <c r="P232" s="85"/>
      <c r="Q232" s="85">
        <v>3945</v>
      </c>
      <c r="R232" s="85"/>
      <c r="S232" s="85">
        <v>86092</v>
      </c>
      <c r="T232" s="85"/>
      <c r="U232" s="85">
        <v>0</v>
      </c>
      <c r="V232" s="85"/>
      <c r="W232" s="85">
        <v>0</v>
      </c>
      <c r="X232" s="85"/>
      <c r="Y232" s="85">
        <v>0</v>
      </c>
      <c r="Z232" s="85"/>
      <c r="AA232" s="85">
        <v>205000</v>
      </c>
      <c r="AB232" s="85"/>
      <c r="AC232" s="85">
        <v>3000</v>
      </c>
      <c r="AD232" s="85"/>
      <c r="AE232" s="85">
        <v>31905</v>
      </c>
      <c r="AF232" s="85"/>
      <c r="AG232" s="85">
        <v>336280</v>
      </c>
      <c r="AH232" s="85"/>
      <c r="AI232" s="85">
        <f t="shared" si="13"/>
        <v>3717293</v>
      </c>
      <c r="AK232" s="15" t="str">
        <f>'Gen Rev'!A232</f>
        <v>Glendale</v>
      </c>
      <c r="AL232" s="15" t="str">
        <f t="shared" si="14"/>
        <v>Glendale</v>
      </c>
      <c r="AM232" s="15" t="b">
        <f t="shared" si="15"/>
        <v>1</v>
      </c>
    </row>
    <row r="233" spans="1:39" s="31" customFormat="1" ht="12.75">
      <c r="A233" s="15" t="s">
        <v>502</v>
      </c>
      <c r="B233" s="15"/>
      <c r="C233" s="15" t="s">
        <v>501</v>
      </c>
      <c r="D233" s="15"/>
      <c r="E233" s="85">
        <v>13726</v>
      </c>
      <c r="F233" s="85"/>
      <c r="G233" s="85">
        <v>0</v>
      </c>
      <c r="H233" s="85"/>
      <c r="I233" s="85">
        <v>0</v>
      </c>
      <c r="J233" s="85"/>
      <c r="K233" s="85">
        <v>1156</v>
      </c>
      <c r="L233" s="85"/>
      <c r="M233" s="85">
        <v>0</v>
      </c>
      <c r="N233" s="85"/>
      <c r="O233" s="85">
        <v>360</v>
      </c>
      <c r="P233" s="85"/>
      <c r="Q233" s="85">
        <v>3</v>
      </c>
      <c r="R233" s="85"/>
      <c r="S233" s="85">
        <v>0</v>
      </c>
      <c r="T233" s="85"/>
      <c r="U233" s="85">
        <v>0</v>
      </c>
      <c r="V233" s="85"/>
      <c r="W233" s="85">
        <v>0</v>
      </c>
      <c r="X233" s="85"/>
      <c r="Y233" s="85">
        <v>0</v>
      </c>
      <c r="Z233" s="85"/>
      <c r="AA233" s="85">
        <v>0</v>
      </c>
      <c r="AB233" s="85"/>
      <c r="AC233" s="85">
        <v>0</v>
      </c>
      <c r="AD233" s="85"/>
      <c r="AE233" s="85">
        <v>0</v>
      </c>
      <c r="AF233" s="85"/>
      <c r="AG233" s="85">
        <v>0</v>
      </c>
      <c r="AH233" s="85"/>
      <c r="AI233" s="85">
        <f t="shared" si="13"/>
        <v>15245</v>
      </c>
      <c r="AJ233" s="24"/>
      <c r="AK233" s="15" t="str">
        <f>'Gen Rev'!A233</f>
        <v>Glenford</v>
      </c>
      <c r="AL233" s="15" t="str">
        <f t="shared" si="14"/>
        <v>Glenford</v>
      </c>
      <c r="AM233" s="15" t="b">
        <f t="shared" si="15"/>
        <v>1</v>
      </c>
    </row>
    <row r="234" spans="1:39" ht="12.75">
      <c r="A234" s="15" t="s">
        <v>865</v>
      </c>
      <c r="C234" s="15" t="s">
        <v>412</v>
      </c>
      <c r="E234" s="24">
        <v>0</v>
      </c>
      <c r="F234" s="85"/>
      <c r="G234" s="85">
        <v>2802</v>
      </c>
      <c r="H234" s="85"/>
      <c r="I234" s="85">
        <v>39530</v>
      </c>
      <c r="J234" s="85"/>
      <c r="K234" s="85">
        <v>0</v>
      </c>
      <c r="L234" s="85"/>
      <c r="M234" s="85">
        <v>7875</v>
      </c>
      <c r="N234" s="85"/>
      <c r="O234" s="85">
        <v>0</v>
      </c>
      <c r="P234" s="85"/>
      <c r="Q234" s="85">
        <v>1061</v>
      </c>
      <c r="R234" s="85"/>
      <c r="S234" s="85">
        <v>3531</v>
      </c>
      <c r="T234" s="85"/>
      <c r="U234" s="85">
        <v>0</v>
      </c>
      <c r="V234" s="85"/>
      <c r="W234" s="85">
        <v>0</v>
      </c>
      <c r="X234" s="85"/>
      <c r="Y234" s="85">
        <v>0</v>
      </c>
      <c r="Z234" s="85"/>
      <c r="AA234" s="85">
        <v>0</v>
      </c>
      <c r="AB234" s="85"/>
      <c r="AC234" s="85">
        <v>0</v>
      </c>
      <c r="AD234" s="85"/>
      <c r="AE234" s="85">
        <v>0</v>
      </c>
      <c r="AF234" s="85"/>
      <c r="AG234" s="85">
        <v>0</v>
      </c>
      <c r="AH234" s="85"/>
      <c r="AI234" s="85">
        <f t="shared" si="13"/>
        <v>54799</v>
      </c>
      <c r="AJ234" s="24"/>
      <c r="AK234" s="15" t="str">
        <f>'Gen Rev'!A234</f>
        <v>Glenmont</v>
      </c>
      <c r="AL234" s="15" t="str">
        <f t="shared" si="14"/>
        <v>Glenmont</v>
      </c>
      <c r="AM234" s="15" t="b">
        <f t="shared" si="15"/>
        <v>1</v>
      </c>
    </row>
    <row r="235" spans="1:39" s="29" customFormat="1" ht="12.75">
      <c r="A235" s="24" t="s">
        <v>49</v>
      </c>
      <c r="B235" s="24"/>
      <c r="C235" s="24" t="s">
        <v>761</v>
      </c>
      <c r="D235" s="24"/>
      <c r="E235" s="36">
        <v>151550.12</v>
      </c>
      <c r="F235" s="36"/>
      <c r="G235" s="36">
        <v>2774994.16</v>
      </c>
      <c r="H235" s="36"/>
      <c r="I235" s="36">
        <v>264007.52</v>
      </c>
      <c r="J235" s="36"/>
      <c r="K235" s="36">
        <v>102639.25</v>
      </c>
      <c r="L235" s="36"/>
      <c r="M235" s="36">
        <v>34697.97</v>
      </c>
      <c r="N235" s="36"/>
      <c r="O235" s="36">
        <v>188079.08</v>
      </c>
      <c r="P235" s="36"/>
      <c r="Q235" s="36">
        <v>372.01</v>
      </c>
      <c r="R235" s="36"/>
      <c r="S235" s="36">
        <f>371649.99+9706.7</f>
        <v>381356.69</v>
      </c>
      <c r="T235" s="36"/>
      <c r="U235" s="36">
        <v>275000</v>
      </c>
      <c r="V235" s="36"/>
      <c r="W235" s="36">
        <v>1350000</v>
      </c>
      <c r="X235" s="36"/>
      <c r="Y235" s="36">
        <v>0</v>
      </c>
      <c r="Z235" s="36"/>
      <c r="AA235" s="36">
        <v>245000</v>
      </c>
      <c r="AB235" s="36"/>
      <c r="AC235" s="36">
        <v>35000</v>
      </c>
      <c r="AD235" s="36"/>
      <c r="AE235" s="36">
        <v>0</v>
      </c>
      <c r="AF235" s="36"/>
      <c r="AG235" s="36">
        <v>0</v>
      </c>
      <c r="AH235" s="36"/>
      <c r="AI235" s="36">
        <f>SUM(E235:AG235)</f>
        <v>5802696.800000001</v>
      </c>
      <c r="AJ235" s="24"/>
      <c r="AK235" s="15" t="str">
        <f>'Gen Rev'!A235</f>
        <v>Glenwillow</v>
      </c>
      <c r="AL235" s="15" t="str">
        <f t="shared" si="14"/>
        <v>Glenwillow</v>
      </c>
      <c r="AM235" s="15" t="b">
        <f t="shared" si="15"/>
        <v>1</v>
      </c>
    </row>
    <row r="236" spans="1:39" ht="12.75">
      <c r="A236" s="15" t="s">
        <v>153</v>
      </c>
      <c r="C236" s="15" t="s">
        <v>792</v>
      </c>
      <c r="E236" s="36">
        <v>89181.92</v>
      </c>
      <c r="F236" s="36"/>
      <c r="G236" s="36">
        <v>0</v>
      </c>
      <c r="H236" s="36"/>
      <c r="I236" s="36">
        <v>38094.29</v>
      </c>
      <c r="J236" s="36"/>
      <c r="K236" s="36">
        <v>0</v>
      </c>
      <c r="L236" s="36"/>
      <c r="M236" s="36">
        <v>1573.82</v>
      </c>
      <c r="N236" s="36"/>
      <c r="O236" s="36">
        <v>1281</v>
      </c>
      <c r="P236" s="36"/>
      <c r="Q236" s="36">
        <v>2617.47</v>
      </c>
      <c r="R236" s="36"/>
      <c r="S236" s="36">
        <v>0</v>
      </c>
      <c r="T236" s="36"/>
      <c r="U236" s="36">
        <v>0</v>
      </c>
      <c r="V236" s="36"/>
      <c r="W236" s="36">
        <v>0</v>
      </c>
      <c r="X236" s="36"/>
      <c r="Y236" s="36">
        <v>0</v>
      </c>
      <c r="Z236" s="36"/>
      <c r="AA236" s="36">
        <v>0</v>
      </c>
      <c r="AB236" s="36"/>
      <c r="AC236" s="36">
        <v>0</v>
      </c>
      <c r="AD236" s="36"/>
      <c r="AE236" s="36">
        <v>0</v>
      </c>
      <c r="AF236" s="36"/>
      <c r="AG236" s="36">
        <v>0</v>
      </c>
      <c r="AH236" s="36"/>
      <c r="AI236" s="36">
        <f>SUM(E236:AG236)</f>
        <v>132748.5</v>
      </c>
      <c r="AJ236" s="24"/>
      <c r="AK236" s="15" t="str">
        <f>'Gen Rev'!A236</f>
        <v>Gloria Glens Park</v>
      </c>
      <c r="AL236" s="15" t="str">
        <f t="shared" si="14"/>
        <v>Gloria Glens Park</v>
      </c>
      <c r="AM236" s="15" t="b">
        <f t="shared" si="15"/>
        <v>1</v>
      </c>
    </row>
    <row r="237" spans="1:39" ht="12.75">
      <c r="A237" s="15" t="s">
        <v>10</v>
      </c>
      <c r="C237" s="15" t="s">
        <v>748</v>
      </c>
      <c r="E237" s="36">
        <v>261730.31</v>
      </c>
      <c r="F237" s="36"/>
      <c r="G237" s="36">
        <v>0</v>
      </c>
      <c r="H237" s="36"/>
      <c r="I237" s="36">
        <v>243557.3</v>
      </c>
      <c r="J237" s="36"/>
      <c r="K237" s="36">
        <v>0</v>
      </c>
      <c r="L237" s="36"/>
      <c r="M237" s="36">
        <v>44232.4</v>
      </c>
      <c r="N237" s="36"/>
      <c r="O237" s="36">
        <v>29718.96</v>
      </c>
      <c r="P237" s="36"/>
      <c r="Q237" s="36">
        <v>1733.29</v>
      </c>
      <c r="R237" s="36"/>
      <c r="S237" s="36">
        <v>9696.17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v>0</v>
      </c>
      <c r="AF237" s="36"/>
      <c r="AG237" s="36">
        <v>0</v>
      </c>
      <c r="AH237" s="36"/>
      <c r="AI237" s="36">
        <f>SUM(E237:AG237)</f>
        <v>590668.43</v>
      </c>
      <c r="AJ237" s="24"/>
      <c r="AK237" s="15" t="str">
        <f>'Gen Rev'!A237</f>
        <v>Glouster</v>
      </c>
      <c r="AL237" s="15" t="str">
        <f t="shared" si="14"/>
        <v>Glouster</v>
      </c>
      <c r="AM237" s="15" t="b">
        <f t="shared" si="15"/>
        <v>1</v>
      </c>
    </row>
    <row r="238" spans="1:39" s="31" customFormat="1" ht="12.75">
      <c r="A238" s="15" t="s">
        <v>565</v>
      </c>
      <c r="B238" s="15"/>
      <c r="C238" s="15" t="s">
        <v>562</v>
      </c>
      <c r="D238" s="15"/>
      <c r="E238" s="85">
        <f>81365+18532</f>
        <v>99897</v>
      </c>
      <c r="F238" s="85"/>
      <c r="G238" s="85">
        <v>295049</v>
      </c>
      <c r="H238" s="85"/>
      <c r="I238" s="85">
        <f>36658+80547</f>
        <v>117205</v>
      </c>
      <c r="J238" s="85"/>
      <c r="K238" s="85">
        <v>0</v>
      </c>
      <c r="L238" s="85"/>
      <c r="M238" s="85">
        <f>57234+24988+190773</f>
        <v>272995</v>
      </c>
      <c r="N238" s="85"/>
      <c r="O238" s="85">
        <v>1044</v>
      </c>
      <c r="P238" s="85"/>
      <c r="Q238" s="85">
        <v>1276</v>
      </c>
      <c r="R238" s="85"/>
      <c r="S238" s="85">
        <f>38797+24972</f>
        <v>63769</v>
      </c>
      <c r="T238" s="85"/>
      <c r="U238" s="85">
        <v>0</v>
      </c>
      <c r="V238" s="85"/>
      <c r="W238" s="85">
        <v>0</v>
      </c>
      <c r="X238" s="85"/>
      <c r="Y238" s="85">
        <v>0</v>
      </c>
      <c r="Z238" s="85"/>
      <c r="AA238" s="85">
        <f>145227+90102+36077</f>
        <v>271406</v>
      </c>
      <c r="AB238" s="85"/>
      <c r="AC238" s="85">
        <v>0</v>
      </c>
      <c r="AD238" s="85"/>
      <c r="AE238" s="85">
        <v>0</v>
      </c>
      <c r="AF238" s="86"/>
      <c r="AG238" s="85">
        <v>0</v>
      </c>
      <c r="AH238" s="86"/>
      <c r="AI238" s="85">
        <f t="shared" si="13"/>
        <v>1122641</v>
      </c>
      <c r="AJ238" s="24"/>
      <c r="AK238" s="15" t="str">
        <f>'Gen Rev'!A238</f>
        <v>Gnadenhutten</v>
      </c>
      <c r="AL238" s="15" t="str">
        <f t="shared" si="14"/>
        <v>Gnadenhutten</v>
      </c>
      <c r="AM238" s="15" t="b">
        <f t="shared" si="15"/>
        <v>1</v>
      </c>
    </row>
    <row r="239" spans="1:39" s="31" customFormat="1" ht="12.75">
      <c r="A239" s="15" t="s">
        <v>382</v>
      </c>
      <c r="B239" s="15"/>
      <c r="C239" s="15" t="s">
        <v>378</v>
      </c>
      <c r="D239" s="15"/>
      <c r="E239" s="85">
        <v>2032085.6</v>
      </c>
      <c r="F239" s="85"/>
      <c r="G239" s="85">
        <v>648639.33</v>
      </c>
      <c r="H239" s="85"/>
      <c r="I239" s="85">
        <v>403863.12</v>
      </c>
      <c r="J239" s="85"/>
      <c r="K239" s="85">
        <v>0</v>
      </c>
      <c r="L239" s="85"/>
      <c r="M239" s="85">
        <v>716966.93</v>
      </c>
      <c r="N239" s="85"/>
      <c r="O239" s="85">
        <v>110483.9</v>
      </c>
      <c r="P239" s="85"/>
      <c r="Q239" s="85">
        <v>0</v>
      </c>
      <c r="R239" s="85"/>
      <c r="S239" s="85">
        <v>107051.76</v>
      </c>
      <c r="T239" s="85"/>
      <c r="U239" s="85">
        <v>0</v>
      </c>
      <c r="V239" s="85"/>
      <c r="W239" s="85">
        <v>0</v>
      </c>
      <c r="X239" s="85"/>
      <c r="Y239" s="85">
        <v>2405</v>
      </c>
      <c r="Z239" s="85"/>
      <c r="AA239" s="85">
        <v>625000</v>
      </c>
      <c r="AB239" s="85"/>
      <c r="AC239" s="85">
        <v>0</v>
      </c>
      <c r="AD239" s="85"/>
      <c r="AE239" s="85">
        <v>0</v>
      </c>
      <c r="AF239" s="85"/>
      <c r="AG239" s="85">
        <v>0</v>
      </c>
      <c r="AH239" s="85"/>
      <c r="AI239" s="85">
        <f t="shared" si="13"/>
        <v>4646495.640000001</v>
      </c>
      <c r="AJ239" s="24"/>
      <c r="AK239" s="15" t="str">
        <f>'Gen Rev'!A239</f>
        <v>Golf Manor</v>
      </c>
      <c r="AL239" s="15" t="str">
        <f t="shared" si="14"/>
        <v>Golf Manor</v>
      </c>
      <c r="AM239" s="15" t="b">
        <f t="shared" si="15"/>
        <v>1</v>
      </c>
    </row>
    <row r="240" spans="1:42" s="31" customFormat="1" ht="12.6" customHeight="1">
      <c r="A240" s="15" t="s">
        <v>331</v>
      </c>
      <c r="B240" s="15"/>
      <c r="C240" s="15" t="s">
        <v>329</v>
      </c>
      <c r="D240" s="15"/>
      <c r="E240" s="36">
        <v>13207.93</v>
      </c>
      <c r="F240" s="36"/>
      <c r="G240" s="36">
        <v>0</v>
      </c>
      <c r="H240" s="36"/>
      <c r="I240" s="36">
        <v>38035.44</v>
      </c>
      <c r="J240" s="36"/>
      <c r="K240" s="36">
        <v>0</v>
      </c>
      <c r="L240" s="36"/>
      <c r="M240" s="36">
        <v>110</v>
      </c>
      <c r="N240" s="36"/>
      <c r="O240" s="36">
        <v>0</v>
      </c>
      <c r="P240" s="36"/>
      <c r="Q240" s="36">
        <v>70.34</v>
      </c>
      <c r="R240" s="36"/>
      <c r="S240" s="36">
        <v>0</v>
      </c>
      <c r="T240" s="36"/>
      <c r="U240" s="36">
        <v>0</v>
      </c>
      <c r="V240" s="36"/>
      <c r="W240" s="36">
        <v>0</v>
      </c>
      <c r="X240" s="36"/>
      <c r="Y240" s="36">
        <v>0</v>
      </c>
      <c r="Z240" s="36"/>
      <c r="AA240" s="36">
        <v>0</v>
      </c>
      <c r="AB240" s="36"/>
      <c r="AC240" s="36">
        <v>0</v>
      </c>
      <c r="AD240" s="36"/>
      <c r="AE240" s="36">
        <v>0</v>
      </c>
      <c r="AF240" s="36"/>
      <c r="AG240" s="36">
        <v>0</v>
      </c>
      <c r="AH240" s="36"/>
      <c r="AI240" s="36">
        <f>SUM(E240:AG240)</f>
        <v>51423.71</v>
      </c>
      <c r="AJ240" s="24"/>
      <c r="AK240" s="15" t="str">
        <f>'Gen Rev'!A240</f>
        <v>Gordon</v>
      </c>
      <c r="AL240" s="15" t="str">
        <f t="shared" si="14"/>
        <v>Gordon</v>
      </c>
      <c r="AM240" s="15" t="b">
        <f t="shared" si="15"/>
        <v>1</v>
      </c>
      <c r="AN240" s="32"/>
      <c r="AO240" s="32"/>
      <c r="AP240" s="32"/>
    </row>
    <row r="241" spans="1:39" ht="12.75">
      <c r="A241" s="15" t="s">
        <v>450</v>
      </c>
      <c r="C241" s="15" t="s">
        <v>451</v>
      </c>
      <c r="E241" s="85">
        <v>243736</v>
      </c>
      <c r="F241" s="85"/>
      <c r="G241" s="85">
        <v>1274426</v>
      </c>
      <c r="H241" s="85"/>
      <c r="I241" s="85">
        <v>478056</v>
      </c>
      <c r="J241" s="85"/>
      <c r="K241" s="85">
        <v>1785</v>
      </c>
      <c r="L241" s="85"/>
      <c r="M241" s="85">
        <v>282157</v>
      </c>
      <c r="N241" s="85"/>
      <c r="O241" s="85">
        <v>45165</v>
      </c>
      <c r="P241" s="85"/>
      <c r="Q241" s="85">
        <v>35119</v>
      </c>
      <c r="R241" s="85"/>
      <c r="S241" s="85">
        <v>43825</v>
      </c>
      <c r="T241" s="85"/>
      <c r="U241" s="85">
        <v>0</v>
      </c>
      <c r="V241" s="85"/>
      <c r="W241" s="85">
        <v>37189</v>
      </c>
      <c r="X241" s="85"/>
      <c r="Y241" s="85">
        <v>0</v>
      </c>
      <c r="Z241" s="85"/>
      <c r="AA241" s="85">
        <v>174487</v>
      </c>
      <c r="AB241" s="85"/>
      <c r="AC241" s="85">
        <v>0</v>
      </c>
      <c r="AD241" s="85"/>
      <c r="AE241" s="85">
        <v>0</v>
      </c>
      <c r="AF241" s="85"/>
      <c r="AG241" s="85">
        <v>0</v>
      </c>
      <c r="AH241" s="85"/>
      <c r="AI241" s="85">
        <f t="shared" si="13"/>
        <v>2615945</v>
      </c>
      <c r="AJ241" s="24"/>
      <c r="AK241" s="15" t="str">
        <f>'Gen Rev'!A241</f>
        <v>Grafton</v>
      </c>
      <c r="AL241" s="15" t="str">
        <f t="shared" si="14"/>
        <v>Grafton</v>
      </c>
      <c r="AM241" s="15" t="b">
        <f t="shared" si="15"/>
        <v>1</v>
      </c>
    </row>
    <row r="242" spans="1:39" ht="12.75">
      <c r="A242" s="15" t="s">
        <v>255</v>
      </c>
      <c r="C242" s="15" t="s">
        <v>825</v>
      </c>
      <c r="E242" s="36">
        <v>64687.3</v>
      </c>
      <c r="F242" s="36"/>
      <c r="G242" s="36">
        <v>229587.65</v>
      </c>
      <c r="H242" s="36"/>
      <c r="I242" s="36">
        <v>117565.99</v>
      </c>
      <c r="J242" s="36"/>
      <c r="K242" s="36">
        <v>22392.71</v>
      </c>
      <c r="L242" s="36"/>
      <c r="M242" s="36">
        <v>3954.78</v>
      </c>
      <c r="N242" s="36"/>
      <c r="O242" s="36">
        <v>16242.96</v>
      </c>
      <c r="P242" s="36"/>
      <c r="Q242" s="36">
        <v>46474.28</v>
      </c>
      <c r="R242" s="36"/>
      <c r="S242" s="36">
        <v>12219.58</v>
      </c>
      <c r="T242" s="36"/>
      <c r="U242" s="36">
        <v>0</v>
      </c>
      <c r="V242" s="36"/>
      <c r="W242" s="36">
        <v>0</v>
      </c>
      <c r="X242" s="36"/>
      <c r="Y242" s="36">
        <v>0</v>
      </c>
      <c r="Z242" s="36"/>
      <c r="AA242" s="36">
        <v>209280</v>
      </c>
      <c r="AB242" s="36"/>
      <c r="AC242" s="36">
        <v>0</v>
      </c>
      <c r="AD242" s="36"/>
      <c r="AE242" s="36">
        <v>606.6</v>
      </c>
      <c r="AF242" s="36"/>
      <c r="AG242" s="36">
        <v>23077.29</v>
      </c>
      <c r="AH242" s="36"/>
      <c r="AI242" s="36">
        <f>SUM(E242:AG242)</f>
        <v>746089.14</v>
      </c>
      <c r="AJ242" s="24"/>
      <c r="AK242" s="15" t="str">
        <f>'Gen Rev'!A242</f>
        <v>Grand Rapids</v>
      </c>
      <c r="AL242" s="15" t="str">
        <f t="shared" si="14"/>
        <v>Grand Rapids</v>
      </c>
      <c r="AM242" s="15" t="b">
        <f t="shared" si="15"/>
        <v>1</v>
      </c>
    </row>
    <row r="243" spans="1:39" s="31" customFormat="1" ht="12.75">
      <c r="A243" s="15" t="s">
        <v>431</v>
      </c>
      <c r="B243" s="15"/>
      <c r="C243" s="15" t="s">
        <v>430</v>
      </c>
      <c r="D243" s="15"/>
      <c r="E243" s="85">
        <f>73565.79+114859.54</f>
        <v>188425.33</v>
      </c>
      <c r="F243" s="85"/>
      <c r="G243" s="85">
        <v>236707.83</v>
      </c>
      <c r="H243" s="85"/>
      <c r="I243" s="85">
        <v>64421.09</v>
      </c>
      <c r="J243" s="85"/>
      <c r="K243" s="85">
        <v>0</v>
      </c>
      <c r="L243" s="85"/>
      <c r="M243" s="85">
        <v>7567.74</v>
      </c>
      <c r="N243" s="85"/>
      <c r="O243" s="85">
        <v>63462</v>
      </c>
      <c r="P243" s="85"/>
      <c r="Q243" s="85">
        <v>217.92</v>
      </c>
      <c r="R243" s="85"/>
      <c r="S243" s="85">
        <v>3778.57</v>
      </c>
      <c r="T243" s="85"/>
      <c r="U243" s="85">
        <v>0</v>
      </c>
      <c r="V243" s="85"/>
      <c r="W243" s="85">
        <v>0</v>
      </c>
      <c r="X243" s="85"/>
      <c r="Y243" s="85">
        <v>0</v>
      </c>
      <c r="Z243" s="85"/>
      <c r="AA243" s="85">
        <v>0</v>
      </c>
      <c r="AB243" s="85"/>
      <c r="AC243" s="85">
        <v>59996</v>
      </c>
      <c r="AD243" s="85"/>
      <c r="AE243" s="85">
        <v>0</v>
      </c>
      <c r="AF243" s="85"/>
      <c r="AG243" s="85">
        <v>0</v>
      </c>
      <c r="AH243" s="85"/>
      <c r="AI243" s="85">
        <f t="shared" si="13"/>
        <v>624576.48</v>
      </c>
      <c r="AJ243" s="24"/>
      <c r="AK243" s="15" t="e">
        <f>#REF!</f>
        <v>#REF!</v>
      </c>
      <c r="AL243" s="15" t="str">
        <f t="shared" si="14"/>
        <v>Grand River</v>
      </c>
      <c r="AM243" s="15" t="e">
        <f t="shared" si="15"/>
        <v>#REF!</v>
      </c>
    </row>
    <row r="244" spans="1:39" s="31" customFormat="1" ht="12.75">
      <c r="A244" s="15"/>
      <c r="B244" s="15"/>
      <c r="C244" s="15"/>
      <c r="D244" s="1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3" t="s">
        <v>864</v>
      </c>
      <c r="AJ244" s="24"/>
      <c r="AK244" s="15"/>
      <c r="AL244" s="15"/>
      <c r="AM244" s="15"/>
    </row>
    <row r="245" spans="1:39" s="31" customFormat="1" ht="12.75">
      <c r="A245" s="15" t="s">
        <v>438</v>
      </c>
      <c r="B245" s="15"/>
      <c r="C245" s="15" t="s">
        <v>439</v>
      </c>
      <c r="D245" s="15"/>
      <c r="E245" s="102">
        <v>3328527.1</v>
      </c>
      <c r="F245" s="102"/>
      <c r="G245" s="102">
        <v>0</v>
      </c>
      <c r="H245" s="102"/>
      <c r="I245" s="102">
        <v>2353752.53</v>
      </c>
      <c r="J245" s="102"/>
      <c r="K245" s="102">
        <v>21523.91</v>
      </c>
      <c r="L245" s="102"/>
      <c r="M245" s="102">
        <v>1545983.17</v>
      </c>
      <c r="N245" s="102"/>
      <c r="O245" s="102">
        <v>131564.93</v>
      </c>
      <c r="P245" s="102"/>
      <c r="Q245" s="102">
        <v>0</v>
      </c>
      <c r="R245" s="102"/>
      <c r="S245" s="102">
        <v>258317.11</v>
      </c>
      <c r="T245" s="102"/>
      <c r="U245" s="102">
        <v>0</v>
      </c>
      <c r="V245" s="102"/>
      <c r="W245" s="102">
        <v>359000</v>
      </c>
      <c r="X245" s="102"/>
      <c r="Y245" s="102">
        <v>0</v>
      </c>
      <c r="Z245" s="102"/>
      <c r="AA245" s="102">
        <v>2320311.06</v>
      </c>
      <c r="AB245" s="102"/>
      <c r="AC245" s="102">
        <v>0</v>
      </c>
      <c r="AD245" s="102"/>
      <c r="AE245" s="102">
        <v>0</v>
      </c>
      <c r="AF245" s="102"/>
      <c r="AG245" s="102">
        <v>0</v>
      </c>
      <c r="AH245" s="102"/>
      <c r="AI245" s="102">
        <f t="shared" si="13"/>
        <v>10318979.81</v>
      </c>
      <c r="AJ245" s="24"/>
      <c r="AK245" s="15" t="e">
        <f>#REF!</f>
        <v>#REF!</v>
      </c>
      <c r="AL245" s="15" t="str">
        <f t="shared" si="14"/>
        <v>Granville</v>
      </c>
      <c r="AM245" s="15" t="e">
        <f t="shared" si="15"/>
        <v>#REF!</v>
      </c>
    </row>
    <row r="246" spans="1:39" s="31" customFormat="1" ht="12.75">
      <c r="A246" s="15" t="s">
        <v>440</v>
      </c>
      <c r="B246" s="15"/>
      <c r="C246" s="15" t="s">
        <v>439</v>
      </c>
      <c r="D246" s="15"/>
      <c r="E246" s="85">
        <v>3092.66</v>
      </c>
      <c r="F246" s="85"/>
      <c r="G246" s="85">
        <v>0</v>
      </c>
      <c r="H246" s="85"/>
      <c r="I246" s="85">
        <f>19709.62+8574.15</f>
        <v>28283.769999999997</v>
      </c>
      <c r="J246" s="85"/>
      <c r="K246" s="85">
        <v>0</v>
      </c>
      <c r="L246" s="85"/>
      <c r="M246" s="85">
        <v>0</v>
      </c>
      <c r="N246" s="85"/>
      <c r="O246" s="85">
        <v>0</v>
      </c>
      <c r="P246" s="85"/>
      <c r="Q246" s="85">
        <v>0</v>
      </c>
      <c r="R246" s="85"/>
      <c r="S246" s="85">
        <f>202.93+13.48</f>
        <v>216.41</v>
      </c>
      <c r="T246" s="85"/>
      <c r="U246" s="85">
        <v>0</v>
      </c>
      <c r="V246" s="85"/>
      <c r="W246" s="85">
        <v>0</v>
      </c>
      <c r="X246" s="85"/>
      <c r="Y246" s="85">
        <v>0</v>
      </c>
      <c r="Z246" s="85"/>
      <c r="AA246" s="85">
        <v>0</v>
      </c>
      <c r="AB246" s="85"/>
      <c r="AC246" s="85">
        <v>0</v>
      </c>
      <c r="AD246" s="85"/>
      <c r="AE246" s="85">
        <v>0</v>
      </c>
      <c r="AF246" s="85"/>
      <c r="AG246" s="85">
        <v>0</v>
      </c>
      <c r="AH246" s="85"/>
      <c r="AI246" s="85">
        <f t="shared" si="13"/>
        <v>31592.839999999997</v>
      </c>
      <c r="AJ246" s="24"/>
      <c r="AK246" s="15" t="e">
        <f>#REF!</f>
        <v>#REF!</v>
      </c>
      <c r="AL246" s="15" t="str">
        <f t="shared" si="14"/>
        <v>Gratiot</v>
      </c>
      <c r="AM246" s="15" t="e">
        <f t="shared" si="15"/>
        <v>#REF!</v>
      </c>
    </row>
    <row r="247" spans="1:39" s="39" customFormat="1" ht="12.75">
      <c r="A247" s="39" t="s">
        <v>201</v>
      </c>
      <c r="C247" s="39" t="s">
        <v>807</v>
      </c>
      <c r="E247" s="36">
        <v>81006.06</v>
      </c>
      <c r="F247" s="36"/>
      <c r="G247" s="36">
        <v>0</v>
      </c>
      <c r="H247" s="36"/>
      <c r="I247" s="36">
        <v>78306.42</v>
      </c>
      <c r="J247" s="36"/>
      <c r="K247" s="36">
        <v>0</v>
      </c>
      <c r="L247" s="36"/>
      <c r="M247" s="36">
        <v>288126.7</v>
      </c>
      <c r="N247" s="36"/>
      <c r="O247" s="36">
        <v>31526.55</v>
      </c>
      <c r="P247" s="36"/>
      <c r="Q247" s="36">
        <v>1443.86</v>
      </c>
      <c r="R247" s="36"/>
      <c r="S247" s="36">
        <v>193158.86</v>
      </c>
      <c r="T247" s="36"/>
      <c r="U247" s="36">
        <v>0</v>
      </c>
      <c r="V247" s="36"/>
      <c r="W247" s="36">
        <v>0</v>
      </c>
      <c r="X247" s="36"/>
      <c r="Y247" s="36">
        <v>0</v>
      </c>
      <c r="Z247" s="36"/>
      <c r="AA247" s="36">
        <v>161500</v>
      </c>
      <c r="AB247" s="36"/>
      <c r="AC247" s="36">
        <v>5880.23</v>
      </c>
      <c r="AD247" s="36"/>
      <c r="AE247" s="36">
        <v>2138.21</v>
      </c>
      <c r="AF247" s="36"/>
      <c r="AG247" s="36">
        <v>0</v>
      </c>
      <c r="AH247" s="36"/>
      <c r="AI247" s="36">
        <f>SUM(E247:AG247)</f>
        <v>843086.8899999999</v>
      </c>
      <c r="AK247" s="15" t="e">
        <f>#REF!</f>
        <v>#REF!</v>
      </c>
      <c r="AL247" s="15" t="str">
        <f t="shared" si="14"/>
        <v>Gratis</v>
      </c>
      <c r="AM247" s="15" t="e">
        <f t="shared" si="15"/>
        <v>#REF!</v>
      </c>
    </row>
    <row r="248" spans="1:39" ht="12.75">
      <c r="A248" s="15" t="s">
        <v>475</v>
      </c>
      <c r="C248" s="15" t="s">
        <v>474</v>
      </c>
      <c r="E248" s="85">
        <v>2180</v>
      </c>
      <c r="F248" s="85"/>
      <c r="G248" s="85">
        <v>0</v>
      </c>
      <c r="H248" s="85"/>
      <c r="I248" s="85">
        <v>8828</v>
      </c>
      <c r="J248" s="85"/>
      <c r="K248" s="85">
        <v>0</v>
      </c>
      <c r="L248" s="85"/>
      <c r="M248" s="85">
        <v>0</v>
      </c>
      <c r="N248" s="85"/>
      <c r="O248" s="85">
        <v>0</v>
      </c>
      <c r="P248" s="85"/>
      <c r="Q248" s="85">
        <v>29</v>
      </c>
      <c r="R248" s="85"/>
      <c r="S248" s="85">
        <v>0</v>
      </c>
      <c r="T248" s="85"/>
      <c r="U248" s="85">
        <v>0</v>
      </c>
      <c r="V248" s="85"/>
      <c r="W248" s="85">
        <v>0</v>
      </c>
      <c r="X248" s="85"/>
      <c r="Y248" s="85">
        <v>0</v>
      </c>
      <c r="Z248" s="85"/>
      <c r="AA248" s="85">
        <v>0</v>
      </c>
      <c r="AB248" s="85"/>
      <c r="AC248" s="85">
        <v>0</v>
      </c>
      <c r="AD248" s="85"/>
      <c r="AE248" s="85">
        <v>0</v>
      </c>
      <c r="AF248" s="85"/>
      <c r="AG248" s="85">
        <v>0</v>
      </c>
      <c r="AH248" s="85"/>
      <c r="AI248" s="85">
        <f t="shared" si="13"/>
        <v>11037</v>
      </c>
      <c r="AJ248" s="39"/>
      <c r="AK248" s="15" t="e">
        <f>#REF!</f>
        <v>#REF!</v>
      </c>
      <c r="AL248" s="15" t="str">
        <f t="shared" si="14"/>
        <v>Graysville</v>
      </c>
      <c r="AM248" s="15" t="e">
        <f t="shared" si="15"/>
        <v>#REF!</v>
      </c>
    </row>
    <row r="249" spans="1:39" ht="12.75">
      <c r="A249" s="15" t="s">
        <v>148</v>
      </c>
      <c r="C249" s="15" t="s">
        <v>791</v>
      </c>
      <c r="E249" s="36">
        <v>57910.21</v>
      </c>
      <c r="F249" s="36"/>
      <c r="G249" s="36">
        <v>0</v>
      </c>
      <c r="H249" s="36"/>
      <c r="I249" s="36">
        <v>31093.88</v>
      </c>
      <c r="J249" s="36"/>
      <c r="K249" s="36">
        <v>0</v>
      </c>
      <c r="L249" s="36"/>
      <c r="M249" s="36">
        <v>26884.45</v>
      </c>
      <c r="N249" s="36"/>
      <c r="O249" s="36">
        <v>1875</v>
      </c>
      <c r="P249" s="36"/>
      <c r="Q249" s="36">
        <v>706.83</v>
      </c>
      <c r="R249" s="36"/>
      <c r="S249" s="36">
        <v>70.48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0</v>
      </c>
      <c r="AB249" s="36"/>
      <c r="AC249" s="36">
        <v>0</v>
      </c>
      <c r="AD249" s="36"/>
      <c r="AE249" s="36">
        <v>0</v>
      </c>
      <c r="AF249" s="36"/>
      <c r="AG249" s="36">
        <v>0</v>
      </c>
      <c r="AH249" s="36"/>
      <c r="AI249" s="36">
        <f>SUM(E249:AG249)</f>
        <v>118540.84999999999</v>
      </c>
      <c r="AJ249" s="24"/>
      <c r="AK249" s="15" t="e">
        <f>#REF!</f>
        <v>#REF!</v>
      </c>
      <c r="AL249" s="15" t="str">
        <f t="shared" si="14"/>
        <v>Green Camp</v>
      </c>
      <c r="AM249" s="15" t="e">
        <f t="shared" si="15"/>
        <v>#REF!</v>
      </c>
    </row>
    <row r="250" spans="1:39" ht="12.75">
      <c r="A250" s="15" t="s">
        <v>219</v>
      </c>
      <c r="C250" s="15" t="s">
        <v>813</v>
      </c>
      <c r="E250" s="36">
        <v>98579.5</v>
      </c>
      <c r="F250" s="36"/>
      <c r="G250" s="36">
        <v>260010.94</v>
      </c>
      <c r="H250" s="36"/>
      <c r="I250" s="36">
        <v>615375.07</v>
      </c>
      <c r="J250" s="36"/>
      <c r="K250" s="36">
        <v>0</v>
      </c>
      <c r="L250" s="36"/>
      <c r="M250" s="36">
        <v>5138.25</v>
      </c>
      <c r="N250" s="36"/>
      <c r="O250" s="36">
        <v>12064.94</v>
      </c>
      <c r="P250" s="36"/>
      <c r="Q250" s="36">
        <v>2555.06</v>
      </c>
      <c r="R250" s="36"/>
      <c r="S250" s="36">
        <v>7352.28</v>
      </c>
      <c r="T250" s="36"/>
      <c r="U250" s="36">
        <v>0</v>
      </c>
      <c r="V250" s="36"/>
      <c r="W250" s="36">
        <v>0</v>
      </c>
      <c r="X250" s="36"/>
      <c r="Y250" s="36">
        <v>0</v>
      </c>
      <c r="Z250" s="36"/>
      <c r="AA250" s="36">
        <v>88576.75</v>
      </c>
      <c r="AB250" s="36"/>
      <c r="AC250" s="36">
        <v>0</v>
      </c>
      <c r="AD250" s="36"/>
      <c r="AE250" s="36">
        <v>0</v>
      </c>
      <c r="AF250" s="36"/>
      <c r="AG250" s="36">
        <v>1566.64</v>
      </c>
      <c r="AH250" s="36"/>
      <c r="AI250" s="36">
        <f>SUM(E250:AG250)</f>
        <v>1091219.43</v>
      </c>
      <c r="AJ250" s="24"/>
      <c r="AK250" s="15" t="e">
        <f>#REF!</f>
        <v>#REF!</v>
      </c>
      <c r="AL250" s="15" t="str">
        <f t="shared" si="14"/>
        <v>Green Springs</v>
      </c>
      <c r="AM250" s="15" t="e">
        <f t="shared" si="15"/>
        <v>#REF!</v>
      </c>
    </row>
    <row r="251" spans="1:39" ht="12.75">
      <c r="A251" s="15" t="s">
        <v>967</v>
      </c>
      <c r="C251" s="15" t="s">
        <v>409</v>
      </c>
      <c r="E251" s="83">
        <v>106908</v>
      </c>
      <c r="F251" s="83"/>
      <c r="G251" s="83">
        <v>1113806</v>
      </c>
      <c r="H251" s="83"/>
      <c r="I251" s="83">
        <v>561108</v>
      </c>
      <c r="J251" s="83"/>
      <c r="K251" s="83">
        <v>0</v>
      </c>
      <c r="L251" s="83"/>
      <c r="M251" s="83">
        <v>88381</v>
      </c>
      <c r="N251" s="83"/>
      <c r="O251" s="83">
        <v>43936</v>
      </c>
      <c r="P251" s="83"/>
      <c r="Q251" s="83">
        <v>7666</v>
      </c>
      <c r="R251" s="83"/>
      <c r="S251" s="83">
        <v>25155</v>
      </c>
      <c r="T251" s="83"/>
      <c r="U251" s="85">
        <v>0</v>
      </c>
      <c r="V251" s="85"/>
      <c r="W251" s="85">
        <v>0</v>
      </c>
      <c r="X251" s="85"/>
      <c r="Y251" s="85">
        <v>0</v>
      </c>
      <c r="Z251" s="85"/>
      <c r="AA251" s="85">
        <v>575000</v>
      </c>
      <c r="AB251" s="85"/>
      <c r="AC251" s="85">
        <v>0</v>
      </c>
      <c r="AD251" s="85"/>
      <c r="AE251" s="85">
        <v>0</v>
      </c>
      <c r="AF251" s="85"/>
      <c r="AG251" s="85">
        <v>0</v>
      </c>
      <c r="AH251" s="85"/>
      <c r="AI251" s="85">
        <f t="shared" si="13"/>
        <v>2521960</v>
      </c>
      <c r="AJ251" s="24"/>
      <c r="AK251" s="15" t="str">
        <f>'Gen Rev'!A251</f>
        <v>Greenfield</v>
      </c>
      <c r="AL251" s="15" t="str">
        <f t="shared" si="14"/>
        <v>Greenfield</v>
      </c>
      <c r="AM251" s="15" t="b">
        <f t="shared" si="15"/>
        <v>1</v>
      </c>
    </row>
    <row r="252" spans="1:39" ht="12.75">
      <c r="A252" s="15" t="s">
        <v>94</v>
      </c>
      <c r="C252" s="15" t="s">
        <v>773</v>
      </c>
      <c r="E252" s="95">
        <v>1324339.48</v>
      </c>
      <c r="F252" s="95"/>
      <c r="G252" s="95">
        <v>932163.53</v>
      </c>
      <c r="H252" s="95"/>
      <c r="I252" s="95">
        <v>751007.18</v>
      </c>
      <c r="J252" s="95"/>
      <c r="K252" s="95">
        <v>35439.81</v>
      </c>
      <c r="L252" s="95"/>
      <c r="M252" s="95">
        <v>584947.1</v>
      </c>
      <c r="N252" s="95"/>
      <c r="O252" s="95">
        <v>130628.86</v>
      </c>
      <c r="P252" s="95"/>
      <c r="Q252" s="95">
        <v>464.45</v>
      </c>
      <c r="R252" s="95"/>
      <c r="S252" s="95">
        <v>80637.2</v>
      </c>
      <c r="T252" s="95"/>
      <c r="U252" s="95">
        <v>0</v>
      </c>
      <c r="V252" s="95"/>
      <c r="W252" s="95">
        <v>0</v>
      </c>
      <c r="X252" s="95"/>
      <c r="Y252" s="95">
        <v>0</v>
      </c>
      <c r="Z252" s="95"/>
      <c r="AA252" s="95">
        <v>332214</v>
      </c>
      <c r="AB252" s="95"/>
      <c r="AC252" s="95">
        <v>20000</v>
      </c>
      <c r="AD252" s="95"/>
      <c r="AE252" s="95">
        <v>0</v>
      </c>
      <c r="AF252" s="95"/>
      <c r="AG252" s="95">
        <v>0</v>
      </c>
      <c r="AH252" s="95"/>
      <c r="AI252" s="95">
        <f>SUM(E252:AG252)</f>
        <v>4191841.6100000003</v>
      </c>
      <c r="AJ252" s="24"/>
      <c r="AK252" s="15" t="str">
        <f>'Gen Rev'!A252</f>
        <v>Greenhills</v>
      </c>
      <c r="AL252" s="15" t="str">
        <f t="shared" si="14"/>
        <v>Greenhills</v>
      </c>
      <c r="AM252" s="15" t="b">
        <f t="shared" si="15"/>
        <v>1</v>
      </c>
    </row>
    <row r="253" spans="1:39" ht="12.75">
      <c r="A253" s="15" t="s">
        <v>113</v>
      </c>
      <c r="C253" s="15" t="s">
        <v>780</v>
      </c>
      <c r="E253" s="36">
        <v>150585.13</v>
      </c>
      <c r="F253" s="36"/>
      <c r="G253" s="36">
        <v>186042.14</v>
      </c>
      <c r="H253" s="36"/>
      <c r="I253" s="36">
        <v>183043.29</v>
      </c>
      <c r="J253" s="36"/>
      <c r="K253" s="36">
        <v>0</v>
      </c>
      <c r="L253" s="36"/>
      <c r="M253" s="36">
        <v>3450</v>
      </c>
      <c r="N253" s="36"/>
      <c r="O253" s="36">
        <v>27697.34</v>
      </c>
      <c r="P253" s="36"/>
      <c r="Q253" s="36">
        <v>7114.33</v>
      </c>
      <c r="R253" s="36"/>
      <c r="S253" s="36">
        <v>11783.59</v>
      </c>
      <c r="T253" s="36"/>
      <c r="U253" s="36">
        <v>0</v>
      </c>
      <c r="V253" s="36"/>
      <c r="W253" s="36">
        <v>0</v>
      </c>
      <c r="X253" s="36"/>
      <c r="Y253" s="36">
        <v>0</v>
      </c>
      <c r="Z253" s="36"/>
      <c r="AA253" s="36">
        <v>163137.16</v>
      </c>
      <c r="AB253" s="36"/>
      <c r="AC253" s="36">
        <v>0</v>
      </c>
      <c r="AD253" s="36"/>
      <c r="AE253" s="36">
        <v>1</v>
      </c>
      <c r="AF253" s="36"/>
      <c r="AG253" s="36">
        <v>0</v>
      </c>
      <c r="AH253" s="36"/>
      <c r="AI253" s="36">
        <f>SUM(E253:AG253)</f>
        <v>732853.98</v>
      </c>
      <c r="AJ253" s="24"/>
      <c r="AK253" s="15" t="str">
        <f>'Gen Rev'!A253</f>
        <v>Greenwich</v>
      </c>
      <c r="AL253" s="15" t="str">
        <f t="shared" si="14"/>
        <v>Greenwich</v>
      </c>
      <c r="AM253" s="15" t="b">
        <f t="shared" si="15"/>
        <v>1</v>
      </c>
    </row>
    <row r="254" spans="1:42" s="31" customFormat="1" ht="12.75" hidden="1">
      <c r="A254" s="15" t="s">
        <v>354</v>
      </c>
      <c r="B254" s="15"/>
      <c r="C254" s="15" t="s">
        <v>353</v>
      </c>
      <c r="D254" s="1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>
        <f t="shared" si="13"/>
        <v>0</v>
      </c>
      <c r="AJ254" s="24"/>
      <c r="AK254" s="15" t="str">
        <f>'Gen Rev'!A254</f>
        <v>Groveport</v>
      </c>
      <c r="AL254" s="15" t="str">
        <f t="shared" si="14"/>
        <v>Groveport</v>
      </c>
      <c r="AM254" s="15" t="b">
        <f t="shared" si="15"/>
        <v>1</v>
      </c>
      <c r="AN254" s="32"/>
      <c r="AO254" s="32"/>
      <c r="AP254" s="32"/>
    </row>
    <row r="255" spans="1:39" ht="12.75">
      <c r="A255" s="15" t="s">
        <v>690</v>
      </c>
      <c r="C255" s="15" t="s">
        <v>497</v>
      </c>
      <c r="E255" s="85">
        <v>28567</v>
      </c>
      <c r="F255" s="85"/>
      <c r="G255" s="85">
        <v>0</v>
      </c>
      <c r="H255" s="85"/>
      <c r="I255" s="85">
        <v>40323</v>
      </c>
      <c r="J255" s="85"/>
      <c r="K255" s="85">
        <v>0</v>
      </c>
      <c r="L255" s="85"/>
      <c r="M255" s="85">
        <v>36274</v>
      </c>
      <c r="N255" s="85"/>
      <c r="O255" s="85">
        <v>4731</v>
      </c>
      <c r="P255" s="85"/>
      <c r="Q255" s="85">
        <v>0</v>
      </c>
      <c r="R255" s="85"/>
      <c r="S255" s="85">
        <v>8372</v>
      </c>
      <c r="T255" s="85"/>
      <c r="U255" s="85">
        <v>0</v>
      </c>
      <c r="V255" s="85"/>
      <c r="W255" s="85">
        <v>0</v>
      </c>
      <c r="X255" s="85"/>
      <c r="Y255" s="85">
        <v>0</v>
      </c>
      <c r="Z255" s="85"/>
      <c r="AA255" s="85">
        <v>0</v>
      </c>
      <c r="AB255" s="85"/>
      <c r="AC255" s="85">
        <v>0</v>
      </c>
      <c r="AD255" s="85"/>
      <c r="AE255" s="85">
        <v>0</v>
      </c>
      <c r="AF255" s="85"/>
      <c r="AG255" s="85">
        <v>0</v>
      </c>
      <c r="AH255" s="85"/>
      <c r="AI255" s="85">
        <f t="shared" si="13"/>
        <v>118267</v>
      </c>
      <c r="AJ255" s="24"/>
      <c r="AK255" s="15" t="str">
        <f>'Gen Rev'!A255</f>
        <v>Grower Hill</v>
      </c>
      <c r="AL255" s="15" t="str">
        <f t="shared" si="14"/>
        <v>Grower Hill</v>
      </c>
      <c r="AM255" s="15" t="b">
        <f t="shared" si="15"/>
        <v>1</v>
      </c>
    </row>
    <row r="256" spans="1:39" ht="12.75">
      <c r="A256" s="15" t="s">
        <v>365</v>
      </c>
      <c r="C256" s="15" t="s">
        <v>82</v>
      </c>
      <c r="E256" s="96">
        <v>44205.21</v>
      </c>
      <c r="F256" s="96"/>
      <c r="G256" s="96">
        <v>0</v>
      </c>
      <c r="H256" s="96"/>
      <c r="I256" s="96">
        <v>140500.94</v>
      </c>
      <c r="J256" s="96"/>
      <c r="K256" s="96">
        <v>240000</v>
      </c>
      <c r="L256" s="96"/>
      <c r="M256" s="96">
        <v>8050</v>
      </c>
      <c r="N256" s="96"/>
      <c r="O256" s="96">
        <v>250</v>
      </c>
      <c r="P256" s="96"/>
      <c r="Q256" s="96">
        <v>2120.65</v>
      </c>
      <c r="R256" s="96"/>
      <c r="S256" s="96">
        <v>4467.6</v>
      </c>
      <c r="T256" s="96"/>
      <c r="U256" s="96">
        <v>0</v>
      </c>
      <c r="V256" s="96"/>
      <c r="W256" s="96">
        <v>0</v>
      </c>
      <c r="X256" s="96"/>
      <c r="Y256" s="96">
        <v>0</v>
      </c>
      <c r="Z256" s="96"/>
      <c r="AA256" s="96">
        <v>0</v>
      </c>
      <c r="AB256" s="96"/>
      <c r="AC256" s="96">
        <v>0</v>
      </c>
      <c r="AD256" s="96"/>
      <c r="AE256" s="96">
        <v>0</v>
      </c>
      <c r="AF256" s="96"/>
      <c r="AG256" s="96">
        <v>0</v>
      </c>
      <c r="AH256" s="96"/>
      <c r="AI256" s="96">
        <f aca="true" t="shared" si="16" ref="AI256:AI266">SUM(E256:AG256)</f>
        <v>439594.4</v>
      </c>
      <c r="AJ256" s="24"/>
      <c r="AK256" s="15" t="str">
        <f>'Gen Rev'!A256</f>
        <v>Hamden</v>
      </c>
      <c r="AL256" s="15" t="str">
        <f t="shared" si="14"/>
        <v>Hamden</v>
      </c>
      <c r="AM256" s="15" t="b">
        <f t="shared" si="15"/>
        <v>1</v>
      </c>
    </row>
    <row r="257" spans="1:39" ht="12.75">
      <c r="A257" s="15" t="s">
        <v>23</v>
      </c>
      <c r="C257" s="15" t="s">
        <v>751</v>
      </c>
      <c r="E257" s="36">
        <v>13717.19</v>
      </c>
      <c r="F257" s="36"/>
      <c r="G257" s="36">
        <v>0</v>
      </c>
      <c r="H257" s="36"/>
      <c r="I257" s="36">
        <v>29531.84</v>
      </c>
      <c r="J257" s="36"/>
      <c r="K257" s="36">
        <v>0</v>
      </c>
      <c r="L257" s="36"/>
      <c r="M257" s="36">
        <v>0</v>
      </c>
      <c r="N257" s="36"/>
      <c r="O257" s="36">
        <v>16220.11</v>
      </c>
      <c r="P257" s="36"/>
      <c r="Q257" s="36">
        <v>817.55</v>
      </c>
      <c r="R257" s="36"/>
      <c r="S257" s="36">
        <v>17334.04</v>
      </c>
      <c r="T257" s="36"/>
      <c r="U257" s="36">
        <v>0</v>
      </c>
      <c r="V257" s="36"/>
      <c r="W257" s="36">
        <v>0</v>
      </c>
      <c r="X257" s="36"/>
      <c r="Y257" s="36">
        <v>0</v>
      </c>
      <c r="Z257" s="36"/>
      <c r="AA257" s="36">
        <v>73768.76</v>
      </c>
      <c r="AB257" s="36"/>
      <c r="AC257" s="36">
        <v>0</v>
      </c>
      <c r="AD257" s="36"/>
      <c r="AE257" s="36">
        <v>0</v>
      </c>
      <c r="AF257" s="36"/>
      <c r="AG257" s="36">
        <v>0</v>
      </c>
      <c r="AH257" s="36"/>
      <c r="AI257" s="36">
        <f t="shared" si="16"/>
        <v>151389.49</v>
      </c>
      <c r="AJ257" s="24"/>
      <c r="AK257" s="15" t="str">
        <f>'Gen Rev'!A257</f>
        <v>Hamersville</v>
      </c>
      <c r="AL257" s="15" t="str">
        <f t="shared" si="14"/>
        <v>Hamersville</v>
      </c>
      <c r="AM257" s="15" t="b">
        <f t="shared" si="15"/>
        <v>1</v>
      </c>
    </row>
    <row r="258" spans="1:39" ht="12.75">
      <c r="A258" s="15" t="s">
        <v>943</v>
      </c>
      <c r="C258" s="15" t="s">
        <v>407</v>
      </c>
      <c r="E258" s="36">
        <v>172758.52</v>
      </c>
      <c r="F258" s="36"/>
      <c r="G258" s="36">
        <v>87753.3</v>
      </c>
      <c r="H258" s="36"/>
      <c r="I258" s="36">
        <v>51004.23</v>
      </c>
      <c r="J258" s="36"/>
      <c r="K258" s="36">
        <v>0</v>
      </c>
      <c r="L258" s="36"/>
      <c r="M258" s="36">
        <v>1159.5</v>
      </c>
      <c r="N258" s="36"/>
      <c r="O258" s="36">
        <v>2525.41</v>
      </c>
      <c r="P258" s="36"/>
      <c r="Q258" s="36">
        <v>1696.94</v>
      </c>
      <c r="R258" s="36"/>
      <c r="S258" s="36">
        <v>18907.06</v>
      </c>
      <c r="T258" s="36"/>
      <c r="U258" s="36">
        <v>0</v>
      </c>
      <c r="V258" s="36"/>
      <c r="W258" s="36">
        <v>0</v>
      </c>
      <c r="X258" s="36"/>
      <c r="Y258" s="36">
        <v>0</v>
      </c>
      <c r="Z258" s="36"/>
      <c r="AA258" s="36">
        <v>55</v>
      </c>
      <c r="AB258" s="36"/>
      <c r="AC258" s="36">
        <v>0</v>
      </c>
      <c r="AD258" s="36"/>
      <c r="AE258" s="36">
        <v>0</v>
      </c>
      <c r="AF258" s="36"/>
      <c r="AG258" s="36">
        <v>0</v>
      </c>
      <c r="AH258" s="36"/>
      <c r="AI258" s="36">
        <f t="shared" si="16"/>
        <v>335859.95999999996</v>
      </c>
      <c r="AJ258" s="24"/>
      <c r="AK258" s="15" t="str">
        <f>'Gen Rev'!A258</f>
        <v>Hamler</v>
      </c>
      <c r="AL258" s="15" t="str">
        <f t="shared" si="14"/>
        <v>Hamler</v>
      </c>
      <c r="AM258" s="15" t="b">
        <f t="shared" si="15"/>
        <v>1</v>
      </c>
    </row>
    <row r="259" spans="1:39" s="31" customFormat="1" ht="12.75">
      <c r="A259" s="15" t="s">
        <v>126</v>
      </c>
      <c r="B259" s="15"/>
      <c r="C259" s="15" t="s">
        <v>784</v>
      </c>
      <c r="D259" s="15"/>
      <c r="E259" s="36">
        <v>4174.95</v>
      </c>
      <c r="F259" s="36"/>
      <c r="G259" s="36">
        <v>0</v>
      </c>
      <c r="H259" s="36"/>
      <c r="I259" s="36">
        <v>26439.97</v>
      </c>
      <c r="J259" s="36"/>
      <c r="K259" s="36">
        <v>0</v>
      </c>
      <c r="L259" s="36"/>
      <c r="M259" s="36">
        <v>0</v>
      </c>
      <c r="N259" s="36"/>
      <c r="O259" s="36">
        <v>166754.37</v>
      </c>
      <c r="P259" s="36"/>
      <c r="Q259" s="36">
        <v>93.3</v>
      </c>
      <c r="R259" s="36"/>
      <c r="S259" s="36">
        <v>16753.01</v>
      </c>
      <c r="T259" s="36"/>
      <c r="U259" s="36">
        <v>0</v>
      </c>
      <c r="V259" s="36"/>
      <c r="W259" s="36">
        <v>0</v>
      </c>
      <c r="X259" s="36"/>
      <c r="Y259" s="36">
        <v>5500</v>
      </c>
      <c r="Z259" s="36"/>
      <c r="AA259" s="36">
        <v>0</v>
      </c>
      <c r="AB259" s="36"/>
      <c r="AC259" s="36">
        <v>0</v>
      </c>
      <c r="AD259" s="36"/>
      <c r="AE259" s="36">
        <v>0</v>
      </c>
      <c r="AF259" s="36"/>
      <c r="AG259" s="36">
        <v>0</v>
      </c>
      <c r="AH259" s="36"/>
      <c r="AI259" s="36">
        <f t="shared" si="16"/>
        <v>219715.6</v>
      </c>
      <c r="AJ259" s="24"/>
      <c r="AK259" s="15" t="str">
        <f>'Gen Rev'!A259</f>
        <v>Hanging Rock</v>
      </c>
      <c r="AL259" s="15" t="str">
        <f t="shared" si="14"/>
        <v>Hanging Rock</v>
      </c>
      <c r="AM259" s="15" t="b">
        <f t="shared" si="15"/>
        <v>1</v>
      </c>
    </row>
    <row r="260" spans="1:39" ht="12.75">
      <c r="A260" s="15" t="s">
        <v>833</v>
      </c>
      <c r="C260" s="15" t="s">
        <v>439</v>
      </c>
      <c r="E260" s="95">
        <v>172714.07</v>
      </c>
      <c r="F260" s="95"/>
      <c r="G260" s="95">
        <v>0</v>
      </c>
      <c r="H260" s="95"/>
      <c r="I260" s="95">
        <v>91215.68</v>
      </c>
      <c r="J260" s="95"/>
      <c r="K260" s="95">
        <v>0</v>
      </c>
      <c r="L260" s="95"/>
      <c r="M260" s="95">
        <v>0</v>
      </c>
      <c r="N260" s="95"/>
      <c r="O260" s="95">
        <v>7509.24</v>
      </c>
      <c r="P260" s="95"/>
      <c r="Q260" s="95">
        <v>198.91</v>
      </c>
      <c r="R260" s="95"/>
      <c r="S260" s="95">
        <v>455</v>
      </c>
      <c r="T260" s="95"/>
      <c r="U260" s="95">
        <v>0</v>
      </c>
      <c r="V260" s="95"/>
      <c r="W260" s="95">
        <v>0</v>
      </c>
      <c r="X260" s="95"/>
      <c r="Y260" s="95">
        <v>0</v>
      </c>
      <c r="Z260" s="95"/>
      <c r="AA260" s="95">
        <v>0</v>
      </c>
      <c r="AB260" s="95"/>
      <c r="AC260" s="95">
        <v>0</v>
      </c>
      <c r="AD260" s="95"/>
      <c r="AE260" s="95">
        <v>0</v>
      </c>
      <c r="AF260" s="95"/>
      <c r="AG260" s="95">
        <v>0</v>
      </c>
      <c r="AH260" s="95"/>
      <c r="AI260" s="95">
        <f t="shared" si="16"/>
        <v>272092.89999999997</v>
      </c>
      <c r="AJ260" s="24"/>
      <c r="AK260" s="15" t="str">
        <f>'Gen Rev'!A260</f>
        <v>Hanover</v>
      </c>
      <c r="AL260" s="15" t="str">
        <f t="shared" si="14"/>
        <v>Hanover</v>
      </c>
      <c r="AM260" s="15" t="b">
        <f t="shared" si="15"/>
        <v>1</v>
      </c>
    </row>
    <row r="261" spans="1:42" s="31" customFormat="1" ht="12.75">
      <c r="A261" s="15" t="s">
        <v>42</v>
      </c>
      <c r="B261" s="15"/>
      <c r="C261" s="15" t="s">
        <v>758</v>
      </c>
      <c r="D261" s="15"/>
      <c r="E261" s="95">
        <v>20468.36</v>
      </c>
      <c r="F261" s="95"/>
      <c r="G261" s="95">
        <v>0</v>
      </c>
      <c r="H261" s="95"/>
      <c r="I261" s="95">
        <v>45003.5</v>
      </c>
      <c r="J261" s="95"/>
      <c r="K261" s="95">
        <v>0</v>
      </c>
      <c r="L261" s="95"/>
      <c r="M261" s="95">
        <v>0</v>
      </c>
      <c r="N261" s="95"/>
      <c r="O261" s="95">
        <v>11304.1</v>
      </c>
      <c r="P261" s="95"/>
      <c r="Q261" s="95">
        <v>83.23</v>
      </c>
      <c r="R261" s="95"/>
      <c r="S261" s="95">
        <v>6248.42</v>
      </c>
      <c r="T261" s="95"/>
      <c r="U261" s="95">
        <v>0</v>
      </c>
      <c r="V261" s="95"/>
      <c r="W261" s="95">
        <v>0</v>
      </c>
      <c r="X261" s="95"/>
      <c r="Y261" s="95">
        <v>0</v>
      </c>
      <c r="Z261" s="95"/>
      <c r="AA261" s="95">
        <v>7800</v>
      </c>
      <c r="AB261" s="95"/>
      <c r="AC261" s="95">
        <v>0</v>
      </c>
      <c r="AD261" s="95"/>
      <c r="AE261" s="95">
        <v>0</v>
      </c>
      <c r="AF261" s="95"/>
      <c r="AG261" s="95">
        <v>0</v>
      </c>
      <c r="AH261" s="95"/>
      <c r="AI261" s="95">
        <f t="shared" si="16"/>
        <v>90907.61</v>
      </c>
      <c r="AJ261" s="24"/>
      <c r="AK261" s="15" t="str">
        <f>'Gen Rev'!A261</f>
        <v>Hanoverton</v>
      </c>
      <c r="AL261" s="15" t="str">
        <f t="shared" si="14"/>
        <v>Hanoverton</v>
      </c>
      <c r="AM261" s="15" t="b">
        <f t="shared" si="15"/>
        <v>1</v>
      </c>
      <c r="AN261" s="32"/>
      <c r="AO261" s="32"/>
      <c r="AP261" s="32"/>
    </row>
    <row r="262" spans="1:39" s="31" customFormat="1" ht="12.75">
      <c r="A262" s="15" t="s">
        <v>140</v>
      </c>
      <c r="B262" s="15"/>
      <c r="C262" s="15" t="s">
        <v>788</v>
      </c>
      <c r="D262" s="15"/>
      <c r="E262" s="95">
        <v>3572.64</v>
      </c>
      <c r="F262" s="95"/>
      <c r="G262" s="95">
        <v>0</v>
      </c>
      <c r="H262" s="95"/>
      <c r="I262" s="95">
        <v>12320.33</v>
      </c>
      <c r="J262" s="95"/>
      <c r="K262" s="95">
        <v>2810.29</v>
      </c>
      <c r="L262" s="95"/>
      <c r="M262" s="95">
        <v>0</v>
      </c>
      <c r="N262" s="95"/>
      <c r="O262" s="95">
        <v>483.75</v>
      </c>
      <c r="P262" s="95"/>
      <c r="Q262" s="95">
        <v>0</v>
      </c>
      <c r="R262" s="95"/>
      <c r="S262" s="95">
        <v>31750</v>
      </c>
      <c r="T262" s="95"/>
      <c r="U262" s="95">
        <v>0</v>
      </c>
      <c r="V262" s="95"/>
      <c r="W262" s="95">
        <v>0</v>
      </c>
      <c r="X262" s="95"/>
      <c r="Y262" s="95">
        <v>0</v>
      </c>
      <c r="Z262" s="95"/>
      <c r="AA262" s="95">
        <v>0</v>
      </c>
      <c r="AB262" s="95"/>
      <c r="AC262" s="95">
        <v>0</v>
      </c>
      <c r="AD262" s="95"/>
      <c r="AE262" s="95">
        <v>0</v>
      </c>
      <c r="AF262" s="95"/>
      <c r="AG262" s="95">
        <v>0</v>
      </c>
      <c r="AH262" s="95"/>
      <c r="AI262" s="95">
        <f t="shared" si="16"/>
        <v>50937.009999999995</v>
      </c>
      <c r="AJ262" s="24"/>
      <c r="AK262" s="15" t="str">
        <f>'Gen Rev'!A262</f>
        <v>Harbor View</v>
      </c>
      <c r="AL262" s="15" t="str">
        <f t="shared" si="14"/>
        <v>Harbor View</v>
      </c>
      <c r="AM262" s="15" t="b">
        <f t="shared" si="15"/>
        <v>1</v>
      </c>
    </row>
    <row r="263" spans="1:39" ht="12.75">
      <c r="A263" s="15" t="s">
        <v>264</v>
      </c>
      <c r="C263" s="15" t="s">
        <v>826</v>
      </c>
      <c r="E263" s="95">
        <v>16221.5</v>
      </c>
      <c r="F263" s="95"/>
      <c r="G263" s="95">
        <v>0</v>
      </c>
      <c r="H263" s="95"/>
      <c r="I263" s="95">
        <v>15567.82</v>
      </c>
      <c r="J263" s="95"/>
      <c r="K263" s="95">
        <v>0</v>
      </c>
      <c r="L263" s="95"/>
      <c r="M263" s="95">
        <v>0</v>
      </c>
      <c r="N263" s="95"/>
      <c r="O263" s="95">
        <v>0</v>
      </c>
      <c r="P263" s="95"/>
      <c r="Q263" s="95">
        <v>28.08</v>
      </c>
      <c r="R263" s="95"/>
      <c r="S263" s="95">
        <v>631.4</v>
      </c>
      <c r="T263" s="95"/>
      <c r="U263" s="95">
        <v>0</v>
      </c>
      <c r="V263" s="95"/>
      <c r="W263" s="95">
        <v>0</v>
      </c>
      <c r="X263" s="95"/>
      <c r="Y263" s="95">
        <v>0</v>
      </c>
      <c r="Z263" s="95"/>
      <c r="AA263" s="95">
        <v>0</v>
      </c>
      <c r="AB263" s="95"/>
      <c r="AC263" s="95">
        <v>0</v>
      </c>
      <c r="AD263" s="95"/>
      <c r="AE263" s="95">
        <v>0</v>
      </c>
      <c r="AF263" s="95"/>
      <c r="AG263" s="95">
        <v>0</v>
      </c>
      <c r="AH263" s="95"/>
      <c r="AI263" s="95">
        <f t="shared" si="16"/>
        <v>32448.800000000003</v>
      </c>
      <c r="AJ263" s="24"/>
      <c r="AK263" s="15" t="str">
        <f>'Gen Rev'!A263</f>
        <v>Harpster</v>
      </c>
      <c r="AL263" s="15" t="str">
        <f t="shared" si="14"/>
        <v>Harpster</v>
      </c>
      <c r="AM263" s="15" t="b">
        <f t="shared" si="15"/>
        <v>1</v>
      </c>
    </row>
    <row r="264" spans="1:39" ht="12.75">
      <c r="A264" s="15" t="s">
        <v>944</v>
      </c>
      <c r="C264" s="15" t="s">
        <v>353</v>
      </c>
      <c r="E264" s="95">
        <v>20034.34</v>
      </c>
      <c r="F264" s="95"/>
      <c r="G264" s="95">
        <v>80035.96</v>
      </c>
      <c r="H264" s="95"/>
      <c r="I264" s="95">
        <v>38188.96</v>
      </c>
      <c r="J264" s="95"/>
      <c r="K264" s="95">
        <v>741.14</v>
      </c>
      <c r="L264" s="95"/>
      <c r="M264" s="95">
        <v>1853.25</v>
      </c>
      <c r="N264" s="95"/>
      <c r="O264" s="95">
        <v>15684.23</v>
      </c>
      <c r="P264" s="95"/>
      <c r="Q264" s="95">
        <v>183.53</v>
      </c>
      <c r="R264" s="95"/>
      <c r="S264" s="95">
        <v>436.48</v>
      </c>
      <c r="T264" s="95"/>
      <c r="U264" s="95">
        <v>0</v>
      </c>
      <c r="V264" s="95"/>
      <c r="W264" s="95">
        <v>0</v>
      </c>
      <c r="X264" s="95"/>
      <c r="Y264" s="95">
        <v>0</v>
      </c>
      <c r="Z264" s="95"/>
      <c r="AA264" s="95">
        <v>0</v>
      </c>
      <c r="AB264" s="95"/>
      <c r="AC264" s="95">
        <v>0</v>
      </c>
      <c r="AD264" s="95"/>
      <c r="AE264" s="95">
        <v>75</v>
      </c>
      <c r="AF264" s="95"/>
      <c r="AG264" s="95">
        <v>12048.46</v>
      </c>
      <c r="AH264" s="95"/>
      <c r="AI264" s="95">
        <f t="shared" si="16"/>
        <v>169281.35000000003</v>
      </c>
      <c r="AJ264" s="24"/>
      <c r="AK264" s="15" t="str">
        <f>'Gen Rev'!A264</f>
        <v>Harrisburg</v>
      </c>
      <c r="AL264" s="15" t="str">
        <f t="shared" si="14"/>
        <v>Harrisburg</v>
      </c>
      <c r="AM264" s="15" t="b">
        <f t="shared" si="15"/>
        <v>1</v>
      </c>
    </row>
    <row r="265" spans="1:39" s="31" customFormat="1" ht="12.75">
      <c r="A265" s="15" t="s">
        <v>845</v>
      </c>
      <c r="B265" s="15"/>
      <c r="C265" s="15" t="s">
        <v>776</v>
      </c>
      <c r="D265" s="15"/>
      <c r="E265" s="95">
        <v>10245.44</v>
      </c>
      <c r="F265" s="95"/>
      <c r="G265" s="95">
        <v>0</v>
      </c>
      <c r="H265" s="95"/>
      <c r="I265" s="95">
        <v>100646.45</v>
      </c>
      <c r="J265" s="95"/>
      <c r="K265" s="95">
        <v>0</v>
      </c>
      <c r="L265" s="95"/>
      <c r="M265" s="95">
        <v>2274.57</v>
      </c>
      <c r="N265" s="95"/>
      <c r="O265" s="95">
        <v>0</v>
      </c>
      <c r="P265" s="95"/>
      <c r="Q265" s="95">
        <v>55.11</v>
      </c>
      <c r="R265" s="95"/>
      <c r="S265" s="95">
        <v>388.46</v>
      </c>
      <c r="T265" s="95"/>
      <c r="U265" s="95">
        <v>0</v>
      </c>
      <c r="V265" s="95"/>
      <c r="W265" s="95">
        <v>0</v>
      </c>
      <c r="X265" s="95"/>
      <c r="Y265" s="95">
        <v>0</v>
      </c>
      <c r="Z265" s="95"/>
      <c r="AA265" s="95">
        <v>0</v>
      </c>
      <c r="AB265" s="95"/>
      <c r="AC265" s="95">
        <v>0</v>
      </c>
      <c r="AD265" s="95"/>
      <c r="AE265" s="95">
        <v>0</v>
      </c>
      <c r="AF265" s="95"/>
      <c r="AG265" s="95">
        <v>0</v>
      </c>
      <c r="AH265" s="95"/>
      <c r="AI265" s="95">
        <f t="shared" si="16"/>
        <v>113610.03000000001</v>
      </c>
      <c r="AJ265" s="24"/>
      <c r="AK265" s="15" t="str">
        <f>'Gen Rev'!A265</f>
        <v>Harrisville</v>
      </c>
      <c r="AL265" s="15" t="str">
        <f t="shared" si="14"/>
        <v>Harrisville</v>
      </c>
      <c r="AM265" s="15" t="b">
        <f t="shared" si="15"/>
        <v>1</v>
      </c>
    </row>
    <row r="266" spans="1:39" ht="12.75">
      <c r="A266" s="15" t="s">
        <v>4</v>
      </c>
      <c r="C266" s="15" t="s">
        <v>746</v>
      </c>
      <c r="E266" s="95">
        <v>32416.64</v>
      </c>
      <c r="F266" s="95"/>
      <c r="G266" s="95">
        <v>0</v>
      </c>
      <c r="H266" s="95"/>
      <c r="I266" s="95">
        <v>47030.73</v>
      </c>
      <c r="J266" s="95"/>
      <c r="K266" s="95">
        <v>0</v>
      </c>
      <c r="L266" s="95"/>
      <c r="M266" s="95">
        <v>0</v>
      </c>
      <c r="N266" s="95"/>
      <c r="O266" s="95">
        <v>50</v>
      </c>
      <c r="P266" s="95"/>
      <c r="Q266" s="95">
        <v>11.46</v>
      </c>
      <c r="R266" s="95"/>
      <c r="S266" s="95">
        <v>3970.98</v>
      </c>
      <c r="T266" s="95"/>
      <c r="U266" s="95">
        <v>0</v>
      </c>
      <c r="V266" s="95"/>
      <c r="W266" s="95">
        <v>0</v>
      </c>
      <c r="X266" s="95"/>
      <c r="Y266" s="95">
        <v>0</v>
      </c>
      <c r="Z266" s="95"/>
      <c r="AA266" s="95">
        <v>0</v>
      </c>
      <c r="AB266" s="95"/>
      <c r="AC266" s="95">
        <v>0</v>
      </c>
      <c r="AD266" s="95"/>
      <c r="AE266" s="95">
        <v>0</v>
      </c>
      <c r="AF266" s="95"/>
      <c r="AG266" s="95">
        <v>0</v>
      </c>
      <c r="AH266" s="95"/>
      <c r="AI266" s="95">
        <f t="shared" si="16"/>
        <v>83479.81</v>
      </c>
      <c r="AJ266" s="24"/>
      <c r="AK266" s="15" t="str">
        <f>'Gen Rev'!A266</f>
        <v>Harrod</v>
      </c>
      <c r="AL266" s="15" t="str">
        <f t="shared" si="14"/>
        <v>Harrod</v>
      </c>
      <c r="AM266" s="15" t="b">
        <f t="shared" si="15"/>
        <v>1</v>
      </c>
    </row>
    <row r="267" spans="1:39" s="31" customFormat="1" ht="12.75">
      <c r="A267" s="15" t="s">
        <v>441</v>
      </c>
      <c r="B267" s="15"/>
      <c r="C267" s="15" t="s">
        <v>439</v>
      </c>
      <c r="D267" s="15"/>
      <c r="E267" s="85">
        <v>14970</v>
      </c>
      <c r="F267" s="85"/>
      <c r="G267" s="85">
        <v>0</v>
      </c>
      <c r="H267" s="85"/>
      <c r="I267" s="85">
        <v>27593</v>
      </c>
      <c r="J267" s="85"/>
      <c r="K267" s="85">
        <v>0</v>
      </c>
      <c r="L267" s="85"/>
      <c r="M267" s="85">
        <v>0</v>
      </c>
      <c r="N267" s="85"/>
      <c r="O267" s="85">
        <f>2512+18898</f>
        <v>21410</v>
      </c>
      <c r="P267" s="85"/>
      <c r="Q267" s="85">
        <v>107</v>
      </c>
      <c r="R267" s="85"/>
      <c r="S267" s="85">
        <v>4729</v>
      </c>
      <c r="T267" s="85"/>
      <c r="U267" s="85">
        <v>0</v>
      </c>
      <c r="V267" s="85"/>
      <c r="W267" s="85">
        <v>0</v>
      </c>
      <c r="X267" s="85"/>
      <c r="Y267" s="85">
        <v>0</v>
      </c>
      <c r="Z267" s="85"/>
      <c r="AA267" s="85">
        <v>0</v>
      </c>
      <c r="AB267" s="85"/>
      <c r="AC267" s="85">
        <v>0</v>
      </c>
      <c r="AD267" s="85"/>
      <c r="AE267" s="85">
        <v>0</v>
      </c>
      <c r="AF267" s="85"/>
      <c r="AG267" s="85">
        <v>0</v>
      </c>
      <c r="AH267" s="85"/>
      <c r="AI267" s="85">
        <f t="shared" si="13"/>
        <v>68809</v>
      </c>
      <c r="AJ267" s="24"/>
      <c r="AK267" s="15" t="str">
        <f>'Gen Rev'!A267</f>
        <v>Hartford</v>
      </c>
      <c r="AL267" s="15" t="str">
        <f t="shared" si="14"/>
        <v>Hartford</v>
      </c>
      <c r="AM267" s="15" t="b">
        <f t="shared" si="15"/>
        <v>1</v>
      </c>
    </row>
    <row r="268" spans="1:39" ht="12.75">
      <c r="A268" s="15" t="s">
        <v>545</v>
      </c>
      <c r="C268" s="15" t="s">
        <v>542</v>
      </c>
      <c r="E268" s="85">
        <v>448161.53</v>
      </c>
      <c r="F268" s="85"/>
      <c r="G268" s="85">
        <v>936707.89</v>
      </c>
      <c r="H268" s="85"/>
      <c r="I268" s="85">
        <v>346096.05</v>
      </c>
      <c r="J268" s="85"/>
      <c r="K268" s="85">
        <v>0</v>
      </c>
      <c r="L268" s="85"/>
      <c r="M268" s="85">
        <v>3148.8</v>
      </c>
      <c r="N268" s="85"/>
      <c r="O268" s="85">
        <v>76993.19</v>
      </c>
      <c r="P268" s="85"/>
      <c r="Q268" s="85">
        <v>219.26</v>
      </c>
      <c r="R268" s="85"/>
      <c r="S268" s="85">
        <v>87826.96</v>
      </c>
      <c r="T268" s="85"/>
      <c r="U268" s="85">
        <v>0</v>
      </c>
      <c r="V268" s="85"/>
      <c r="W268" s="85">
        <v>0</v>
      </c>
      <c r="X268" s="85"/>
      <c r="Y268" s="85">
        <v>5669</v>
      </c>
      <c r="Z268" s="85"/>
      <c r="AA268" s="85">
        <v>1203000</v>
      </c>
      <c r="AB268" s="85"/>
      <c r="AC268" s="85">
        <v>110014</v>
      </c>
      <c r="AD268" s="85"/>
      <c r="AE268" s="85">
        <v>0</v>
      </c>
      <c r="AF268" s="85"/>
      <c r="AG268" s="85">
        <v>0</v>
      </c>
      <c r="AH268" s="85"/>
      <c r="AI268" s="85">
        <f t="shared" si="13"/>
        <v>3217836.6799999997</v>
      </c>
      <c r="AJ268" s="24"/>
      <c r="AK268" s="15" t="str">
        <f>'Gen Rev'!A268</f>
        <v>Hartville</v>
      </c>
      <c r="AL268" s="15" t="str">
        <f t="shared" si="14"/>
        <v>Hartville</v>
      </c>
      <c r="AM268" s="15" t="b">
        <f t="shared" si="15"/>
        <v>1</v>
      </c>
    </row>
    <row r="269" spans="1:39" ht="12.75">
      <c r="A269" s="15" t="s">
        <v>582</v>
      </c>
      <c r="C269" s="15" t="s">
        <v>583</v>
      </c>
      <c r="E269" s="36">
        <v>85237.06</v>
      </c>
      <c r="F269" s="36"/>
      <c r="G269" s="36">
        <v>0</v>
      </c>
      <c r="H269" s="36"/>
      <c r="I269" s="36">
        <v>50537.44</v>
      </c>
      <c r="J269" s="36"/>
      <c r="K269" s="36">
        <v>0</v>
      </c>
      <c r="L269" s="36"/>
      <c r="M269" s="36">
        <v>62481.29</v>
      </c>
      <c r="N269" s="36"/>
      <c r="O269" s="36">
        <v>98042.29</v>
      </c>
      <c r="P269" s="36"/>
      <c r="Q269" s="36">
        <v>738.35</v>
      </c>
      <c r="R269" s="36"/>
      <c r="S269" s="36">
        <v>37047.12</v>
      </c>
      <c r="T269" s="36"/>
      <c r="U269" s="36">
        <v>0</v>
      </c>
      <c r="V269" s="36"/>
      <c r="W269" s="36">
        <v>0</v>
      </c>
      <c r="X269" s="36"/>
      <c r="Y269" s="36">
        <v>0</v>
      </c>
      <c r="Z269" s="36"/>
      <c r="AA269" s="36">
        <v>61000</v>
      </c>
      <c r="AB269" s="36"/>
      <c r="AC269" s="36">
        <v>0</v>
      </c>
      <c r="AD269" s="36"/>
      <c r="AE269" s="36">
        <v>0</v>
      </c>
      <c r="AF269" s="36"/>
      <c r="AG269" s="36">
        <v>0</v>
      </c>
      <c r="AH269" s="36"/>
      <c r="AI269" s="36">
        <f aca="true" t="shared" si="17" ref="AI269:AI274">SUM(E269:AG269)</f>
        <v>395083.55</v>
      </c>
      <c r="AJ269" s="24"/>
      <c r="AK269" s="15" t="str">
        <f>'Gen Rev'!A269</f>
        <v>Harveysburg</v>
      </c>
      <c r="AL269" s="15" t="str">
        <f t="shared" si="14"/>
        <v>Harveysburg</v>
      </c>
      <c r="AM269" s="15" t="b">
        <f t="shared" si="15"/>
        <v>1</v>
      </c>
    </row>
    <row r="270" spans="1:39" s="24" customFormat="1" ht="12.75">
      <c r="A270" s="24" t="s">
        <v>256</v>
      </c>
      <c r="C270" s="24" t="s">
        <v>825</v>
      </c>
      <c r="E270" s="36">
        <v>193424.59</v>
      </c>
      <c r="F270" s="36"/>
      <c r="G270" s="36">
        <v>208643.83</v>
      </c>
      <c r="H270" s="36"/>
      <c r="I270" s="36">
        <v>79051.26</v>
      </c>
      <c r="J270" s="36"/>
      <c r="K270" s="36">
        <v>0</v>
      </c>
      <c r="L270" s="36"/>
      <c r="M270" s="36">
        <v>0</v>
      </c>
      <c r="N270" s="36"/>
      <c r="O270" s="36">
        <v>14631.04</v>
      </c>
      <c r="P270" s="36"/>
      <c r="Q270" s="36">
        <v>1286.42</v>
      </c>
      <c r="R270" s="36"/>
      <c r="S270" s="36">
        <v>1519.05</v>
      </c>
      <c r="T270" s="36"/>
      <c r="U270" s="36">
        <v>0</v>
      </c>
      <c r="V270" s="36"/>
      <c r="W270" s="36">
        <v>0</v>
      </c>
      <c r="X270" s="36"/>
      <c r="Y270" s="36">
        <v>0</v>
      </c>
      <c r="Z270" s="36"/>
      <c r="AA270" s="36">
        <v>229344.51</v>
      </c>
      <c r="AB270" s="36"/>
      <c r="AC270" s="36">
        <v>0</v>
      </c>
      <c r="AD270" s="36"/>
      <c r="AE270" s="36">
        <v>0</v>
      </c>
      <c r="AF270" s="36"/>
      <c r="AG270" s="36">
        <v>0</v>
      </c>
      <c r="AH270" s="36"/>
      <c r="AI270" s="36">
        <f t="shared" si="17"/>
        <v>727900.7</v>
      </c>
      <c r="AK270" s="15" t="str">
        <f>'Gen Rev'!A270</f>
        <v>Haskins</v>
      </c>
      <c r="AL270" s="15" t="str">
        <f t="shared" si="14"/>
        <v>Haskins</v>
      </c>
      <c r="AM270" s="15" t="b">
        <f t="shared" si="15"/>
        <v>1</v>
      </c>
    </row>
    <row r="271" spans="1:39" ht="12.75">
      <c r="A271" s="15" t="s">
        <v>183</v>
      </c>
      <c r="C271" s="15" t="s">
        <v>803</v>
      </c>
      <c r="E271" s="95">
        <v>22908.53</v>
      </c>
      <c r="F271" s="95"/>
      <c r="G271" s="95">
        <v>0</v>
      </c>
      <c r="H271" s="95"/>
      <c r="I271" s="95">
        <v>43836.42</v>
      </c>
      <c r="J271" s="95"/>
      <c r="K271" s="95">
        <v>0</v>
      </c>
      <c r="L271" s="95"/>
      <c r="M271" s="95">
        <v>0</v>
      </c>
      <c r="N271" s="95"/>
      <c r="O271" s="95">
        <v>12</v>
      </c>
      <c r="P271" s="95"/>
      <c r="Q271" s="95">
        <v>2438.56</v>
      </c>
      <c r="R271" s="95"/>
      <c r="S271" s="95">
        <v>150</v>
      </c>
      <c r="T271" s="95"/>
      <c r="U271" s="95">
        <v>0</v>
      </c>
      <c r="V271" s="95"/>
      <c r="W271" s="95">
        <v>0</v>
      </c>
      <c r="X271" s="95"/>
      <c r="Y271" s="95">
        <v>0</v>
      </c>
      <c r="Z271" s="95"/>
      <c r="AA271" s="95">
        <v>0</v>
      </c>
      <c r="AB271" s="95"/>
      <c r="AC271" s="95">
        <v>0</v>
      </c>
      <c r="AD271" s="95"/>
      <c r="AE271" s="95">
        <v>0</v>
      </c>
      <c r="AF271" s="95"/>
      <c r="AG271" s="95">
        <v>0</v>
      </c>
      <c r="AH271" s="95"/>
      <c r="AI271" s="95">
        <f t="shared" si="17"/>
        <v>69345.51</v>
      </c>
      <c r="AJ271" s="24"/>
      <c r="AK271" s="15" t="str">
        <f>'Gen Rev'!A271</f>
        <v>Haviland</v>
      </c>
      <c r="AL271" s="15" t="str">
        <f t="shared" si="14"/>
        <v>Haviland</v>
      </c>
      <c r="AM271" s="15" t="b">
        <f t="shared" si="15"/>
        <v>1</v>
      </c>
    </row>
    <row r="272" spans="1:39" ht="12.75">
      <c r="A272" s="15" t="s">
        <v>7</v>
      </c>
      <c r="C272" s="15" t="s">
        <v>669</v>
      </c>
      <c r="E272" s="36">
        <v>22789.84</v>
      </c>
      <c r="F272" s="36"/>
      <c r="G272" s="36">
        <v>0</v>
      </c>
      <c r="H272" s="36"/>
      <c r="I272" s="36">
        <v>193823.5</v>
      </c>
      <c r="J272" s="36"/>
      <c r="K272" s="36">
        <v>0</v>
      </c>
      <c r="L272" s="36"/>
      <c r="M272" s="36">
        <v>7940</v>
      </c>
      <c r="N272" s="36"/>
      <c r="O272" s="36">
        <v>89</v>
      </c>
      <c r="P272" s="36"/>
      <c r="Q272" s="36">
        <v>408.55</v>
      </c>
      <c r="R272" s="36"/>
      <c r="S272" s="36">
        <v>285.52</v>
      </c>
      <c r="T272" s="36"/>
      <c r="U272" s="36">
        <v>0</v>
      </c>
      <c r="V272" s="36"/>
      <c r="W272" s="36">
        <v>0</v>
      </c>
      <c r="X272" s="36"/>
      <c r="Y272" s="36">
        <v>0</v>
      </c>
      <c r="Z272" s="36"/>
      <c r="AA272" s="36">
        <v>0</v>
      </c>
      <c r="AB272" s="36"/>
      <c r="AC272" s="36">
        <v>0</v>
      </c>
      <c r="AD272" s="36"/>
      <c r="AE272" s="36">
        <v>0</v>
      </c>
      <c r="AF272" s="36"/>
      <c r="AG272" s="36">
        <v>0</v>
      </c>
      <c r="AH272" s="36"/>
      <c r="AI272" s="36">
        <f t="shared" si="17"/>
        <v>225336.40999999997</v>
      </c>
      <c r="AJ272" s="24"/>
      <c r="AK272" s="15" t="str">
        <f>'Gen Rev'!A272</f>
        <v>Hayesville</v>
      </c>
      <c r="AL272" s="15" t="str">
        <f aca="true" t="shared" si="18" ref="AL272:AL333">A272</f>
        <v>Hayesville</v>
      </c>
      <c r="AM272" s="15" t="b">
        <f aca="true" t="shared" si="19" ref="AM272:AM333">AK272=AL272</f>
        <v>1</v>
      </c>
    </row>
    <row r="273" spans="1:39" ht="12.75">
      <c r="A273" s="15" t="s">
        <v>442</v>
      </c>
      <c r="C273" s="15" t="s">
        <v>439</v>
      </c>
      <c r="E273" s="36">
        <v>457871.84</v>
      </c>
      <c r="F273" s="36"/>
      <c r="G273" s="36">
        <v>1272887.29</v>
      </c>
      <c r="H273" s="36"/>
      <c r="I273" s="36">
        <v>597374.36</v>
      </c>
      <c r="J273" s="36"/>
      <c r="K273" s="36">
        <v>0</v>
      </c>
      <c r="L273" s="36"/>
      <c r="M273" s="36">
        <v>662025.82</v>
      </c>
      <c r="N273" s="36"/>
      <c r="O273" s="36">
        <v>7094.66</v>
      </c>
      <c r="P273" s="36"/>
      <c r="Q273" s="36">
        <v>11348.54</v>
      </c>
      <c r="R273" s="36"/>
      <c r="S273" s="36">
        <v>30210.86</v>
      </c>
      <c r="T273" s="36"/>
      <c r="U273" s="36">
        <v>869099.32</v>
      </c>
      <c r="V273" s="36"/>
      <c r="W273" s="36">
        <v>0</v>
      </c>
      <c r="X273" s="36"/>
      <c r="Y273" s="36">
        <v>0</v>
      </c>
      <c r="Z273" s="36"/>
      <c r="AA273" s="36">
        <v>1409646</v>
      </c>
      <c r="AB273" s="36"/>
      <c r="AC273" s="36">
        <v>0</v>
      </c>
      <c r="AD273" s="36"/>
      <c r="AE273" s="36">
        <v>0</v>
      </c>
      <c r="AF273" s="36"/>
      <c r="AG273" s="36">
        <v>0</v>
      </c>
      <c r="AH273" s="36"/>
      <c r="AI273" s="36">
        <f t="shared" si="17"/>
        <v>5317558.6899999995</v>
      </c>
      <c r="AJ273" s="24"/>
      <c r="AK273" s="15" t="str">
        <f>'Gen Rev'!A273</f>
        <v>Hebron</v>
      </c>
      <c r="AL273" s="15" t="str">
        <f t="shared" si="18"/>
        <v>Hebron</v>
      </c>
      <c r="AM273" s="15" t="b">
        <f t="shared" si="19"/>
        <v>1</v>
      </c>
    </row>
    <row r="274" spans="1:39" ht="12.75">
      <c r="A274" s="15" t="s">
        <v>214</v>
      </c>
      <c r="C274" s="15" t="s">
        <v>811</v>
      </c>
      <c r="E274" s="95">
        <v>19943.13</v>
      </c>
      <c r="F274" s="95"/>
      <c r="G274" s="95">
        <v>0</v>
      </c>
      <c r="H274" s="95"/>
      <c r="I274" s="95">
        <v>37585.2</v>
      </c>
      <c r="J274" s="95"/>
      <c r="K274" s="95">
        <v>0</v>
      </c>
      <c r="L274" s="95"/>
      <c r="M274" s="95">
        <v>14378</v>
      </c>
      <c r="N274" s="95"/>
      <c r="O274" s="95">
        <v>0</v>
      </c>
      <c r="P274" s="95"/>
      <c r="Q274" s="95">
        <v>1305.82</v>
      </c>
      <c r="R274" s="95"/>
      <c r="S274" s="95">
        <v>371.93</v>
      </c>
      <c r="T274" s="95"/>
      <c r="U274" s="95">
        <v>0</v>
      </c>
      <c r="V274" s="95"/>
      <c r="W274" s="95">
        <v>0</v>
      </c>
      <c r="X274" s="95"/>
      <c r="Y274" s="95">
        <v>0</v>
      </c>
      <c r="Z274" s="95"/>
      <c r="AA274" s="95">
        <v>0</v>
      </c>
      <c r="AB274" s="95"/>
      <c r="AC274" s="95">
        <v>0</v>
      </c>
      <c r="AD274" s="95"/>
      <c r="AE274" s="95">
        <v>0</v>
      </c>
      <c r="AF274" s="95"/>
      <c r="AG274" s="95">
        <v>0</v>
      </c>
      <c r="AH274" s="95"/>
      <c r="AI274" s="95">
        <f t="shared" si="17"/>
        <v>73584.08</v>
      </c>
      <c r="AJ274" s="24"/>
      <c r="AK274" s="15" t="str">
        <f>'Gen Rev'!A274</f>
        <v>Helena</v>
      </c>
      <c r="AL274" s="15" t="str">
        <f t="shared" si="18"/>
        <v>Helena</v>
      </c>
      <c r="AM274" s="15" t="b">
        <f t="shared" si="19"/>
        <v>1</v>
      </c>
    </row>
    <row r="275" spans="1:42" ht="12.6" customHeight="1">
      <c r="A275" s="15" t="s">
        <v>903</v>
      </c>
      <c r="C275" s="15" t="s">
        <v>501</v>
      </c>
      <c r="E275" s="85">
        <v>1225.24</v>
      </c>
      <c r="F275" s="85"/>
      <c r="G275" s="85">
        <v>0</v>
      </c>
      <c r="H275" s="85"/>
      <c r="I275" s="85">
        <v>11905.2</v>
      </c>
      <c r="J275" s="85"/>
      <c r="K275" s="85">
        <v>0</v>
      </c>
      <c r="L275" s="85"/>
      <c r="M275" s="85">
        <v>0</v>
      </c>
      <c r="N275" s="85"/>
      <c r="O275" s="85">
        <v>0</v>
      </c>
      <c r="P275" s="85"/>
      <c r="Q275" s="85">
        <v>0</v>
      </c>
      <c r="R275" s="85"/>
      <c r="S275" s="85">
        <v>491.06</v>
      </c>
      <c r="T275" s="85"/>
      <c r="U275" s="85">
        <v>0</v>
      </c>
      <c r="V275" s="85"/>
      <c r="W275" s="85">
        <v>0</v>
      </c>
      <c r="X275" s="85"/>
      <c r="Y275" s="85">
        <v>0</v>
      </c>
      <c r="Z275" s="85"/>
      <c r="AA275" s="85">
        <v>0</v>
      </c>
      <c r="AB275" s="85"/>
      <c r="AC275" s="85">
        <v>0</v>
      </c>
      <c r="AD275" s="85"/>
      <c r="AE275" s="85">
        <v>0</v>
      </c>
      <c r="AF275" s="85"/>
      <c r="AG275" s="85">
        <v>0</v>
      </c>
      <c r="AH275" s="85"/>
      <c r="AI275" s="85">
        <f aca="true" t="shared" si="20" ref="AI275:AI334">SUM(E275:AG275)</f>
        <v>13621.5</v>
      </c>
      <c r="AJ275" s="24"/>
      <c r="AK275" s="15" t="str">
        <f>'Gen Rev'!A275</f>
        <v>Hemlock</v>
      </c>
      <c r="AL275" s="15" t="str">
        <f t="shared" si="18"/>
        <v>Hemlock</v>
      </c>
      <c r="AM275" s="15" t="b">
        <f t="shared" si="19"/>
        <v>1</v>
      </c>
      <c r="AN275" s="30"/>
      <c r="AO275" s="30"/>
      <c r="AP275" s="30"/>
    </row>
    <row r="276" spans="1:42" ht="12.6" customHeight="1">
      <c r="A276" s="15" t="s">
        <v>341</v>
      </c>
      <c r="C276" s="15" t="s">
        <v>342</v>
      </c>
      <c r="E276" s="85">
        <v>193723</v>
      </c>
      <c r="F276" s="85"/>
      <c r="G276" s="85">
        <v>931733</v>
      </c>
      <c r="H276" s="85"/>
      <c r="I276" s="85">
        <v>399406</v>
      </c>
      <c r="J276" s="85"/>
      <c r="K276" s="85">
        <v>23204</v>
      </c>
      <c r="L276" s="85"/>
      <c r="M276" s="85">
        <v>186763</v>
      </c>
      <c r="N276" s="85"/>
      <c r="O276" s="85">
        <v>23098</v>
      </c>
      <c r="P276" s="85"/>
      <c r="Q276" s="85">
        <v>51061</v>
      </c>
      <c r="R276" s="85"/>
      <c r="S276" s="85">
        <f>25373+8795+16079+21430+140965</f>
        <v>212642</v>
      </c>
      <c r="T276" s="85"/>
      <c r="U276" s="85">
        <v>0</v>
      </c>
      <c r="V276" s="85"/>
      <c r="W276" s="85">
        <v>0</v>
      </c>
      <c r="X276" s="85"/>
      <c r="Y276" s="85">
        <v>0</v>
      </c>
      <c r="Z276" s="85"/>
      <c r="AA276" s="85">
        <v>40000</v>
      </c>
      <c r="AB276" s="85"/>
      <c r="AC276" s="85">
        <v>0</v>
      </c>
      <c r="AD276" s="85"/>
      <c r="AE276" s="85">
        <v>1125</v>
      </c>
      <c r="AF276" s="85"/>
      <c r="AG276" s="85">
        <v>0</v>
      </c>
      <c r="AH276" s="85"/>
      <c r="AI276" s="85">
        <f t="shared" si="20"/>
        <v>2062755</v>
      </c>
      <c r="AJ276" s="24"/>
      <c r="AK276" s="15" t="str">
        <f>'Gen Rev'!A276</f>
        <v>Hicksville</v>
      </c>
      <c r="AL276" s="15" t="str">
        <f t="shared" si="18"/>
        <v>Hicksville</v>
      </c>
      <c r="AM276" s="15" t="b">
        <f t="shared" si="19"/>
        <v>1</v>
      </c>
      <c r="AN276" s="30"/>
      <c r="AO276" s="30"/>
      <c r="AP276" s="30"/>
    </row>
    <row r="277" spans="1:39" s="31" customFormat="1" ht="12.75" hidden="1">
      <c r="A277" s="15" t="s">
        <v>409</v>
      </c>
      <c r="B277" s="15"/>
      <c r="C277" s="15" t="s">
        <v>409</v>
      </c>
      <c r="D277" s="1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>
        <f t="shared" si="20"/>
        <v>0</v>
      </c>
      <c r="AJ277" s="24"/>
      <c r="AK277" s="15" t="str">
        <f>'Gen Rev'!A277</f>
        <v>Highland</v>
      </c>
      <c r="AL277" s="15" t="str">
        <f t="shared" si="18"/>
        <v>Highland</v>
      </c>
      <c r="AM277" s="15" t="b">
        <f t="shared" si="19"/>
        <v>1</v>
      </c>
    </row>
    <row r="278" spans="1:39" s="31" customFormat="1" ht="12.75">
      <c r="A278" s="15" t="s">
        <v>968</v>
      </c>
      <c r="B278" s="15"/>
      <c r="C278" s="15" t="s">
        <v>316</v>
      </c>
      <c r="D278" s="15"/>
      <c r="E278" s="85">
        <v>294124</v>
      </c>
      <c r="F278" s="85"/>
      <c r="G278" s="85">
        <v>3080888</v>
      </c>
      <c r="H278" s="85"/>
      <c r="I278" s="85">
        <v>79396</v>
      </c>
      <c r="J278" s="85"/>
      <c r="K278" s="85">
        <v>33593</v>
      </c>
      <c r="L278" s="85"/>
      <c r="M278" s="85">
        <v>79706</v>
      </c>
      <c r="N278" s="85"/>
      <c r="O278" s="85">
        <v>286427</v>
      </c>
      <c r="P278" s="85"/>
      <c r="Q278" s="85">
        <v>2467</v>
      </c>
      <c r="R278" s="85"/>
      <c r="S278" s="85">
        <v>85826</v>
      </c>
      <c r="T278" s="85"/>
      <c r="U278" s="85">
        <v>0</v>
      </c>
      <c r="V278" s="85"/>
      <c r="W278" s="85">
        <v>0</v>
      </c>
      <c r="X278" s="85"/>
      <c r="Y278" s="85">
        <v>0</v>
      </c>
      <c r="Z278" s="85"/>
      <c r="AA278" s="85">
        <v>454331</v>
      </c>
      <c r="AB278" s="85"/>
      <c r="AC278" s="85">
        <v>0</v>
      </c>
      <c r="AD278" s="85"/>
      <c r="AE278" s="85">
        <v>0</v>
      </c>
      <c r="AF278" s="85"/>
      <c r="AG278" s="85">
        <v>0</v>
      </c>
      <c r="AH278" s="85"/>
      <c r="AI278" s="85">
        <f t="shared" si="20"/>
        <v>4396758</v>
      </c>
      <c r="AJ278" s="24"/>
      <c r="AK278" s="15" t="str">
        <f>'Gen Rev'!A278</f>
        <v>Highland Hills</v>
      </c>
      <c r="AL278" s="15" t="str">
        <f t="shared" si="18"/>
        <v>Highland Hills</v>
      </c>
      <c r="AM278" s="15" t="b">
        <f t="shared" si="19"/>
        <v>1</v>
      </c>
    </row>
    <row r="279" spans="1:39" ht="12.75">
      <c r="A279" s="15" t="s">
        <v>225</v>
      </c>
      <c r="C279" s="15" t="s">
        <v>815</v>
      </c>
      <c r="E279" s="36">
        <v>264120.56</v>
      </c>
      <c r="F279" s="36"/>
      <c r="G279" s="36">
        <v>0</v>
      </c>
      <c r="H279" s="36"/>
      <c r="I279" s="36">
        <v>109985.65</v>
      </c>
      <c r="J279" s="36"/>
      <c r="K279" s="36">
        <v>0</v>
      </c>
      <c r="L279" s="36"/>
      <c r="M279" s="36">
        <v>0</v>
      </c>
      <c r="N279" s="36"/>
      <c r="O279" s="36">
        <v>0</v>
      </c>
      <c r="P279" s="36"/>
      <c r="Q279" s="36">
        <v>54016.89</v>
      </c>
      <c r="R279" s="36"/>
      <c r="S279" s="36">
        <v>13867.32</v>
      </c>
      <c r="T279" s="36"/>
      <c r="U279" s="36">
        <v>0</v>
      </c>
      <c r="V279" s="36"/>
      <c r="W279" s="36">
        <v>0</v>
      </c>
      <c r="X279" s="36"/>
      <c r="Y279" s="36">
        <v>0</v>
      </c>
      <c r="Z279" s="36"/>
      <c r="AA279" s="36">
        <v>0</v>
      </c>
      <c r="AB279" s="36"/>
      <c r="AC279" s="36">
        <v>0</v>
      </c>
      <c r="AD279" s="36"/>
      <c r="AE279" s="36">
        <v>0</v>
      </c>
      <c r="AF279" s="36"/>
      <c r="AG279" s="36">
        <v>0</v>
      </c>
      <c r="AH279" s="36"/>
      <c r="AI279" s="36">
        <f>SUM(E279:AG279)</f>
        <v>441990.42</v>
      </c>
      <c r="AJ279" s="24"/>
      <c r="AK279" s="15" t="str">
        <f>'Gen Rev'!A279</f>
        <v>Hills And Dales</v>
      </c>
      <c r="AL279" s="15" t="str">
        <f t="shared" si="18"/>
        <v>Hills And Dales</v>
      </c>
      <c r="AM279" s="15" t="b">
        <f t="shared" si="19"/>
        <v>1</v>
      </c>
    </row>
    <row r="280" spans="1:39" ht="12.75">
      <c r="A280" s="15" t="s">
        <v>194</v>
      </c>
      <c r="C280" s="15" t="s">
        <v>806</v>
      </c>
      <c r="E280" s="36">
        <v>75091.73</v>
      </c>
      <c r="F280" s="36"/>
      <c r="G280" s="36">
        <v>407566.58</v>
      </c>
      <c r="H280" s="36"/>
      <c r="I280" s="36">
        <v>511304.9</v>
      </c>
      <c r="J280" s="36"/>
      <c r="K280" s="36">
        <v>0</v>
      </c>
      <c r="L280" s="36"/>
      <c r="M280" s="36">
        <v>336588.79</v>
      </c>
      <c r="N280" s="36"/>
      <c r="O280" s="36">
        <v>19095.84</v>
      </c>
      <c r="P280" s="36"/>
      <c r="Q280" s="36">
        <v>26932.57</v>
      </c>
      <c r="R280" s="36"/>
      <c r="S280" s="36">
        <v>149880.22</v>
      </c>
      <c r="T280" s="36"/>
      <c r="U280" s="36">
        <v>0</v>
      </c>
      <c r="V280" s="36"/>
      <c r="W280" s="36">
        <v>0</v>
      </c>
      <c r="X280" s="36"/>
      <c r="Y280" s="36">
        <v>0</v>
      </c>
      <c r="Z280" s="36"/>
      <c r="AA280" s="36">
        <v>260565.79</v>
      </c>
      <c r="AB280" s="36"/>
      <c r="AC280" s="36">
        <v>13651.2</v>
      </c>
      <c r="AD280" s="36"/>
      <c r="AE280" s="36">
        <v>0</v>
      </c>
      <c r="AF280" s="36"/>
      <c r="AG280" s="36">
        <v>0</v>
      </c>
      <c r="AH280" s="36"/>
      <c r="AI280" s="36">
        <f>SUM(E280:AG280)</f>
        <v>1800677.62</v>
      </c>
      <c r="AJ280" s="24"/>
      <c r="AK280" s="15" t="str">
        <f>'Gen Rev'!A280</f>
        <v>Hiram</v>
      </c>
      <c r="AL280" s="15" t="str">
        <f t="shared" si="18"/>
        <v>Hiram</v>
      </c>
      <c r="AM280" s="15" t="b">
        <f t="shared" si="19"/>
        <v>1</v>
      </c>
    </row>
    <row r="281" spans="1:39" ht="12.75">
      <c r="A281" s="15" t="s">
        <v>408</v>
      </c>
      <c r="C281" s="15" t="s">
        <v>407</v>
      </c>
      <c r="E281" s="85">
        <v>37959.91</v>
      </c>
      <c r="F281" s="85"/>
      <c r="G281" s="85">
        <v>207821.3</v>
      </c>
      <c r="H281" s="85"/>
      <c r="I281" s="85">
        <v>150226.06</v>
      </c>
      <c r="J281" s="85"/>
      <c r="K281" s="85">
        <v>0</v>
      </c>
      <c r="L281" s="85"/>
      <c r="M281" s="85">
        <v>9228.79</v>
      </c>
      <c r="N281" s="85"/>
      <c r="O281" s="85">
        <v>1398.5</v>
      </c>
      <c r="P281" s="85"/>
      <c r="Q281" s="85">
        <v>4589.34</v>
      </c>
      <c r="R281" s="85"/>
      <c r="S281" s="85">
        <v>246444.36</v>
      </c>
      <c r="T281" s="85"/>
      <c r="U281" s="85">
        <v>0</v>
      </c>
      <c r="V281" s="85"/>
      <c r="W281" s="85">
        <v>0</v>
      </c>
      <c r="X281" s="85"/>
      <c r="Y281" s="85">
        <v>0</v>
      </c>
      <c r="Z281" s="85"/>
      <c r="AA281" s="85">
        <v>53212.29</v>
      </c>
      <c r="AB281" s="85"/>
      <c r="AC281" s="85">
        <v>0</v>
      </c>
      <c r="AD281" s="85"/>
      <c r="AE281" s="85">
        <v>0</v>
      </c>
      <c r="AF281" s="85"/>
      <c r="AG281" s="85">
        <v>0</v>
      </c>
      <c r="AH281" s="85"/>
      <c r="AI281" s="85">
        <f t="shared" si="20"/>
        <v>710880.55</v>
      </c>
      <c r="AJ281" s="24"/>
      <c r="AK281" s="15" t="str">
        <f>'Gen Rev'!A281</f>
        <v>Holgate</v>
      </c>
      <c r="AL281" s="15" t="str">
        <f t="shared" si="18"/>
        <v>Holgate</v>
      </c>
      <c r="AM281" s="15" t="b">
        <f t="shared" si="19"/>
        <v>1</v>
      </c>
    </row>
    <row r="282" spans="1:39" ht="12.75">
      <c r="A282" s="15" t="s">
        <v>945</v>
      </c>
      <c r="C282" s="15" t="s">
        <v>598</v>
      </c>
      <c r="E282" s="36">
        <v>388780.75</v>
      </c>
      <c r="F282" s="36"/>
      <c r="G282" s="36">
        <v>0</v>
      </c>
      <c r="H282" s="36"/>
      <c r="I282" s="36">
        <v>27560.2</v>
      </c>
      <c r="J282" s="36"/>
      <c r="K282" s="36">
        <v>0</v>
      </c>
      <c r="L282" s="36"/>
      <c r="M282" s="36">
        <v>600</v>
      </c>
      <c r="N282" s="36"/>
      <c r="O282" s="36">
        <v>0</v>
      </c>
      <c r="P282" s="36"/>
      <c r="Q282" s="36">
        <v>4052.81</v>
      </c>
      <c r="R282" s="36"/>
      <c r="S282" s="36">
        <v>74895.1</v>
      </c>
      <c r="T282" s="36"/>
      <c r="U282" s="36">
        <v>0</v>
      </c>
      <c r="V282" s="36"/>
      <c r="W282" s="36">
        <v>0</v>
      </c>
      <c r="X282" s="36"/>
      <c r="Y282" s="36">
        <v>0</v>
      </c>
      <c r="Z282" s="36"/>
      <c r="AA282" s="36">
        <v>34803.22</v>
      </c>
      <c r="AB282" s="36"/>
      <c r="AC282" s="36">
        <v>0</v>
      </c>
      <c r="AD282" s="36"/>
      <c r="AE282" s="36">
        <v>0</v>
      </c>
      <c r="AF282" s="36"/>
      <c r="AG282" s="36">
        <v>0</v>
      </c>
      <c r="AH282" s="36"/>
      <c r="AI282" s="36">
        <f>SUM(E282:AG282)</f>
        <v>530692.08</v>
      </c>
      <c r="AJ282" s="24"/>
      <c r="AK282" s="15" t="str">
        <f>'Gen Rev'!A282</f>
        <v>Holiday</v>
      </c>
      <c r="AL282" s="15" t="str">
        <f t="shared" si="18"/>
        <v>Holiday</v>
      </c>
      <c r="AM282" s="15" t="b">
        <f t="shared" si="19"/>
        <v>1</v>
      </c>
    </row>
    <row r="283" spans="1:39" ht="12.75">
      <c r="A283" s="15" t="s">
        <v>454</v>
      </c>
      <c r="C283" s="15" t="s">
        <v>455</v>
      </c>
      <c r="E283" s="85">
        <v>45672</v>
      </c>
      <c r="F283" s="85"/>
      <c r="G283" s="85">
        <v>3082482</v>
      </c>
      <c r="H283" s="85"/>
      <c r="I283" s="85">
        <v>519793</v>
      </c>
      <c r="J283" s="85"/>
      <c r="K283" s="85">
        <v>64899</v>
      </c>
      <c r="L283" s="85"/>
      <c r="M283" s="85">
        <v>93622</v>
      </c>
      <c r="N283" s="85"/>
      <c r="O283" s="85">
        <v>33073</v>
      </c>
      <c r="P283" s="85"/>
      <c r="Q283" s="85">
        <v>78675</v>
      </c>
      <c r="R283" s="85"/>
      <c r="S283" s="85">
        <v>165932</v>
      </c>
      <c r="T283" s="85"/>
      <c r="U283" s="85">
        <v>0</v>
      </c>
      <c r="V283" s="85"/>
      <c r="W283" s="85">
        <v>0</v>
      </c>
      <c r="X283" s="85"/>
      <c r="Y283" s="85">
        <v>0</v>
      </c>
      <c r="Z283" s="85"/>
      <c r="AA283" s="85">
        <v>1047054</v>
      </c>
      <c r="AB283" s="85"/>
      <c r="AC283" s="85">
        <v>0</v>
      </c>
      <c r="AD283" s="85"/>
      <c r="AE283" s="85">
        <v>0</v>
      </c>
      <c r="AF283" s="85"/>
      <c r="AG283" s="85">
        <v>0</v>
      </c>
      <c r="AH283" s="85"/>
      <c r="AI283" s="85">
        <f t="shared" si="20"/>
        <v>5131202</v>
      </c>
      <c r="AJ283" s="24"/>
      <c r="AK283" s="15" t="str">
        <f>'Gen Rev'!A283</f>
        <v>Holland</v>
      </c>
      <c r="AL283" s="15" t="str">
        <f t="shared" si="18"/>
        <v>Holland</v>
      </c>
      <c r="AM283" s="15" t="b">
        <f t="shared" si="19"/>
        <v>1</v>
      </c>
    </row>
    <row r="284" spans="1:39" s="31" customFormat="1" ht="12.6" customHeight="1">
      <c r="A284" s="15" t="s">
        <v>332</v>
      </c>
      <c r="B284" s="15"/>
      <c r="C284" s="15" t="s">
        <v>329</v>
      </c>
      <c r="D284" s="15"/>
      <c r="E284" s="85">
        <v>27510</v>
      </c>
      <c r="F284" s="85"/>
      <c r="G284" s="85">
        <v>0</v>
      </c>
      <c r="H284" s="85"/>
      <c r="I284" s="85">
        <v>51366</v>
      </c>
      <c r="J284" s="85"/>
      <c r="K284" s="85">
        <v>0</v>
      </c>
      <c r="L284" s="85"/>
      <c r="M284" s="85">
        <v>0</v>
      </c>
      <c r="N284" s="85"/>
      <c r="O284" s="85">
        <v>0</v>
      </c>
      <c r="P284" s="85"/>
      <c r="Q284" s="85">
        <v>4</v>
      </c>
      <c r="R284" s="85"/>
      <c r="S284" s="85">
        <v>1136</v>
      </c>
      <c r="T284" s="85"/>
      <c r="U284" s="85">
        <v>0</v>
      </c>
      <c r="V284" s="85"/>
      <c r="W284" s="85">
        <v>0</v>
      </c>
      <c r="X284" s="85"/>
      <c r="Y284" s="85">
        <v>0</v>
      </c>
      <c r="Z284" s="85"/>
      <c r="AA284" s="85">
        <v>0</v>
      </c>
      <c r="AB284" s="85"/>
      <c r="AC284" s="85">
        <v>0</v>
      </c>
      <c r="AD284" s="85"/>
      <c r="AE284" s="85">
        <v>0</v>
      </c>
      <c r="AF284" s="85"/>
      <c r="AG284" s="85">
        <v>0</v>
      </c>
      <c r="AH284" s="85"/>
      <c r="AI284" s="85">
        <f t="shared" si="20"/>
        <v>80016</v>
      </c>
      <c r="AJ284" s="24"/>
      <c r="AK284" s="15" t="str">
        <f>'Gen Rev'!A284</f>
        <v>Hollansburg</v>
      </c>
      <c r="AL284" s="15" t="str">
        <f t="shared" si="18"/>
        <v>Hollansburg</v>
      </c>
      <c r="AM284" s="15" t="b">
        <f t="shared" si="19"/>
        <v>1</v>
      </c>
    </row>
    <row r="285" spans="1:39" ht="12.75">
      <c r="A285" s="15" t="s">
        <v>17</v>
      </c>
      <c r="C285" s="15" t="s">
        <v>750</v>
      </c>
      <c r="E285" s="36">
        <v>29057.43</v>
      </c>
      <c r="F285" s="36"/>
      <c r="G285" s="36">
        <v>0</v>
      </c>
      <c r="H285" s="36"/>
      <c r="I285" s="36">
        <v>51527.53</v>
      </c>
      <c r="J285" s="36"/>
      <c r="K285" s="36">
        <v>0</v>
      </c>
      <c r="L285" s="36"/>
      <c r="M285" s="36">
        <v>0</v>
      </c>
      <c r="N285" s="36"/>
      <c r="O285" s="36">
        <v>28</v>
      </c>
      <c r="P285" s="36"/>
      <c r="Q285" s="36">
        <v>699.66</v>
      </c>
      <c r="R285" s="36"/>
      <c r="S285" s="36">
        <v>129.97</v>
      </c>
      <c r="T285" s="36"/>
      <c r="U285" s="36">
        <v>0</v>
      </c>
      <c r="V285" s="36"/>
      <c r="W285" s="36">
        <v>0</v>
      </c>
      <c r="X285" s="36"/>
      <c r="Y285" s="36">
        <v>0</v>
      </c>
      <c r="Z285" s="36"/>
      <c r="AA285" s="36">
        <v>0</v>
      </c>
      <c r="AB285" s="36"/>
      <c r="AC285" s="36">
        <v>200</v>
      </c>
      <c r="AD285" s="36"/>
      <c r="AE285" s="36">
        <v>4041.59</v>
      </c>
      <c r="AF285" s="36"/>
      <c r="AG285" s="36">
        <v>0</v>
      </c>
      <c r="AH285" s="36"/>
      <c r="AI285" s="36">
        <f>SUM(E285:AG285)</f>
        <v>85684.18</v>
      </c>
      <c r="AJ285" s="24"/>
      <c r="AK285" s="15" t="str">
        <f>'Gen Rev'!A285</f>
        <v>Holloway</v>
      </c>
      <c r="AL285" s="15" t="str">
        <f t="shared" si="18"/>
        <v>Holloway</v>
      </c>
      <c r="AM285" s="15" t="b">
        <f t="shared" si="19"/>
        <v>1</v>
      </c>
    </row>
    <row r="286" spans="1:39" s="31" customFormat="1" ht="12.6" customHeight="1">
      <c r="A286" s="15" t="s">
        <v>413</v>
      </c>
      <c r="B286" s="15"/>
      <c r="C286" s="15" t="s">
        <v>412</v>
      </c>
      <c r="D286" s="15"/>
      <c r="E286" s="36">
        <v>24791.1</v>
      </c>
      <c r="F286" s="36"/>
      <c r="G286" s="36">
        <v>0</v>
      </c>
      <c r="H286" s="36"/>
      <c r="I286" s="36">
        <v>44357.93</v>
      </c>
      <c r="J286" s="36"/>
      <c r="K286" s="36">
        <v>4625</v>
      </c>
      <c r="L286" s="36"/>
      <c r="M286" s="36">
        <v>0</v>
      </c>
      <c r="N286" s="36"/>
      <c r="O286" s="36">
        <v>75</v>
      </c>
      <c r="P286" s="36"/>
      <c r="Q286" s="36">
        <v>74.32</v>
      </c>
      <c r="R286" s="36"/>
      <c r="S286" s="36">
        <v>4361.59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10403.1</v>
      </c>
      <c r="AB286" s="36"/>
      <c r="AC286" s="36">
        <v>0</v>
      </c>
      <c r="AD286" s="36"/>
      <c r="AE286" s="36">
        <v>0</v>
      </c>
      <c r="AF286" s="36"/>
      <c r="AG286" s="36">
        <v>0</v>
      </c>
      <c r="AH286" s="36"/>
      <c r="AI286" s="36">
        <f>SUM(E286:AG286)</f>
        <v>88688.04000000001</v>
      </c>
      <c r="AJ286" s="24"/>
      <c r="AK286" s="15" t="str">
        <f>'Gen Rev'!A286</f>
        <v>Holmesville</v>
      </c>
      <c r="AL286" s="15" t="str">
        <f t="shared" si="18"/>
        <v>Holmesville</v>
      </c>
      <c r="AM286" s="15" t="b">
        <f t="shared" si="19"/>
        <v>1</v>
      </c>
    </row>
    <row r="287" spans="1:39" s="31" customFormat="1" ht="12.75">
      <c r="A287" s="15" t="s">
        <v>101</v>
      </c>
      <c r="B287" s="15"/>
      <c r="C287" s="15" t="s">
        <v>776</v>
      </c>
      <c r="D287" s="15"/>
      <c r="E287" s="36">
        <v>74073.9</v>
      </c>
      <c r="F287" s="36"/>
      <c r="G287" s="36">
        <v>128932.82</v>
      </c>
      <c r="H287" s="36"/>
      <c r="I287" s="36">
        <v>74839.84</v>
      </c>
      <c r="J287" s="36"/>
      <c r="K287" s="36">
        <v>0</v>
      </c>
      <c r="L287" s="36"/>
      <c r="M287" s="36">
        <v>0</v>
      </c>
      <c r="N287" s="36"/>
      <c r="O287" s="36">
        <v>6302.1</v>
      </c>
      <c r="P287" s="36"/>
      <c r="Q287" s="36">
        <v>525.67</v>
      </c>
      <c r="R287" s="36"/>
      <c r="S287" s="36">
        <v>9763.28</v>
      </c>
      <c r="T287" s="36"/>
      <c r="U287" s="36">
        <v>0</v>
      </c>
      <c r="V287" s="36"/>
      <c r="W287" s="36">
        <v>0</v>
      </c>
      <c r="X287" s="36"/>
      <c r="Y287" s="36">
        <v>0</v>
      </c>
      <c r="Z287" s="36"/>
      <c r="AA287" s="36">
        <v>5141.81</v>
      </c>
      <c r="AB287" s="36"/>
      <c r="AC287" s="36">
        <v>53</v>
      </c>
      <c r="AD287" s="36"/>
      <c r="AE287" s="36">
        <v>0</v>
      </c>
      <c r="AF287" s="36"/>
      <c r="AG287" s="36">
        <v>0</v>
      </c>
      <c r="AH287" s="36"/>
      <c r="AI287" s="36">
        <f>SUM(E287:AG287)</f>
        <v>299632.42</v>
      </c>
      <c r="AJ287" s="24"/>
      <c r="AK287" s="15" t="str">
        <f>'Gen Rev'!A287</f>
        <v>Hopedale</v>
      </c>
      <c r="AL287" s="15" t="str">
        <f t="shared" si="18"/>
        <v>Hopedale</v>
      </c>
      <c r="AM287" s="15" t="b">
        <f t="shared" si="19"/>
        <v>1</v>
      </c>
    </row>
    <row r="288" spans="1:39" ht="12.75">
      <c r="A288" s="15" t="s">
        <v>257</v>
      </c>
      <c r="C288" s="15" t="s">
        <v>825</v>
      </c>
      <c r="E288" s="36">
        <v>8402.11</v>
      </c>
      <c r="F288" s="36"/>
      <c r="G288" s="36">
        <v>0</v>
      </c>
      <c r="H288" s="36"/>
      <c r="I288" s="36">
        <v>25410.23</v>
      </c>
      <c r="J288" s="36"/>
      <c r="K288" s="36">
        <v>8070.19</v>
      </c>
      <c r="L288" s="36"/>
      <c r="M288" s="36">
        <v>20537.04</v>
      </c>
      <c r="N288" s="36"/>
      <c r="O288" s="36">
        <v>0</v>
      </c>
      <c r="P288" s="36"/>
      <c r="Q288" s="36">
        <v>98.51</v>
      </c>
      <c r="R288" s="36"/>
      <c r="S288" s="36">
        <v>444.58</v>
      </c>
      <c r="T288" s="36"/>
      <c r="U288" s="36">
        <v>0</v>
      </c>
      <c r="V288" s="36"/>
      <c r="W288" s="36">
        <v>0</v>
      </c>
      <c r="X288" s="36"/>
      <c r="Y288" s="36">
        <v>0</v>
      </c>
      <c r="Z288" s="36"/>
      <c r="AA288" s="36">
        <v>0</v>
      </c>
      <c r="AB288" s="36"/>
      <c r="AC288" s="36">
        <v>0</v>
      </c>
      <c r="AD288" s="36"/>
      <c r="AE288" s="36">
        <v>0</v>
      </c>
      <c r="AF288" s="36"/>
      <c r="AG288" s="36">
        <v>0</v>
      </c>
      <c r="AH288" s="36"/>
      <c r="AI288" s="36">
        <f>SUM(E288:AG288)</f>
        <v>62962.66</v>
      </c>
      <c r="AJ288" s="24"/>
      <c r="AK288" s="15" t="str">
        <f>'Gen Rev'!A288</f>
        <v>Hoytville</v>
      </c>
      <c r="AL288" s="15" t="str">
        <f t="shared" si="18"/>
        <v>Hoytville</v>
      </c>
      <c r="AM288" s="15" t="b">
        <f t="shared" si="19"/>
        <v>1</v>
      </c>
    </row>
    <row r="289" spans="1:42" s="31" customFormat="1" ht="12.6" customHeight="1">
      <c r="A289" s="15" t="s">
        <v>321</v>
      </c>
      <c r="B289" s="15"/>
      <c r="C289" s="15" t="s">
        <v>316</v>
      </c>
      <c r="D289" s="15"/>
      <c r="E289" s="85">
        <v>674208</v>
      </c>
      <c r="F289" s="85"/>
      <c r="G289" s="85">
        <v>0</v>
      </c>
      <c r="H289" s="85"/>
      <c r="I289" s="85">
        <v>3398430</v>
      </c>
      <c r="J289" s="85"/>
      <c r="K289" s="85">
        <v>0</v>
      </c>
      <c r="L289" s="85"/>
      <c r="M289" s="85">
        <v>52609</v>
      </c>
      <c r="N289" s="85"/>
      <c r="O289" s="85">
        <v>88165</v>
      </c>
      <c r="P289" s="85"/>
      <c r="Q289" s="85">
        <v>109600</v>
      </c>
      <c r="R289" s="85"/>
      <c r="S289" s="85">
        <v>210622</v>
      </c>
      <c r="T289" s="85"/>
      <c r="U289" s="85">
        <v>0</v>
      </c>
      <c r="V289" s="85"/>
      <c r="W289" s="85">
        <v>5514105</v>
      </c>
      <c r="X289" s="85"/>
      <c r="Y289" s="85">
        <v>0</v>
      </c>
      <c r="Z289" s="85"/>
      <c r="AA289" s="85">
        <v>0</v>
      </c>
      <c r="AB289" s="85"/>
      <c r="AC289" s="85">
        <v>0</v>
      </c>
      <c r="AD289" s="85"/>
      <c r="AE289" s="85">
        <v>0</v>
      </c>
      <c r="AF289" s="85"/>
      <c r="AG289" s="85">
        <v>0</v>
      </c>
      <c r="AH289" s="85"/>
      <c r="AI289" s="85">
        <f t="shared" si="20"/>
        <v>10047739</v>
      </c>
      <c r="AJ289" s="24"/>
      <c r="AK289" s="15" t="str">
        <f>'Gen Rev'!A289</f>
        <v>Hunting Valley</v>
      </c>
      <c r="AL289" s="15" t="str">
        <f t="shared" si="18"/>
        <v>Hunting Valley</v>
      </c>
      <c r="AM289" s="15" t="b">
        <f t="shared" si="19"/>
        <v>1</v>
      </c>
      <c r="AN289" s="32"/>
      <c r="AO289" s="32"/>
      <c r="AP289" s="32"/>
    </row>
    <row r="290" spans="1:39" s="31" customFormat="1" ht="12.75">
      <c r="A290" s="15" t="s">
        <v>133</v>
      </c>
      <c r="B290" s="15"/>
      <c r="C290" s="15" t="s">
        <v>786</v>
      </c>
      <c r="D290" s="15"/>
      <c r="E290" s="36">
        <v>12576.64</v>
      </c>
      <c r="F290" s="36"/>
      <c r="G290" s="36">
        <v>53773.88</v>
      </c>
      <c r="H290" s="36"/>
      <c r="I290" s="36">
        <v>122845.93</v>
      </c>
      <c r="J290" s="36"/>
      <c r="K290" s="36">
        <v>0</v>
      </c>
      <c r="L290" s="36"/>
      <c r="M290" s="36">
        <v>74232.89</v>
      </c>
      <c r="N290" s="36"/>
      <c r="O290" s="36">
        <v>1863</v>
      </c>
      <c r="P290" s="36"/>
      <c r="Q290" s="36">
        <v>8542.41</v>
      </c>
      <c r="R290" s="36"/>
      <c r="S290" s="36">
        <v>4242.8</v>
      </c>
      <c r="T290" s="36"/>
      <c r="U290" s="36">
        <v>0</v>
      </c>
      <c r="V290" s="36"/>
      <c r="W290" s="36">
        <v>0</v>
      </c>
      <c r="X290" s="36"/>
      <c r="Y290" s="36">
        <v>0</v>
      </c>
      <c r="Z290" s="36"/>
      <c r="AA290" s="36">
        <v>0</v>
      </c>
      <c r="AB290" s="36"/>
      <c r="AC290" s="36">
        <v>0</v>
      </c>
      <c r="AD290" s="36"/>
      <c r="AE290" s="36">
        <v>0</v>
      </c>
      <c r="AF290" s="36"/>
      <c r="AG290" s="36">
        <v>0</v>
      </c>
      <c r="AH290" s="36"/>
      <c r="AI290" s="36">
        <f>SUM(E290:AG290)</f>
        <v>278077.54999999993</v>
      </c>
      <c r="AJ290" s="24"/>
      <c r="AK290" s="15" t="str">
        <f>'Gen Rev'!A290</f>
        <v>Huntsville</v>
      </c>
      <c r="AL290" s="15" t="str">
        <f t="shared" si="18"/>
        <v>Huntsville</v>
      </c>
      <c r="AM290" s="15" t="b">
        <f t="shared" si="19"/>
        <v>1</v>
      </c>
    </row>
    <row r="291" spans="1:39" ht="12.75">
      <c r="A291" s="15" t="s">
        <v>118</v>
      </c>
      <c r="C291" s="15" t="s">
        <v>781</v>
      </c>
      <c r="E291" s="36">
        <v>18589.95</v>
      </c>
      <c r="F291" s="36"/>
      <c r="G291" s="36">
        <v>0</v>
      </c>
      <c r="H291" s="36"/>
      <c r="I291" s="36">
        <v>56037.96</v>
      </c>
      <c r="J291" s="36"/>
      <c r="K291" s="36">
        <v>0</v>
      </c>
      <c r="L291" s="36"/>
      <c r="M291" s="36">
        <v>92017.2</v>
      </c>
      <c r="N291" s="36"/>
      <c r="O291" s="36">
        <v>0</v>
      </c>
      <c r="P291" s="36"/>
      <c r="Q291" s="36">
        <v>165.15</v>
      </c>
      <c r="R291" s="36"/>
      <c r="S291" s="36">
        <v>238996.03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12101</v>
      </c>
      <c r="AB291" s="36"/>
      <c r="AC291" s="36">
        <v>0</v>
      </c>
      <c r="AD291" s="36"/>
      <c r="AE291" s="36">
        <v>0</v>
      </c>
      <c r="AF291" s="36"/>
      <c r="AG291" s="36">
        <v>0</v>
      </c>
      <c r="AH291" s="36"/>
      <c r="AI291" s="36">
        <f>SUM(E291:AG291)</f>
        <v>417907.29</v>
      </c>
      <c r="AJ291" s="24"/>
      <c r="AK291" s="15" t="str">
        <f>'Gen Rev'!A291</f>
        <v>Irondale</v>
      </c>
      <c r="AL291" s="15" t="str">
        <f t="shared" si="18"/>
        <v>Irondale</v>
      </c>
      <c r="AM291" s="15" t="b">
        <f t="shared" si="19"/>
        <v>1</v>
      </c>
    </row>
    <row r="292" spans="1:42" s="31" customFormat="1" ht="12.6" customHeight="1">
      <c r="A292" s="15" t="s">
        <v>691</v>
      </c>
      <c r="B292" s="15"/>
      <c r="C292" s="15" t="s">
        <v>329</v>
      </c>
      <c r="D292" s="15"/>
      <c r="E292" s="85">
        <f>22744.32+4549</f>
        <v>27293.32</v>
      </c>
      <c r="F292" s="85"/>
      <c r="G292" s="85">
        <v>0</v>
      </c>
      <c r="H292" s="85"/>
      <c r="I292" s="85">
        <v>0</v>
      </c>
      <c r="J292" s="85"/>
      <c r="K292" s="85">
        <v>0</v>
      </c>
      <c r="L292" s="85"/>
      <c r="M292" s="85">
        <v>0</v>
      </c>
      <c r="N292" s="85"/>
      <c r="O292" s="85">
        <v>0</v>
      </c>
      <c r="P292" s="85"/>
      <c r="Q292" s="85">
        <v>0</v>
      </c>
      <c r="R292" s="85"/>
      <c r="S292" s="85">
        <v>0</v>
      </c>
      <c r="T292" s="85"/>
      <c r="U292" s="85">
        <v>0</v>
      </c>
      <c r="V292" s="85"/>
      <c r="W292" s="85">
        <v>0</v>
      </c>
      <c r="X292" s="85"/>
      <c r="Y292" s="85">
        <v>0</v>
      </c>
      <c r="Z292" s="85"/>
      <c r="AA292" s="85">
        <v>0</v>
      </c>
      <c r="AB292" s="85"/>
      <c r="AC292" s="85">
        <v>0</v>
      </c>
      <c r="AD292" s="85"/>
      <c r="AE292" s="85">
        <v>0</v>
      </c>
      <c r="AF292" s="85"/>
      <c r="AG292" s="85">
        <v>0</v>
      </c>
      <c r="AH292" s="85"/>
      <c r="AI292" s="85">
        <f t="shared" si="20"/>
        <v>27293.32</v>
      </c>
      <c r="AJ292" s="24"/>
      <c r="AK292" s="15" t="str">
        <f>'Gen Rev'!A292</f>
        <v>Ithaca</v>
      </c>
      <c r="AL292" s="15" t="str">
        <f t="shared" si="18"/>
        <v>Ithaca</v>
      </c>
      <c r="AM292" s="15" t="b">
        <f t="shared" si="19"/>
        <v>1</v>
      </c>
      <c r="AN292" s="32"/>
      <c r="AO292" s="32"/>
      <c r="AP292" s="32"/>
    </row>
    <row r="293" spans="1:39" ht="12.75">
      <c r="A293" s="15" t="s">
        <v>223</v>
      </c>
      <c r="C293" s="15" t="s">
        <v>814</v>
      </c>
      <c r="E293" s="36">
        <v>101367.41</v>
      </c>
      <c r="F293" s="36"/>
      <c r="G293" s="36">
        <v>686852.2</v>
      </c>
      <c r="H293" s="36"/>
      <c r="I293" s="36">
        <v>276973.53</v>
      </c>
      <c r="J293" s="36"/>
      <c r="K293" s="36">
        <v>0</v>
      </c>
      <c r="L293" s="36"/>
      <c r="M293" s="36">
        <v>83996.87</v>
      </c>
      <c r="N293" s="36"/>
      <c r="O293" s="36">
        <v>21834.03</v>
      </c>
      <c r="P293" s="36"/>
      <c r="Q293" s="36">
        <v>1256.38</v>
      </c>
      <c r="R293" s="36"/>
      <c r="S293" s="36">
        <v>15329.8</v>
      </c>
      <c r="T293" s="36"/>
      <c r="U293" s="36">
        <v>42465</v>
      </c>
      <c r="V293" s="36"/>
      <c r="W293" s="36">
        <v>0</v>
      </c>
      <c r="X293" s="36"/>
      <c r="Y293" s="36">
        <v>0</v>
      </c>
      <c r="Z293" s="36"/>
      <c r="AA293" s="36">
        <v>716038.78</v>
      </c>
      <c r="AB293" s="36"/>
      <c r="AC293" s="36">
        <v>0</v>
      </c>
      <c r="AD293" s="36"/>
      <c r="AE293" s="36">
        <v>0</v>
      </c>
      <c r="AF293" s="36"/>
      <c r="AG293" s="36">
        <v>0</v>
      </c>
      <c r="AH293" s="36"/>
      <c r="AI293" s="36">
        <f>SUM(E293:AG293)</f>
        <v>1946114.0000000002</v>
      </c>
      <c r="AJ293" s="24"/>
      <c r="AK293" s="15" t="str">
        <f>'Gen Rev'!A293</f>
        <v>Jackson Center</v>
      </c>
      <c r="AL293" s="15" t="str">
        <f t="shared" si="18"/>
        <v>Jackson Center</v>
      </c>
      <c r="AM293" s="15" t="b">
        <f t="shared" si="19"/>
        <v>1</v>
      </c>
    </row>
    <row r="294" spans="1:42" ht="12" customHeight="1" hidden="1">
      <c r="A294" s="15" t="s">
        <v>693</v>
      </c>
      <c r="C294" s="15" t="s">
        <v>692</v>
      </c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>
        <f t="shared" si="20"/>
        <v>0</v>
      </c>
      <c r="AJ294" s="24"/>
      <c r="AK294" s="15" t="str">
        <f>'Gen Rev'!A294</f>
        <v>Jacksonburg</v>
      </c>
      <c r="AL294" s="15" t="str">
        <f t="shared" si="18"/>
        <v>Jacksonburg</v>
      </c>
      <c r="AM294" s="15" t="b">
        <f t="shared" si="19"/>
        <v>1</v>
      </c>
      <c r="AN294" s="30"/>
      <c r="AO294" s="30"/>
      <c r="AP294" s="30"/>
    </row>
    <row r="295" spans="1:39" s="31" customFormat="1" ht="12.75">
      <c r="A295" s="15" t="s">
        <v>84</v>
      </c>
      <c r="B295" s="15"/>
      <c r="C295" s="15" t="s">
        <v>771</v>
      </c>
      <c r="D295" s="15"/>
      <c r="E295" s="36">
        <v>343423.72</v>
      </c>
      <c r="F295" s="36"/>
      <c r="G295" s="36">
        <v>161415.56</v>
      </c>
      <c r="H295" s="36"/>
      <c r="I295" s="36">
        <v>840859.48</v>
      </c>
      <c r="J295" s="36"/>
      <c r="K295" s="36">
        <v>0</v>
      </c>
      <c r="L295" s="36"/>
      <c r="M295" s="36">
        <v>23</v>
      </c>
      <c r="N295" s="36"/>
      <c r="O295" s="36">
        <v>31051.76</v>
      </c>
      <c r="P295" s="36"/>
      <c r="Q295" s="36">
        <v>1250.34</v>
      </c>
      <c r="R295" s="36"/>
      <c r="S295" s="36">
        <v>3990.41</v>
      </c>
      <c r="T295" s="36"/>
      <c r="U295" s="36">
        <v>0</v>
      </c>
      <c r="V295" s="36"/>
      <c r="W295" s="36">
        <v>0</v>
      </c>
      <c r="X295" s="36"/>
      <c r="Y295" s="36">
        <v>0</v>
      </c>
      <c r="Z295" s="36"/>
      <c r="AA295" s="36">
        <v>60000</v>
      </c>
      <c r="AB295" s="36"/>
      <c r="AC295" s="36">
        <v>0</v>
      </c>
      <c r="AD295" s="36"/>
      <c r="AE295" s="36">
        <v>3350.54</v>
      </c>
      <c r="AF295" s="36"/>
      <c r="AG295" s="36">
        <v>0</v>
      </c>
      <c r="AH295" s="36"/>
      <c r="AI295" s="36">
        <f>SUM(E295:AG295)</f>
        <v>1445364.81</v>
      </c>
      <c r="AJ295" s="24"/>
      <c r="AK295" s="15" t="str">
        <f>'Gen Rev'!A295</f>
        <v>Jamestown</v>
      </c>
      <c r="AL295" s="15" t="str">
        <f t="shared" si="18"/>
        <v>Jamestown</v>
      </c>
      <c r="AM295" s="15" t="b">
        <f t="shared" si="19"/>
        <v>1</v>
      </c>
    </row>
    <row r="296" spans="1:42" ht="12.6" customHeight="1">
      <c r="A296" s="15" t="s">
        <v>694</v>
      </c>
      <c r="C296" s="15" t="s">
        <v>674</v>
      </c>
      <c r="E296" s="85">
        <v>1962164</v>
      </c>
      <c r="F296" s="85"/>
      <c r="G296" s="85">
        <v>0</v>
      </c>
      <c r="H296" s="85"/>
      <c r="I296" s="85">
        <f>73603+55347</f>
        <v>128950</v>
      </c>
      <c r="J296" s="85"/>
      <c r="K296" s="85">
        <v>191319</v>
      </c>
      <c r="L296" s="85"/>
      <c r="M296" s="85">
        <v>241764</v>
      </c>
      <c r="N296" s="85"/>
      <c r="O296" s="85">
        <v>48774</v>
      </c>
      <c r="P296" s="85"/>
      <c r="Q296" s="85">
        <v>1218</v>
      </c>
      <c r="R296" s="85"/>
      <c r="S296" s="85">
        <v>27513</v>
      </c>
      <c r="T296" s="85"/>
      <c r="U296" s="85">
        <v>0</v>
      </c>
      <c r="V296" s="85"/>
      <c r="W296" s="85">
        <v>0</v>
      </c>
      <c r="X296" s="85"/>
      <c r="Y296" s="85">
        <v>0</v>
      </c>
      <c r="Z296" s="85"/>
      <c r="AA296" s="85">
        <v>0</v>
      </c>
      <c r="AB296" s="85"/>
      <c r="AC296" s="85">
        <v>0</v>
      </c>
      <c r="AD296" s="85"/>
      <c r="AE296" s="85">
        <v>91945</v>
      </c>
      <c r="AF296" s="85"/>
      <c r="AG296" s="85">
        <v>0</v>
      </c>
      <c r="AH296" s="85"/>
      <c r="AI296" s="85">
        <f t="shared" si="20"/>
        <v>2693647</v>
      </c>
      <c r="AJ296" s="24"/>
      <c r="AK296" s="15" t="str">
        <f>'Gen Rev'!A296</f>
        <v xml:space="preserve">Jefferson  </v>
      </c>
      <c r="AL296" s="15" t="str">
        <f t="shared" si="18"/>
        <v xml:space="preserve">Jefferson  </v>
      </c>
      <c r="AM296" s="15" t="b">
        <f t="shared" si="19"/>
        <v>1</v>
      </c>
      <c r="AN296" s="30"/>
      <c r="AO296" s="30"/>
      <c r="AP296" s="30"/>
    </row>
    <row r="297" spans="1:42" ht="12.75">
      <c r="A297" s="15" t="s">
        <v>69</v>
      </c>
      <c r="C297" s="15" t="s">
        <v>767</v>
      </c>
      <c r="E297" s="83">
        <v>377630</v>
      </c>
      <c r="F297" s="83"/>
      <c r="G297" s="83">
        <v>0</v>
      </c>
      <c r="H297" s="83"/>
      <c r="I297" s="83">
        <v>154684</v>
      </c>
      <c r="J297" s="83"/>
      <c r="K297" s="83">
        <v>0</v>
      </c>
      <c r="L297" s="83"/>
      <c r="M297" s="83">
        <v>43700</v>
      </c>
      <c r="N297" s="83"/>
      <c r="O297" s="83">
        <v>27563</v>
      </c>
      <c r="P297" s="83"/>
      <c r="Q297" s="83">
        <v>67</v>
      </c>
      <c r="R297" s="83"/>
      <c r="S297" s="83">
        <v>18176</v>
      </c>
      <c r="T297" s="83"/>
      <c r="U297" s="85">
        <v>0</v>
      </c>
      <c r="V297" s="85"/>
      <c r="W297" s="85">
        <v>0</v>
      </c>
      <c r="X297" s="85"/>
      <c r="Y297" s="85">
        <v>0</v>
      </c>
      <c r="Z297" s="85"/>
      <c r="AA297" s="85">
        <v>0</v>
      </c>
      <c r="AB297" s="85"/>
      <c r="AC297" s="85">
        <v>0</v>
      </c>
      <c r="AD297" s="85"/>
      <c r="AE297" s="85">
        <v>0</v>
      </c>
      <c r="AF297" s="85"/>
      <c r="AG297" s="85">
        <v>0</v>
      </c>
      <c r="AH297" s="85"/>
      <c r="AI297" s="85">
        <f t="shared" si="20"/>
        <v>621820</v>
      </c>
      <c r="AJ297" s="39"/>
      <c r="AK297" s="15" t="str">
        <f>'Gen Rev'!A297</f>
        <v>Jeffersonville</v>
      </c>
      <c r="AL297" s="15" t="str">
        <f t="shared" si="18"/>
        <v>Jeffersonville</v>
      </c>
      <c r="AM297" s="15" t="b">
        <f t="shared" si="19"/>
        <v>1</v>
      </c>
      <c r="AN297" s="30"/>
      <c r="AO297" s="30"/>
      <c r="AP297" s="30"/>
    </row>
    <row r="298" spans="1:39" s="31" customFormat="1" ht="12.75">
      <c r="A298" s="15" t="s">
        <v>695</v>
      </c>
      <c r="B298" s="15"/>
      <c r="C298" s="15" t="s">
        <v>388</v>
      </c>
      <c r="D298" s="15"/>
      <c r="E298" s="85">
        <v>23359.76</v>
      </c>
      <c r="F298" s="85"/>
      <c r="G298" s="85">
        <v>0</v>
      </c>
      <c r="H298" s="85"/>
      <c r="I298" s="85">
        <v>49550.96</v>
      </c>
      <c r="J298" s="85"/>
      <c r="K298" s="85">
        <v>5647.77</v>
      </c>
      <c r="L298" s="85"/>
      <c r="M298" s="85">
        <v>62683.13</v>
      </c>
      <c r="N298" s="85"/>
      <c r="O298" s="85">
        <v>0</v>
      </c>
      <c r="P298" s="85"/>
      <c r="Q298" s="85">
        <v>675.45</v>
      </c>
      <c r="R298" s="85"/>
      <c r="S298" s="85">
        <v>373527.03</v>
      </c>
      <c r="T298" s="85"/>
      <c r="U298" s="85">
        <v>0</v>
      </c>
      <c r="V298" s="85"/>
      <c r="W298" s="85">
        <v>0</v>
      </c>
      <c r="X298" s="85"/>
      <c r="Y298" s="85">
        <v>0</v>
      </c>
      <c r="Z298" s="85"/>
      <c r="AA298" s="85">
        <v>0</v>
      </c>
      <c r="AB298" s="85"/>
      <c r="AC298" s="85">
        <v>16000</v>
      </c>
      <c r="AD298" s="85"/>
      <c r="AE298" s="85">
        <v>0</v>
      </c>
      <c r="AF298" s="86"/>
      <c r="AG298" s="85">
        <v>0</v>
      </c>
      <c r="AH298" s="86"/>
      <c r="AI298" s="85">
        <f t="shared" si="20"/>
        <v>531444.1000000001</v>
      </c>
      <c r="AJ298" s="24"/>
      <c r="AK298" s="15" t="str">
        <f>'Gen Rev'!A298</f>
        <v>Jenera</v>
      </c>
      <c r="AL298" s="15" t="str">
        <f t="shared" si="18"/>
        <v>Jenera</v>
      </c>
      <c r="AM298" s="15" t="b">
        <f t="shared" si="19"/>
        <v>1</v>
      </c>
    </row>
    <row r="299" spans="1:42" ht="12.75">
      <c r="A299" s="15" t="s">
        <v>696</v>
      </c>
      <c r="C299" s="15" t="s">
        <v>669</v>
      </c>
      <c r="E299" s="85">
        <v>33024.57</v>
      </c>
      <c r="F299" s="85"/>
      <c r="G299" s="85">
        <v>0</v>
      </c>
      <c r="H299" s="85"/>
      <c r="I299" s="85">
        <v>180587.24</v>
      </c>
      <c r="J299" s="85"/>
      <c r="K299" s="85">
        <v>0</v>
      </c>
      <c r="L299" s="85"/>
      <c r="M299" s="85">
        <v>3796.96</v>
      </c>
      <c r="N299" s="85"/>
      <c r="O299" s="85">
        <v>0</v>
      </c>
      <c r="P299" s="85"/>
      <c r="Q299" s="85">
        <v>644.01</v>
      </c>
      <c r="R299" s="85"/>
      <c r="S299" s="85">
        <v>0</v>
      </c>
      <c r="T299" s="85"/>
      <c r="U299" s="85">
        <v>0</v>
      </c>
      <c r="V299" s="85"/>
      <c r="W299" s="85">
        <v>67401</v>
      </c>
      <c r="X299" s="85"/>
      <c r="Y299" s="85">
        <v>0</v>
      </c>
      <c r="Z299" s="85"/>
      <c r="AA299" s="85">
        <v>0</v>
      </c>
      <c r="AB299" s="85"/>
      <c r="AC299" s="85">
        <v>0</v>
      </c>
      <c r="AD299" s="85"/>
      <c r="AE299" s="85">
        <v>0</v>
      </c>
      <c r="AF299" s="85"/>
      <c r="AG299" s="85">
        <v>0</v>
      </c>
      <c r="AH299" s="85"/>
      <c r="AI299" s="85">
        <f t="shared" si="20"/>
        <v>285453.78</v>
      </c>
      <c r="AJ299" s="24"/>
      <c r="AK299" s="15" t="str">
        <f>'Gen Rev'!A299</f>
        <v>Jeromesville</v>
      </c>
      <c r="AL299" s="15" t="str">
        <f t="shared" si="18"/>
        <v>Jeromesville</v>
      </c>
      <c r="AM299" s="15" t="b">
        <f t="shared" si="19"/>
        <v>1</v>
      </c>
      <c r="AN299" s="30"/>
      <c r="AO299" s="30"/>
      <c r="AP299" s="30"/>
    </row>
    <row r="300" spans="1:39" s="31" customFormat="1" ht="12.75">
      <c r="A300" s="15" t="s">
        <v>697</v>
      </c>
      <c r="B300" s="15"/>
      <c r="C300" s="15" t="s">
        <v>603</v>
      </c>
      <c r="D300" s="15"/>
      <c r="E300" s="36">
        <v>23274.42</v>
      </c>
      <c r="F300" s="36"/>
      <c r="G300" s="36">
        <v>0</v>
      </c>
      <c r="H300" s="36"/>
      <c r="I300" s="36">
        <v>34625.82</v>
      </c>
      <c r="J300" s="36"/>
      <c r="K300" s="36">
        <v>4579.94</v>
      </c>
      <c r="L300" s="36"/>
      <c r="M300" s="36">
        <v>0</v>
      </c>
      <c r="N300" s="36"/>
      <c r="O300" s="36">
        <v>2939.65</v>
      </c>
      <c r="P300" s="36"/>
      <c r="Q300" s="36">
        <v>58.88</v>
      </c>
      <c r="R300" s="36"/>
      <c r="S300" s="36">
        <v>4557.5</v>
      </c>
      <c r="T300" s="36"/>
      <c r="U300" s="36">
        <v>0</v>
      </c>
      <c r="V300" s="36"/>
      <c r="W300" s="36">
        <v>0</v>
      </c>
      <c r="X300" s="36"/>
      <c r="Y300" s="36">
        <v>0</v>
      </c>
      <c r="Z300" s="36"/>
      <c r="AA300" s="36">
        <v>0</v>
      </c>
      <c r="AB300" s="36"/>
      <c r="AC300" s="36">
        <v>0</v>
      </c>
      <c r="AD300" s="36"/>
      <c r="AE300" s="36">
        <v>0</v>
      </c>
      <c r="AF300" s="36"/>
      <c r="AG300" s="36">
        <v>275.4</v>
      </c>
      <c r="AH300" s="36"/>
      <c r="AI300" s="36">
        <f>SUM(E300:AG300)</f>
        <v>70311.60999999999</v>
      </c>
      <c r="AJ300" s="24"/>
      <c r="AK300" s="15" t="str">
        <f>'Gen Rev'!A300</f>
        <v>Jerry City</v>
      </c>
      <c r="AL300" s="15" t="str">
        <f t="shared" si="18"/>
        <v>Jerry City</v>
      </c>
      <c r="AM300" s="15" t="b">
        <f t="shared" si="19"/>
        <v>1</v>
      </c>
    </row>
    <row r="301" spans="1:39" ht="12.75">
      <c r="A301" s="15" t="s">
        <v>102</v>
      </c>
      <c r="C301" s="15" t="s">
        <v>776</v>
      </c>
      <c r="E301" s="36">
        <v>60917.97</v>
      </c>
      <c r="F301" s="36"/>
      <c r="G301" s="36">
        <v>34071.56</v>
      </c>
      <c r="H301" s="36"/>
      <c r="I301" s="36">
        <v>57692.42</v>
      </c>
      <c r="J301" s="36"/>
      <c r="K301" s="36">
        <v>276.46</v>
      </c>
      <c r="L301" s="36"/>
      <c r="M301" s="36">
        <v>4175</v>
      </c>
      <c r="N301" s="36"/>
      <c r="O301" s="36">
        <v>13699.07</v>
      </c>
      <c r="P301" s="36"/>
      <c r="Q301" s="36">
        <v>879.64</v>
      </c>
      <c r="R301" s="36"/>
      <c r="S301" s="36">
        <v>81527.67</v>
      </c>
      <c r="T301" s="36"/>
      <c r="U301" s="36">
        <v>0</v>
      </c>
      <c r="V301" s="36"/>
      <c r="W301" s="36">
        <v>5965</v>
      </c>
      <c r="X301" s="36"/>
      <c r="Y301" s="36">
        <v>19125</v>
      </c>
      <c r="Z301" s="36"/>
      <c r="AA301" s="36">
        <v>16000</v>
      </c>
      <c r="AB301" s="36"/>
      <c r="AC301" s="36">
        <v>5000</v>
      </c>
      <c r="AD301" s="36"/>
      <c r="AE301" s="36">
        <v>1484.16</v>
      </c>
      <c r="AF301" s="36"/>
      <c r="AG301" s="36">
        <v>0</v>
      </c>
      <c r="AH301" s="36"/>
      <c r="AI301" s="36">
        <f>SUM(E301:AG301)</f>
        <v>300813.95</v>
      </c>
      <c r="AJ301" s="24"/>
      <c r="AK301" s="15" t="str">
        <f>'Gen Rev'!A301</f>
        <v>Jewett</v>
      </c>
      <c r="AL301" s="15" t="str">
        <f t="shared" si="18"/>
        <v>Jewett</v>
      </c>
      <c r="AM301" s="15" t="b">
        <f t="shared" si="19"/>
        <v>1</v>
      </c>
    </row>
    <row r="302" spans="1:39" s="31" customFormat="1" ht="12.75">
      <c r="A302" s="15" t="s">
        <v>131</v>
      </c>
      <c r="B302" s="15"/>
      <c r="C302" s="15" t="s">
        <v>785</v>
      </c>
      <c r="D302" s="15"/>
      <c r="E302" s="85">
        <v>217908</v>
      </c>
      <c r="F302" s="85"/>
      <c r="G302" s="85">
        <v>1529648</v>
      </c>
      <c r="H302" s="85"/>
      <c r="I302" s="85">
        <v>414121</v>
      </c>
      <c r="J302" s="85"/>
      <c r="K302" s="85">
        <v>0</v>
      </c>
      <c r="L302" s="85"/>
      <c r="M302" s="85">
        <v>8081</v>
      </c>
      <c r="N302" s="85"/>
      <c r="O302" s="85">
        <v>172606</v>
      </c>
      <c r="P302" s="85"/>
      <c r="Q302" s="85">
        <v>56397</v>
      </c>
      <c r="R302" s="85"/>
      <c r="S302" s="85">
        <v>5016</v>
      </c>
      <c r="T302" s="85"/>
      <c r="U302" s="85">
        <v>1135421</v>
      </c>
      <c r="V302" s="85"/>
      <c r="W302" s="85">
        <v>0</v>
      </c>
      <c r="X302" s="85"/>
      <c r="Y302" s="85">
        <v>0</v>
      </c>
      <c r="Z302" s="85"/>
      <c r="AA302" s="85">
        <v>413005</v>
      </c>
      <c r="AB302" s="85"/>
      <c r="AC302" s="85">
        <v>0</v>
      </c>
      <c r="AD302" s="85"/>
      <c r="AE302" s="85">
        <v>0</v>
      </c>
      <c r="AF302" s="85"/>
      <c r="AG302" s="85">
        <v>0</v>
      </c>
      <c r="AH302" s="85"/>
      <c r="AI302" s="85">
        <f t="shared" si="20"/>
        <v>3952203</v>
      </c>
      <c r="AJ302" s="24"/>
      <c r="AK302" s="15" t="str">
        <f>'Gen Rev'!A302</f>
        <v>Johnstown</v>
      </c>
      <c r="AL302" s="15" t="str">
        <f t="shared" si="18"/>
        <v>Johnstown</v>
      </c>
      <c r="AM302" s="15" t="b">
        <f t="shared" si="19"/>
        <v>1</v>
      </c>
    </row>
    <row r="303" spans="1:39" ht="12.75">
      <c r="A303" s="15" t="s">
        <v>698</v>
      </c>
      <c r="C303" s="15" t="s">
        <v>501</v>
      </c>
      <c r="E303" s="85">
        <v>29288</v>
      </c>
      <c r="F303" s="85"/>
      <c r="G303" s="85">
        <v>0</v>
      </c>
      <c r="H303" s="85"/>
      <c r="I303" s="85">
        <v>49419</v>
      </c>
      <c r="J303" s="85"/>
      <c r="K303" s="85">
        <v>14730</v>
      </c>
      <c r="L303" s="85"/>
      <c r="M303" s="85">
        <v>188184</v>
      </c>
      <c r="N303" s="85"/>
      <c r="O303" s="85">
        <v>5332</v>
      </c>
      <c r="P303" s="85"/>
      <c r="Q303" s="85">
        <v>3115</v>
      </c>
      <c r="R303" s="85"/>
      <c r="S303" s="85">
        <v>40303</v>
      </c>
      <c r="T303" s="85"/>
      <c r="U303" s="85">
        <v>0</v>
      </c>
      <c r="V303" s="85"/>
      <c r="W303" s="85">
        <v>0</v>
      </c>
      <c r="X303" s="85"/>
      <c r="Y303" s="85">
        <v>0</v>
      </c>
      <c r="Z303" s="85"/>
      <c r="AA303" s="85">
        <v>0</v>
      </c>
      <c r="AB303" s="85"/>
      <c r="AC303" s="85">
        <v>0</v>
      </c>
      <c r="AD303" s="85"/>
      <c r="AE303" s="85">
        <v>0</v>
      </c>
      <c r="AF303" s="85"/>
      <c r="AG303" s="85">
        <v>0</v>
      </c>
      <c r="AH303" s="85"/>
      <c r="AI303" s="85">
        <f t="shared" si="20"/>
        <v>330371</v>
      </c>
      <c r="AJ303" s="24"/>
      <c r="AK303" s="15" t="str">
        <f>'Gen Rev'!A303</f>
        <v>Junction City</v>
      </c>
      <c r="AL303" s="15" t="str">
        <f t="shared" si="18"/>
        <v>Junction City</v>
      </c>
      <c r="AM303" s="15" t="b">
        <f t="shared" si="19"/>
        <v>1</v>
      </c>
    </row>
    <row r="304" spans="1:39" ht="12.75">
      <c r="A304" s="15" t="s">
        <v>842</v>
      </c>
      <c r="C304" s="15" t="s">
        <v>808</v>
      </c>
      <c r="E304" s="36">
        <v>104555.59</v>
      </c>
      <c r="F304" s="36"/>
      <c r="G304" s="36">
        <v>523029.31</v>
      </c>
      <c r="H304" s="36"/>
      <c r="I304" s="36">
        <v>531910.01</v>
      </c>
      <c r="J304" s="36"/>
      <c r="K304" s="36">
        <v>26400</v>
      </c>
      <c r="L304" s="36"/>
      <c r="M304" s="36">
        <v>98229.45</v>
      </c>
      <c r="N304" s="36"/>
      <c r="O304" s="36">
        <v>4158</v>
      </c>
      <c r="P304" s="36"/>
      <c r="Q304" s="36">
        <v>1807.33</v>
      </c>
      <c r="R304" s="36"/>
      <c r="S304" s="36">
        <v>59856.58</v>
      </c>
      <c r="T304" s="36"/>
      <c r="U304" s="36">
        <v>0</v>
      </c>
      <c r="V304" s="36"/>
      <c r="W304" s="36">
        <v>0</v>
      </c>
      <c r="X304" s="36"/>
      <c r="Y304" s="36">
        <v>0</v>
      </c>
      <c r="Z304" s="36"/>
      <c r="AA304" s="36">
        <v>379000</v>
      </c>
      <c r="AB304" s="36"/>
      <c r="AC304" s="36">
        <v>22550.53</v>
      </c>
      <c r="AD304" s="36"/>
      <c r="AE304" s="36">
        <v>0</v>
      </c>
      <c r="AF304" s="36"/>
      <c r="AG304" s="36">
        <v>0</v>
      </c>
      <c r="AH304" s="36"/>
      <c r="AI304" s="36">
        <f>SUM(E304:AG304)</f>
        <v>1751496.8000000003</v>
      </c>
      <c r="AJ304" s="24"/>
      <c r="AK304" s="15" t="str">
        <f>'Gen Rev'!A304</f>
        <v>Kalida</v>
      </c>
      <c r="AL304" s="15" t="str">
        <f t="shared" si="18"/>
        <v>Kalida</v>
      </c>
      <c r="AM304" s="15" t="b">
        <f t="shared" si="19"/>
        <v>1</v>
      </c>
    </row>
    <row r="305" spans="1:42" s="31" customFormat="1" ht="12.6" customHeight="1">
      <c r="A305" s="15" t="s">
        <v>699</v>
      </c>
      <c r="B305" s="15"/>
      <c r="C305" s="15" t="s">
        <v>348</v>
      </c>
      <c r="D305" s="15"/>
      <c r="E305" s="85">
        <v>505893.31</v>
      </c>
      <c r="F305" s="85"/>
      <c r="G305" s="85">
        <v>0</v>
      </c>
      <c r="H305" s="85"/>
      <c r="I305" s="85">
        <v>208552.49</v>
      </c>
      <c r="J305" s="85"/>
      <c r="K305" s="85">
        <v>0</v>
      </c>
      <c r="L305" s="85"/>
      <c r="M305" s="85">
        <v>6650</v>
      </c>
      <c r="N305" s="85"/>
      <c r="O305" s="85">
        <v>55493.11</v>
      </c>
      <c r="P305" s="85"/>
      <c r="Q305" s="85">
        <v>742.98</v>
      </c>
      <c r="R305" s="85"/>
      <c r="S305" s="85">
        <v>4345.54</v>
      </c>
      <c r="T305" s="85"/>
      <c r="U305" s="85">
        <v>0</v>
      </c>
      <c r="V305" s="85"/>
      <c r="W305" s="85">
        <v>0</v>
      </c>
      <c r="X305" s="85"/>
      <c r="Y305" s="85">
        <v>0</v>
      </c>
      <c r="Z305" s="85"/>
      <c r="AA305" s="85">
        <v>35.1</v>
      </c>
      <c r="AB305" s="85"/>
      <c r="AC305" s="85">
        <v>42000</v>
      </c>
      <c r="AD305" s="85"/>
      <c r="AE305" s="85">
        <v>8181.44</v>
      </c>
      <c r="AF305" s="85"/>
      <c r="AG305" s="85">
        <v>0</v>
      </c>
      <c r="AH305" s="85"/>
      <c r="AI305" s="85">
        <f t="shared" si="20"/>
        <v>831893.97</v>
      </c>
      <c r="AJ305" s="24"/>
      <c r="AK305" s="15" t="str">
        <f>'Gen Rev'!A305</f>
        <v>Kelley's Island</v>
      </c>
      <c r="AL305" s="15" t="str">
        <f t="shared" si="18"/>
        <v>Kelley's Island</v>
      </c>
      <c r="AM305" s="15" t="b">
        <f t="shared" si="19"/>
        <v>1</v>
      </c>
      <c r="AN305" s="32"/>
      <c r="AO305" s="32"/>
      <c r="AP305" s="32"/>
    </row>
    <row r="306" spans="1:39" s="31" customFormat="1" ht="12.75">
      <c r="A306" s="15" t="s">
        <v>700</v>
      </c>
      <c r="B306" s="15"/>
      <c r="C306" s="15" t="s">
        <v>538</v>
      </c>
      <c r="D306" s="15"/>
      <c r="E306" s="85">
        <v>6201</v>
      </c>
      <c r="F306" s="85"/>
      <c r="G306" s="85">
        <v>11902</v>
      </c>
      <c r="H306" s="85"/>
      <c r="I306" s="85">
        <v>24481</v>
      </c>
      <c r="J306" s="85"/>
      <c r="K306" s="85">
        <v>0</v>
      </c>
      <c r="L306" s="85"/>
      <c r="M306" s="85">
        <v>0</v>
      </c>
      <c r="N306" s="85"/>
      <c r="O306" s="85">
        <v>3042</v>
      </c>
      <c r="P306" s="85"/>
      <c r="Q306" s="85">
        <v>384</v>
      </c>
      <c r="R306" s="85"/>
      <c r="S306" s="85">
        <v>4156</v>
      </c>
      <c r="T306" s="85"/>
      <c r="U306" s="85">
        <v>0</v>
      </c>
      <c r="V306" s="85"/>
      <c r="W306" s="85">
        <v>0</v>
      </c>
      <c r="X306" s="85"/>
      <c r="Y306" s="85">
        <v>0</v>
      </c>
      <c r="Z306" s="85"/>
      <c r="AA306" s="85">
        <v>0</v>
      </c>
      <c r="AB306" s="85"/>
      <c r="AC306" s="85">
        <v>0</v>
      </c>
      <c r="AD306" s="85"/>
      <c r="AE306" s="85">
        <v>0</v>
      </c>
      <c r="AF306" s="86"/>
      <c r="AG306" s="85">
        <v>0</v>
      </c>
      <c r="AH306" s="86"/>
      <c r="AI306" s="85">
        <f t="shared" si="20"/>
        <v>50166</v>
      </c>
      <c r="AJ306" s="24"/>
      <c r="AK306" s="15" t="str">
        <f>'Gen Rev'!A306</f>
        <v>Kettersville</v>
      </c>
      <c r="AL306" s="15" t="str">
        <f t="shared" si="18"/>
        <v>Kettersville</v>
      </c>
      <c r="AM306" s="15" t="b">
        <f t="shared" si="19"/>
        <v>1</v>
      </c>
    </row>
    <row r="307" spans="1:39" ht="12.75">
      <c r="A307" s="15" t="s">
        <v>904</v>
      </c>
      <c r="C307" s="15" t="s">
        <v>412</v>
      </c>
      <c r="E307" s="85">
        <v>47255</v>
      </c>
      <c r="F307" s="85"/>
      <c r="G307" s="85">
        <v>107315</v>
      </c>
      <c r="H307" s="85"/>
      <c r="I307" s="85">
        <v>84145</v>
      </c>
      <c r="J307" s="85"/>
      <c r="K307" s="85">
        <v>0</v>
      </c>
      <c r="L307" s="85"/>
      <c r="M307" s="85">
        <v>1998</v>
      </c>
      <c r="N307" s="85"/>
      <c r="O307" s="85">
        <v>0</v>
      </c>
      <c r="P307" s="85"/>
      <c r="Q307" s="85">
        <v>242</v>
      </c>
      <c r="R307" s="85"/>
      <c r="S307" s="85">
        <v>50452</v>
      </c>
      <c r="T307" s="85"/>
      <c r="U307" s="85">
        <v>0</v>
      </c>
      <c r="V307" s="85"/>
      <c r="W307" s="85">
        <v>0</v>
      </c>
      <c r="X307" s="85"/>
      <c r="Y307" s="85">
        <v>0</v>
      </c>
      <c r="Z307" s="85"/>
      <c r="AA307" s="85">
        <v>0</v>
      </c>
      <c r="AB307" s="85"/>
      <c r="AC307" s="85">
        <v>0</v>
      </c>
      <c r="AD307" s="85"/>
      <c r="AE307" s="85">
        <v>0</v>
      </c>
      <c r="AF307" s="85"/>
      <c r="AG307" s="85">
        <v>0</v>
      </c>
      <c r="AH307" s="85"/>
      <c r="AI307" s="85">
        <f t="shared" si="20"/>
        <v>291407</v>
      </c>
      <c r="AJ307" s="24"/>
      <c r="AK307" s="15" t="str">
        <f>'Gen Rev'!A307</f>
        <v>Killbuck</v>
      </c>
      <c r="AL307" s="15" t="str">
        <f t="shared" si="18"/>
        <v>Killbuck</v>
      </c>
      <c r="AM307" s="15" t="b">
        <f t="shared" si="19"/>
        <v>1</v>
      </c>
    </row>
    <row r="308" spans="1:39" ht="12.75">
      <c r="A308" s="15" t="s">
        <v>213</v>
      </c>
      <c r="C308" s="15" t="s">
        <v>810</v>
      </c>
      <c r="E308" s="36">
        <v>22353.53</v>
      </c>
      <c r="F308" s="36"/>
      <c r="G308" s="36">
        <v>0</v>
      </c>
      <c r="H308" s="36"/>
      <c r="I308" s="36">
        <v>111139.85</v>
      </c>
      <c r="J308" s="36"/>
      <c r="K308" s="36">
        <v>0</v>
      </c>
      <c r="L308" s="36"/>
      <c r="M308" s="36">
        <v>0</v>
      </c>
      <c r="N308" s="36"/>
      <c r="O308" s="36">
        <v>350</v>
      </c>
      <c r="P308" s="36"/>
      <c r="Q308" s="36">
        <v>9144.14</v>
      </c>
      <c r="R308" s="36"/>
      <c r="S308" s="36">
        <v>8852.39</v>
      </c>
      <c r="T308" s="36"/>
      <c r="U308" s="36">
        <v>0</v>
      </c>
      <c r="V308" s="36"/>
      <c r="W308" s="36">
        <v>0</v>
      </c>
      <c r="X308" s="36"/>
      <c r="Y308" s="36">
        <v>0</v>
      </c>
      <c r="Z308" s="36"/>
      <c r="AA308" s="36">
        <v>0</v>
      </c>
      <c r="AB308" s="36"/>
      <c r="AC308" s="36">
        <v>0</v>
      </c>
      <c r="AD308" s="36"/>
      <c r="AE308" s="36">
        <v>0</v>
      </c>
      <c r="AF308" s="36"/>
      <c r="AG308" s="36">
        <v>0</v>
      </c>
      <c r="AH308" s="36"/>
      <c r="AI308" s="36">
        <f>SUM(E308:AG308)</f>
        <v>151839.91000000003</v>
      </c>
      <c r="AJ308" s="24"/>
      <c r="AK308" s="15" t="str">
        <f>'Gen Rev'!A308</f>
        <v>Kingston</v>
      </c>
      <c r="AL308" s="15" t="str">
        <f t="shared" si="18"/>
        <v>Kingston</v>
      </c>
      <c r="AM308" s="15" t="b">
        <f t="shared" si="19"/>
        <v>1</v>
      </c>
    </row>
    <row r="309" spans="1:39" s="31" customFormat="1" ht="12.75">
      <c r="A309" s="15" t="s">
        <v>136</v>
      </c>
      <c r="B309" s="15"/>
      <c r="C309" s="15" t="s">
        <v>787</v>
      </c>
      <c r="D309" s="15"/>
      <c r="E309" s="36">
        <v>772.14</v>
      </c>
      <c r="F309" s="36"/>
      <c r="G309" s="36">
        <v>0</v>
      </c>
      <c r="H309" s="36"/>
      <c r="I309" s="36">
        <v>60711.13</v>
      </c>
      <c r="J309" s="36"/>
      <c r="K309" s="36">
        <v>0</v>
      </c>
      <c r="L309" s="36"/>
      <c r="M309" s="36">
        <v>27.65</v>
      </c>
      <c r="N309" s="36"/>
      <c r="O309" s="36">
        <v>210.05</v>
      </c>
      <c r="P309" s="36"/>
      <c r="Q309" s="36">
        <v>0</v>
      </c>
      <c r="R309" s="36"/>
      <c r="S309" s="36">
        <v>7991.7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0</v>
      </c>
      <c r="AD309" s="36"/>
      <c r="AE309" s="36">
        <v>0</v>
      </c>
      <c r="AF309" s="36"/>
      <c r="AG309" s="36">
        <v>0</v>
      </c>
      <c r="AH309" s="36"/>
      <c r="AI309" s="36">
        <f>SUM(E309:AG309)</f>
        <v>69712.67</v>
      </c>
      <c r="AJ309" s="24"/>
      <c r="AK309" s="15" t="str">
        <f>'Gen Rev'!A309</f>
        <v>Kipton</v>
      </c>
      <c r="AL309" s="15" t="str">
        <f t="shared" si="18"/>
        <v>Kipton</v>
      </c>
      <c r="AM309" s="15" t="b">
        <f t="shared" si="19"/>
        <v>1</v>
      </c>
    </row>
    <row r="310" spans="1:39" s="31" customFormat="1" ht="12.75">
      <c r="A310" s="15" t="s">
        <v>265</v>
      </c>
      <c r="B310" s="15"/>
      <c r="C310" s="15" t="s">
        <v>826</v>
      </c>
      <c r="D310" s="15"/>
      <c r="E310" s="36">
        <v>392.55</v>
      </c>
      <c r="F310" s="36"/>
      <c r="G310" s="36">
        <v>15685.09</v>
      </c>
      <c r="H310" s="36"/>
      <c r="I310" s="36">
        <v>11819.59</v>
      </c>
      <c r="J310" s="36"/>
      <c r="K310" s="36">
        <v>0</v>
      </c>
      <c r="L310" s="36"/>
      <c r="M310" s="36">
        <v>0</v>
      </c>
      <c r="N310" s="36"/>
      <c r="O310" s="36">
        <v>0</v>
      </c>
      <c r="P310" s="36"/>
      <c r="Q310" s="36">
        <v>134.52</v>
      </c>
      <c r="R310" s="36"/>
      <c r="S310" s="36">
        <v>1330</v>
      </c>
      <c r="T310" s="36"/>
      <c r="U310" s="36">
        <v>0</v>
      </c>
      <c r="V310" s="36"/>
      <c r="W310" s="36">
        <v>0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v>0</v>
      </c>
      <c r="AF310" s="36"/>
      <c r="AG310" s="36">
        <v>0</v>
      </c>
      <c r="AH310" s="36"/>
      <c r="AI310" s="36">
        <f>SUM(E310:AG310)</f>
        <v>29361.75</v>
      </c>
      <c r="AJ310" s="24"/>
      <c r="AK310" s="15" t="str">
        <f>'Gen Rev'!A310</f>
        <v>Kirby</v>
      </c>
      <c r="AL310" s="15" t="str">
        <f t="shared" si="18"/>
        <v>Kirby</v>
      </c>
      <c r="AM310" s="15" t="b">
        <f t="shared" si="19"/>
        <v>1</v>
      </c>
    </row>
    <row r="311" spans="1:39" ht="12.75">
      <c r="A311" s="15" t="s">
        <v>701</v>
      </c>
      <c r="C311" s="15" t="s">
        <v>439</v>
      </c>
      <c r="E311" s="36">
        <v>34690.84</v>
      </c>
      <c r="F311" s="36"/>
      <c r="G311" s="36">
        <v>0</v>
      </c>
      <c r="H311" s="36"/>
      <c r="I311" s="36">
        <v>52744.55</v>
      </c>
      <c r="J311" s="36"/>
      <c r="K311" s="36">
        <v>0</v>
      </c>
      <c r="L311" s="36"/>
      <c r="M311" s="36">
        <v>0</v>
      </c>
      <c r="N311" s="36"/>
      <c r="O311" s="36">
        <v>39562.09</v>
      </c>
      <c r="P311" s="36"/>
      <c r="Q311" s="36">
        <v>171</v>
      </c>
      <c r="R311" s="36"/>
      <c r="S311" s="36">
        <v>28087.58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v>0</v>
      </c>
      <c r="AF311" s="36"/>
      <c r="AG311" s="36">
        <v>0</v>
      </c>
      <c r="AH311" s="36"/>
      <c r="AI311" s="36">
        <f>SUM(E311:AG311)</f>
        <v>155256.06</v>
      </c>
      <c r="AJ311" s="24"/>
      <c r="AK311" s="15" t="str">
        <f>'Gen Rev'!A311</f>
        <v>Kirkersville</v>
      </c>
      <c r="AL311" s="15" t="str">
        <f t="shared" si="18"/>
        <v>Kirkersville</v>
      </c>
      <c r="AM311" s="15" t="b">
        <f t="shared" si="19"/>
        <v>1</v>
      </c>
    </row>
    <row r="312" spans="1:39" s="31" customFormat="1" ht="12.75">
      <c r="A312" s="15" t="s">
        <v>921</v>
      </c>
      <c r="B312" s="15"/>
      <c r="C312" s="15" t="s">
        <v>430</v>
      </c>
      <c r="D312" s="15"/>
      <c r="E312" s="85">
        <v>861179</v>
      </c>
      <c r="F312" s="85"/>
      <c r="G312" s="85">
        <v>0</v>
      </c>
      <c r="H312" s="85"/>
      <c r="I312" s="85">
        <v>650267</v>
      </c>
      <c r="J312" s="85"/>
      <c r="K312" s="85">
        <v>0</v>
      </c>
      <c r="L312" s="85"/>
      <c r="M312" s="85">
        <v>8691</v>
      </c>
      <c r="N312" s="85"/>
      <c r="O312" s="85">
        <v>105785</v>
      </c>
      <c r="P312" s="85"/>
      <c r="Q312" s="85">
        <v>736059</v>
      </c>
      <c r="R312" s="85"/>
      <c r="S312" s="85">
        <v>27570</v>
      </c>
      <c r="T312" s="85"/>
      <c r="U312" s="85">
        <v>0</v>
      </c>
      <c r="V312" s="85"/>
      <c r="W312" s="85">
        <v>0</v>
      </c>
      <c r="X312" s="85"/>
      <c r="Y312" s="85">
        <v>0</v>
      </c>
      <c r="Z312" s="85"/>
      <c r="AA312" s="85">
        <v>142138</v>
      </c>
      <c r="AB312" s="85"/>
      <c r="AC312" s="85">
        <v>0</v>
      </c>
      <c r="AD312" s="85"/>
      <c r="AE312" s="85">
        <v>0</v>
      </c>
      <c r="AF312" s="85"/>
      <c r="AG312" s="85">
        <v>0</v>
      </c>
      <c r="AH312" s="85"/>
      <c r="AI312" s="85">
        <f t="shared" si="20"/>
        <v>2531689</v>
      </c>
      <c r="AJ312" s="24"/>
      <c r="AK312" s="15" t="str">
        <f>'Gen Rev'!A312</f>
        <v>Kirtland Hills</v>
      </c>
      <c r="AL312" s="15" t="str">
        <f t="shared" si="18"/>
        <v>Kirtland Hills</v>
      </c>
      <c r="AM312" s="15" t="b">
        <f t="shared" si="19"/>
        <v>1</v>
      </c>
    </row>
    <row r="313" spans="1:39" s="24" customFormat="1" ht="12.75">
      <c r="A313" s="24" t="s">
        <v>5</v>
      </c>
      <c r="C313" s="24" t="s">
        <v>746</v>
      </c>
      <c r="E313" s="36">
        <v>39086.55</v>
      </c>
      <c r="F313" s="36"/>
      <c r="G313" s="36">
        <v>0</v>
      </c>
      <c r="H313" s="36"/>
      <c r="I313" s="36">
        <v>26463.72</v>
      </c>
      <c r="J313" s="36"/>
      <c r="K313" s="36">
        <v>0</v>
      </c>
      <c r="L313" s="36"/>
      <c r="M313" s="36">
        <v>0</v>
      </c>
      <c r="N313" s="36"/>
      <c r="O313" s="36">
        <v>0</v>
      </c>
      <c r="P313" s="36"/>
      <c r="Q313" s="36">
        <v>14.86</v>
      </c>
      <c r="R313" s="36"/>
      <c r="S313" s="36">
        <v>4105.88</v>
      </c>
      <c r="T313" s="36"/>
      <c r="U313" s="36">
        <v>0</v>
      </c>
      <c r="V313" s="36"/>
      <c r="W313" s="36">
        <v>0</v>
      </c>
      <c r="X313" s="36"/>
      <c r="Y313" s="36">
        <v>0</v>
      </c>
      <c r="Z313" s="36"/>
      <c r="AA313" s="36">
        <v>4000</v>
      </c>
      <c r="AB313" s="36"/>
      <c r="AC313" s="36">
        <v>0</v>
      </c>
      <c r="AD313" s="36"/>
      <c r="AE313" s="36">
        <v>0</v>
      </c>
      <c r="AF313" s="36"/>
      <c r="AG313" s="36">
        <v>0</v>
      </c>
      <c r="AH313" s="36"/>
      <c r="AI313" s="36">
        <f aca="true" t="shared" si="21" ref="AI313:AI325">SUM(E313:AG313)</f>
        <v>73671.01000000001</v>
      </c>
      <c r="AK313" s="15" t="str">
        <f>'Gen Rev'!A313</f>
        <v>Lafayette</v>
      </c>
      <c r="AL313" s="15" t="str">
        <f t="shared" si="18"/>
        <v>Lafayette</v>
      </c>
      <c r="AM313" s="15" t="b">
        <f t="shared" si="19"/>
        <v>1</v>
      </c>
    </row>
    <row r="314" spans="1:39" ht="12.75">
      <c r="A314" s="15" t="s">
        <v>137</v>
      </c>
      <c r="C314" s="15" t="s">
        <v>787</v>
      </c>
      <c r="E314" s="36">
        <v>258477.22</v>
      </c>
      <c r="F314" s="36"/>
      <c r="G314" s="36">
        <v>803663.77</v>
      </c>
      <c r="H314" s="36"/>
      <c r="I314" s="36">
        <v>217309.13</v>
      </c>
      <c r="J314" s="36"/>
      <c r="K314" s="36">
        <v>0</v>
      </c>
      <c r="L314" s="36"/>
      <c r="M314" s="36">
        <v>153964.68</v>
      </c>
      <c r="N314" s="36"/>
      <c r="O314" s="36">
        <v>66380.6</v>
      </c>
      <c r="P314" s="36"/>
      <c r="Q314" s="36">
        <v>4251.89</v>
      </c>
      <c r="R314" s="36"/>
      <c r="S314" s="36">
        <v>1093.01</v>
      </c>
      <c r="T314" s="36"/>
      <c r="U314" s="36">
        <v>0</v>
      </c>
      <c r="V314" s="36"/>
      <c r="W314" s="36">
        <v>0</v>
      </c>
      <c r="X314" s="36"/>
      <c r="Y314" s="36">
        <v>16500</v>
      </c>
      <c r="Z314" s="36"/>
      <c r="AA314" s="36">
        <v>54334.64</v>
      </c>
      <c r="AB314" s="36"/>
      <c r="AC314" s="36">
        <v>0</v>
      </c>
      <c r="AD314" s="36"/>
      <c r="AE314" s="36">
        <v>0</v>
      </c>
      <c r="AF314" s="36"/>
      <c r="AG314" s="36">
        <v>0</v>
      </c>
      <c r="AH314" s="36"/>
      <c r="AI314" s="36">
        <f t="shared" si="21"/>
        <v>1575974.94</v>
      </c>
      <c r="AJ314" s="24"/>
      <c r="AK314" s="15" t="str">
        <f>'Gen Rev'!A314</f>
        <v>Lagrange</v>
      </c>
      <c r="AL314" s="15" t="str">
        <f t="shared" si="18"/>
        <v>Lagrange</v>
      </c>
      <c r="AM314" s="15" t="b">
        <f t="shared" si="19"/>
        <v>1</v>
      </c>
    </row>
    <row r="315" spans="1:39" s="31" customFormat="1" ht="12.75">
      <c r="A315" s="15" t="s">
        <v>703</v>
      </c>
      <c r="B315" s="15"/>
      <c r="C315" s="15" t="s">
        <v>430</v>
      </c>
      <c r="D315" s="15"/>
      <c r="E315" s="95">
        <v>47523.02</v>
      </c>
      <c r="F315" s="95"/>
      <c r="G315" s="95">
        <v>0</v>
      </c>
      <c r="H315" s="95"/>
      <c r="I315" s="95">
        <v>98976.29</v>
      </c>
      <c r="J315" s="95"/>
      <c r="K315" s="95">
        <v>0</v>
      </c>
      <c r="L315" s="95"/>
      <c r="M315" s="95">
        <v>0</v>
      </c>
      <c r="N315" s="95"/>
      <c r="O315" s="95">
        <v>2036.33</v>
      </c>
      <c r="P315" s="95"/>
      <c r="Q315" s="95">
        <v>132.96</v>
      </c>
      <c r="R315" s="95"/>
      <c r="S315" s="95">
        <v>0</v>
      </c>
      <c r="T315" s="95"/>
      <c r="U315" s="95">
        <v>0</v>
      </c>
      <c r="V315" s="95"/>
      <c r="W315" s="95">
        <v>0</v>
      </c>
      <c r="X315" s="95"/>
      <c r="Y315" s="95">
        <v>0</v>
      </c>
      <c r="Z315" s="95"/>
      <c r="AA315" s="95">
        <v>0</v>
      </c>
      <c r="AB315" s="95"/>
      <c r="AC315" s="95">
        <v>0</v>
      </c>
      <c r="AD315" s="95"/>
      <c r="AE315" s="95">
        <v>0</v>
      </c>
      <c r="AF315" s="95"/>
      <c r="AG315" s="95">
        <v>0</v>
      </c>
      <c r="AH315" s="95"/>
      <c r="AI315" s="95">
        <f t="shared" si="21"/>
        <v>148668.59999999998</v>
      </c>
      <c r="AJ315" s="24"/>
      <c r="AK315" s="15" t="str">
        <f>'Gen Rev'!A315</f>
        <v>Lakeline</v>
      </c>
      <c r="AL315" s="15" t="str">
        <f t="shared" si="18"/>
        <v>Lakeline</v>
      </c>
      <c r="AM315" s="15" t="b">
        <f t="shared" si="19"/>
        <v>1</v>
      </c>
    </row>
    <row r="316" spans="1:39" ht="12.75">
      <c r="A316" s="15" t="s">
        <v>830</v>
      </c>
      <c r="C316" s="15" t="s">
        <v>551</v>
      </c>
      <c r="E316" s="36">
        <v>243756.27</v>
      </c>
      <c r="F316" s="36"/>
      <c r="G316" s="36">
        <v>581212.48</v>
      </c>
      <c r="H316" s="36"/>
      <c r="I316" s="36">
        <v>467992.44</v>
      </c>
      <c r="J316" s="36"/>
      <c r="K316" s="36">
        <v>0</v>
      </c>
      <c r="L316" s="36"/>
      <c r="M316" s="36">
        <v>142100.33</v>
      </c>
      <c r="N316" s="36"/>
      <c r="O316" s="36">
        <v>109082.11</v>
      </c>
      <c r="P316" s="36"/>
      <c r="Q316" s="36">
        <v>0</v>
      </c>
      <c r="R316" s="36"/>
      <c r="S316" s="36">
        <v>49097.17</v>
      </c>
      <c r="T316" s="36"/>
      <c r="U316" s="36">
        <v>0</v>
      </c>
      <c r="V316" s="36"/>
      <c r="W316" s="36">
        <v>0</v>
      </c>
      <c r="X316" s="36"/>
      <c r="Y316" s="36">
        <v>6550</v>
      </c>
      <c r="Z316" s="36"/>
      <c r="AA316" s="36">
        <v>207642.73</v>
      </c>
      <c r="AB316" s="36"/>
      <c r="AC316" s="36">
        <v>0</v>
      </c>
      <c r="AD316" s="36"/>
      <c r="AE316" s="36">
        <v>1750</v>
      </c>
      <c r="AF316" s="36"/>
      <c r="AG316" s="36">
        <v>0</v>
      </c>
      <c r="AH316" s="36"/>
      <c r="AI316" s="36">
        <f t="shared" si="21"/>
        <v>1809183.53</v>
      </c>
      <c r="AJ316" s="24"/>
      <c r="AK316" s="15" t="str">
        <f>'Gen Rev'!A316</f>
        <v>Lakemore</v>
      </c>
      <c r="AL316" s="15" t="str">
        <f t="shared" si="18"/>
        <v>Lakemore</v>
      </c>
      <c r="AM316" s="15" t="b">
        <f t="shared" si="19"/>
        <v>1</v>
      </c>
    </row>
    <row r="317" spans="1:39" ht="12.75">
      <c r="A317" s="15" t="s">
        <v>702</v>
      </c>
      <c r="C317" s="15" t="s">
        <v>446</v>
      </c>
      <c r="E317" s="95">
        <v>36922.92</v>
      </c>
      <c r="F317" s="95"/>
      <c r="G317" s="95">
        <v>173225.62</v>
      </c>
      <c r="H317" s="95"/>
      <c r="I317" s="95">
        <v>117341.55</v>
      </c>
      <c r="J317" s="95"/>
      <c r="K317" s="95">
        <v>0</v>
      </c>
      <c r="L317" s="95"/>
      <c r="M317" s="95">
        <v>165325.45</v>
      </c>
      <c r="N317" s="95"/>
      <c r="O317" s="95">
        <v>8976.58</v>
      </c>
      <c r="P317" s="95"/>
      <c r="Q317" s="95">
        <v>71549.66</v>
      </c>
      <c r="R317" s="95"/>
      <c r="S317" s="95">
        <v>7445.88</v>
      </c>
      <c r="T317" s="95"/>
      <c r="U317" s="95">
        <v>0</v>
      </c>
      <c r="V317" s="95"/>
      <c r="W317" s="95">
        <v>0</v>
      </c>
      <c r="X317" s="95"/>
      <c r="Y317" s="95">
        <v>0</v>
      </c>
      <c r="Z317" s="95"/>
      <c r="AA317" s="95">
        <v>0</v>
      </c>
      <c r="AB317" s="95"/>
      <c r="AC317" s="95">
        <v>0</v>
      </c>
      <c r="AD317" s="95"/>
      <c r="AE317" s="95">
        <v>0</v>
      </c>
      <c r="AF317" s="95"/>
      <c r="AG317" s="95">
        <v>0</v>
      </c>
      <c r="AH317" s="95"/>
      <c r="AI317" s="95">
        <f t="shared" si="21"/>
        <v>580787.66</v>
      </c>
      <c r="AJ317" s="24"/>
      <c r="AK317" s="15" t="str">
        <f>'Gen Rev'!A317</f>
        <v>Lakeview</v>
      </c>
      <c r="AL317" s="15" t="str">
        <f t="shared" si="18"/>
        <v>Lakeview</v>
      </c>
      <c r="AM317" s="15" t="b">
        <f t="shared" si="19"/>
        <v>1</v>
      </c>
    </row>
    <row r="318" spans="1:39" s="31" customFormat="1" ht="12.75">
      <c r="A318" s="15" t="s">
        <v>704</v>
      </c>
      <c r="B318" s="15"/>
      <c r="C318" s="15" t="s">
        <v>463</v>
      </c>
      <c r="D318" s="15"/>
      <c r="E318" s="95">
        <v>94773.9</v>
      </c>
      <c r="F318" s="95"/>
      <c r="G318" s="95">
        <v>0</v>
      </c>
      <c r="H318" s="95"/>
      <c r="I318" s="95">
        <v>56890.48</v>
      </c>
      <c r="J318" s="95"/>
      <c r="K318" s="95">
        <v>0</v>
      </c>
      <c r="L318" s="95"/>
      <c r="M318" s="95">
        <v>16731.22</v>
      </c>
      <c r="N318" s="95"/>
      <c r="O318" s="95">
        <v>3965.32</v>
      </c>
      <c r="P318" s="95"/>
      <c r="Q318" s="95">
        <v>432.57</v>
      </c>
      <c r="R318" s="95"/>
      <c r="S318" s="95">
        <v>6483.23</v>
      </c>
      <c r="T318" s="95"/>
      <c r="U318" s="95">
        <v>0</v>
      </c>
      <c r="V318" s="95"/>
      <c r="W318" s="95">
        <v>0</v>
      </c>
      <c r="X318" s="95"/>
      <c r="Y318" s="95">
        <v>0</v>
      </c>
      <c r="Z318" s="95"/>
      <c r="AA318" s="95">
        <v>0</v>
      </c>
      <c r="AB318" s="95"/>
      <c r="AC318" s="95">
        <v>0</v>
      </c>
      <c r="AD318" s="95"/>
      <c r="AE318" s="95">
        <v>0</v>
      </c>
      <c r="AF318" s="95"/>
      <c r="AG318" s="95">
        <v>0</v>
      </c>
      <c r="AH318" s="95"/>
      <c r="AI318" s="95">
        <f t="shared" si="21"/>
        <v>179276.72000000003</v>
      </c>
      <c r="AJ318" s="24"/>
      <c r="AK318" s="15" t="str">
        <f>'Gen Rev'!A318</f>
        <v>LaRue</v>
      </c>
      <c r="AL318" s="15" t="str">
        <f t="shared" si="18"/>
        <v>LaRue</v>
      </c>
      <c r="AM318" s="15" t="b">
        <f t="shared" si="19"/>
        <v>1</v>
      </c>
    </row>
    <row r="319" spans="1:39" ht="12.75">
      <c r="A319" s="15" t="s">
        <v>184</v>
      </c>
      <c r="C319" s="15" t="s">
        <v>803</v>
      </c>
      <c r="E319" s="36">
        <v>12590.09</v>
      </c>
      <c r="F319" s="36"/>
      <c r="G319" s="36">
        <v>0</v>
      </c>
      <c r="H319" s="36"/>
      <c r="I319" s="36">
        <v>41485.87</v>
      </c>
      <c r="J319" s="36"/>
      <c r="K319" s="36">
        <v>0</v>
      </c>
      <c r="L319" s="36"/>
      <c r="M319" s="36">
        <v>0</v>
      </c>
      <c r="N319" s="36"/>
      <c r="O319" s="36">
        <v>0</v>
      </c>
      <c r="P319" s="36"/>
      <c r="Q319" s="36">
        <v>88.9</v>
      </c>
      <c r="R319" s="36"/>
      <c r="S319" s="36">
        <v>859.43</v>
      </c>
      <c r="T319" s="36"/>
      <c r="U319" s="36">
        <v>0</v>
      </c>
      <c r="V319" s="36"/>
      <c r="W319" s="36">
        <v>0</v>
      </c>
      <c r="X319" s="36"/>
      <c r="Y319" s="36">
        <v>0</v>
      </c>
      <c r="Z319" s="36"/>
      <c r="AA319" s="36">
        <v>500</v>
      </c>
      <c r="AB319" s="36"/>
      <c r="AC319" s="36">
        <v>0</v>
      </c>
      <c r="AD319" s="36"/>
      <c r="AE319" s="36">
        <v>0</v>
      </c>
      <c r="AF319" s="36"/>
      <c r="AG319" s="36">
        <v>0</v>
      </c>
      <c r="AH319" s="36"/>
      <c r="AI319" s="36">
        <f t="shared" si="21"/>
        <v>55524.29000000001</v>
      </c>
      <c r="AJ319" s="24"/>
      <c r="AK319" s="15" t="str">
        <f>'Gen Rev'!A319</f>
        <v>Latty</v>
      </c>
      <c r="AL319" s="15" t="str">
        <f t="shared" si="18"/>
        <v>Latty</v>
      </c>
      <c r="AM319" s="15" t="b">
        <f t="shared" si="19"/>
        <v>1</v>
      </c>
    </row>
    <row r="320" spans="5:36" ht="12.75"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83" t="s">
        <v>864</v>
      </c>
      <c r="AJ320" s="24"/>
    </row>
    <row r="321" spans="1:39" ht="12.75">
      <c r="A321" s="15" t="s">
        <v>162</v>
      </c>
      <c r="C321" s="15" t="s">
        <v>795</v>
      </c>
      <c r="E321" s="102">
        <v>15848.1</v>
      </c>
      <c r="F321" s="102"/>
      <c r="G321" s="102">
        <v>0</v>
      </c>
      <c r="H321" s="102"/>
      <c r="I321" s="102">
        <v>51527.38</v>
      </c>
      <c r="J321" s="102"/>
      <c r="K321" s="102">
        <v>6256.52</v>
      </c>
      <c r="L321" s="102"/>
      <c r="M321" s="102">
        <v>0</v>
      </c>
      <c r="N321" s="102"/>
      <c r="O321" s="102">
        <v>2160.98</v>
      </c>
      <c r="P321" s="102"/>
      <c r="Q321" s="102">
        <v>0</v>
      </c>
      <c r="R321" s="102"/>
      <c r="S321" s="102">
        <v>100</v>
      </c>
      <c r="T321" s="102"/>
      <c r="U321" s="102">
        <v>0</v>
      </c>
      <c r="V321" s="102"/>
      <c r="W321" s="102">
        <v>0</v>
      </c>
      <c r="X321" s="102"/>
      <c r="Y321" s="102">
        <v>0</v>
      </c>
      <c r="Z321" s="102"/>
      <c r="AA321" s="102">
        <v>0</v>
      </c>
      <c r="AB321" s="102"/>
      <c r="AC321" s="102">
        <v>5013.16</v>
      </c>
      <c r="AD321" s="102"/>
      <c r="AE321" s="102">
        <v>0</v>
      </c>
      <c r="AF321" s="102"/>
      <c r="AG321" s="102">
        <v>0</v>
      </c>
      <c r="AH321" s="102"/>
      <c r="AI321" s="102">
        <f t="shared" si="21"/>
        <v>80906.14</v>
      </c>
      <c r="AJ321" s="24"/>
      <c r="AK321" s="15" t="str">
        <f>'Gen Rev'!A320</f>
        <v>Laura</v>
      </c>
      <c r="AL321" s="15" t="str">
        <f t="shared" si="18"/>
        <v>Laura</v>
      </c>
      <c r="AM321" s="15" t="b">
        <f t="shared" si="19"/>
        <v>1</v>
      </c>
    </row>
    <row r="322" spans="1:39" ht="12.75">
      <c r="A322" s="15" t="s">
        <v>111</v>
      </c>
      <c r="C322" s="15" t="s">
        <v>779</v>
      </c>
      <c r="E322" s="36">
        <v>54443.95</v>
      </c>
      <c r="F322" s="36"/>
      <c r="G322" s="36">
        <v>0</v>
      </c>
      <c r="H322" s="36"/>
      <c r="I322" s="36">
        <v>63197.31</v>
      </c>
      <c r="J322" s="36"/>
      <c r="K322" s="36">
        <v>0</v>
      </c>
      <c r="L322" s="36"/>
      <c r="M322" s="36">
        <v>163235.88</v>
      </c>
      <c r="N322" s="36"/>
      <c r="O322" s="36">
        <v>1377.21</v>
      </c>
      <c r="P322" s="36"/>
      <c r="Q322" s="36">
        <v>1292.24</v>
      </c>
      <c r="R322" s="36"/>
      <c r="S322" s="36">
        <v>5388.7</v>
      </c>
      <c r="T322" s="36"/>
      <c r="U322" s="36">
        <v>0</v>
      </c>
      <c r="V322" s="36"/>
      <c r="W322" s="36">
        <v>0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v>0</v>
      </c>
      <c r="AF322" s="36"/>
      <c r="AG322" s="36">
        <v>0</v>
      </c>
      <c r="AH322" s="36"/>
      <c r="AI322" s="36">
        <f t="shared" si="21"/>
        <v>288935.29000000004</v>
      </c>
      <c r="AJ322" s="24"/>
      <c r="AK322" s="15" t="str">
        <f>'Gen Rev'!A321</f>
        <v>Laurelville</v>
      </c>
      <c r="AL322" s="15" t="str">
        <f t="shared" si="18"/>
        <v>Laurelville</v>
      </c>
      <c r="AM322" s="15" t="b">
        <f t="shared" si="19"/>
        <v>1</v>
      </c>
    </row>
    <row r="323" spans="1:39" ht="12.75">
      <c r="A323" s="15" t="s">
        <v>946</v>
      </c>
      <c r="C323" s="15" t="s">
        <v>409</v>
      </c>
      <c r="E323" s="36">
        <v>43499.28</v>
      </c>
      <c r="F323" s="36"/>
      <c r="G323" s="36">
        <v>359258.03</v>
      </c>
      <c r="H323" s="36"/>
      <c r="I323" s="36">
        <v>105723.89</v>
      </c>
      <c r="J323" s="36"/>
      <c r="K323" s="36">
        <v>65650.81</v>
      </c>
      <c r="L323" s="36"/>
      <c r="M323" s="36">
        <v>16</v>
      </c>
      <c r="N323" s="36"/>
      <c r="O323" s="36">
        <v>2270.6</v>
      </c>
      <c r="P323" s="36"/>
      <c r="Q323" s="36">
        <v>388.04</v>
      </c>
      <c r="R323" s="36"/>
      <c r="S323" s="36">
        <f>8686.49+180236.6</f>
        <v>188923.09</v>
      </c>
      <c r="T323" s="36"/>
      <c r="U323" s="36">
        <v>0</v>
      </c>
      <c r="V323" s="36"/>
      <c r="W323" s="36">
        <v>0</v>
      </c>
      <c r="X323" s="36"/>
      <c r="Y323" s="36">
        <v>0</v>
      </c>
      <c r="Z323" s="36"/>
      <c r="AA323" s="36">
        <v>5649.1</v>
      </c>
      <c r="AB323" s="36"/>
      <c r="AC323" s="36">
        <v>0</v>
      </c>
      <c r="AD323" s="36"/>
      <c r="AE323" s="36">
        <v>0</v>
      </c>
      <c r="AF323" s="36"/>
      <c r="AG323" s="36">
        <v>0</v>
      </c>
      <c r="AH323" s="36"/>
      <c r="AI323" s="36">
        <f t="shared" si="21"/>
        <v>771378.84</v>
      </c>
      <c r="AJ323" s="24"/>
      <c r="AK323" s="15" t="str">
        <f>'Gen Rev'!A322</f>
        <v>Leesburg</v>
      </c>
      <c r="AL323" s="15" t="str">
        <f t="shared" si="18"/>
        <v>Leesburg</v>
      </c>
      <c r="AM323" s="15" t="b">
        <f t="shared" si="19"/>
        <v>1</v>
      </c>
    </row>
    <row r="324" spans="1:39" ht="12.75">
      <c r="A324" s="15" t="s">
        <v>29</v>
      </c>
      <c r="C324" s="15" t="s">
        <v>753</v>
      </c>
      <c r="E324" s="36">
        <v>9412.7</v>
      </c>
      <c r="F324" s="36"/>
      <c r="G324" s="36">
        <v>0</v>
      </c>
      <c r="H324" s="36"/>
      <c r="I324" s="36">
        <v>25307.02</v>
      </c>
      <c r="J324" s="36"/>
      <c r="K324" s="36">
        <v>0</v>
      </c>
      <c r="L324" s="36"/>
      <c r="M324" s="36">
        <v>0</v>
      </c>
      <c r="N324" s="36"/>
      <c r="O324" s="36">
        <v>0</v>
      </c>
      <c r="P324" s="36"/>
      <c r="Q324" s="36">
        <v>48.54</v>
      </c>
      <c r="R324" s="36"/>
      <c r="S324" s="36">
        <v>0</v>
      </c>
      <c r="T324" s="36"/>
      <c r="U324" s="36">
        <v>0</v>
      </c>
      <c r="V324" s="36"/>
      <c r="W324" s="36">
        <v>0</v>
      </c>
      <c r="X324" s="36"/>
      <c r="Y324" s="36">
        <v>0</v>
      </c>
      <c r="Z324" s="36"/>
      <c r="AA324" s="36">
        <v>0</v>
      </c>
      <c r="AB324" s="36"/>
      <c r="AC324" s="36">
        <v>0</v>
      </c>
      <c r="AD324" s="36"/>
      <c r="AE324" s="36">
        <v>0</v>
      </c>
      <c r="AF324" s="36"/>
      <c r="AG324" s="36">
        <v>0</v>
      </c>
      <c r="AH324" s="36"/>
      <c r="AI324" s="36">
        <f t="shared" si="21"/>
        <v>34768.26</v>
      </c>
      <c r="AJ324" s="24"/>
      <c r="AK324" s="15" t="str">
        <f>'Gen Rev'!A323</f>
        <v>Leesville</v>
      </c>
      <c r="AL324" s="15" t="str">
        <f t="shared" si="18"/>
        <v>Leesville</v>
      </c>
      <c r="AM324" s="15" t="b">
        <f t="shared" si="19"/>
        <v>1</v>
      </c>
    </row>
    <row r="325" spans="1:42" ht="12.75">
      <c r="A325" s="15" t="s">
        <v>43</v>
      </c>
      <c r="C325" s="15" t="s">
        <v>758</v>
      </c>
      <c r="E325" s="36">
        <v>79767.98</v>
      </c>
      <c r="F325" s="36"/>
      <c r="G325" s="36">
        <v>533602.72</v>
      </c>
      <c r="H325" s="36"/>
      <c r="I325" s="36">
        <v>709390.86</v>
      </c>
      <c r="J325" s="36"/>
      <c r="K325" s="36">
        <v>0</v>
      </c>
      <c r="L325" s="36"/>
      <c r="M325" s="36">
        <v>179630.41</v>
      </c>
      <c r="N325" s="36"/>
      <c r="O325" s="36">
        <v>23437.85</v>
      </c>
      <c r="P325" s="36"/>
      <c r="Q325" s="36">
        <v>2000.68</v>
      </c>
      <c r="R325" s="36"/>
      <c r="S325" s="36">
        <f>31945.51+8289.14</f>
        <v>40234.649999999994</v>
      </c>
      <c r="T325" s="36"/>
      <c r="U325" s="36">
        <v>0</v>
      </c>
      <c r="V325" s="36"/>
      <c r="W325" s="36">
        <v>24230</v>
      </c>
      <c r="X325" s="36"/>
      <c r="Y325" s="36">
        <v>0</v>
      </c>
      <c r="Z325" s="36"/>
      <c r="AA325" s="36">
        <v>499840.43</v>
      </c>
      <c r="AB325" s="36"/>
      <c r="AC325" s="36">
        <v>100203.65</v>
      </c>
      <c r="AD325" s="36"/>
      <c r="AE325" s="36">
        <v>0</v>
      </c>
      <c r="AF325" s="36"/>
      <c r="AG325" s="36">
        <v>3385.53</v>
      </c>
      <c r="AH325" s="36"/>
      <c r="AI325" s="36">
        <f t="shared" si="21"/>
        <v>2195724.76</v>
      </c>
      <c r="AJ325" s="24"/>
      <c r="AK325" s="15" t="e">
        <f>#REF!</f>
        <v>#REF!</v>
      </c>
      <c r="AL325" s="15" t="str">
        <f t="shared" si="18"/>
        <v>Leetonia</v>
      </c>
      <c r="AM325" s="15" t="e">
        <f t="shared" si="19"/>
        <v>#REF!</v>
      </c>
      <c r="AN325" s="30"/>
      <c r="AO325" s="30"/>
      <c r="AP325" s="30"/>
    </row>
    <row r="326" spans="1:39" ht="12.75">
      <c r="A326" s="15" t="s">
        <v>905</v>
      </c>
      <c r="C326" s="15" t="s">
        <v>514</v>
      </c>
      <c r="E326" s="85">
        <v>142517</v>
      </c>
      <c r="F326" s="85"/>
      <c r="G326" s="85">
        <v>2311140</v>
      </c>
      <c r="H326" s="85"/>
      <c r="I326" s="85">
        <v>290493</v>
      </c>
      <c r="J326" s="85"/>
      <c r="K326" s="85">
        <v>363907</v>
      </c>
      <c r="L326" s="85"/>
      <c r="M326" s="85">
        <v>2376914</v>
      </c>
      <c r="N326" s="85"/>
      <c r="O326" s="85">
        <v>10893</v>
      </c>
      <c r="P326" s="85"/>
      <c r="Q326" s="85">
        <v>98</v>
      </c>
      <c r="R326" s="85"/>
      <c r="S326" s="85">
        <v>29354</v>
      </c>
      <c r="T326" s="85"/>
      <c r="U326" s="85">
        <v>0</v>
      </c>
      <c r="V326" s="85"/>
      <c r="W326" s="85">
        <v>802500</v>
      </c>
      <c r="X326" s="85"/>
      <c r="Y326" s="85">
        <v>0</v>
      </c>
      <c r="Z326" s="85"/>
      <c r="AA326" s="85">
        <v>2545091</v>
      </c>
      <c r="AB326" s="85"/>
      <c r="AC326" s="85">
        <v>0</v>
      </c>
      <c r="AD326" s="85"/>
      <c r="AE326" s="85">
        <v>160385</v>
      </c>
      <c r="AF326" s="85"/>
      <c r="AG326" s="85">
        <v>0</v>
      </c>
      <c r="AH326" s="85"/>
      <c r="AI326" s="85">
        <f t="shared" si="20"/>
        <v>9033292</v>
      </c>
      <c r="AJ326" s="24"/>
      <c r="AK326" s="15" t="e">
        <f>#REF!</f>
        <v>#REF!</v>
      </c>
      <c r="AL326" s="15" t="str">
        <f t="shared" si="18"/>
        <v>Leipsic</v>
      </c>
      <c r="AM326" s="15" t="e">
        <f t="shared" si="19"/>
        <v>#REF!</v>
      </c>
    </row>
    <row r="327" spans="1:39" s="24" customFormat="1" ht="12.75">
      <c r="A327" s="24" t="s">
        <v>509</v>
      </c>
      <c r="C327" s="24" t="s">
        <v>510</v>
      </c>
      <c r="E327" s="85">
        <v>264227.27</v>
      </c>
      <c r="F327" s="85"/>
      <c r="G327" s="85">
        <v>870904.32</v>
      </c>
      <c r="H327" s="85"/>
      <c r="I327" s="85">
        <v>497300.04</v>
      </c>
      <c r="J327" s="85"/>
      <c r="K327" s="85">
        <v>0</v>
      </c>
      <c r="L327" s="85"/>
      <c r="M327" s="85">
        <v>349942.84</v>
      </c>
      <c r="N327" s="85"/>
      <c r="O327" s="85">
        <v>2118.5</v>
      </c>
      <c r="P327" s="85"/>
      <c r="Q327" s="85">
        <v>5408.77</v>
      </c>
      <c r="R327" s="85"/>
      <c r="S327" s="85">
        <v>19362</v>
      </c>
      <c r="T327" s="85"/>
      <c r="U327" s="85">
        <v>0</v>
      </c>
      <c r="V327" s="85"/>
      <c r="W327" s="85">
        <v>70540</v>
      </c>
      <c r="X327" s="85"/>
      <c r="Y327" s="85">
        <v>1875</v>
      </c>
      <c r="Z327" s="85"/>
      <c r="AA327" s="85">
        <v>464699.45</v>
      </c>
      <c r="AB327" s="85"/>
      <c r="AC327" s="85">
        <v>0</v>
      </c>
      <c r="AD327" s="85"/>
      <c r="AE327" s="85">
        <v>40447.24</v>
      </c>
      <c r="AF327" s="85"/>
      <c r="AG327" s="85">
        <v>0</v>
      </c>
      <c r="AH327" s="85"/>
      <c r="AI327" s="85">
        <f t="shared" si="20"/>
        <v>2586825.43</v>
      </c>
      <c r="AK327" s="15" t="e">
        <f>#REF!</f>
        <v>#REF!</v>
      </c>
      <c r="AL327" s="15" t="str">
        <f t="shared" si="18"/>
        <v>Lewisburg</v>
      </c>
      <c r="AM327" s="15" t="e">
        <f t="shared" si="19"/>
        <v>#REF!</v>
      </c>
    </row>
    <row r="328" spans="1:39" ht="12.75">
      <c r="A328" s="15" t="s">
        <v>165</v>
      </c>
      <c r="C328" s="15" t="s">
        <v>796</v>
      </c>
      <c r="E328" s="95">
        <v>20754.74</v>
      </c>
      <c r="F328" s="95"/>
      <c r="G328" s="95">
        <v>0</v>
      </c>
      <c r="H328" s="95"/>
      <c r="I328" s="95">
        <v>8416.87</v>
      </c>
      <c r="J328" s="95"/>
      <c r="K328" s="95">
        <v>0</v>
      </c>
      <c r="L328" s="95"/>
      <c r="M328" s="95">
        <v>0</v>
      </c>
      <c r="N328" s="95"/>
      <c r="O328" s="95">
        <v>0</v>
      </c>
      <c r="P328" s="95"/>
      <c r="Q328" s="95">
        <v>0</v>
      </c>
      <c r="R328" s="95"/>
      <c r="S328" s="95">
        <v>0</v>
      </c>
      <c r="T328" s="95"/>
      <c r="U328" s="95">
        <v>0</v>
      </c>
      <c r="V328" s="95"/>
      <c r="W328" s="95">
        <v>0</v>
      </c>
      <c r="X328" s="95"/>
      <c r="Y328" s="95">
        <v>0</v>
      </c>
      <c r="Z328" s="95"/>
      <c r="AA328" s="95">
        <v>0</v>
      </c>
      <c r="AB328" s="95"/>
      <c r="AC328" s="95">
        <v>0</v>
      </c>
      <c r="AD328" s="95"/>
      <c r="AE328" s="95">
        <v>0</v>
      </c>
      <c r="AF328" s="95"/>
      <c r="AG328" s="95">
        <v>0</v>
      </c>
      <c r="AH328" s="95"/>
      <c r="AI328" s="95">
        <f>SUM(E328:AG328)</f>
        <v>29171.61</v>
      </c>
      <c r="AJ328" s="24"/>
      <c r="AK328" s="15" t="e">
        <f>#REF!</f>
        <v>#REF!</v>
      </c>
      <c r="AL328" s="15" t="str">
        <f t="shared" si="18"/>
        <v>Lewisville</v>
      </c>
      <c r="AM328" s="15" t="e">
        <f t="shared" si="19"/>
        <v>#REF!</v>
      </c>
    </row>
    <row r="329" spans="1:39" s="31" customFormat="1" ht="12.75">
      <c r="A329" s="15" t="s">
        <v>521</v>
      </c>
      <c r="B329" s="15"/>
      <c r="C329" s="15" t="s">
        <v>520</v>
      </c>
      <c r="D329" s="15"/>
      <c r="E329" s="85">
        <v>2183918</v>
      </c>
      <c r="F329" s="85"/>
      <c r="G329" s="85">
        <v>0</v>
      </c>
      <c r="H329" s="85"/>
      <c r="I329" s="85">
        <v>24506</v>
      </c>
      <c r="J329" s="85"/>
      <c r="K329" s="85">
        <v>0</v>
      </c>
      <c r="L329" s="85"/>
      <c r="M329" s="85">
        <f>358441+7913</f>
        <v>366354</v>
      </c>
      <c r="N329" s="85"/>
      <c r="O329" s="85">
        <v>54343</v>
      </c>
      <c r="P329" s="85"/>
      <c r="Q329" s="85">
        <v>4074</v>
      </c>
      <c r="R329" s="85"/>
      <c r="S329" s="85">
        <v>193845</v>
      </c>
      <c r="T329" s="85"/>
      <c r="U329" s="85">
        <v>0</v>
      </c>
      <c r="V329" s="85"/>
      <c r="W329" s="85">
        <v>0</v>
      </c>
      <c r="X329" s="85"/>
      <c r="Y329" s="85">
        <v>0</v>
      </c>
      <c r="Z329" s="85"/>
      <c r="AA329" s="85">
        <v>0</v>
      </c>
      <c r="AB329" s="85"/>
      <c r="AC329" s="85">
        <v>0</v>
      </c>
      <c r="AD329" s="85"/>
      <c r="AE329" s="85">
        <v>426232</v>
      </c>
      <c r="AF329" s="85"/>
      <c r="AG329" s="85">
        <v>0</v>
      </c>
      <c r="AH329" s="85"/>
      <c r="AI329" s="85">
        <f t="shared" si="20"/>
        <v>3253272</v>
      </c>
      <c r="AJ329" s="24"/>
      <c r="AK329" s="15" t="e">
        <f>#REF!</f>
        <v>#REF!</v>
      </c>
      <c r="AL329" s="15" t="str">
        <f t="shared" si="18"/>
        <v>Lexington</v>
      </c>
      <c r="AM329" s="15" t="e">
        <f t="shared" si="19"/>
        <v>#REF!</v>
      </c>
    </row>
    <row r="330" spans="1:39" s="31" customFormat="1" ht="12.75">
      <c r="A330" s="15" t="s">
        <v>106</v>
      </c>
      <c r="B330" s="15"/>
      <c r="C330" s="15" t="s">
        <v>777</v>
      </c>
      <c r="D330" s="15"/>
      <c r="E330" s="36">
        <v>34340.92</v>
      </c>
      <c r="F330" s="36"/>
      <c r="G330" s="36">
        <v>171110.79</v>
      </c>
      <c r="H330" s="36"/>
      <c r="I330" s="36">
        <v>120486.72</v>
      </c>
      <c r="J330" s="36"/>
      <c r="K330" s="36">
        <v>18918</v>
      </c>
      <c r="L330" s="36"/>
      <c r="M330" s="36">
        <v>16631.25</v>
      </c>
      <c r="N330" s="36"/>
      <c r="O330" s="36">
        <v>9076.67</v>
      </c>
      <c r="P330" s="36"/>
      <c r="Q330" s="36">
        <v>8394.78</v>
      </c>
      <c r="R330" s="36"/>
      <c r="S330" s="36">
        <v>14569.09</v>
      </c>
      <c r="T330" s="36"/>
      <c r="U330" s="36">
        <v>0</v>
      </c>
      <c r="V330" s="36"/>
      <c r="W330" s="36">
        <v>0</v>
      </c>
      <c r="X330" s="36"/>
      <c r="Y330" s="36">
        <v>0</v>
      </c>
      <c r="Z330" s="36"/>
      <c r="AA330" s="36">
        <v>2655.75</v>
      </c>
      <c r="AB330" s="36"/>
      <c r="AC330" s="36">
        <v>0</v>
      </c>
      <c r="AD330" s="36"/>
      <c r="AE330" s="36">
        <v>0</v>
      </c>
      <c r="AF330" s="36"/>
      <c r="AG330" s="36">
        <v>0</v>
      </c>
      <c r="AH330" s="36"/>
      <c r="AI330" s="36">
        <f>SUM(E330:AG330)</f>
        <v>396183.9700000001</v>
      </c>
      <c r="AJ330" s="24"/>
      <c r="AK330" s="15" t="str">
        <f>'Gen Rev'!A330</f>
        <v>Liberty Center</v>
      </c>
      <c r="AL330" s="15" t="str">
        <f t="shared" si="18"/>
        <v>Liberty Center</v>
      </c>
      <c r="AM330" s="15" t="b">
        <f t="shared" si="19"/>
        <v>1</v>
      </c>
    </row>
    <row r="331" spans="1:39" ht="12.75">
      <c r="A331" s="15" t="s">
        <v>226</v>
      </c>
      <c r="C331" s="15" t="s">
        <v>815</v>
      </c>
      <c r="E331" s="36">
        <v>14161.13</v>
      </c>
      <c r="F331" s="36"/>
      <c r="G331" s="36">
        <v>0</v>
      </c>
      <c r="H331" s="36"/>
      <c r="I331" s="36">
        <v>8119.18</v>
      </c>
      <c r="J331" s="36"/>
      <c r="K331" s="36">
        <v>0</v>
      </c>
      <c r="L331" s="36"/>
      <c r="M331" s="36">
        <v>842.76</v>
      </c>
      <c r="N331" s="36"/>
      <c r="O331" s="36">
        <v>2621.07</v>
      </c>
      <c r="P331" s="36"/>
      <c r="Q331" s="36">
        <v>1.48</v>
      </c>
      <c r="R331" s="36"/>
      <c r="S331" s="36">
        <v>1829.11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v>0</v>
      </c>
      <c r="AF331" s="36"/>
      <c r="AG331" s="36">
        <v>0</v>
      </c>
      <c r="AH331" s="36"/>
      <c r="AI331" s="36">
        <f>SUM(E331:AG331)</f>
        <v>27574.729999999996</v>
      </c>
      <c r="AJ331" s="24"/>
      <c r="AK331" s="15" t="str">
        <f>'Gen Rev'!A331</f>
        <v>Limaville</v>
      </c>
      <c r="AL331" s="15" t="str">
        <f t="shared" si="18"/>
        <v>Limaville</v>
      </c>
      <c r="AM331" s="15" t="b">
        <f t="shared" si="19"/>
        <v>1</v>
      </c>
    </row>
    <row r="332" spans="1:39" ht="12.75">
      <c r="A332" s="15" t="s">
        <v>383</v>
      </c>
      <c r="C332" s="15" t="s">
        <v>378</v>
      </c>
      <c r="E332" s="85">
        <v>1032765</v>
      </c>
      <c r="F332" s="85"/>
      <c r="G332" s="85">
        <v>522760</v>
      </c>
      <c r="H332" s="85"/>
      <c r="I332" s="85">
        <v>531959</v>
      </c>
      <c r="J332" s="85"/>
      <c r="K332" s="85">
        <v>0</v>
      </c>
      <c r="L332" s="85"/>
      <c r="M332" s="85">
        <v>221205</v>
      </c>
      <c r="N332" s="85"/>
      <c r="O332" s="85">
        <v>231312</v>
      </c>
      <c r="P332" s="85"/>
      <c r="Q332" s="85">
        <v>49</v>
      </c>
      <c r="R332" s="85"/>
      <c r="S332" s="85">
        <v>45160</v>
      </c>
      <c r="T332" s="85"/>
      <c r="U332" s="85">
        <v>0</v>
      </c>
      <c r="V332" s="85"/>
      <c r="W332" s="85">
        <v>0</v>
      </c>
      <c r="X332" s="85"/>
      <c r="Y332" s="85">
        <v>0</v>
      </c>
      <c r="Z332" s="85"/>
      <c r="AA332" s="85">
        <v>93652</v>
      </c>
      <c r="AB332" s="85"/>
      <c r="AC332" s="85">
        <v>0</v>
      </c>
      <c r="AD332" s="85"/>
      <c r="AE332" s="85">
        <v>0</v>
      </c>
      <c r="AF332" s="85"/>
      <c r="AG332" s="85">
        <v>0</v>
      </c>
      <c r="AH332" s="85"/>
      <c r="AI332" s="85">
        <f t="shared" si="20"/>
        <v>2678862</v>
      </c>
      <c r="AJ332" s="24"/>
      <c r="AK332" s="15" t="str">
        <f>'Gen Rev'!A332</f>
        <v>Lincoln Heights</v>
      </c>
      <c r="AL332" s="15" t="str">
        <f t="shared" si="18"/>
        <v>Lincoln Heights</v>
      </c>
      <c r="AM332" s="15" t="b">
        <f t="shared" si="19"/>
        <v>1</v>
      </c>
    </row>
    <row r="333" spans="1:39" s="31" customFormat="1" ht="12.75">
      <c r="A333" s="15" t="s">
        <v>215</v>
      </c>
      <c r="B333" s="15"/>
      <c r="C333" s="15" t="s">
        <v>811</v>
      </c>
      <c r="D333" s="15"/>
      <c r="E333" s="95">
        <v>46999.55</v>
      </c>
      <c r="F333" s="95"/>
      <c r="G333" s="95">
        <v>0</v>
      </c>
      <c r="H333" s="95"/>
      <c r="I333" s="95">
        <v>152197.42</v>
      </c>
      <c r="J333" s="95"/>
      <c r="K333" s="95">
        <v>0</v>
      </c>
      <c r="L333" s="95"/>
      <c r="M333" s="95">
        <v>94595</v>
      </c>
      <c r="N333" s="95"/>
      <c r="O333" s="95">
        <v>215</v>
      </c>
      <c r="P333" s="95"/>
      <c r="Q333" s="95">
        <v>349.71</v>
      </c>
      <c r="R333" s="95"/>
      <c r="S333" s="95">
        <v>856.17</v>
      </c>
      <c r="T333" s="95"/>
      <c r="U333" s="95">
        <v>0</v>
      </c>
      <c r="V333" s="95"/>
      <c r="W333" s="95">
        <v>0</v>
      </c>
      <c r="X333" s="95"/>
      <c r="Y333" s="95">
        <v>0</v>
      </c>
      <c r="Z333" s="95"/>
      <c r="AA333" s="95">
        <v>0</v>
      </c>
      <c r="AB333" s="95"/>
      <c r="AC333" s="95">
        <v>0</v>
      </c>
      <c r="AD333" s="95"/>
      <c r="AE333" s="95">
        <v>100</v>
      </c>
      <c r="AF333" s="95"/>
      <c r="AG333" s="95">
        <v>0</v>
      </c>
      <c r="AH333" s="95"/>
      <c r="AI333" s="95">
        <f>SUM(E333:AG333)</f>
        <v>295312.85000000003</v>
      </c>
      <c r="AJ333" s="24"/>
      <c r="AK333" s="15" t="str">
        <f>'Gen Rev'!A333</f>
        <v>Lindsey</v>
      </c>
      <c r="AL333" s="15" t="str">
        <f t="shared" si="18"/>
        <v>Lindsey</v>
      </c>
      <c r="AM333" s="15" t="b">
        <f t="shared" si="19"/>
        <v>1</v>
      </c>
    </row>
    <row r="334" spans="1:42" ht="12.75">
      <c r="A334" s="15" t="s">
        <v>846</v>
      </c>
      <c r="C334" s="15" t="s">
        <v>761</v>
      </c>
      <c r="E334" s="83">
        <v>86936</v>
      </c>
      <c r="F334" s="83"/>
      <c r="G334" s="83">
        <v>284</v>
      </c>
      <c r="H334" s="83"/>
      <c r="I334" s="83">
        <v>120878</v>
      </c>
      <c r="J334" s="83"/>
      <c r="K334" s="83">
        <v>0</v>
      </c>
      <c r="L334" s="83"/>
      <c r="M334" s="83">
        <v>318068</v>
      </c>
      <c r="N334" s="83"/>
      <c r="O334" s="83">
        <v>698366</v>
      </c>
      <c r="P334" s="83"/>
      <c r="Q334" s="83">
        <v>2</v>
      </c>
      <c r="R334" s="83"/>
      <c r="S334" s="83">
        <v>9673</v>
      </c>
      <c r="T334" s="83"/>
      <c r="U334" s="85">
        <v>0</v>
      </c>
      <c r="V334" s="85"/>
      <c r="W334" s="85">
        <v>0</v>
      </c>
      <c r="X334" s="85"/>
      <c r="Y334" s="85">
        <v>0</v>
      </c>
      <c r="Z334" s="85"/>
      <c r="AA334" s="85">
        <v>20770</v>
      </c>
      <c r="AB334" s="85"/>
      <c r="AC334" s="85">
        <v>89048</v>
      </c>
      <c r="AD334" s="85"/>
      <c r="AE334" s="85">
        <v>0</v>
      </c>
      <c r="AF334" s="85"/>
      <c r="AG334" s="85">
        <v>0</v>
      </c>
      <c r="AH334" s="85"/>
      <c r="AI334" s="85">
        <f t="shared" si="20"/>
        <v>1344025</v>
      </c>
      <c r="AJ334" s="24"/>
      <c r="AK334" s="15" t="str">
        <f>'Gen Rev'!A334</f>
        <v>Linndale</v>
      </c>
      <c r="AL334" s="15" t="str">
        <f aca="true" t="shared" si="22" ref="AL334:AL348">A334</f>
        <v>Linndale</v>
      </c>
      <c r="AM334" s="15" t="b">
        <f aca="true" t="shared" si="23" ref="AM334:AM348">AK334=AL334</f>
        <v>1</v>
      </c>
      <c r="AN334" s="30"/>
      <c r="AO334" s="30"/>
      <c r="AP334" s="30"/>
    </row>
    <row r="335" spans="1:42" ht="12.75">
      <c r="A335" s="15" t="s">
        <v>44</v>
      </c>
      <c r="C335" s="15" t="s">
        <v>758</v>
      </c>
      <c r="E335" s="95">
        <v>240014.92</v>
      </c>
      <c r="F335" s="95"/>
      <c r="G335" s="95">
        <v>1094573.61</v>
      </c>
      <c r="H335" s="95"/>
      <c r="I335" s="95">
        <v>727723.99</v>
      </c>
      <c r="J335" s="95"/>
      <c r="K335" s="95">
        <v>0</v>
      </c>
      <c r="L335" s="95"/>
      <c r="M335" s="95">
        <v>84874.43</v>
      </c>
      <c r="N335" s="95"/>
      <c r="O335" s="95">
        <v>20768.31</v>
      </c>
      <c r="P335" s="95"/>
      <c r="Q335" s="95">
        <v>2209.42</v>
      </c>
      <c r="R335" s="95"/>
      <c r="S335" s="95">
        <v>1641.5</v>
      </c>
      <c r="T335" s="95"/>
      <c r="U335" s="95">
        <v>0</v>
      </c>
      <c r="V335" s="95"/>
      <c r="W335" s="95">
        <v>0</v>
      </c>
      <c r="X335" s="95"/>
      <c r="Y335" s="95">
        <v>0</v>
      </c>
      <c r="Z335" s="95"/>
      <c r="AA335" s="95">
        <v>296677.94</v>
      </c>
      <c r="AB335" s="95"/>
      <c r="AC335" s="95">
        <v>13000</v>
      </c>
      <c r="AD335" s="95"/>
      <c r="AE335" s="95">
        <v>46258.54</v>
      </c>
      <c r="AF335" s="95"/>
      <c r="AG335" s="95">
        <v>0</v>
      </c>
      <c r="AH335" s="95"/>
      <c r="AI335" s="95">
        <f>SUM(E335:AG335)</f>
        <v>2527742.66</v>
      </c>
      <c r="AJ335" s="24"/>
      <c r="AK335" s="15" t="str">
        <f>'Gen Rev'!A335</f>
        <v>Lisbon</v>
      </c>
      <c r="AL335" s="15" t="str">
        <f t="shared" si="22"/>
        <v>Lisbon</v>
      </c>
      <c r="AM335" s="15" t="b">
        <f t="shared" si="23"/>
        <v>1</v>
      </c>
      <c r="AN335" s="30"/>
      <c r="AO335" s="30"/>
      <c r="AP335" s="30"/>
    </row>
    <row r="336" spans="1:42" ht="12.75">
      <c r="A336" s="15" t="s">
        <v>931</v>
      </c>
      <c r="C336" s="15" t="s">
        <v>766</v>
      </c>
      <c r="E336" s="95">
        <v>62570.49</v>
      </c>
      <c r="F336" s="95"/>
      <c r="G336" s="95">
        <v>297302.91</v>
      </c>
      <c r="H336" s="95"/>
      <c r="I336" s="95">
        <v>90930.22</v>
      </c>
      <c r="J336" s="95"/>
      <c r="K336" s="95">
        <v>761526.92</v>
      </c>
      <c r="L336" s="95"/>
      <c r="M336" s="95">
        <v>154415.96</v>
      </c>
      <c r="N336" s="95"/>
      <c r="O336" s="95">
        <v>68615.8</v>
      </c>
      <c r="P336" s="95"/>
      <c r="Q336" s="95">
        <v>414.95</v>
      </c>
      <c r="R336" s="95"/>
      <c r="S336" s="95">
        <v>28623.3</v>
      </c>
      <c r="T336" s="95"/>
      <c r="U336" s="95">
        <v>0</v>
      </c>
      <c r="V336" s="95"/>
      <c r="W336" s="95">
        <v>0</v>
      </c>
      <c r="X336" s="95"/>
      <c r="Y336" s="95">
        <v>0</v>
      </c>
      <c r="Z336" s="95"/>
      <c r="AA336" s="95">
        <v>0</v>
      </c>
      <c r="AB336" s="95"/>
      <c r="AC336" s="95">
        <v>35000</v>
      </c>
      <c r="AD336" s="95"/>
      <c r="AE336" s="95">
        <v>4287.68</v>
      </c>
      <c r="AF336" s="95"/>
      <c r="AG336" s="95">
        <v>0</v>
      </c>
      <c r="AH336" s="95"/>
      <c r="AI336" s="95">
        <f>SUM(E336:AG336)</f>
        <v>1503688.23</v>
      </c>
      <c r="AJ336" s="24"/>
      <c r="AK336" s="15" t="str">
        <f>'Gen Rev'!A336</f>
        <v>Lithopolis</v>
      </c>
      <c r="AL336" s="15" t="str">
        <f t="shared" si="22"/>
        <v>Lithopolis</v>
      </c>
      <c r="AM336" s="15" t="b">
        <f t="shared" si="23"/>
        <v>1</v>
      </c>
      <c r="AN336" s="30"/>
      <c r="AO336" s="30"/>
      <c r="AP336" s="30"/>
    </row>
    <row r="337" spans="1:42" ht="12.75">
      <c r="A337" s="15" t="s">
        <v>947</v>
      </c>
      <c r="C337" s="15" t="s">
        <v>353</v>
      </c>
      <c r="E337" s="36">
        <v>7586.2</v>
      </c>
      <c r="F337" s="36"/>
      <c r="G337" s="36">
        <v>89371.53</v>
      </c>
      <c r="H337" s="36"/>
      <c r="I337" s="36">
        <v>54256.14</v>
      </c>
      <c r="J337" s="36"/>
      <c r="K337" s="36">
        <v>0</v>
      </c>
      <c r="L337" s="36"/>
      <c r="M337" s="36">
        <v>0</v>
      </c>
      <c r="N337" s="36"/>
      <c r="O337" s="36">
        <v>914.46</v>
      </c>
      <c r="P337" s="36"/>
      <c r="Q337" s="36">
        <v>269.56</v>
      </c>
      <c r="R337" s="36"/>
      <c r="S337" s="36">
        <v>19436.05</v>
      </c>
      <c r="T337" s="36"/>
      <c r="U337" s="36">
        <v>0</v>
      </c>
      <c r="V337" s="36"/>
      <c r="W337" s="36">
        <v>0</v>
      </c>
      <c r="X337" s="36"/>
      <c r="Y337" s="36">
        <v>0</v>
      </c>
      <c r="Z337" s="36"/>
      <c r="AA337" s="36">
        <v>0</v>
      </c>
      <c r="AB337" s="36"/>
      <c r="AC337" s="36">
        <v>0</v>
      </c>
      <c r="AD337" s="36"/>
      <c r="AE337" s="36">
        <v>0</v>
      </c>
      <c r="AF337" s="36"/>
      <c r="AG337" s="36">
        <v>0</v>
      </c>
      <c r="AH337" s="36"/>
      <c r="AI337" s="36">
        <f>SUM(E337:AG337)</f>
        <v>171833.93999999997</v>
      </c>
      <c r="AJ337" s="24"/>
      <c r="AK337" s="15" t="str">
        <f>'Gen Rev'!A337</f>
        <v>Lockbourne</v>
      </c>
      <c r="AL337" s="15" t="str">
        <f t="shared" si="22"/>
        <v>Lockbourne</v>
      </c>
      <c r="AM337" s="15" t="b">
        <f t="shared" si="23"/>
        <v>1</v>
      </c>
      <c r="AN337" s="30"/>
      <c r="AO337" s="30"/>
      <c r="AP337" s="30"/>
    </row>
    <row r="338" spans="1:39" ht="12.75">
      <c r="A338" s="15" t="s">
        <v>539</v>
      </c>
      <c r="C338" s="15" t="s">
        <v>538</v>
      </c>
      <c r="E338" s="85">
        <f>19259.15+219163</f>
        <v>238422.15</v>
      </c>
      <c r="F338" s="85"/>
      <c r="G338" s="85">
        <v>0</v>
      </c>
      <c r="H338" s="85"/>
      <c r="I338" s="85">
        <f>362.18+10500.98+1886</f>
        <v>12749.16</v>
      </c>
      <c r="J338" s="85"/>
      <c r="K338" s="85">
        <v>3956.71</v>
      </c>
      <c r="L338" s="85"/>
      <c r="M338" s="85">
        <v>0</v>
      </c>
      <c r="N338" s="85"/>
      <c r="O338" s="85">
        <v>184</v>
      </c>
      <c r="P338" s="85"/>
      <c r="Q338" s="85">
        <v>324.07</v>
      </c>
      <c r="R338" s="85"/>
      <c r="S338" s="85">
        <f>55.6+4.03</f>
        <v>59.63</v>
      </c>
      <c r="T338" s="85"/>
      <c r="U338" s="85">
        <v>0</v>
      </c>
      <c r="V338" s="85"/>
      <c r="W338" s="85">
        <v>0</v>
      </c>
      <c r="X338" s="85"/>
      <c r="Y338" s="85">
        <v>0</v>
      </c>
      <c r="Z338" s="85"/>
      <c r="AA338" s="85">
        <v>1886</v>
      </c>
      <c r="AB338" s="85"/>
      <c r="AC338" s="85">
        <v>0</v>
      </c>
      <c r="AD338" s="85"/>
      <c r="AE338" s="85">
        <v>0</v>
      </c>
      <c r="AF338" s="85"/>
      <c r="AG338" s="85">
        <v>0</v>
      </c>
      <c r="AH338" s="85"/>
      <c r="AI338" s="85">
        <f aca="true" t="shared" si="24" ref="AI338:AI402">SUM(E338:AG338)</f>
        <v>257581.72</v>
      </c>
      <c r="AJ338" s="24"/>
      <c r="AK338" s="15" t="str">
        <f>'Gen Rev'!A338</f>
        <v xml:space="preserve">Lockington </v>
      </c>
      <c r="AL338" s="15" t="str">
        <f t="shared" si="22"/>
        <v xml:space="preserve">Lockington </v>
      </c>
      <c r="AM338" s="15" t="b">
        <f t="shared" si="23"/>
        <v>1</v>
      </c>
    </row>
    <row r="339" spans="1:39" s="31" customFormat="1" ht="12.75">
      <c r="A339" s="15" t="s">
        <v>95</v>
      </c>
      <c r="B339" s="15"/>
      <c r="C339" s="15" t="s">
        <v>773</v>
      </c>
      <c r="D339" s="15"/>
      <c r="E339" s="95">
        <v>515845.54</v>
      </c>
      <c r="F339" s="95"/>
      <c r="G339" s="95">
        <v>2160172.23</v>
      </c>
      <c r="H339" s="95"/>
      <c r="I339" s="95">
        <v>482735.51</v>
      </c>
      <c r="J339" s="95"/>
      <c r="K339" s="95">
        <v>520628.52</v>
      </c>
      <c r="L339" s="95"/>
      <c r="M339" s="95">
        <v>1168392.37</v>
      </c>
      <c r="N339" s="95"/>
      <c r="O339" s="95">
        <v>749653.71</v>
      </c>
      <c r="P339" s="95"/>
      <c r="Q339" s="95">
        <v>207096.62</v>
      </c>
      <c r="R339" s="95"/>
      <c r="S339" s="95">
        <v>51727.68</v>
      </c>
      <c r="T339" s="95"/>
      <c r="U339" s="95">
        <v>0</v>
      </c>
      <c r="V339" s="95"/>
      <c r="W339" s="95">
        <v>0</v>
      </c>
      <c r="X339" s="95"/>
      <c r="Y339" s="95">
        <v>0</v>
      </c>
      <c r="Z339" s="95"/>
      <c r="AA339" s="95">
        <v>263654.21</v>
      </c>
      <c r="AB339" s="95"/>
      <c r="AC339" s="95">
        <v>68868.21</v>
      </c>
      <c r="AD339" s="95"/>
      <c r="AE339" s="95">
        <v>0</v>
      </c>
      <c r="AF339" s="95"/>
      <c r="AG339" s="95">
        <v>180711</v>
      </c>
      <c r="AH339" s="95"/>
      <c r="AI339" s="95">
        <f>SUM(E339:AG339)</f>
        <v>6369485.6</v>
      </c>
      <c r="AJ339" s="24"/>
      <c r="AK339" s="15" t="str">
        <f>'Gen Rev'!A339</f>
        <v>Lockland</v>
      </c>
      <c r="AL339" s="15" t="str">
        <f t="shared" si="22"/>
        <v>Lockland</v>
      </c>
      <c r="AM339" s="15" t="b">
        <f t="shared" si="23"/>
        <v>1</v>
      </c>
    </row>
    <row r="340" spans="1:39" s="31" customFormat="1" ht="12.75">
      <c r="A340" s="15" t="s">
        <v>969</v>
      </c>
      <c r="B340" s="15"/>
      <c r="C340" s="15" t="s">
        <v>970</v>
      </c>
      <c r="D340" s="15"/>
      <c r="E340" s="83">
        <v>399875.61</v>
      </c>
      <c r="F340" s="83"/>
      <c r="G340" s="83">
        <v>0</v>
      </c>
      <c r="H340" s="83"/>
      <c r="I340" s="83">
        <f>220465.63+136058.12+117.5</f>
        <v>356641.25</v>
      </c>
      <c r="J340" s="83"/>
      <c r="K340" s="83">
        <f>1827.74+6538.87</f>
        <v>8366.61</v>
      </c>
      <c r="L340" s="83"/>
      <c r="M340" s="83">
        <f>320888.44+1000</f>
        <v>321888.44</v>
      </c>
      <c r="N340" s="83"/>
      <c r="O340" s="83">
        <f>5433.4+1905.46</f>
        <v>7338.86</v>
      </c>
      <c r="P340" s="83"/>
      <c r="Q340" s="83">
        <f>8114.27+1773.22</f>
        <v>9887.49</v>
      </c>
      <c r="R340" s="83"/>
      <c r="S340" s="83">
        <v>500</v>
      </c>
      <c r="T340" s="83"/>
      <c r="U340" s="85">
        <v>0</v>
      </c>
      <c r="V340" s="85"/>
      <c r="W340" s="85">
        <v>0</v>
      </c>
      <c r="X340" s="85"/>
      <c r="Y340" s="85">
        <v>0</v>
      </c>
      <c r="Z340" s="85"/>
      <c r="AA340" s="85">
        <v>0</v>
      </c>
      <c r="AB340" s="85"/>
      <c r="AC340" s="85">
        <v>0</v>
      </c>
      <c r="AD340" s="85"/>
      <c r="AE340" s="85">
        <f>999.08+1993.2</f>
        <v>2992.28</v>
      </c>
      <c r="AF340" s="85"/>
      <c r="AG340" s="85">
        <v>0</v>
      </c>
      <c r="AH340" s="85"/>
      <c r="AI340" s="85">
        <f t="shared" si="24"/>
        <v>1107490.54</v>
      </c>
      <c r="AJ340" s="24"/>
      <c r="AK340" s="15" t="str">
        <f>'Gen Rev'!A340</f>
        <v>Lodi</v>
      </c>
      <c r="AL340" s="15" t="str">
        <f t="shared" si="22"/>
        <v>Lodi</v>
      </c>
      <c r="AM340" s="15" t="b">
        <f t="shared" si="23"/>
        <v>1</v>
      </c>
    </row>
    <row r="341" spans="1:39" ht="12.75">
      <c r="A341" s="15" t="s">
        <v>557</v>
      </c>
      <c r="C341" s="15" t="s">
        <v>558</v>
      </c>
      <c r="E341" s="96">
        <v>136053.9</v>
      </c>
      <c r="F341" s="96"/>
      <c r="G341" s="96">
        <v>5363210.86</v>
      </c>
      <c r="H341" s="96"/>
      <c r="I341" s="96">
        <v>557404.55</v>
      </c>
      <c r="J341" s="96"/>
      <c r="K341" s="96">
        <v>1215.44</v>
      </c>
      <c r="L341" s="96"/>
      <c r="M341" s="96">
        <v>155448.19</v>
      </c>
      <c r="N341" s="96"/>
      <c r="O341" s="96">
        <v>68115.21</v>
      </c>
      <c r="P341" s="96"/>
      <c r="Q341" s="96">
        <v>4605.65</v>
      </c>
      <c r="R341" s="96"/>
      <c r="S341" s="96">
        <v>175878.44</v>
      </c>
      <c r="T341" s="96"/>
      <c r="U341" s="96">
        <v>0</v>
      </c>
      <c r="V341" s="96"/>
      <c r="W341" s="96">
        <v>0</v>
      </c>
      <c r="X341" s="96"/>
      <c r="Y341" s="96">
        <v>0</v>
      </c>
      <c r="Z341" s="96"/>
      <c r="AA341" s="96">
        <v>5406364.36</v>
      </c>
      <c r="AB341" s="96"/>
      <c r="AC341" s="96">
        <v>0</v>
      </c>
      <c r="AD341" s="96"/>
      <c r="AE341" s="96">
        <v>0</v>
      </c>
      <c r="AF341" s="96"/>
      <c r="AG341" s="96">
        <v>0</v>
      </c>
      <c r="AH341" s="96"/>
      <c r="AI341" s="96">
        <f t="shared" si="24"/>
        <v>11868296.600000001</v>
      </c>
      <c r="AJ341" s="24"/>
      <c r="AK341" s="15" t="str">
        <f>'Gen Rev'!A341</f>
        <v>Lordstown</v>
      </c>
      <c r="AL341" s="15" t="str">
        <f t="shared" si="22"/>
        <v>Lordstown</v>
      </c>
      <c r="AM341" s="15" t="b">
        <f t="shared" si="23"/>
        <v>1</v>
      </c>
    </row>
    <row r="342" spans="1:39" s="31" customFormat="1" ht="12.75">
      <c r="A342" s="15" t="s">
        <v>88</v>
      </c>
      <c r="B342" s="15"/>
      <c r="C342" s="15" t="s">
        <v>772</v>
      </c>
      <c r="D342" s="15"/>
      <c r="E342" s="95">
        <v>34644.9</v>
      </c>
      <c r="F342" s="95"/>
      <c r="G342" s="95">
        <v>0</v>
      </c>
      <c r="H342" s="95"/>
      <c r="I342" s="95">
        <v>36903.65</v>
      </c>
      <c r="J342" s="95"/>
      <c r="K342" s="95">
        <v>0</v>
      </c>
      <c r="L342" s="95"/>
      <c r="M342" s="95">
        <v>16750</v>
      </c>
      <c r="N342" s="95"/>
      <c r="O342" s="95">
        <v>0</v>
      </c>
      <c r="P342" s="95"/>
      <c r="Q342" s="95">
        <v>60.5</v>
      </c>
      <c r="R342" s="95"/>
      <c r="S342" s="95">
        <v>20665.74</v>
      </c>
      <c r="T342" s="95"/>
      <c r="U342" s="95">
        <v>0</v>
      </c>
      <c r="V342" s="95"/>
      <c r="W342" s="95">
        <v>0</v>
      </c>
      <c r="X342" s="95"/>
      <c r="Y342" s="95">
        <v>0</v>
      </c>
      <c r="Z342" s="95"/>
      <c r="AA342" s="95">
        <v>0</v>
      </c>
      <c r="AB342" s="95"/>
      <c r="AC342" s="95">
        <v>0</v>
      </c>
      <c r="AD342" s="95"/>
      <c r="AE342" s="95">
        <v>0</v>
      </c>
      <c r="AF342" s="95"/>
      <c r="AG342" s="95">
        <v>0</v>
      </c>
      <c r="AH342" s="95"/>
      <c r="AI342" s="95">
        <f>SUM(E342:AG342)</f>
        <v>109024.79000000001</v>
      </c>
      <c r="AJ342" s="24"/>
      <c r="AK342" s="15" t="str">
        <f>'Gen Rev'!A342</f>
        <v>Lore City</v>
      </c>
      <c r="AL342" s="15" t="str">
        <f t="shared" si="22"/>
        <v>Lore City</v>
      </c>
      <c r="AM342" s="15" t="b">
        <f t="shared" si="23"/>
        <v>1</v>
      </c>
    </row>
    <row r="343" spans="1:39" s="31" customFormat="1" ht="12.75">
      <c r="A343" s="15" t="s">
        <v>924</v>
      </c>
      <c r="B343" s="15"/>
      <c r="C343" s="15" t="s">
        <v>669</v>
      </c>
      <c r="D343" s="15"/>
      <c r="E343" s="85">
        <v>359909</v>
      </c>
      <c r="F343" s="85"/>
      <c r="G343" s="85">
        <v>989059</v>
      </c>
      <c r="H343" s="85"/>
      <c r="I343" s="85">
        <v>992687</v>
      </c>
      <c r="J343" s="85"/>
      <c r="K343" s="85">
        <v>2093</v>
      </c>
      <c r="L343" s="85"/>
      <c r="M343" s="85">
        <v>202405</v>
      </c>
      <c r="N343" s="85"/>
      <c r="O343" s="85">
        <v>51374</v>
      </c>
      <c r="P343" s="85"/>
      <c r="Q343" s="85">
        <v>1988</v>
      </c>
      <c r="R343" s="85"/>
      <c r="S343" s="85">
        <v>56266</v>
      </c>
      <c r="T343" s="85"/>
      <c r="U343" s="85">
        <v>0</v>
      </c>
      <c r="V343" s="85"/>
      <c r="W343" s="85">
        <v>0</v>
      </c>
      <c r="X343" s="85"/>
      <c r="Y343" s="85">
        <v>0</v>
      </c>
      <c r="Z343" s="85"/>
      <c r="AA343" s="85">
        <v>1057492</v>
      </c>
      <c r="AB343" s="85"/>
      <c r="AC343" s="85">
        <v>106842</v>
      </c>
      <c r="AD343" s="85"/>
      <c r="AE343" s="85">
        <v>0</v>
      </c>
      <c r="AF343" s="85"/>
      <c r="AG343" s="85">
        <v>0</v>
      </c>
      <c r="AH343" s="85"/>
      <c r="AI343" s="85">
        <f t="shared" si="24"/>
        <v>3820115</v>
      </c>
      <c r="AJ343" s="24"/>
      <c r="AK343" s="15" t="str">
        <f>'Gen Rev'!A343</f>
        <v>Loudonville</v>
      </c>
      <c r="AL343" s="15" t="str">
        <f t="shared" si="22"/>
        <v>Loudonville</v>
      </c>
      <c r="AM343" s="15" t="b">
        <f t="shared" si="23"/>
        <v>1</v>
      </c>
    </row>
    <row r="344" spans="1:39" ht="12.75">
      <c r="A344" s="15" t="s">
        <v>245</v>
      </c>
      <c r="C344" s="15" t="s">
        <v>822</v>
      </c>
      <c r="E344" s="36">
        <v>11926.7</v>
      </c>
      <c r="F344" s="36"/>
      <c r="G344" s="36">
        <v>0</v>
      </c>
      <c r="H344" s="36"/>
      <c r="I344" s="36">
        <v>74293.89</v>
      </c>
      <c r="J344" s="36"/>
      <c r="K344" s="36">
        <v>0</v>
      </c>
      <c r="L344" s="36"/>
      <c r="M344" s="36">
        <v>0</v>
      </c>
      <c r="N344" s="36"/>
      <c r="O344" s="36">
        <v>1418.5</v>
      </c>
      <c r="P344" s="36"/>
      <c r="Q344" s="36">
        <v>636.7</v>
      </c>
      <c r="R344" s="36"/>
      <c r="S344" s="36">
        <v>7434.18</v>
      </c>
      <c r="T344" s="36"/>
      <c r="U344" s="36">
        <v>0</v>
      </c>
      <c r="V344" s="36"/>
      <c r="W344" s="36">
        <v>0</v>
      </c>
      <c r="X344" s="36"/>
      <c r="Y344" s="36">
        <v>0</v>
      </c>
      <c r="Z344" s="36"/>
      <c r="AA344" s="36">
        <v>0</v>
      </c>
      <c r="AB344" s="36"/>
      <c r="AC344" s="36">
        <v>0</v>
      </c>
      <c r="AD344" s="36"/>
      <c r="AE344" s="36">
        <v>81.85</v>
      </c>
      <c r="AF344" s="36"/>
      <c r="AG344" s="36">
        <v>0</v>
      </c>
      <c r="AH344" s="36"/>
      <c r="AI344" s="36">
        <f>SUM(E344:AG344)</f>
        <v>95791.82</v>
      </c>
      <c r="AJ344" s="24"/>
      <c r="AK344" s="15" t="str">
        <f>'Gen Rev'!A344</f>
        <v>Lowell</v>
      </c>
      <c r="AL344" s="15" t="str">
        <f t="shared" si="22"/>
        <v>Lowell</v>
      </c>
      <c r="AM344" s="15" t="b">
        <f t="shared" si="23"/>
        <v>1</v>
      </c>
    </row>
    <row r="345" spans="1:39" ht="12.75">
      <c r="A345" s="15" t="s">
        <v>853</v>
      </c>
      <c r="C345" s="15" t="s">
        <v>790</v>
      </c>
      <c r="E345" s="36">
        <v>110557.88</v>
      </c>
      <c r="F345" s="36"/>
      <c r="G345" s="36">
        <v>386674.7</v>
      </c>
      <c r="H345" s="36"/>
      <c r="I345" s="36">
        <v>112551.14</v>
      </c>
      <c r="J345" s="36"/>
      <c r="K345" s="36">
        <v>13165.51</v>
      </c>
      <c r="L345" s="36"/>
      <c r="M345" s="36">
        <v>160331.63</v>
      </c>
      <c r="N345" s="36"/>
      <c r="O345" s="36">
        <v>23593.15</v>
      </c>
      <c r="P345" s="36"/>
      <c r="Q345" s="36">
        <v>174.59</v>
      </c>
      <c r="R345" s="36"/>
      <c r="S345" s="36">
        <v>1710</v>
      </c>
      <c r="T345" s="36"/>
      <c r="U345" s="36">
        <v>0</v>
      </c>
      <c r="V345" s="36"/>
      <c r="W345" s="36">
        <v>66253.75</v>
      </c>
      <c r="X345" s="36"/>
      <c r="Y345" s="36">
        <v>0</v>
      </c>
      <c r="Z345" s="36"/>
      <c r="AA345" s="36">
        <v>8000</v>
      </c>
      <c r="AB345" s="36"/>
      <c r="AC345" s="36">
        <v>0</v>
      </c>
      <c r="AD345" s="36"/>
      <c r="AE345" s="36">
        <v>0</v>
      </c>
      <c r="AF345" s="36"/>
      <c r="AG345" s="36">
        <v>0</v>
      </c>
      <c r="AH345" s="36"/>
      <c r="AI345" s="36">
        <f>SUM(E345:AG345)</f>
        <v>883012.35</v>
      </c>
      <c r="AJ345" s="24"/>
      <c r="AK345" s="15" t="str">
        <f>'Gen Rev'!A345</f>
        <v>Lowellville</v>
      </c>
      <c r="AL345" s="15" t="str">
        <f t="shared" si="22"/>
        <v>Lowellville</v>
      </c>
      <c r="AM345" s="15" t="b">
        <f t="shared" si="23"/>
        <v>1</v>
      </c>
    </row>
    <row r="346" spans="1:39" ht="12.75">
      <c r="A346" s="15" t="s">
        <v>246</v>
      </c>
      <c r="C346" s="15" t="s">
        <v>822</v>
      </c>
      <c r="E346" s="36">
        <v>1648.74</v>
      </c>
      <c r="F346" s="36"/>
      <c r="G346" s="36">
        <v>0</v>
      </c>
      <c r="H346" s="36"/>
      <c r="I346" s="36">
        <v>34049.43</v>
      </c>
      <c r="J346" s="36"/>
      <c r="K346" s="36">
        <v>0</v>
      </c>
      <c r="L346" s="36"/>
      <c r="M346" s="36">
        <v>3715</v>
      </c>
      <c r="N346" s="36"/>
      <c r="O346" s="36">
        <v>0</v>
      </c>
      <c r="P346" s="36"/>
      <c r="Q346" s="36">
        <v>154.7</v>
      </c>
      <c r="R346" s="36"/>
      <c r="S346" s="36">
        <v>38</v>
      </c>
      <c r="T346" s="36"/>
      <c r="U346" s="36">
        <v>0</v>
      </c>
      <c r="V346" s="36"/>
      <c r="W346" s="36">
        <v>0</v>
      </c>
      <c r="X346" s="36"/>
      <c r="Y346" s="36">
        <v>0</v>
      </c>
      <c r="Z346" s="36"/>
      <c r="AA346" s="36">
        <v>0</v>
      </c>
      <c r="AB346" s="36"/>
      <c r="AC346" s="36">
        <v>0</v>
      </c>
      <c r="AD346" s="36"/>
      <c r="AE346" s="36">
        <v>0</v>
      </c>
      <c r="AF346" s="36"/>
      <c r="AG346" s="36">
        <v>0</v>
      </c>
      <c r="AH346" s="36"/>
      <c r="AI346" s="36">
        <f>SUM(E346:AG346)</f>
        <v>39605.869999999995</v>
      </c>
      <c r="AJ346" s="39"/>
      <c r="AK346" s="15" t="str">
        <f>'Gen Rev'!A346</f>
        <v>Lower Salem</v>
      </c>
      <c r="AL346" s="15" t="str">
        <f t="shared" si="22"/>
        <v>Lower Salem</v>
      </c>
      <c r="AM346" s="15" t="b">
        <f t="shared" si="23"/>
        <v>1</v>
      </c>
    </row>
    <row r="347" spans="1:39" ht="12.75">
      <c r="A347" s="15" t="s">
        <v>455</v>
      </c>
      <c r="C347" s="15" t="s">
        <v>520</v>
      </c>
      <c r="E347" s="85">
        <v>29340</v>
      </c>
      <c r="F347" s="85"/>
      <c r="G347" s="85">
        <v>0</v>
      </c>
      <c r="H347" s="85"/>
      <c r="I347" s="85">
        <v>200845</v>
      </c>
      <c r="J347" s="85"/>
      <c r="K347" s="85">
        <v>0</v>
      </c>
      <c r="L347" s="85"/>
      <c r="M347" s="85">
        <v>1575</v>
      </c>
      <c r="N347" s="85"/>
      <c r="O347" s="85">
        <v>2095</v>
      </c>
      <c r="P347" s="85"/>
      <c r="Q347" s="85">
        <v>100</v>
      </c>
      <c r="R347" s="85"/>
      <c r="S347" s="85">
        <v>2492</v>
      </c>
      <c r="T347" s="85"/>
      <c r="U347" s="85">
        <v>0</v>
      </c>
      <c r="V347" s="85"/>
      <c r="W347" s="85">
        <v>119413</v>
      </c>
      <c r="X347" s="85"/>
      <c r="Y347" s="85">
        <v>0</v>
      </c>
      <c r="Z347" s="85"/>
      <c r="AA347" s="85">
        <v>8000</v>
      </c>
      <c r="AB347" s="85"/>
      <c r="AC347" s="85">
        <v>0</v>
      </c>
      <c r="AD347" s="85"/>
      <c r="AE347" s="85">
        <v>0</v>
      </c>
      <c r="AF347" s="85"/>
      <c r="AG347" s="85">
        <v>0</v>
      </c>
      <c r="AH347" s="85"/>
      <c r="AI347" s="85">
        <f t="shared" si="24"/>
        <v>363860</v>
      </c>
      <c r="AJ347" s="24"/>
      <c r="AK347" s="15" t="str">
        <f>'Gen Rev'!A347</f>
        <v>Lucas</v>
      </c>
      <c r="AL347" s="15" t="str">
        <f t="shared" si="22"/>
        <v>Lucas</v>
      </c>
      <c r="AM347" s="15" t="b">
        <f t="shared" si="23"/>
        <v>1</v>
      </c>
    </row>
    <row r="348" spans="1:39" ht="12.75">
      <c r="A348" s="15" t="s">
        <v>606</v>
      </c>
      <c r="C348" s="15" t="s">
        <v>603</v>
      </c>
      <c r="E348" s="95">
        <v>85698.47</v>
      </c>
      <c r="F348" s="95"/>
      <c r="G348" s="95">
        <v>158168.9</v>
      </c>
      <c r="H348" s="95"/>
      <c r="I348" s="95">
        <v>69961.64</v>
      </c>
      <c r="J348" s="95"/>
      <c r="K348" s="95">
        <v>11298.33</v>
      </c>
      <c r="L348" s="95"/>
      <c r="M348" s="95">
        <v>64977.85</v>
      </c>
      <c r="N348" s="95"/>
      <c r="O348" s="95">
        <v>7830.06</v>
      </c>
      <c r="P348" s="95"/>
      <c r="Q348" s="95">
        <v>1207.88</v>
      </c>
      <c r="R348" s="95"/>
      <c r="S348" s="95">
        <v>1806.05</v>
      </c>
      <c r="T348" s="95"/>
      <c r="U348" s="95">
        <v>0</v>
      </c>
      <c r="V348" s="95"/>
      <c r="W348" s="95">
        <v>0</v>
      </c>
      <c r="X348" s="95"/>
      <c r="Y348" s="95">
        <v>0</v>
      </c>
      <c r="Z348" s="95"/>
      <c r="AA348" s="95">
        <v>37792.22</v>
      </c>
      <c r="AB348" s="95"/>
      <c r="AC348" s="95">
        <v>0</v>
      </c>
      <c r="AD348" s="95"/>
      <c r="AE348" s="95">
        <v>0</v>
      </c>
      <c r="AF348" s="95"/>
      <c r="AG348" s="95">
        <v>0</v>
      </c>
      <c r="AH348" s="95"/>
      <c r="AI348" s="95">
        <f>SUM(E348:AG348)</f>
        <v>438741.4</v>
      </c>
      <c r="AJ348" s="24"/>
      <c r="AK348" s="15" t="str">
        <f>'Gen Rev'!A348</f>
        <v>Luckey</v>
      </c>
      <c r="AL348" s="15" t="str">
        <f t="shared" si="22"/>
        <v>Luckey</v>
      </c>
      <c r="AM348" s="15" t="b">
        <f t="shared" si="23"/>
        <v>1</v>
      </c>
    </row>
    <row r="349" spans="1:39" s="31" customFormat="1" ht="12.75">
      <c r="A349" s="15" t="s">
        <v>110</v>
      </c>
      <c r="B349" s="15"/>
      <c r="C349" s="15" t="s">
        <v>778</v>
      </c>
      <c r="D349" s="15"/>
      <c r="E349" s="36">
        <v>253778.2</v>
      </c>
      <c r="F349" s="36"/>
      <c r="G349" s="36">
        <v>0</v>
      </c>
      <c r="H349" s="36"/>
      <c r="I349" s="36">
        <v>168716.81</v>
      </c>
      <c r="J349" s="36"/>
      <c r="K349" s="36">
        <v>0</v>
      </c>
      <c r="L349" s="36"/>
      <c r="M349" s="36">
        <v>20000</v>
      </c>
      <c r="N349" s="36"/>
      <c r="O349" s="36">
        <v>43122.6</v>
      </c>
      <c r="P349" s="36"/>
      <c r="Q349" s="36">
        <v>3802.73</v>
      </c>
      <c r="R349" s="36"/>
      <c r="S349" s="36">
        <v>38724.87</v>
      </c>
      <c r="T349" s="36"/>
      <c r="U349" s="36">
        <v>0</v>
      </c>
      <c r="V349" s="36"/>
      <c r="W349" s="36">
        <v>0</v>
      </c>
      <c r="X349" s="36"/>
      <c r="Y349" s="36">
        <v>0</v>
      </c>
      <c r="Z349" s="36"/>
      <c r="AA349" s="36">
        <v>180596.42</v>
      </c>
      <c r="AB349" s="36"/>
      <c r="AC349" s="36">
        <v>21284</v>
      </c>
      <c r="AD349" s="36"/>
      <c r="AE349" s="36">
        <v>35000.02</v>
      </c>
      <c r="AF349" s="36"/>
      <c r="AG349" s="36">
        <v>0</v>
      </c>
      <c r="AH349" s="36"/>
      <c r="AI349" s="36">
        <f>SUM(E349:AG349)</f>
        <v>765025.65</v>
      </c>
      <c r="AJ349" s="24"/>
      <c r="AK349" s="15" t="str">
        <f>'Gen Rev'!A349</f>
        <v>Lynchburg</v>
      </c>
      <c r="AL349" s="15" t="str">
        <f aca="true" t="shared" si="25" ref="AL349:AL403">A349</f>
        <v>Lynchburg</v>
      </c>
      <c r="AM349" s="15" t="b">
        <f aca="true" t="shared" si="26" ref="AM349:AM403">AK349=AL349</f>
        <v>1</v>
      </c>
    </row>
    <row r="350" spans="1:39" s="31" customFormat="1" ht="12.75">
      <c r="A350" s="15" t="s">
        <v>78</v>
      </c>
      <c r="B350" s="15"/>
      <c r="C350" s="15" t="s">
        <v>769</v>
      </c>
      <c r="D350" s="15"/>
      <c r="E350" s="36">
        <v>88138.24</v>
      </c>
      <c r="F350" s="36"/>
      <c r="G350" s="36">
        <v>0</v>
      </c>
      <c r="H350" s="36"/>
      <c r="I350" s="36">
        <v>68397.47</v>
      </c>
      <c r="J350" s="36"/>
      <c r="K350" s="36">
        <v>0</v>
      </c>
      <c r="L350" s="36"/>
      <c r="M350" s="36">
        <v>0</v>
      </c>
      <c r="N350" s="36"/>
      <c r="O350" s="36">
        <v>1828.4</v>
      </c>
      <c r="P350" s="36"/>
      <c r="Q350" s="36">
        <v>671.93</v>
      </c>
      <c r="R350" s="36"/>
      <c r="S350" s="36">
        <v>11786.54</v>
      </c>
      <c r="T350" s="36"/>
      <c r="U350" s="36">
        <v>0</v>
      </c>
      <c r="V350" s="36"/>
      <c r="W350" s="36">
        <v>0</v>
      </c>
      <c r="X350" s="36"/>
      <c r="Y350" s="36">
        <v>0</v>
      </c>
      <c r="Z350" s="36"/>
      <c r="AA350" s="36">
        <v>0</v>
      </c>
      <c r="AB350" s="36"/>
      <c r="AC350" s="36">
        <v>0</v>
      </c>
      <c r="AD350" s="36"/>
      <c r="AE350" s="36">
        <v>0</v>
      </c>
      <c r="AF350" s="36"/>
      <c r="AG350" s="36">
        <v>0</v>
      </c>
      <c r="AH350" s="36"/>
      <c r="AI350" s="36">
        <f>SUM(E350:AG350)</f>
        <v>170822.58000000002</v>
      </c>
      <c r="AJ350" s="24"/>
      <c r="AK350" s="15" t="str">
        <f>'Gen Rev'!A350</f>
        <v>Lyons</v>
      </c>
      <c r="AL350" s="15" t="str">
        <f t="shared" si="25"/>
        <v>Lyons</v>
      </c>
      <c r="AM350" s="15" t="b">
        <f t="shared" si="26"/>
        <v>1</v>
      </c>
    </row>
    <row r="351" spans="1:39" s="31" customFormat="1" ht="12.75">
      <c r="A351" s="15" t="s">
        <v>432</v>
      </c>
      <c r="B351" s="15"/>
      <c r="C351" s="15" t="s">
        <v>430</v>
      </c>
      <c r="D351" s="15"/>
      <c r="E351" s="36">
        <v>120574.05</v>
      </c>
      <c r="F351" s="36"/>
      <c r="G351" s="36">
        <v>873622.73</v>
      </c>
      <c r="H351" s="36"/>
      <c r="I351" s="36">
        <v>703855.21</v>
      </c>
      <c r="J351" s="36"/>
      <c r="K351" s="36">
        <v>141967.65</v>
      </c>
      <c r="L351" s="36"/>
      <c r="M351" s="36">
        <v>39272</v>
      </c>
      <c r="N351" s="36"/>
      <c r="O351" s="36">
        <v>107429.44</v>
      </c>
      <c r="P351" s="36"/>
      <c r="Q351" s="36">
        <v>1927.44</v>
      </c>
      <c r="R351" s="36"/>
      <c r="S351" s="36">
        <v>62208.28</v>
      </c>
      <c r="T351" s="36"/>
      <c r="U351" s="36">
        <v>150000</v>
      </c>
      <c r="V351" s="36"/>
      <c r="W351" s="36">
        <v>0</v>
      </c>
      <c r="X351" s="36"/>
      <c r="Y351" s="36">
        <v>0</v>
      </c>
      <c r="Z351" s="36"/>
      <c r="AA351" s="36">
        <v>217091.17</v>
      </c>
      <c r="AB351" s="36"/>
      <c r="AC351" s="36">
        <v>110000</v>
      </c>
      <c r="AD351" s="36"/>
      <c r="AE351" s="36">
        <v>0</v>
      </c>
      <c r="AF351" s="36"/>
      <c r="AG351" s="36">
        <v>0</v>
      </c>
      <c r="AH351" s="36"/>
      <c r="AI351" s="36">
        <f>SUM(E351:AG351)</f>
        <v>2527947.9699999997</v>
      </c>
      <c r="AJ351" s="24"/>
      <c r="AK351" s="15" t="str">
        <f>'Gen Rev'!A351</f>
        <v>Madison</v>
      </c>
      <c r="AL351" s="15" t="str">
        <f t="shared" si="25"/>
        <v>Madison</v>
      </c>
      <c r="AM351" s="15" t="b">
        <f t="shared" si="26"/>
        <v>1</v>
      </c>
    </row>
    <row r="352" spans="1:39" ht="12.75">
      <c r="A352" s="15" t="s">
        <v>236</v>
      </c>
      <c r="C352" s="15" t="s">
        <v>819</v>
      </c>
      <c r="E352" s="36">
        <v>27043.14</v>
      </c>
      <c r="F352" s="36"/>
      <c r="G352" s="36">
        <v>0</v>
      </c>
      <c r="H352" s="36"/>
      <c r="I352" s="36">
        <v>19553.31</v>
      </c>
      <c r="J352" s="36"/>
      <c r="K352" s="36">
        <v>0</v>
      </c>
      <c r="L352" s="36"/>
      <c r="M352" s="36">
        <v>1370.11</v>
      </c>
      <c r="N352" s="36"/>
      <c r="O352" s="36">
        <v>125</v>
      </c>
      <c r="P352" s="36"/>
      <c r="Q352" s="36">
        <v>367.68</v>
      </c>
      <c r="R352" s="36"/>
      <c r="S352" s="36">
        <v>387.52</v>
      </c>
      <c r="T352" s="36"/>
      <c r="U352" s="36">
        <v>0</v>
      </c>
      <c r="V352" s="36"/>
      <c r="W352" s="36">
        <v>0</v>
      </c>
      <c r="X352" s="36"/>
      <c r="Y352" s="36">
        <v>0</v>
      </c>
      <c r="Z352" s="36"/>
      <c r="AA352" s="36">
        <v>0</v>
      </c>
      <c r="AB352" s="36"/>
      <c r="AC352" s="36">
        <v>0</v>
      </c>
      <c r="AD352" s="36"/>
      <c r="AE352" s="36">
        <v>0</v>
      </c>
      <c r="AF352" s="36"/>
      <c r="AG352" s="36">
        <v>0</v>
      </c>
      <c r="AH352" s="36"/>
      <c r="AI352" s="36">
        <f>SUM(E352:AG352)</f>
        <v>48846.759999999995</v>
      </c>
      <c r="AJ352" s="24"/>
      <c r="AK352" s="15" t="str">
        <f>'Gen Rev'!A352</f>
        <v>Magnetic Springs</v>
      </c>
      <c r="AL352" s="15" t="str">
        <f t="shared" si="25"/>
        <v>Magnetic Springs</v>
      </c>
      <c r="AM352" s="15" t="b">
        <f t="shared" si="26"/>
        <v>1</v>
      </c>
    </row>
    <row r="353" spans="1:39" ht="12.75">
      <c r="A353" s="15" t="s">
        <v>546</v>
      </c>
      <c r="C353" s="15" t="s">
        <v>542</v>
      </c>
      <c r="E353" s="85">
        <f>169311.03+37.5</f>
        <v>169348.53</v>
      </c>
      <c r="F353" s="85"/>
      <c r="G353" s="85">
        <v>63893.64</v>
      </c>
      <c r="H353" s="85"/>
      <c r="I353" s="85">
        <v>41707.78</v>
      </c>
      <c r="J353" s="85"/>
      <c r="K353" s="85">
        <v>0</v>
      </c>
      <c r="L353" s="85"/>
      <c r="M353" s="85">
        <v>283024.89</v>
      </c>
      <c r="N353" s="85"/>
      <c r="O353" s="85">
        <v>5242.76</v>
      </c>
      <c r="P353" s="85"/>
      <c r="Q353" s="85">
        <v>6095.18</v>
      </c>
      <c r="R353" s="85"/>
      <c r="S353" s="85">
        <f>1128+15341.62+6159.59</f>
        <v>22629.210000000003</v>
      </c>
      <c r="T353" s="85"/>
      <c r="U353" s="85">
        <v>0</v>
      </c>
      <c r="V353" s="85"/>
      <c r="W353" s="85">
        <v>0</v>
      </c>
      <c r="X353" s="85"/>
      <c r="Y353" s="85">
        <v>0</v>
      </c>
      <c r="Z353" s="85"/>
      <c r="AA353" s="85">
        <v>180369.55</v>
      </c>
      <c r="AB353" s="85"/>
      <c r="AC353" s="85">
        <v>0</v>
      </c>
      <c r="AD353" s="85"/>
      <c r="AE353" s="85">
        <v>0</v>
      </c>
      <c r="AF353" s="85"/>
      <c r="AG353" s="85">
        <v>0</v>
      </c>
      <c r="AH353" s="85"/>
      <c r="AI353" s="85">
        <f t="shared" si="24"/>
        <v>772311.54</v>
      </c>
      <c r="AJ353" s="24"/>
      <c r="AK353" s="15" t="str">
        <f>'Gen Rev'!A353</f>
        <v>Magnolia</v>
      </c>
      <c r="AL353" s="15" t="str">
        <f t="shared" si="25"/>
        <v>Magnolia</v>
      </c>
      <c r="AM353" s="15" t="b">
        <f t="shared" si="26"/>
        <v>1</v>
      </c>
    </row>
    <row r="354" spans="1:39" ht="12.75">
      <c r="A354" s="15" t="s">
        <v>242</v>
      </c>
      <c r="C354" s="15" t="s">
        <v>821</v>
      </c>
      <c r="E354" s="36">
        <v>40252.87</v>
      </c>
      <c r="F354" s="36"/>
      <c r="G354" s="36">
        <v>294304.49</v>
      </c>
      <c r="H354" s="36"/>
      <c r="I354" s="36">
        <v>57518.59</v>
      </c>
      <c r="J354" s="36"/>
      <c r="K354" s="36">
        <v>34778.92</v>
      </c>
      <c r="L354" s="36"/>
      <c r="M354" s="36">
        <v>65022.43</v>
      </c>
      <c r="N354" s="36"/>
      <c r="O354" s="36">
        <v>24055.1</v>
      </c>
      <c r="P354" s="36"/>
      <c r="Q354" s="36">
        <v>3153.38</v>
      </c>
      <c r="R354" s="36"/>
      <c r="S354" s="36">
        <v>13789.21</v>
      </c>
      <c r="T354" s="36"/>
      <c r="U354" s="36">
        <v>0</v>
      </c>
      <c r="V354" s="36"/>
      <c r="W354" s="36">
        <v>0</v>
      </c>
      <c r="X354" s="36"/>
      <c r="Y354" s="36">
        <v>0</v>
      </c>
      <c r="Z354" s="36"/>
      <c r="AA354" s="36">
        <v>0</v>
      </c>
      <c r="AB354" s="36"/>
      <c r="AC354" s="36">
        <v>0</v>
      </c>
      <c r="AD354" s="36"/>
      <c r="AE354" s="36">
        <v>0</v>
      </c>
      <c r="AF354" s="36"/>
      <c r="AG354" s="36">
        <v>0</v>
      </c>
      <c r="AH354" s="36"/>
      <c r="AI354" s="36">
        <f aca="true" t="shared" si="27" ref="AI354:AI362">SUM(E354:AG354)</f>
        <v>532874.9899999999</v>
      </c>
      <c r="AJ354" s="24"/>
      <c r="AK354" s="15" t="str">
        <f>'Gen Rev'!A354</f>
        <v>Maineville</v>
      </c>
      <c r="AL354" s="15" t="str">
        <f t="shared" si="25"/>
        <v>Maineville</v>
      </c>
      <c r="AM354" s="15" t="b">
        <f t="shared" si="26"/>
        <v>1</v>
      </c>
    </row>
    <row r="355" spans="1:39" ht="12.75">
      <c r="A355" s="15" t="s">
        <v>107</v>
      </c>
      <c r="C355" s="15" t="s">
        <v>777</v>
      </c>
      <c r="E355" s="36">
        <v>7989.38</v>
      </c>
      <c r="F355" s="36"/>
      <c r="G355" s="36">
        <v>61549.59</v>
      </c>
      <c r="H355" s="36"/>
      <c r="I355" s="36">
        <v>24218.02</v>
      </c>
      <c r="J355" s="36"/>
      <c r="K355" s="36">
        <v>0</v>
      </c>
      <c r="L355" s="36"/>
      <c r="M355" s="36">
        <v>100</v>
      </c>
      <c r="N355" s="36"/>
      <c r="O355" s="36">
        <v>538.94</v>
      </c>
      <c r="P355" s="36"/>
      <c r="Q355" s="36">
        <v>1703.21</v>
      </c>
      <c r="R355" s="36"/>
      <c r="S355" s="36">
        <v>4871.85</v>
      </c>
      <c r="T355" s="36"/>
      <c r="U355" s="36">
        <v>0</v>
      </c>
      <c r="V355" s="36"/>
      <c r="W355" s="36">
        <v>0</v>
      </c>
      <c r="X355" s="36"/>
      <c r="Y355" s="36">
        <v>59340</v>
      </c>
      <c r="Z355" s="36"/>
      <c r="AA355" s="36">
        <v>60000</v>
      </c>
      <c r="AB355" s="36"/>
      <c r="AC355" s="36">
        <v>0</v>
      </c>
      <c r="AD355" s="36"/>
      <c r="AE355" s="36">
        <v>2300.71</v>
      </c>
      <c r="AF355" s="36"/>
      <c r="AG355" s="36">
        <v>0</v>
      </c>
      <c r="AH355" s="36"/>
      <c r="AI355" s="36">
        <f t="shared" si="27"/>
        <v>222611.7</v>
      </c>
      <c r="AJ355" s="24"/>
      <c r="AK355" s="15" t="str">
        <f>'Gen Rev'!A355</f>
        <v>Malinta</v>
      </c>
      <c r="AL355" s="15" t="str">
        <f t="shared" si="25"/>
        <v>Malinta</v>
      </c>
      <c r="AM355" s="15" t="b">
        <f t="shared" si="26"/>
        <v>1</v>
      </c>
    </row>
    <row r="356" spans="1:39" ht="12.75">
      <c r="A356" s="15" t="s">
        <v>948</v>
      </c>
      <c r="C356" s="15" t="s">
        <v>798</v>
      </c>
      <c r="E356" s="36">
        <v>20925.18</v>
      </c>
      <c r="F356" s="36"/>
      <c r="G356" s="36">
        <v>81429.21</v>
      </c>
      <c r="H356" s="36"/>
      <c r="I356" s="36">
        <v>102896.58</v>
      </c>
      <c r="J356" s="36"/>
      <c r="K356" s="36">
        <v>0</v>
      </c>
      <c r="L356" s="36"/>
      <c r="M356" s="36">
        <v>0</v>
      </c>
      <c r="N356" s="36"/>
      <c r="O356" s="36">
        <v>8850.61</v>
      </c>
      <c r="P356" s="36"/>
      <c r="Q356" s="36">
        <v>641.64</v>
      </c>
      <c r="R356" s="36"/>
      <c r="S356" s="36">
        <v>1709.42</v>
      </c>
      <c r="T356" s="36"/>
      <c r="U356" s="36">
        <v>0</v>
      </c>
      <c r="V356" s="36"/>
      <c r="W356" s="36">
        <v>0</v>
      </c>
      <c r="X356" s="36"/>
      <c r="Y356" s="36">
        <v>0</v>
      </c>
      <c r="Z356" s="36"/>
      <c r="AA356" s="36">
        <v>0</v>
      </c>
      <c r="AB356" s="36"/>
      <c r="AC356" s="36">
        <v>0</v>
      </c>
      <c r="AD356" s="36"/>
      <c r="AE356" s="36">
        <v>1050</v>
      </c>
      <c r="AF356" s="36"/>
      <c r="AG356" s="36">
        <v>0</v>
      </c>
      <c r="AH356" s="36"/>
      <c r="AI356" s="36">
        <f t="shared" si="27"/>
        <v>217502.64000000004</v>
      </c>
      <c r="AJ356" s="24"/>
      <c r="AK356" s="15" t="str">
        <f>'Gen Rev'!A356</f>
        <v>Malta</v>
      </c>
      <c r="AL356" s="15" t="str">
        <f t="shared" si="25"/>
        <v>Malta</v>
      </c>
      <c r="AM356" s="15" t="b">
        <f t="shared" si="26"/>
        <v>1</v>
      </c>
    </row>
    <row r="357" spans="1:39" ht="12.75">
      <c r="A357" s="15" t="s">
        <v>30</v>
      </c>
      <c r="C357" s="15" t="s">
        <v>753</v>
      </c>
      <c r="E357" s="36">
        <v>47866.76</v>
      </c>
      <c r="F357" s="36"/>
      <c r="G357" s="36">
        <v>174778.57</v>
      </c>
      <c r="H357" s="36"/>
      <c r="I357" s="36">
        <v>142726.79</v>
      </c>
      <c r="J357" s="36"/>
      <c r="K357" s="36">
        <v>0</v>
      </c>
      <c r="L357" s="36"/>
      <c r="M357" s="36">
        <v>9337.94</v>
      </c>
      <c r="N357" s="36"/>
      <c r="O357" s="36">
        <v>9977.49</v>
      </c>
      <c r="P357" s="36"/>
      <c r="Q357" s="36">
        <v>40.16</v>
      </c>
      <c r="R357" s="36"/>
      <c r="S357" s="36">
        <v>18960.47</v>
      </c>
      <c r="T357" s="36"/>
      <c r="U357" s="36">
        <v>0</v>
      </c>
      <c r="V357" s="36"/>
      <c r="W357" s="36">
        <v>0</v>
      </c>
      <c r="X357" s="36"/>
      <c r="Y357" s="36">
        <v>4538</v>
      </c>
      <c r="Z357" s="36"/>
      <c r="AA357" s="36">
        <v>10000</v>
      </c>
      <c r="AB357" s="36"/>
      <c r="AC357" s="36">
        <v>0</v>
      </c>
      <c r="AD357" s="36"/>
      <c r="AE357" s="36">
        <v>0</v>
      </c>
      <c r="AF357" s="36"/>
      <c r="AG357" s="36">
        <v>0</v>
      </c>
      <c r="AH357" s="36"/>
      <c r="AI357" s="36">
        <f t="shared" si="27"/>
        <v>418226.17999999993</v>
      </c>
      <c r="AJ357" s="24"/>
      <c r="AK357" s="15" t="str">
        <f>'Gen Rev'!A357</f>
        <v>Malvern</v>
      </c>
      <c r="AL357" s="15" t="str">
        <f t="shared" si="25"/>
        <v>Malvern</v>
      </c>
      <c r="AM357" s="15" t="b">
        <f t="shared" si="26"/>
        <v>1</v>
      </c>
    </row>
    <row r="358" spans="1:39" ht="12.75">
      <c r="A358" s="15" t="s">
        <v>932</v>
      </c>
      <c r="C358" s="15" t="s">
        <v>662</v>
      </c>
      <c r="E358" s="36">
        <v>173900.36</v>
      </c>
      <c r="F358" s="36"/>
      <c r="G358" s="36">
        <v>144422.98</v>
      </c>
      <c r="H358" s="36"/>
      <c r="I358" s="36">
        <v>458417.07</v>
      </c>
      <c r="J358" s="36"/>
      <c r="K358" s="36">
        <v>0</v>
      </c>
      <c r="L358" s="36"/>
      <c r="M358" s="36">
        <v>71457.86</v>
      </c>
      <c r="N358" s="36"/>
      <c r="O358" s="36">
        <v>30072.03</v>
      </c>
      <c r="P358" s="36"/>
      <c r="Q358" s="36">
        <v>328.72</v>
      </c>
      <c r="R358" s="36"/>
      <c r="S358" s="36">
        <v>17831.7</v>
      </c>
      <c r="T358" s="36"/>
      <c r="U358" s="36">
        <v>0</v>
      </c>
      <c r="V358" s="36"/>
      <c r="W358" s="36">
        <v>0</v>
      </c>
      <c r="X358" s="36"/>
      <c r="Y358" s="36">
        <v>0</v>
      </c>
      <c r="Z358" s="36"/>
      <c r="AA358" s="36">
        <v>90000</v>
      </c>
      <c r="AB358" s="36"/>
      <c r="AC358" s="36">
        <v>0</v>
      </c>
      <c r="AD358" s="36"/>
      <c r="AE358" s="36">
        <v>20700</v>
      </c>
      <c r="AF358" s="36"/>
      <c r="AG358" s="36">
        <v>0</v>
      </c>
      <c r="AH358" s="36"/>
      <c r="AI358" s="36">
        <f t="shared" si="27"/>
        <v>1007130.7199999999</v>
      </c>
      <c r="AJ358" s="24"/>
      <c r="AK358" s="15" t="str">
        <f>'Gen Rev'!A358</f>
        <v>Manchester</v>
      </c>
      <c r="AL358" s="15" t="str">
        <f t="shared" si="25"/>
        <v>Manchester</v>
      </c>
      <c r="AM358" s="15" t="b">
        <f t="shared" si="26"/>
        <v>1</v>
      </c>
    </row>
    <row r="359" spans="1:39" s="24" customFormat="1" ht="12.75">
      <c r="A359" s="24" t="s">
        <v>195</v>
      </c>
      <c r="C359" s="24" t="s">
        <v>806</v>
      </c>
      <c r="E359" s="36">
        <v>71654.28</v>
      </c>
      <c r="F359" s="36"/>
      <c r="G359" s="36">
        <v>444600.86</v>
      </c>
      <c r="H359" s="36"/>
      <c r="I359" s="36">
        <v>253654.36</v>
      </c>
      <c r="J359" s="36"/>
      <c r="K359" s="36">
        <v>0</v>
      </c>
      <c r="L359" s="36"/>
      <c r="M359" s="36">
        <v>100026.35</v>
      </c>
      <c r="N359" s="36"/>
      <c r="O359" s="36">
        <v>30429.82</v>
      </c>
      <c r="P359" s="36"/>
      <c r="Q359" s="36">
        <v>5093.96</v>
      </c>
      <c r="R359" s="36"/>
      <c r="S359" s="36">
        <v>1801.72</v>
      </c>
      <c r="T359" s="36"/>
      <c r="U359" s="36">
        <v>0</v>
      </c>
      <c r="V359" s="36"/>
      <c r="W359" s="36">
        <v>0</v>
      </c>
      <c r="X359" s="36"/>
      <c r="Y359" s="36">
        <v>0</v>
      </c>
      <c r="Z359" s="36"/>
      <c r="AA359" s="36">
        <v>0</v>
      </c>
      <c r="AB359" s="36"/>
      <c r="AC359" s="36">
        <v>31861.12</v>
      </c>
      <c r="AD359" s="36"/>
      <c r="AE359" s="36">
        <v>17645.75</v>
      </c>
      <c r="AF359" s="36"/>
      <c r="AG359" s="36">
        <v>0</v>
      </c>
      <c r="AH359" s="36"/>
      <c r="AI359" s="36">
        <f t="shared" si="27"/>
        <v>956768.2199999999</v>
      </c>
      <c r="AK359" s="15" t="str">
        <f>'Gen Rev'!A359</f>
        <v>Mantua</v>
      </c>
      <c r="AL359" s="15" t="str">
        <f t="shared" si="25"/>
        <v>Mantua</v>
      </c>
      <c r="AM359" s="15" t="b">
        <f t="shared" si="26"/>
        <v>1</v>
      </c>
    </row>
    <row r="360" spans="1:39" s="31" customFormat="1" ht="12.75">
      <c r="A360" s="15" t="s">
        <v>73</v>
      </c>
      <c r="B360" s="15"/>
      <c r="C360" s="15" t="s">
        <v>768</v>
      </c>
      <c r="D360" s="15"/>
      <c r="E360" s="95">
        <v>10274.1</v>
      </c>
      <c r="F360" s="95"/>
      <c r="G360" s="95">
        <v>817803.91</v>
      </c>
      <c r="H360" s="95"/>
      <c r="I360" s="95">
        <v>99475.02</v>
      </c>
      <c r="J360" s="95"/>
      <c r="K360" s="95">
        <v>0</v>
      </c>
      <c r="L360" s="95"/>
      <c r="M360" s="95">
        <v>0</v>
      </c>
      <c r="N360" s="95"/>
      <c r="O360" s="95">
        <v>52625</v>
      </c>
      <c r="P360" s="95"/>
      <c r="Q360" s="95">
        <v>4341.85</v>
      </c>
      <c r="R360" s="95"/>
      <c r="S360" s="95">
        <v>9799.13</v>
      </c>
      <c r="T360" s="95"/>
      <c r="U360" s="95">
        <v>0</v>
      </c>
      <c r="V360" s="95"/>
      <c r="W360" s="95">
        <v>0</v>
      </c>
      <c r="X360" s="95"/>
      <c r="Y360" s="95">
        <v>0</v>
      </c>
      <c r="Z360" s="95"/>
      <c r="AA360" s="95">
        <v>162889.95</v>
      </c>
      <c r="AB360" s="95"/>
      <c r="AC360" s="95">
        <v>0</v>
      </c>
      <c r="AD360" s="95"/>
      <c r="AE360" s="95">
        <v>0</v>
      </c>
      <c r="AF360" s="95"/>
      <c r="AG360" s="95">
        <v>0</v>
      </c>
      <c r="AH360" s="95"/>
      <c r="AI360" s="95">
        <f t="shared" si="27"/>
        <v>1157208.96</v>
      </c>
      <c r="AJ360" s="24"/>
      <c r="AK360" s="15" t="str">
        <f>'Gen Rev'!A360</f>
        <v>Marble Cliff</v>
      </c>
      <c r="AL360" s="15" t="str">
        <f t="shared" si="25"/>
        <v>Marble Cliff</v>
      </c>
      <c r="AM360" s="15" t="b">
        <f t="shared" si="26"/>
        <v>1</v>
      </c>
    </row>
    <row r="361" spans="1:39" ht="12.75">
      <c r="A361" s="15" t="s">
        <v>841</v>
      </c>
      <c r="C361" s="15" t="s">
        <v>802</v>
      </c>
      <c r="E361" s="36">
        <v>392783.03</v>
      </c>
      <c r="F361" s="36"/>
      <c r="G361" s="36">
        <v>0</v>
      </c>
      <c r="H361" s="36"/>
      <c r="I361" s="36">
        <v>588856.55</v>
      </c>
      <c r="J361" s="36"/>
      <c r="K361" s="36">
        <v>22304.56</v>
      </c>
      <c r="L361" s="36"/>
      <c r="M361" s="36">
        <v>259025</v>
      </c>
      <c r="N361" s="36"/>
      <c r="O361" s="36">
        <v>21520.95</v>
      </c>
      <c r="P361" s="36"/>
      <c r="Q361" s="36">
        <v>2868.52</v>
      </c>
      <c r="R361" s="36"/>
      <c r="S361" s="36">
        <f>67484.06+69042.17</f>
        <v>136526.22999999998</v>
      </c>
      <c r="T361" s="36"/>
      <c r="U361" s="36">
        <v>0</v>
      </c>
      <c r="V361" s="36"/>
      <c r="W361" s="36">
        <v>0</v>
      </c>
      <c r="X361" s="36"/>
      <c r="Y361" s="36">
        <v>0</v>
      </c>
      <c r="Z361" s="36"/>
      <c r="AA361" s="36">
        <v>247737</v>
      </c>
      <c r="AB361" s="36"/>
      <c r="AC361" s="36">
        <v>16480</v>
      </c>
      <c r="AD361" s="36"/>
      <c r="AE361" s="36">
        <v>2358.47</v>
      </c>
      <c r="AF361" s="36"/>
      <c r="AG361" s="36">
        <v>0</v>
      </c>
      <c r="AH361" s="36"/>
      <c r="AI361" s="36">
        <f t="shared" si="27"/>
        <v>1690460.31</v>
      </c>
      <c r="AJ361" s="24"/>
      <c r="AK361" s="15" t="str">
        <f>'Gen Rev'!A361</f>
        <v>Marblehead</v>
      </c>
      <c r="AL361" s="15" t="str">
        <f t="shared" si="25"/>
        <v>Marblehead</v>
      </c>
      <c r="AM361" s="15" t="b">
        <f t="shared" si="26"/>
        <v>1</v>
      </c>
    </row>
    <row r="362" spans="1:39" s="31" customFormat="1" ht="12.75">
      <c r="A362" s="15" t="s">
        <v>173</v>
      </c>
      <c r="B362" s="15"/>
      <c r="C362" s="15" t="s">
        <v>243</v>
      </c>
      <c r="D362" s="15"/>
      <c r="E362" s="36">
        <v>11899.32</v>
      </c>
      <c r="F362" s="36"/>
      <c r="G362" s="36">
        <v>0</v>
      </c>
      <c r="H362" s="36"/>
      <c r="I362" s="36">
        <v>31822.82</v>
      </c>
      <c r="J362" s="36"/>
      <c r="K362" s="36">
        <v>37</v>
      </c>
      <c r="L362" s="36"/>
      <c r="M362" s="36">
        <v>0</v>
      </c>
      <c r="N362" s="36"/>
      <c r="O362" s="36">
        <v>1313.33</v>
      </c>
      <c r="P362" s="36"/>
      <c r="Q362" s="36">
        <v>135.24</v>
      </c>
      <c r="R362" s="36"/>
      <c r="S362" s="36">
        <v>0</v>
      </c>
      <c r="T362" s="36"/>
      <c r="U362" s="36">
        <v>0</v>
      </c>
      <c r="V362" s="36"/>
      <c r="W362" s="36">
        <v>0</v>
      </c>
      <c r="X362" s="36"/>
      <c r="Y362" s="36">
        <v>0</v>
      </c>
      <c r="Z362" s="36"/>
      <c r="AA362" s="36">
        <v>0</v>
      </c>
      <c r="AB362" s="36"/>
      <c r="AC362" s="36">
        <v>0</v>
      </c>
      <c r="AD362" s="36"/>
      <c r="AE362" s="36">
        <v>1914.96</v>
      </c>
      <c r="AF362" s="36"/>
      <c r="AG362" s="36">
        <v>0</v>
      </c>
      <c r="AH362" s="36"/>
      <c r="AI362" s="36">
        <f t="shared" si="27"/>
        <v>47122.67</v>
      </c>
      <c r="AJ362" s="24"/>
      <c r="AK362" s="15" t="str">
        <f>'Gen Rev'!A362</f>
        <v>Marengo</v>
      </c>
      <c r="AL362" s="15" t="str">
        <f t="shared" si="25"/>
        <v>Marengo</v>
      </c>
      <c r="AM362" s="15" t="b">
        <f t="shared" si="26"/>
        <v>1</v>
      </c>
    </row>
    <row r="363" spans="1:39" s="31" customFormat="1" ht="12.75">
      <c r="A363" s="15" t="s">
        <v>384</v>
      </c>
      <c r="B363" s="15"/>
      <c r="C363" s="15" t="s">
        <v>378</v>
      </c>
      <c r="D363" s="15"/>
      <c r="E363" s="85">
        <v>959093</v>
      </c>
      <c r="F363" s="85"/>
      <c r="G363" s="85">
        <v>1857121</v>
      </c>
      <c r="H363" s="85"/>
      <c r="I363" s="85">
        <v>476889</v>
      </c>
      <c r="J363" s="85"/>
      <c r="K363" s="85">
        <v>0</v>
      </c>
      <c r="L363" s="85"/>
      <c r="M363" s="85">
        <v>362398</v>
      </c>
      <c r="N363" s="85"/>
      <c r="O363" s="85">
        <v>126787</v>
      </c>
      <c r="P363" s="85"/>
      <c r="Q363" s="85">
        <v>3332</v>
      </c>
      <c r="R363" s="85"/>
      <c r="S363" s="85">
        <v>184313</v>
      </c>
      <c r="T363" s="85"/>
      <c r="U363" s="85">
        <v>0</v>
      </c>
      <c r="V363" s="85"/>
      <c r="W363" s="85">
        <v>0</v>
      </c>
      <c r="X363" s="85"/>
      <c r="Y363" s="85">
        <v>0</v>
      </c>
      <c r="Z363" s="85"/>
      <c r="AA363" s="85">
        <v>0</v>
      </c>
      <c r="AB363" s="85"/>
      <c r="AC363" s="85">
        <v>0</v>
      </c>
      <c r="AD363" s="85"/>
      <c r="AE363" s="85">
        <v>0</v>
      </c>
      <c r="AF363" s="85"/>
      <c r="AG363" s="85">
        <v>0</v>
      </c>
      <c r="AH363" s="85"/>
      <c r="AI363" s="85">
        <f t="shared" si="24"/>
        <v>3969933</v>
      </c>
      <c r="AJ363" s="24"/>
      <c r="AK363" s="15" t="str">
        <f>'Gen Rev'!A363</f>
        <v>Mariemont</v>
      </c>
      <c r="AL363" s="15" t="str">
        <f t="shared" si="25"/>
        <v>Mariemont</v>
      </c>
      <c r="AM363" s="15" t="b">
        <f t="shared" si="26"/>
        <v>1</v>
      </c>
    </row>
    <row r="364" spans="1:39" ht="12.75" hidden="1">
      <c r="A364" s="15" t="s">
        <v>588</v>
      </c>
      <c r="C364" s="15" t="s">
        <v>587</v>
      </c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>
        <f t="shared" si="24"/>
        <v>0</v>
      </c>
      <c r="AJ364" s="24"/>
      <c r="AK364" s="15" t="str">
        <f>'Gen Rev'!A364</f>
        <v>Marksburg</v>
      </c>
      <c r="AL364" s="15" t="str">
        <f t="shared" si="25"/>
        <v>Marksburg</v>
      </c>
      <c r="AM364" s="15" t="b">
        <f t="shared" si="26"/>
        <v>1</v>
      </c>
    </row>
    <row r="365" spans="1:39" ht="12.75">
      <c r="A365" s="15" t="s">
        <v>683</v>
      </c>
      <c r="C365" s="15" t="s">
        <v>590</v>
      </c>
      <c r="E365" s="85">
        <v>32411.1</v>
      </c>
      <c r="F365" s="85"/>
      <c r="G365" s="85">
        <v>52838.1</v>
      </c>
      <c r="H365" s="85"/>
      <c r="I365" s="85">
        <v>77143.38</v>
      </c>
      <c r="J365" s="85"/>
      <c r="K365" s="85">
        <v>0</v>
      </c>
      <c r="L365" s="85"/>
      <c r="M365" s="85">
        <v>52142.3</v>
      </c>
      <c r="N365" s="85"/>
      <c r="O365" s="85">
        <v>20413.54</v>
      </c>
      <c r="P365" s="85"/>
      <c r="Q365" s="85">
        <v>1481.31</v>
      </c>
      <c r="R365" s="85"/>
      <c r="S365" s="85">
        <v>4991.03</v>
      </c>
      <c r="T365" s="85"/>
      <c r="U365" s="85">
        <v>0</v>
      </c>
      <c r="V365" s="85"/>
      <c r="W365" s="85">
        <v>0</v>
      </c>
      <c r="X365" s="85"/>
      <c r="Y365" s="85">
        <v>0</v>
      </c>
      <c r="Z365" s="85"/>
      <c r="AA365" s="85">
        <v>54000</v>
      </c>
      <c r="AB365" s="85"/>
      <c r="AC365" s="85">
        <v>0</v>
      </c>
      <c r="AD365" s="85"/>
      <c r="AE365" s="85">
        <v>0</v>
      </c>
      <c r="AF365" s="85"/>
      <c r="AG365" s="85">
        <v>0</v>
      </c>
      <c r="AH365" s="85"/>
      <c r="AI365" s="85">
        <f t="shared" si="24"/>
        <v>295420.76</v>
      </c>
      <c r="AJ365" s="24"/>
      <c r="AK365" s="15" t="str">
        <f>'Gen Rev'!A365</f>
        <v>Marshallville</v>
      </c>
      <c r="AL365" s="15" t="str">
        <f t="shared" si="25"/>
        <v>Marshallville</v>
      </c>
      <c r="AM365" s="15" t="b">
        <f t="shared" si="26"/>
        <v>1</v>
      </c>
    </row>
    <row r="366" spans="1:39" ht="12.75">
      <c r="A366" s="15" t="s">
        <v>123</v>
      </c>
      <c r="C366" s="15" t="s">
        <v>782</v>
      </c>
      <c r="E366" s="36">
        <v>10799.23</v>
      </c>
      <c r="F366" s="36"/>
      <c r="G366" s="36">
        <v>0</v>
      </c>
      <c r="H366" s="36"/>
      <c r="I366" s="36">
        <v>16634.89</v>
      </c>
      <c r="J366" s="36"/>
      <c r="K366" s="36">
        <v>0</v>
      </c>
      <c r="L366" s="36"/>
      <c r="M366" s="36">
        <v>0</v>
      </c>
      <c r="N366" s="36"/>
      <c r="O366" s="36">
        <v>0</v>
      </c>
      <c r="P366" s="36"/>
      <c r="Q366" s="36">
        <v>5.41</v>
      </c>
      <c r="R366" s="36"/>
      <c r="S366" s="36">
        <v>0</v>
      </c>
      <c r="T366" s="36"/>
      <c r="U366" s="36">
        <v>0</v>
      </c>
      <c r="V366" s="36"/>
      <c r="W366" s="36">
        <v>0</v>
      </c>
      <c r="X366" s="36"/>
      <c r="Y366" s="36">
        <v>0</v>
      </c>
      <c r="Z366" s="36"/>
      <c r="AA366" s="36">
        <v>0</v>
      </c>
      <c r="AB366" s="36"/>
      <c r="AC366" s="36">
        <v>0</v>
      </c>
      <c r="AD366" s="36"/>
      <c r="AE366" s="36">
        <v>0</v>
      </c>
      <c r="AF366" s="36"/>
      <c r="AG366" s="36">
        <v>0</v>
      </c>
      <c r="AH366" s="36"/>
      <c r="AI366" s="36">
        <f>SUM(E366:AG366)</f>
        <v>27439.53</v>
      </c>
      <c r="AJ366" s="24"/>
      <c r="AK366" s="15" t="str">
        <f>'Gen Rev'!A366</f>
        <v>Martinsburg</v>
      </c>
      <c r="AL366" s="15" t="str">
        <f t="shared" si="25"/>
        <v>Martinsburg</v>
      </c>
      <c r="AM366" s="15" t="b">
        <f t="shared" si="26"/>
        <v>1</v>
      </c>
    </row>
    <row r="367" spans="1:42" s="31" customFormat="1" ht="12.6" customHeight="1">
      <c r="A367" s="15" t="s">
        <v>301</v>
      </c>
      <c r="B367" s="15"/>
      <c r="C367" s="15" t="s">
        <v>299</v>
      </c>
      <c r="D367" s="15"/>
      <c r="E367" s="36">
        <v>13184.53</v>
      </c>
      <c r="F367" s="36"/>
      <c r="G367" s="36">
        <v>0</v>
      </c>
      <c r="H367" s="36"/>
      <c r="I367" s="36">
        <v>30354.84</v>
      </c>
      <c r="J367" s="36"/>
      <c r="K367" s="36">
        <v>6869.39</v>
      </c>
      <c r="L367" s="36"/>
      <c r="M367" s="36">
        <v>0</v>
      </c>
      <c r="N367" s="36"/>
      <c r="O367" s="36">
        <v>1843.66</v>
      </c>
      <c r="P367" s="36"/>
      <c r="Q367" s="36">
        <v>28.29</v>
      </c>
      <c r="R367" s="36"/>
      <c r="S367" s="36">
        <v>670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v>0</v>
      </c>
      <c r="AF367" s="36"/>
      <c r="AG367" s="36">
        <v>0</v>
      </c>
      <c r="AH367" s="36"/>
      <c r="AI367" s="36">
        <f>SUM(E367:AG367)</f>
        <v>52950.71000000001</v>
      </c>
      <c r="AJ367" s="24"/>
      <c r="AK367" s="15" t="str">
        <f>'Gen Rev'!A367</f>
        <v>Martinsville</v>
      </c>
      <c r="AL367" s="15" t="str">
        <f t="shared" si="25"/>
        <v>Martinsville</v>
      </c>
      <c r="AM367" s="15" t="b">
        <f t="shared" si="26"/>
        <v>1</v>
      </c>
      <c r="AN367" s="32"/>
      <c r="AO367" s="32"/>
      <c r="AP367" s="32"/>
    </row>
    <row r="368" spans="1:39" ht="12.75">
      <c r="A368" s="15" t="s">
        <v>247</v>
      </c>
      <c r="C368" s="15" t="s">
        <v>822</v>
      </c>
      <c r="E368" s="36">
        <v>30969.72</v>
      </c>
      <c r="F368" s="36"/>
      <c r="G368" s="36">
        <v>0</v>
      </c>
      <c r="H368" s="36"/>
      <c r="I368" s="36">
        <v>80283.68</v>
      </c>
      <c r="J368" s="36"/>
      <c r="K368" s="36">
        <v>1142</v>
      </c>
      <c r="L368" s="36"/>
      <c r="M368" s="36">
        <v>0</v>
      </c>
      <c r="N368" s="36"/>
      <c r="O368" s="36">
        <v>10769.91</v>
      </c>
      <c r="P368" s="36"/>
      <c r="Q368" s="36">
        <v>1024.23</v>
      </c>
      <c r="R368" s="36"/>
      <c r="S368" s="36">
        <v>28350.74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v>0</v>
      </c>
      <c r="AF368" s="36"/>
      <c r="AG368" s="36">
        <v>0</v>
      </c>
      <c r="AH368" s="36"/>
      <c r="AI368" s="36">
        <f>SUM(E368:AG368)</f>
        <v>152540.28</v>
      </c>
      <c r="AJ368" s="24"/>
      <c r="AK368" s="15" t="str">
        <f>'Gen Rev'!A368</f>
        <v>Matamoras</v>
      </c>
      <c r="AL368" s="15" t="str">
        <f t="shared" si="25"/>
        <v>Matamoras</v>
      </c>
      <c r="AM368" s="15" t="b">
        <f t="shared" si="26"/>
        <v>1</v>
      </c>
    </row>
    <row r="369" spans="1:42" s="31" customFormat="1" ht="12.6" customHeight="1">
      <c r="A369" s="15" t="s">
        <v>322</v>
      </c>
      <c r="B369" s="15"/>
      <c r="C369" s="15" t="s">
        <v>316</v>
      </c>
      <c r="D369" s="15"/>
      <c r="E369" s="85">
        <f>693984+235559+55561</f>
        <v>985104</v>
      </c>
      <c r="F369" s="85"/>
      <c r="G369" s="85">
        <v>14758495</v>
      </c>
      <c r="H369" s="85"/>
      <c r="I369" s="85">
        <v>1058475</v>
      </c>
      <c r="J369" s="85"/>
      <c r="K369" s="85">
        <v>246167</v>
      </c>
      <c r="L369" s="85"/>
      <c r="M369" s="85">
        <v>840915</v>
      </c>
      <c r="N369" s="85"/>
      <c r="O369" s="85">
        <v>91851</v>
      </c>
      <c r="P369" s="85"/>
      <c r="Q369" s="85">
        <v>2946</v>
      </c>
      <c r="R369" s="85"/>
      <c r="S369" s="85">
        <f>948377+136467+188492+4677+364361</f>
        <v>1642374</v>
      </c>
      <c r="T369" s="85"/>
      <c r="U369" s="85">
        <v>0</v>
      </c>
      <c r="V369" s="85"/>
      <c r="W369" s="85">
        <v>2900000</v>
      </c>
      <c r="X369" s="85"/>
      <c r="Y369" s="85">
        <v>8943</v>
      </c>
      <c r="Z369" s="85"/>
      <c r="AA369" s="85">
        <v>1798270</v>
      </c>
      <c r="AB369" s="85"/>
      <c r="AC369" s="85">
        <v>0</v>
      </c>
      <c r="AD369" s="85"/>
      <c r="AE369" s="85">
        <v>0</v>
      </c>
      <c r="AF369" s="85"/>
      <c r="AG369" s="85">
        <v>0</v>
      </c>
      <c r="AH369" s="85"/>
      <c r="AI369" s="85">
        <f t="shared" si="24"/>
        <v>24333540</v>
      </c>
      <c r="AJ369" s="24"/>
      <c r="AK369" s="15" t="str">
        <f>'Gen Rev'!A369</f>
        <v>Mayfield</v>
      </c>
      <c r="AL369" s="15" t="str">
        <f t="shared" si="25"/>
        <v>Mayfield</v>
      </c>
      <c r="AM369" s="15" t="b">
        <f t="shared" si="26"/>
        <v>1</v>
      </c>
      <c r="AN369" s="32"/>
      <c r="AO369" s="32"/>
      <c r="AP369" s="32"/>
    </row>
    <row r="370" spans="1:39" ht="12.75">
      <c r="A370" s="15" t="s">
        <v>302</v>
      </c>
      <c r="C370" s="15" t="s">
        <v>82</v>
      </c>
      <c r="E370" s="36">
        <v>304155.19</v>
      </c>
      <c r="F370" s="36"/>
      <c r="G370" s="36">
        <v>0</v>
      </c>
      <c r="H370" s="36"/>
      <c r="I370" s="36">
        <v>373933.47</v>
      </c>
      <c r="J370" s="36"/>
      <c r="K370" s="36">
        <v>0</v>
      </c>
      <c r="L370" s="36"/>
      <c r="M370" s="36">
        <v>76819.89</v>
      </c>
      <c r="N370" s="36"/>
      <c r="O370" s="36">
        <v>22327.24</v>
      </c>
      <c r="P370" s="36"/>
      <c r="Q370" s="36">
        <v>937.6</v>
      </c>
      <c r="R370" s="36"/>
      <c r="S370" s="36">
        <v>9048.29</v>
      </c>
      <c r="T370" s="36"/>
      <c r="U370" s="36">
        <v>0</v>
      </c>
      <c r="V370" s="36"/>
      <c r="W370" s="36">
        <v>0</v>
      </c>
      <c r="X370" s="36"/>
      <c r="Y370" s="36">
        <v>17894.8</v>
      </c>
      <c r="Z370" s="36"/>
      <c r="AA370" s="36">
        <v>0</v>
      </c>
      <c r="AB370" s="36"/>
      <c r="AC370" s="36">
        <v>0</v>
      </c>
      <c r="AD370" s="36"/>
      <c r="AE370" s="36">
        <v>28613.6</v>
      </c>
      <c r="AF370" s="36"/>
      <c r="AG370" s="36">
        <v>0</v>
      </c>
      <c r="AH370" s="36"/>
      <c r="AI370" s="36">
        <f>SUM(E370:AG370)</f>
        <v>833730.08</v>
      </c>
      <c r="AJ370" s="24"/>
      <c r="AK370" s="15" t="str">
        <f>'Gen Rev'!A370</f>
        <v>McArthur</v>
      </c>
      <c r="AL370" s="15" t="str">
        <f t="shared" si="25"/>
        <v>McArthur</v>
      </c>
      <c r="AM370" s="15" t="b">
        <f t="shared" si="26"/>
        <v>1</v>
      </c>
    </row>
    <row r="371" spans="1:39" ht="12.75">
      <c r="A371" s="15" t="s">
        <v>108</v>
      </c>
      <c r="C371" s="15" t="s">
        <v>777</v>
      </c>
      <c r="E371" s="36">
        <v>27411.65</v>
      </c>
      <c r="F371" s="36"/>
      <c r="G371" s="36">
        <v>96297.03</v>
      </c>
      <c r="H371" s="36"/>
      <c r="I371" s="36">
        <v>99127.94</v>
      </c>
      <c r="J371" s="36"/>
      <c r="K371" s="36">
        <v>0</v>
      </c>
      <c r="L371" s="36"/>
      <c r="M371" s="36">
        <v>0</v>
      </c>
      <c r="N371" s="36"/>
      <c r="O371" s="36">
        <v>3892.05</v>
      </c>
      <c r="P371" s="36"/>
      <c r="Q371" s="36">
        <v>37.96</v>
      </c>
      <c r="R371" s="36"/>
      <c r="S371" s="36">
        <v>25161.78</v>
      </c>
      <c r="T371" s="36"/>
      <c r="U371" s="36">
        <v>0</v>
      </c>
      <c r="V371" s="36"/>
      <c r="W371" s="36">
        <v>0</v>
      </c>
      <c r="X371" s="36"/>
      <c r="Y371" s="36">
        <v>0</v>
      </c>
      <c r="Z371" s="36"/>
      <c r="AA371" s="36">
        <v>8893.2</v>
      </c>
      <c r="AB371" s="36"/>
      <c r="AC371" s="36">
        <v>0</v>
      </c>
      <c r="AD371" s="36"/>
      <c r="AE371" s="36">
        <v>0</v>
      </c>
      <c r="AF371" s="36"/>
      <c r="AG371" s="36">
        <v>0</v>
      </c>
      <c r="AH371" s="36"/>
      <c r="AI371" s="36">
        <f>SUM(E371:AG371)</f>
        <v>260821.61</v>
      </c>
      <c r="AJ371" s="24"/>
      <c r="AK371" s="15" t="str">
        <f>'Gen Rev'!A371</f>
        <v>Mcclure</v>
      </c>
      <c r="AL371" s="15" t="str">
        <f t="shared" si="25"/>
        <v>Mcclure</v>
      </c>
      <c r="AM371" s="15" t="b">
        <f t="shared" si="26"/>
        <v>1</v>
      </c>
    </row>
    <row r="372" spans="1:39" s="31" customFormat="1" ht="12.75">
      <c r="A372" s="15" t="s">
        <v>389</v>
      </c>
      <c r="B372" s="15"/>
      <c r="C372" s="15" t="s">
        <v>388</v>
      </c>
      <c r="D372" s="15"/>
      <c r="E372" s="85">
        <v>68996</v>
      </c>
      <c r="F372" s="85"/>
      <c r="G372" s="85">
        <v>839777</v>
      </c>
      <c r="H372" s="85"/>
      <c r="I372" s="85">
        <v>157402</v>
      </c>
      <c r="J372" s="85"/>
      <c r="K372" s="85">
        <v>116143</v>
      </c>
      <c r="L372" s="85"/>
      <c r="M372" s="85">
        <v>23271</v>
      </c>
      <c r="N372" s="85"/>
      <c r="O372" s="85">
        <v>8842</v>
      </c>
      <c r="P372" s="85"/>
      <c r="Q372" s="85">
        <v>15225</v>
      </c>
      <c r="R372" s="85"/>
      <c r="S372" s="85">
        <v>29955</v>
      </c>
      <c r="T372" s="85"/>
      <c r="U372" s="85">
        <v>0</v>
      </c>
      <c r="V372" s="85"/>
      <c r="W372" s="85">
        <v>0</v>
      </c>
      <c r="X372" s="85"/>
      <c r="Y372" s="85">
        <v>0</v>
      </c>
      <c r="Z372" s="85"/>
      <c r="AA372" s="85">
        <v>20457</v>
      </c>
      <c r="AB372" s="85"/>
      <c r="AC372" s="85">
        <v>0</v>
      </c>
      <c r="AD372" s="85"/>
      <c r="AE372" s="85">
        <v>0</v>
      </c>
      <c r="AF372" s="85"/>
      <c r="AG372" s="85">
        <v>0</v>
      </c>
      <c r="AH372" s="85"/>
      <c r="AI372" s="85">
        <f t="shared" si="24"/>
        <v>1280068</v>
      </c>
      <c r="AJ372" s="24"/>
      <c r="AK372" s="15" t="str">
        <f>'Gen Rev'!A372</f>
        <v>McComb</v>
      </c>
      <c r="AL372" s="15" t="str">
        <f t="shared" si="25"/>
        <v>McComb</v>
      </c>
      <c r="AM372" s="15" t="b">
        <f t="shared" si="26"/>
        <v>1</v>
      </c>
    </row>
    <row r="373" spans="1:39" ht="12.75">
      <c r="A373" s="15" t="s">
        <v>168</v>
      </c>
      <c r="C373" s="15" t="s">
        <v>798</v>
      </c>
      <c r="E373" s="36">
        <v>74168.12</v>
      </c>
      <c r="F373" s="36"/>
      <c r="G373" s="36">
        <v>377531.97</v>
      </c>
      <c r="H373" s="36"/>
      <c r="I373" s="36">
        <v>185611.96</v>
      </c>
      <c r="J373" s="36"/>
      <c r="K373" s="36">
        <v>0</v>
      </c>
      <c r="L373" s="36"/>
      <c r="M373" s="36">
        <v>50967.71</v>
      </c>
      <c r="N373" s="36"/>
      <c r="O373" s="36">
        <v>34483.5</v>
      </c>
      <c r="P373" s="36"/>
      <c r="Q373" s="36">
        <v>31029.73</v>
      </c>
      <c r="R373" s="36"/>
      <c r="S373" s="36">
        <f>38325.52+330526.9</f>
        <v>368852.42000000004</v>
      </c>
      <c r="T373" s="36"/>
      <c r="U373" s="36">
        <v>0</v>
      </c>
      <c r="V373" s="36"/>
      <c r="W373" s="36">
        <v>20000</v>
      </c>
      <c r="X373" s="36"/>
      <c r="Y373" s="36">
        <v>0</v>
      </c>
      <c r="Z373" s="36"/>
      <c r="AA373" s="36">
        <v>0</v>
      </c>
      <c r="AB373" s="36"/>
      <c r="AC373" s="36">
        <v>0</v>
      </c>
      <c r="AD373" s="36"/>
      <c r="AE373" s="36">
        <v>0</v>
      </c>
      <c r="AF373" s="36"/>
      <c r="AG373" s="36">
        <v>0</v>
      </c>
      <c r="AH373" s="36"/>
      <c r="AI373" s="36">
        <f>SUM(E373:AG373)</f>
        <v>1142645.41</v>
      </c>
      <c r="AJ373" s="24"/>
      <c r="AK373" s="15" t="str">
        <f>'Gen Rev'!A373</f>
        <v>Mcconnelsville</v>
      </c>
      <c r="AL373" s="15" t="str">
        <f t="shared" si="25"/>
        <v>Mcconnelsville</v>
      </c>
      <c r="AM373" s="15" t="b">
        <f t="shared" si="26"/>
        <v>1</v>
      </c>
    </row>
    <row r="374" spans="1:39" ht="12.75">
      <c r="A374" s="15" t="s">
        <v>560</v>
      </c>
      <c r="C374" s="15" t="s">
        <v>559</v>
      </c>
      <c r="E374" s="85">
        <v>159468</v>
      </c>
      <c r="F374" s="85"/>
      <c r="G374" s="85">
        <v>0</v>
      </c>
      <c r="H374" s="85"/>
      <c r="I374" s="85">
        <v>293500</v>
      </c>
      <c r="J374" s="85"/>
      <c r="K374" s="85">
        <v>0</v>
      </c>
      <c r="L374" s="85"/>
      <c r="M374" s="85">
        <v>78942</v>
      </c>
      <c r="N374" s="85"/>
      <c r="O374" s="85">
        <v>33288</v>
      </c>
      <c r="P374" s="85"/>
      <c r="Q374" s="85">
        <v>8702</v>
      </c>
      <c r="R374" s="85"/>
      <c r="S374" s="85">
        <v>113407</v>
      </c>
      <c r="T374" s="85"/>
      <c r="U374" s="85">
        <v>0</v>
      </c>
      <c r="V374" s="85"/>
      <c r="W374" s="85">
        <v>0</v>
      </c>
      <c r="X374" s="85"/>
      <c r="Y374" s="85">
        <v>0</v>
      </c>
      <c r="Z374" s="85"/>
      <c r="AA374" s="85">
        <v>895000</v>
      </c>
      <c r="AB374" s="85"/>
      <c r="AC374" s="85">
        <v>0</v>
      </c>
      <c r="AD374" s="85"/>
      <c r="AE374" s="85">
        <v>0</v>
      </c>
      <c r="AF374" s="85"/>
      <c r="AG374" s="85">
        <v>0</v>
      </c>
      <c r="AH374" s="85"/>
      <c r="AI374" s="85">
        <f t="shared" si="24"/>
        <v>1582307</v>
      </c>
      <c r="AJ374" s="24"/>
      <c r="AK374" s="15" t="str">
        <f>'Gen Rev'!A374</f>
        <v>McDonald</v>
      </c>
      <c r="AL374" s="15" t="str">
        <f t="shared" si="25"/>
        <v>McDonald</v>
      </c>
      <c r="AM374" s="15" t="b">
        <f t="shared" si="26"/>
        <v>1</v>
      </c>
    </row>
    <row r="375" spans="1:39" ht="12.75">
      <c r="A375" s="15" t="s">
        <v>399</v>
      </c>
      <c r="C375" s="15" t="s">
        <v>396</v>
      </c>
      <c r="E375" s="85">
        <v>6747.96</v>
      </c>
      <c r="F375" s="85"/>
      <c r="G375" s="85">
        <v>54500</v>
      </c>
      <c r="H375" s="85"/>
      <c r="I375" s="85">
        <f>14884.81+22024.49</f>
        <v>36909.3</v>
      </c>
      <c r="J375" s="85"/>
      <c r="K375" s="85">
        <f>519.28+8392.84</f>
        <v>8912.12</v>
      </c>
      <c r="L375" s="85"/>
      <c r="M375" s="85">
        <v>15600</v>
      </c>
      <c r="N375" s="85"/>
      <c r="O375" s="85">
        <v>2651.46</v>
      </c>
      <c r="P375" s="85"/>
      <c r="Q375" s="85">
        <f>800.34+295.75</f>
        <v>1096.0900000000001</v>
      </c>
      <c r="R375" s="85"/>
      <c r="S375" s="85">
        <v>2347.27</v>
      </c>
      <c r="T375" s="85"/>
      <c r="U375" s="85">
        <v>0</v>
      </c>
      <c r="V375" s="85"/>
      <c r="W375" s="85">
        <v>0</v>
      </c>
      <c r="X375" s="85"/>
      <c r="Y375" s="85">
        <v>0</v>
      </c>
      <c r="Z375" s="85"/>
      <c r="AA375" s="85">
        <v>0</v>
      </c>
      <c r="AB375" s="85"/>
      <c r="AC375" s="85">
        <v>0</v>
      </c>
      <c r="AD375" s="85"/>
      <c r="AE375" s="85">
        <v>0</v>
      </c>
      <c r="AF375" s="85"/>
      <c r="AG375" s="85">
        <v>0</v>
      </c>
      <c r="AH375" s="85"/>
      <c r="AI375" s="85">
        <f t="shared" si="24"/>
        <v>128764.20000000001</v>
      </c>
      <c r="AJ375" s="24"/>
      <c r="AK375" s="15" t="str">
        <f>'Gen Rev'!A375</f>
        <v>Mcguffey</v>
      </c>
      <c r="AL375" s="15" t="str">
        <f t="shared" si="25"/>
        <v>Mcguffey</v>
      </c>
      <c r="AM375" s="15" t="b">
        <f t="shared" si="26"/>
        <v>1</v>
      </c>
    </row>
    <row r="376" spans="1:39" ht="12" customHeight="1" hidden="1">
      <c r="A376" s="15" t="s">
        <v>286</v>
      </c>
      <c r="C376" s="15" t="s">
        <v>287</v>
      </c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>
        <f t="shared" si="24"/>
        <v>0</v>
      </c>
      <c r="AJ376" s="24"/>
      <c r="AK376" s="15" t="str">
        <f>'Gen Rev'!A376</f>
        <v>Mechanicsburg</v>
      </c>
      <c r="AL376" s="15" t="str">
        <f t="shared" si="25"/>
        <v>Mechanicsburg</v>
      </c>
      <c r="AM376" s="15" t="b">
        <f t="shared" si="26"/>
        <v>1</v>
      </c>
    </row>
    <row r="377" spans="1:39" ht="12.75">
      <c r="A377" s="15" t="s">
        <v>185</v>
      </c>
      <c r="C377" s="15" t="s">
        <v>803</v>
      </c>
      <c r="E377" s="36">
        <v>11953.62</v>
      </c>
      <c r="F377" s="36"/>
      <c r="G377" s="36">
        <v>19637.51</v>
      </c>
      <c r="H377" s="36"/>
      <c r="I377" s="36">
        <v>25566.65</v>
      </c>
      <c r="J377" s="36"/>
      <c r="K377" s="36">
        <v>6398.93</v>
      </c>
      <c r="L377" s="36"/>
      <c r="M377" s="36">
        <v>0</v>
      </c>
      <c r="N377" s="36"/>
      <c r="O377" s="36">
        <v>295</v>
      </c>
      <c r="P377" s="36"/>
      <c r="Q377" s="36">
        <v>0</v>
      </c>
      <c r="R377" s="36"/>
      <c r="S377" s="36">
        <v>746.75</v>
      </c>
      <c r="T377" s="36"/>
      <c r="U377" s="36">
        <v>0</v>
      </c>
      <c r="V377" s="36"/>
      <c r="W377" s="36">
        <v>0</v>
      </c>
      <c r="X377" s="36"/>
      <c r="Y377" s="36">
        <v>0</v>
      </c>
      <c r="Z377" s="36"/>
      <c r="AA377" s="36">
        <v>4826</v>
      </c>
      <c r="AB377" s="36"/>
      <c r="AC377" s="36">
        <v>0</v>
      </c>
      <c r="AD377" s="36"/>
      <c r="AE377" s="36">
        <v>0</v>
      </c>
      <c r="AF377" s="36"/>
      <c r="AG377" s="36">
        <v>0</v>
      </c>
      <c r="AH377" s="36"/>
      <c r="AI377" s="36">
        <f>SUM(E377:AG377)</f>
        <v>69424.45999999999</v>
      </c>
      <c r="AJ377" s="24"/>
      <c r="AK377" s="15" t="str">
        <f>'Gen Rev'!A377</f>
        <v>Melrose</v>
      </c>
      <c r="AL377" s="15" t="str">
        <f t="shared" si="25"/>
        <v>Melrose</v>
      </c>
      <c r="AM377" s="15" t="b">
        <f t="shared" si="26"/>
        <v>1</v>
      </c>
    </row>
    <row r="378" spans="1:39" ht="12.75">
      <c r="A378" s="15" t="s">
        <v>847</v>
      </c>
      <c r="C378" s="15" t="s">
        <v>794</v>
      </c>
      <c r="E378" s="95">
        <v>34317.99</v>
      </c>
      <c r="F378" s="95"/>
      <c r="G378" s="95">
        <v>0</v>
      </c>
      <c r="H378" s="95"/>
      <c r="I378" s="95">
        <v>84151.38</v>
      </c>
      <c r="J378" s="95"/>
      <c r="K378" s="95">
        <v>0</v>
      </c>
      <c r="L378" s="95"/>
      <c r="M378" s="95">
        <v>12508.36</v>
      </c>
      <c r="N378" s="95"/>
      <c r="O378" s="95">
        <v>3948.6</v>
      </c>
      <c r="P378" s="95"/>
      <c r="Q378" s="95">
        <v>226.69</v>
      </c>
      <c r="R378" s="95"/>
      <c r="S378" s="95">
        <v>7429.68</v>
      </c>
      <c r="T378" s="95"/>
      <c r="U378" s="95">
        <v>0</v>
      </c>
      <c r="V378" s="95"/>
      <c r="W378" s="95">
        <v>0</v>
      </c>
      <c r="X378" s="95"/>
      <c r="Y378" s="95">
        <v>0</v>
      </c>
      <c r="Z378" s="95"/>
      <c r="AA378" s="95">
        <v>0</v>
      </c>
      <c r="AB378" s="95"/>
      <c r="AC378" s="95">
        <v>0</v>
      </c>
      <c r="AD378" s="95"/>
      <c r="AE378" s="95">
        <v>0</v>
      </c>
      <c r="AF378" s="95"/>
      <c r="AG378" s="95">
        <v>0</v>
      </c>
      <c r="AH378" s="95"/>
      <c r="AI378" s="95">
        <f>SUM(E378:AG378)</f>
        <v>142582.69999999998</v>
      </c>
      <c r="AJ378" s="24"/>
      <c r="AK378" s="15" t="str">
        <f>'Gen Rev'!A378</f>
        <v>Mendon</v>
      </c>
      <c r="AL378" s="15" t="str">
        <f t="shared" si="25"/>
        <v>Mendon</v>
      </c>
      <c r="AM378" s="15" t="b">
        <f t="shared" si="26"/>
        <v>1</v>
      </c>
    </row>
    <row r="379" spans="1:39" s="31" customFormat="1" ht="12.75">
      <c r="A379" s="15" t="s">
        <v>361</v>
      </c>
      <c r="B379" s="15"/>
      <c r="C379" s="15" t="s">
        <v>358</v>
      </c>
      <c r="D379" s="15"/>
      <c r="E379" s="85">
        <v>33563</v>
      </c>
      <c r="F379" s="85"/>
      <c r="G379" s="85">
        <v>229624</v>
      </c>
      <c r="H379" s="85"/>
      <c r="I379" s="85">
        <v>85414</v>
      </c>
      <c r="J379" s="85"/>
      <c r="K379" s="85">
        <v>0</v>
      </c>
      <c r="L379" s="85"/>
      <c r="M379" s="85">
        <v>1610</v>
      </c>
      <c r="N379" s="85"/>
      <c r="O379" s="85">
        <v>675</v>
      </c>
      <c r="P379" s="85"/>
      <c r="Q379" s="85">
        <v>1015</v>
      </c>
      <c r="R379" s="85"/>
      <c r="S379" s="85">
        <v>16836</v>
      </c>
      <c r="T379" s="85"/>
      <c r="U379" s="85">
        <v>0</v>
      </c>
      <c r="V379" s="85"/>
      <c r="W379" s="85">
        <v>0</v>
      </c>
      <c r="X379" s="85"/>
      <c r="Y379" s="85">
        <v>150</v>
      </c>
      <c r="Z379" s="85"/>
      <c r="AA379" s="85">
        <v>0</v>
      </c>
      <c r="AB379" s="85"/>
      <c r="AC379" s="85">
        <v>0</v>
      </c>
      <c r="AD379" s="85"/>
      <c r="AE379" s="85">
        <v>0</v>
      </c>
      <c r="AF379" s="85"/>
      <c r="AG379" s="85">
        <v>0</v>
      </c>
      <c r="AH379" s="85"/>
      <c r="AI379" s="85">
        <f t="shared" si="24"/>
        <v>368887</v>
      </c>
      <c r="AJ379" s="24"/>
      <c r="AK379" s="15" t="str">
        <f>'Gen Rev'!A379</f>
        <v>Metamora</v>
      </c>
      <c r="AL379" s="15" t="str">
        <f t="shared" si="25"/>
        <v>Metamora</v>
      </c>
      <c r="AM379" s="15" t="b">
        <f t="shared" si="26"/>
        <v>1</v>
      </c>
    </row>
    <row r="380" spans="1:39" ht="12.75">
      <c r="A380" s="15" t="s">
        <v>227</v>
      </c>
      <c r="C380" s="15" t="s">
        <v>815</v>
      </c>
      <c r="E380" s="95">
        <v>70880.49</v>
      </c>
      <c r="F380" s="95"/>
      <c r="G380" s="95">
        <v>0</v>
      </c>
      <c r="H380" s="95"/>
      <c r="I380" s="95">
        <v>33634.41</v>
      </c>
      <c r="J380" s="95"/>
      <c r="K380" s="95">
        <v>0</v>
      </c>
      <c r="L380" s="95"/>
      <c r="M380" s="95">
        <v>19705</v>
      </c>
      <c r="N380" s="95"/>
      <c r="O380" s="95">
        <v>13898.06</v>
      </c>
      <c r="P380" s="95"/>
      <c r="Q380" s="95">
        <v>315.74</v>
      </c>
      <c r="R380" s="95"/>
      <c r="S380" s="95">
        <v>11594.1</v>
      </c>
      <c r="T380" s="95"/>
      <c r="U380" s="95">
        <v>0</v>
      </c>
      <c r="V380" s="95"/>
      <c r="W380" s="95">
        <v>0</v>
      </c>
      <c r="X380" s="95"/>
      <c r="Y380" s="95">
        <v>0</v>
      </c>
      <c r="Z380" s="95"/>
      <c r="AA380" s="95">
        <v>0</v>
      </c>
      <c r="AB380" s="95"/>
      <c r="AC380" s="95">
        <v>0</v>
      </c>
      <c r="AD380" s="95"/>
      <c r="AE380" s="95">
        <v>0</v>
      </c>
      <c r="AF380" s="95"/>
      <c r="AG380" s="95">
        <v>0</v>
      </c>
      <c r="AH380" s="95"/>
      <c r="AI380" s="95">
        <f>SUM(E380:AG380)</f>
        <v>150027.80000000002</v>
      </c>
      <c r="AJ380" s="24"/>
      <c r="AK380" s="15" t="str">
        <f>'Gen Rev'!A380</f>
        <v>Meyers Lake</v>
      </c>
      <c r="AL380" s="15" t="str">
        <f t="shared" si="25"/>
        <v>Meyers Lake</v>
      </c>
      <c r="AM380" s="15" t="b">
        <f t="shared" si="26"/>
        <v>1</v>
      </c>
    </row>
    <row r="381" spans="1:39" ht="12.75">
      <c r="A381" s="15" t="s">
        <v>949</v>
      </c>
      <c r="C381" s="15" t="s">
        <v>574</v>
      </c>
      <c r="E381" s="36">
        <v>22306.92</v>
      </c>
      <c r="F381" s="36"/>
      <c r="G381" s="36">
        <v>58574.29</v>
      </c>
      <c r="H381" s="36"/>
      <c r="I381" s="36">
        <v>71051.03</v>
      </c>
      <c r="J381" s="36"/>
      <c r="K381" s="36">
        <v>0</v>
      </c>
      <c r="L381" s="36"/>
      <c r="M381" s="36">
        <v>107910.65</v>
      </c>
      <c r="N381" s="36"/>
      <c r="O381" s="36">
        <v>4977.99</v>
      </c>
      <c r="P381" s="36"/>
      <c r="Q381" s="36">
        <v>27.77</v>
      </c>
      <c r="R381" s="36"/>
      <c r="S381" s="36">
        <v>9899.58</v>
      </c>
      <c r="T381" s="36"/>
      <c r="U381" s="36">
        <v>0</v>
      </c>
      <c r="V381" s="36"/>
      <c r="W381" s="36">
        <v>0</v>
      </c>
      <c r="X381" s="36"/>
      <c r="Y381" s="36">
        <v>0</v>
      </c>
      <c r="Z381" s="36"/>
      <c r="AA381" s="36">
        <v>0</v>
      </c>
      <c r="AB381" s="36"/>
      <c r="AC381" s="36">
        <v>0</v>
      </c>
      <c r="AD381" s="36"/>
      <c r="AE381" s="36">
        <v>0</v>
      </c>
      <c r="AF381" s="36"/>
      <c r="AG381" s="36">
        <v>0</v>
      </c>
      <c r="AH381" s="36"/>
      <c r="AI381" s="36">
        <f>SUM(E381:AG381)</f>
        <v>274748.23000000004</v>
      </c>
      <c r="AJ381" s="24"/>
      <c r="AK381" s="15" t="str">
        <f>'Gen Rev'!A381</f>
        <v>Middle Point</v>
      </c>
      <c r="AL381" s="15" t="str">
        <f t="shared" si="25"/>
        <v>Middle Point</v>
      </c>
      <c r="AM381" s="15" t="b">
        <f t="shared" si="26"/>
        <v>1</v>
      </c>
    </row>
    <row r="382" spans="1:39" s="31" customFormat="1" ht="12.75">
      <c r="A382" s="15" t="s">
        <v>367</v>
      </c>
      <c r="B382" s="15"/>
      <c r="C382" s="15" t="s">
        <v>368</v>
      </c>
      <c r="D382" s="15"/>
      <c r="E382" s="85">
        <v>464457</v>
      </c>
      <c r="F382" s="85"/>
      <c r="G382" s="85">
        <v>2366581</v>
      </c>
      <c r="H382" s="85"/>
      <c r="I382" s="85">
        <v>245646</v>
      </c>
      <c r="J382" s="85"/>
      <c r="K382" s="85">
        <v>0</v>
      </c>
      <c r="L382" s="85"/>
      <c r="M382" s="85">
        <v>190096</v>
      </c>
      <c r="N382" s="85"/>
      <c r="O382" s="85">
        <v>59469</v>
      </c>
      <c r="P382" s="85"/>
      <c r="Q382" s="85">
        <v>7042</v>
      </c>
      <c r="R382" s="85"/>
      <c r="S382" s="85">
        <f>13049+67585</f>
        <v>80634</v>
      </c>
      <c r="T382" s="85"/>
      <c r="U382" s="85">
        <v>0</v>
      </c>
      <c r="V382" s="85"/>
      <c r="W382" s="85">
        <v>0</v>
      </c>
      <c r="X382" s="85"/>
      <c r="Y382" s="85">
        <v>89888</v>
      </c>
      <c r="Z382" s="85"/>
      <c r="AA382" s="85">
        <v>1205500</v>
      </c>
      <c r="AB382" s="85"/>
      <c r="AC382" s="85">
        <v>0</v>
      </c>
      <c r="AD382" s="85"/>
      <c r="AE382" s="85">
        <v>0</v>
      </c>
      <c r="AF382" s="85"/>
      <c r="AG382" s="85">
        <v>0</v>
      </c>
      <c r="AH382" s="85"/>
      <c r="AI382" s="85">
        <f t="shared" si="24"/>
        <v>4709313</v>
      </c>
      <c r="AJ382" s="24"/>
      <c r="AK382" s="15" t="str">
        <f>'Gen Rev'!A382</f>
        <v>Middlefield</v>
      </c>
      <c r="AL382" s="15" t="str">
        <f t="shared" si="25"/>
        <v>Middlefield</v>
      </c>
      <c r="AM382" s="15" t="b">
        <f t="shared" si="26"/>
        <v>1</v>
      </c>
    </row>
    <row r="383" spans="1:39" ht="12.75">
      <c r="A383" s="15" t="s">
        <v>156</v>
      </c>
      <c r="C383" s="15" t="s">
        <v>464</v>
      </c>
      <c r="E383" s="36">
        <v>149986.78</v>
      </c>
      <c r="F383" s="36"/>
      <c r="G383" s="36">
        <v>240097.78</v>
      </c>
      <c r="H383" s="36"/>
      <c r="I383" s="36">
        <v>278976.05</v>
      </c>
      <c r="J383" s="36"/>
      <c r="K383" s="36">
        <v>152508.58</v>
      </c>
      <c r="L383" s="36"/>
      <c r="M383" s="36">
        <v>248125.46</v>
      </c>
      <c r="N383" s="36"/>
      <c r="O383" s="36">
        <v>93445.96</v>
      </c>
      <c r="P383" s="36"/>
      <c r="Q383" s="36">
        <v>2739.75</v>
      </c>
      <c r="R383" s="36"/>
      <c r="S383" s="36">
        <v>14407.45</v>
      </c>
      <c r="T383" s="36"/>
      <c r="U383" s="36">
        <v>530000</v>
      </c>
      <c r="V383" s="36"/>
      <c r="W383" s="36">
        <v>0</v>
      </c>
      <c r="X383" s="36"/>
      <c r="Y383" s="36">
        <v>0</v>
      </c>
      <c r="Z383" s="36"/>
      <c r="AA383" s="36">
        <v>500</v>
      </c>
      <c r="AB383" s="36"/>
      <c r="AC383" s="36">
        <v>0</v>
      </c>
      <c r="AD383" s="36"/>
      <c r="AE383" s="36">
        <v>0</v>
      </c>
      <c r="AF383" s="36"/>
      <c r="AG383" s="36">
        <v>0</v>
      </c>
      <c r="AH383" s="36"/>
      <c r="AI383" s="36">
        <f>SUM(E383:AG383)</f>
        <v>1710787.8099999998</v>
      </c>
      <c r="AJ383" s="24"/>
      <c r="AK383" s="15" t="str">
        <f>'Gen Rev'!A383</f>
        <v>Middleport</v>
      </c>
      <c r="AL383" s="15" t="str">
        <f t="shared" si="25"/>
        <v>Middleport</v>
      </c>
      <c r="AM383" s="15" t="b">
        <f t="shared" si="26"/>
        <v>1</v>
      </c>
    </row>
    <row r="384" spans="1:39" ht="12.75">
      <c r="A384" s="15" t="s">
        <v>906</v>
      </c>
      <c r="C384" s="15" t="s">
        <v>299</v>
      </c>
      <c r="E384" s="36">
        <v>17297.97</v>
      </c>
      <c r="F384" s="36"/>
      <c r="G384" s="36">
        <v>0</v>
      </c>
      <c r="H384" s="36"/>
      <c r="I384" s="36">
        <v>39626.54</v>
      </c>
      <c r="J384" s="36"/>
      <c r="K384" s="36">
        <v>0</v>
      </c>
      <c r="L384" s="36"/>
      <c r="M384" s="36">
        <v>0</v>
      </c>
      <c r="N384" s="36"/>
      <c r="O384" s="36">
        <v>2988.29</v>
      </c>
      <c r="P384" s="36"/>
      <c r="Q384" s="36">
        <v>0</v>
      </c>
      <c r="R384" s="36"/>
      <c r="S384" s="36">
        <v>0</v>
      </c>
      <c r="T384" s="36"/>
      <c r="U384" s="36">
        <v>0</v>
      </c>
      <c r="V384" s="36"/>
      <c r="W384" s="36">
        <v>0</v>
      </c>
      <c r="X384" s="36"/>
      <c r="Y384" s="36">
        <v>0</v>
      </c>
      <c r="Z384" s="36"/>
      <c r="AA384" s="36">
        <v>0</v>
      </c>
      <c r="AB384" s="36"/>
      <c r="AC384" s="36">
        <v>8300</v>
      </c>
      <c r="AD384" s="36"/>
      <c r="AE384" s="36">
        <v>0</v>
      </c>
      <c r="AF384" s="36"/>
      <c r="AG384" s="36">
        <v>0</v>
      </c>
      <c r="AH384" s="36"/>
      <c r="AI384" s="36">
        <f>SUM(E384:AG384)</f>
        <v>68212.8</v>
      </c>
      <c r="AJ384" s="24"/>
      <c r="AK384" s="15" t="str">
        <f>'Gen Rev'!A384</f>
        <v>Midland</v>
      </c>
      <c r="AL384" s="15" t="str">
        <f t="shared" si="25"/>
        <v>Midland</v>
      </c>
      <c r="AM384" s="15" t="b">
        <f t="shared" si="26"/>
        <v>1</v>
      </c>
    </row>
    <row r="385" spans="1:39" ht="12.75">
      <c r="A385" s="15" t="s">
        <v>233</v>
      </c>
      <c r="C385" s="15" t="s">
        <v>818</v>
      </c>
      <c r="E385" s="36">
        <v>48282.24</v>
      </c>
      <c r="F385" s="36"/>
      <c r="G385" s="36">
        <v>160903.47</v>
      </c>
      <c r="H385" s="36"/>
      <c r="I385" s="36">
        <v>89027.31</v>
      </c>
      <c r="J385" s="36"/>
      <c r="K385" s="36">
        <v>0</v>
      </c>
      <c r="L385" s="36"/>
      <c r="M385" s="36">
        <v>7609.67</v>
      </c>
      <c r="N385" s="36"/>
      <c r="O385" s="36">
        <v>3368</v>
      </c>
      <c r="P385" s="36"/>
      <c r="Q385" s="36">
        <v>30.04</v>
      </c>
      <c r="R385" s="36"/>
      <c r="S385" s="36">
        <v>11658.31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12052.44</v>
      </c>
      <c r="AB385" s="36"/>
      <c r="AC385" s="36">
        <v>2000</v>
      </c>
      <c r="AD385" s="36"/>
      <c r="AE385" s="36">
        <v>0</v>
      </c>
      <c r="AF385" s="36"/>
      <c r="AG385" s="36">
        <v>4435.27</v>
      </c>
      <c r="AH385" s="36"/>
      <c r="AI385" s="36">
        <f>SUM(E385:AG385)</f>
        <v>339366.75</v>
      </c>
      <c r="AJ385" s="24"/>
      <c r="AK385" s="15" t="str">
        <f>'Gen Rev'!A385</f>
        <v>Midvale</v>
      </c>
      <c r="AL385" s="15" t="str">
        <f t="shared" si="25"/>
        <v>Midvale</v>
      </c>
      <c r="AM385" s="15" t="b">
        <f t="shared" si="26"/>
        <v>1</v>
      </c>
    </row>
    <row r="386" spans="1:39" ht="12.75">
      <c r="A386" s="15" t="s">
        <v>459</v>
      </c>
      <c r="C386" s="15" t="s">
        <v>432</v>
      </c>
      <c r="E386" s="85">
        <f>1784.31+10111.05</f>
        <v>11895.359999999999</v>
      </c>
      <c r="F386" s="85"/>
      <c r="G386" s="85">
        <v>0</v>
      </c>
      <c r="H386" s="85"/>
      <c r="I386" s="85">
        <f>41265.52+6865.5</f>
        <v>48131.02</v>
      </c>
      <c r="J386" s="85"/>
      <c r="K386" s="85">
        <v>47.4</v>
      </c>
      <c r="L386" s="85"/>
      <c r="M386" s="85">
        <v>0</v>
      </c>
      <c r="N386" s="85"/>
      <c r="O386" s="85">
        <v>0</v>
      </c>
      <c r="P386" s="85"/>
      <c r="Q386" s="85">
        <v>0</v>
      </c>
      <c r="R386" s="85"/>
      <c r="S386" s="85">
        <v>0</v>
      </c>
      <c r="T386" s="85"/>
      <c r="U386" s="85">
        <v>0</v>
      </c>
      <c r="V386" s="85"/>
      <c r="W386" s="85">
        <v>0</v>
      </c>
      <c r="X386" s="85"/>
      <c r="Y386" s="85">
        <v>0</v>
      </c>
      <c r="Z386" s="85"/>
      <c r="AA386" s="85">
        <v>0</v>
      </c>
      <c r="AB386" s="85"/>
      <c r="AC386" s="85">
        <v>0</v>
      </c>
      <c r="AD386" s="85"/>
      <c r="AE386" s="85">
        <v>0</v>
      </c>
      <c r="AF386" s="85"/>
      <c r="AG386" s="85">
        <v>0</v>
      </c>
      <c r="AH386" s="85"/>
      <c r="AI386" s="85">
        <f t="shared" si="24"/>
        <v>60073.78</v>
      </c>
      <c r="AJ386" s="24"/>
      <c r="AK386" s="15" t="str">
        <f>'Gen Rev'!A386</f>
        <v>Midway</v>
      </c>
      <c r="AL386" s="15" t="str">
        <f t="shared" si="25"/>
        <v>Midway</v>
      </c>
      <c r="AM386" s="15" t="b">
        <f t="shared" si="26"/>
        <v>1</v>
      </c>
    </row>
    <row r="387" spans="1:39" ht="12.75">
      <c r="A387" s="15" t="s">
        <v>8</v>
      </c>
      <c r="C387" s="15" t="s">
        <v>669</v>
      </c>
      <c r="E387" s="36">
        <v>7388.06</v>
      </c>
      <c r="F387" s="36"/>
      <c r="G387" s="36">
        <v>0</v>
      </c>
      <c r="H387" s="36"/>
      <c r="I387" s="36">
        <v>42671.11</v>
      </c>
      <c r="J387" s="36"/>
      <c r="K387" s="36">
        <v>0</v>
      </c>
      <c r="L387" s="36"/>
      <c r="M387" s="36">
        <v>0</v>
      </c>
      <c r="N387" s="36"/>
      <c r="O387" s="36">
        <v>15036.6</v>
      </c>
      <c r="P387" s="36"/>
      <c r="Q387" s="36">
        <v>33.87</v>
      </c>
      <c r="R387" s="36"/>
      <c r="S387" s="36">
        <v>20074.61</v>
      </c>
      <c r="T387" s="36"/>
      <c r="U387" s="36">
        <v>0</v>
      </c>
      <c r="V387" s="36"/>
      <c r="W387" s="36">
        <v>0</v>
      </c>
      <c r="X387" s="36"/>
      <c r="Y387" s="36">
        <v>0</v>
      </c>
      <c r="Z387" s="36"/>
      <c r="AA387" s="36">
        <v>0</v>
      </c>
      <c r="AB387" s="36"/>
      <c r="AC387" s="36">
        <v>0</v>
      </c>
      <c r="AD387" s="36"/>
      <c r="AE387" s="36">
        <v>0</v>
      </c>
      <c r="AF387" s="36"/>
      <c r="AG387" s="36">
        <v>0</v>
      </c>
      <c r="AH387" s="36"/>
      <c r="AI387" s="36">
        <f>SUM(E387:AG387)</f>
        <v>85204.25</v>
      </c>
      <c r="AJ387" s="24"/>
      <c r="AK387" s="15" t="str">
        <f>'Gen Rev'!A387</f>
        <v>Mifflin</v>
      </c>
      <c r="AL387" s="15" t="str">
        <f t="shared" si="25"/>
        <v>Mifflin</v>
      </c>
      <c r="AM387" s="15" t="b">
        <f t="shared" si="26"/>
        <v>1</v>
      </c>
    </row>
    <row r="388" spans="1:42" s="31" customFormat="1" ht="12.6" customHeight="1">
      <c r="A388" s="15" t="s">
        <v>347</v>
      </c>
      <c r="B388" s="15"/>
      <c r="C388" s="15" t="s">
        <v>348</v>
      </c>
      <c r="D388" s="15"/>
      <c r="E388" s="85">
        <v>233657</v>
      </c>
      <c r="F388" s="85"/>
      <c r="G388" s="85">
        <v>395823</v>
      </c>
      <c r="H388" s="85"/>
      <c r="I388" s="85">
        <v>240755</v>
      </c>
      <c r="J388" s="85"/>
      <c r="K388" s="85">
        <v>6982</v>
      </c>
      <c r="L388" s="85"/>
      <c r="M388" s="85">
        <v>0</v>
      </c>
      <c r="N388" s="85"/>
      <c r="O388" s="85">
        <v>60070</v>
      </c>
      <c r="P388" s="85"/>
      <c r="Q388" s="85">
        <v>3022</v>
      </c>
      <c r="R388" s="85"/>
      <c r="S388" s="85">
        <v>0</v>
      </c>
      <c r="T388" s="85"/>
      <c r="U388" s="85">
        <v>0</v>
      </c>
      <c r="V388" s="85"/>
      <c r="W388" s="85">
        <v>0</v>
      </c>
      <c r="X388" s="85"/>
      <c r="Y388" s="85">
        <v>0</v>
      </c>
      <c r="Z388" s="85"/>
      <c r="AA388" s="85">
        <v>22405</v>
      </c>
      <c r="AB388" s="85"/>
      <c r="AC388" s="85">
        <v>0</v>
      </c>
      <c r="AD388" s="85"/>
      <c r="AE388" s="85">
        <v>0</v>
      </c>
      <c r="AF388" s="85"/>
      <c r="AG388" s="85">
        <v>0</v>
      </c>
      <c r="AH388" s="85"/>
      <c r="AI388" s="85">
        <f t="shared" si="24"/>
        <v>962714</v>
      </c>
      <c r="AJ388" s="24"/>
      <c r="AK388" s="15" t="str">
        <f>'Gen Rev'!A388</f>
        <v>Milan</v>
      </c>
      <c r="AL388" s="15" t="str">
        <f t="shared" si="25"/>
        <v>Milan</v>
      </c>
      <c r="AM388" s="15" t="b">
        <f t="shared" si="26"/>
        <v>1</v>
      </c>
      <c r="AN388" s="32"/>
      <c r="AO388" s="32"/>
      <c r="AP388" s="32"/>
    </row>
    <row r="389" spans="1:39" ht="12.75">
      <c r="A389" s="15" t="s">
        <v>237</v>
      </c>
      <c r="C389" s="15" t="s">
        <v>819</v>
      </c>
      <c r="E389" s="36">
        <v>23895.57</v>
      </c>
      <c r="F389" s="36"/>
      <c r="G389" s="36">
        <v>78666.91</v>
      </c>
      <c r="H389" s="36"/>
      <c r="I389" s="36">
        <v>32096.45</v>
      </c>
      <c r="J389" s="36"/>
      <c r="K389" s="36">
        <v>517844.67</v>
      </c>
      <c r="L389" s="36"/>
      <c r="M389" s="36">
        <v>839</v>
      </c>
      <c r="N389" s="36"/>
      <c r="O389" s="36">
        <v>3608</v>
      </c>
      <c r="P389" s="36"/>
      <c r="Q389" s="36">
        <v>370.5</v>
      </c>
      <c r="R389" s="36"/>
      <c r="S389" s="36">
        <v>1516.71</v>
      </c>
      <c r="T389" s="36"/>
      <c r="U389" s="36">
        <v>0</v>
      </c>
      <c r="V389" s="36"/>
      <c r="W389" s="36">
        <v>0</v>
      </c>
      <c r="X389" s="36"/>
      <c r="Y389" s="36">
        <v>0</v>
      </c>
      <c r="Z389" s="36"/>
      <c r="AA389" s="36">
        <v>250</v>
      </c>
      <c r="AB389" s="36"/>
      <c r="AC389" s="36">
        <v>0</v>
      </c>
      <c r="AD389" s="36"/>
      <c r="AE389" s="36">
        <v>0</v>
      </c>
      <c r="AF389" s="36"/>
      <c r="AG389" s="36">
        <v>0</v>
      </c>
      <c r="AH389" s="36"/>
      <c r="AI389" s="36">
        <f aca="true" t="shared" si="28" ref="AI389:AI394">SUM(E389:AG389)</f>
        <v>659087.8099999999</v>
      </c>
      <c r="AJ389" s="24"/>
      <c r="AK389" s="15" t="str">
        <f>'Gen Rev'!A389</f>
        <v>Milford Center</v>
      </c>
      <c r="AL389" s="15" t="str">
        <f t="shared" si="25"/>
        <v>Milford Center</v>
      </c>
      <c r="AM389" s="15" t="b">
        <f t="shared" si="26"/>
        <v>1</v>
      </c>
    </row>
    <row r="390" spans="1:39" ht="12.75">
      <c r="A390" s="15" t="s">
        <v>258</v>
      </c>
      <c r="C390" s="15" t="s">
        <v>825</v>
      </c>
      <c r="E390" s="36">
        <v>23423.29</v>
      </c>
      <c r="F390" s="36"/>
      <c r="G390" s="36">
        <v>204261.79</v>
      </c>
      <c r="H390" s="36"/>
      <c r="I390" s="36">
        <v>97440.37</v>
      </c>
      <c r="J390" s="36"/>
      <c r="K390" s="36">
        <v>28014.69</v>
      </c>
      <c r="L390" s="36"/>
      <c r="M390" s="36">
        <v>3447.5</v>
      </c>
      <c r="N390" s="36"/>
      <c r="O390" s="36">
        <v>10312.61</v>
      </c>
      <c r="P390" s="36"/>
      <c r="Q390" s="36">
        <v>2432.81</v>
      </c>
      <c r="R390" s="36"/>
      <c r="S390" s="36">
        <v>12150.25</v>
      </c>
      <c r="T390" s="36"/>
      <c r="U390" s="36">
        <v>0</v>
      </c>
      <c r="V390" s="36"/>
      <c r="W390" s="36">
        <v>0</v>
      </c>
      <c r="X390" s="36"/>
      <c r="Y390" s="36">
        <v>0</v>
      </c>
      <c r="Z390" s="36"/>
      <c r="AA390" s="36">
        <v>205938.62</v>
      </c>
      <c r="AB390" s="36"/>
      <c r="AC390" s="36">
        <v>0</v>
      </c>
      <c r="AD390" s="36"/>
      <c r="AE390" s="36">
        <v>0</v>
      </c>
      <c r="AF390" s="36"/>
      <c r="AG390" s="36">
        <v>0</v>
      </c>
      <c r="AH390" s="36"/>
      <c r="AI390" s="36">
        <f t="shared" si="28"/>
        <v>587421.9299999999</v>
      </c>
      <c r="AJ390" s="24"/>
      <c r="AK390" s="15" t="str">
        <f>'Gen Rev'!A390</f>
        <v>Millbury</v>
      </c>
      <c r="AL390" s="15" t="str">
        <f t="shared" si="25"/>
        <v>Millbury</v>
      </c>
      <c r="AM390" s="15" t="b">
        <f t="shared" si="26"/>
        <v>1</v>
      </c>
    </row>
    <row r="391" spans="1:42" ht="12.75">
      <c r="A391" s="15" t="s">
        <v>70</v>
      </c>
      <c r="C391" s="15" t="s">
        <v>767</v>
      </c>
      <c r="E391" s="95">
        <v>6639.63</v>
      </c>
      <c r="F391" s="95"/>
      <c r="G391" s="95">
        <v>0</v>
      </c>
      <c r="H391" s="95"/>
      <c r="I391" s="95">
        <v>13954.41</v>
      </c>
      <c r="J391" s="95"/>
      <c r="K391" s="95">
        <v>0</v>
      </c>
      <c r="L391" s="95"/>
      <c r="M391" s="95">
        <v>0</v>
      </c>
      <c r="N391" s="95"/>
      <c r="O391" s="95">
        <v>335</v>
      </c>
      <c r="P391" s="95"/>
      <c r="Q391" s="95">
        <v>0</v>
      </c>
      <c r="R391" s="95"/>
      <c r="S391" s="95">
        <v>42.22</v>
      </c>
      <c r="T391" s="95"/>
      <c r="U391" s="95">
        <v>0</v>
      </c>
      <c r="V391" s="95"/>
      <c r="W391" s="95">
        <v>0</v>
      </c>
      <c r="X391" s="95"/>
      <c r="Y391" s="95">
        <v>0</v>
      </c>
      <c r="Z391" s="95"/>
      <c r="AA391" s="95">
        <v>0</v>
      </c>
      <c r="AB391" s="95"/>
      <c r="AC391" s="95">
        <v>0</v>
      </c>
      <c r="AD391" s="95"/>
      <c r="AE391" s="95">
        <v>750</v>
      </c>
      <c r="AF391" s="95"/>
      <c r="AG391" s="95">
        <v>0</v>
      </c>
      <c r="AH391" s="95"/>
      <c r="AI391" s="95">
        <f t="shared" si="28"/>
        <v>21721.260000000002</v>
      </c>
      <c r="AJ391" s="24"/>
      <c r="AK391" s="15" t="str">
        <f>'Gen Rev'!A391</f>
        <v>Milledgeville</v>
      </c>
      <c r="AL391" s="15" t="str">
        <f t="shared" si="25"/>
        <v>Milledgeville</v>
      </c>
      <c r="AM391" s="15" t="b">
        <f t="shared" si="26"/>
        <v>1</v>
      </c>
      <c r="AN391" s="30"/>
      <c r="AO391" s="30"/>
      <c r="AP391" s="30"/>
    </row>
    <row r="392" spans="1:39" ht="12.75">
      <c r="A392" s="15" t="s">
        <v>206</v>
      </c>
      <c r="C392" s="15" t="s">
        <v>808</v>
      </c>
      <c r="E392" s="36">
        <v>7641.2</v>
      </c>
      <c r="F392" s="36"/>
      <c r="G392" s="36">
        <v>31719.99</v>
      </c>
      <c r="H392" s="36"/>
      <c r="I392" s="36">
        <v>62916.11</v>
      </c>
      <c r="J392" s="36"/>
      <c r="K392" s="36">
        <v>0</v>
      </c>
      <c r="L392" s="36"/>
      <c r="M392" s="36">
        <v>315.1</v>
      </c>
      <c r="N392" s="36"/>
      <c r="O392" s="36">
        <v>742.31</v>
      </c>
      <c r="P392" s="36"/>
      <c r="Q392" s="36">
        <v>555.82</v>
      </c>
      <c r="R392" s="36"/>
      <c r="S392" s="36">
        <v>344</v>
      </c>
      <c r="T392" s="36"/>
      <c r="U392" s="36">
        <v>0</v>
      </c>
      <c r="V392" s="36"/>
      <c r="W392" s="36">
        <v>0</v>
      </c>
      <c r="X392" s="36"/>
      <c r="Y392" s="36">
        <v>0</v>
      </c>
      <c r="Z392" s="36"/>
      <c r="AA392" s="36">
        <v>0</v>
      </c>
      <c r="AB392" s="36"/>
      <c r="AC392" s="36">
        <v>0</v>
      </c>
      <c r="AD392" s="36"/>
      <c r="AE392" s="36">
        <v>0</v>
      </c>
      <c r="AF392" s="36"/>
      <c r="AG392" s="36">
        <v>0</v>
      </c>
      <c r="AH392" s="36"/>
      <c r="AI392" s="36">
        <f t="shared" si="28"/>
        <v>104234.53000000001</v>
      </c>
      <c r="AJ392" s="24"/>
      <c r="AK392" s="15" t="str">
        <f>'Gen Rev'!A392</f>
        <v>Miller City</v>
      </c>
      <c r="AL392" s="15" t="str">
        <f t="shared" si="25"/>
        <v>Miller City</v>
      </c>
      <c r="AM392" s="15" t="b">
        <f t="shared" si="26"/>
        <v>1</v>
      </c>
    </row>
    <row r="393" spans="1:39" s="31" customFormat="1" ht="12.75">
      <c r="A393" s="15" t="s">
        <v>414</v>
      </c>
      <c r="B393" s="15"/>
      <c r="C393" s="15" t="s">
        <v>412</v>
      </c>
      <c r="D393" s="15"/>
      <c r="E393" s="36">
        <v>249893.79</v>
      </c>
      <c r="F393" s="36"/>
      <c r="G393" s="36">
        <v>1043648.58</v>
      </c>
      <c r="H393" s="36"/>
      <c r="I393" s="36">
        <v>280014.13</v>
      </c>
      <c r="J393" s="36"/>
      <c r="K393" s="36">
        <v>0</v>
      </c>
      <c r="L393" s="36"/>
      <c r="M393" s="36">
        <v>10521</v>
      </c>
      <c r="N393" s="36"/>
      <c r="O393" s="36">
        <v>62620.39</v>
      </c>
      <c r="P393" s="36"/>
      <c r="Q393" s="36">
        <v>8308.39</v>
      </c>
      <c r="R393" s="36"/>
      <c r="S393" s="36">
        <v>17563.62</v>
      </c>
      <c r="T393" s="36"/>
      <c r="U393" s="36">
        <v>0</v>
      </c>
      <c r="V393" s="36"/>
      <c r="W393" s="36">
        <v>0</v>
      </c>
      <c r="X393" s="36"/>
      <c r="Y393" s="36">
        <v>0</v>
      </c>
      <c r="Z393" s="36"/>
      <c r="AA393" s="36">
        <v>220000</v>
      </c>
      <c r="AB393" s="36"/>
      <c r="AC393" s="36">
        <v>0</v>
      </c>
      <c r="AD393" s="36"/>
      <c r="AE393" s="36">
        <v>0</v>
      </c>
      <c r="AF393" s="36"/>
      <c r="AG393" s="36">
        <v>0</v>
      </c>
      <c r="AH393" s="36"/>
      <c r="AI393" s="36">
        <f t="shared" si="28"/>
        <v>1892569.9</v>
      </c>
      <c r="AJ393" s="39"/>
      <c r="AK393" s="15" t="str">
        <f>'Gen Rev'!A393</f>
        <v>Millersburg</v>
      </c>
      <c r="AL393" s="15" t="str">
        <f t="shared" si="25"/>
        <v>Millersburg</v>
      </c>
      <c r="AM393" s="15" t="b">
        <f t="shared" si="26"/>
        <v>1</v>
      </c>
    </row>
    <row r="394" spans="1:42" ht="12.75">
      <c r="A394" s="15" t="s">
        <v>63</v>
      </c>
      <c r="C394" s="15" t="s">
        <v>766</v>
      </c>
      <c r="E394" s="36">
        <v>217853.87</v>
      </c>
      <c r="F394" s="36"/>
      <c r="G394" s="36">
        <v>0</v>
      </c>
      <c r="H394" s="36"/>
      <c r="I394" s="36">
        <v>157837.62</v>
      </c>
      <c r="J394" s="36"/>
      <c r="K394" s="36">
        <v>0</v>
      </c>
      <c r="L394" s="36"/>
      <c r="M394" s="36">
        <v>662064.55</v>
      </c>
      <c r="N394" s="36"/>
      <c r="O394" s="36">
        <v>38352.99</v>
      </c>
      <c r="P394" s="36"/>
      <c r="Q394" s="36">
        <v>1754.9</v>
      </c>
      <c r="R394" s="36"/>
      <c r="S394" s="36">
        <v>28115.69</v>
      </c>
      <c r="T394" s="36"/>
      <c r="U394" s="36">
        <v>0</v>
      </c>
      <c r="V394" s="36"/>
      <c r="W394" s="36">
        <v>328020</v>
      </c>
      <c r="X394" s="36"/>
      <c r="Y394" s="36">
        <v>0</v>
      </c>
      <c r="Z394" s="36"/>
      <c r="AA394" s="36">
        <v>22213.73</v>
      </c>
      <c r="AB394" s="36"/>
      <c r="AC394" s="36">
        <v>0</v>
      </c>
      <c r="AD394" s="36"/>
      <c r="AE394" s="36">
        <v>272.84</v>
      </c>
      <c r="AF394" s="36"/>
      <c r="AG394" s="36">
        <v>0</v>
      </c>
      <c r="AH394" s="36"/>
      <c r="AI394" s="36">
        <f t="shared" si="28"/>
        <v>1456486.19</v>
      </c>
      <c r="AJ394" s="24"/>
      <c r="AK394" s="15" t="str">
        <f>'Gen Rev'!A394</f>
        <v>Millersport</v>
      </c>
      <c r="AL394" s="15" t="str">
        <f t="shared" si="25"/>
        <v>Millersport</v>
      </c>
      <c r="AM394" s="15" t="b">
        <f t="shared" si="26"/>
        <v>1</v>
      </c>
      <c r="AN394" s="30"/>
      <c r="AO394" s="30"/>
      <c r="AP394" s="30"/>
    </row>
    <row r="395" spans="5:42" ht="12.75"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83" t="s">
        <v>864</v>
      </c>
      <c r="AJ395" s="24"/>
      <c r="AN395" s="30"/>
      <c r="AO395" s="30"/>
      <c r="AP395" s="30"/>
    </row>
    <row r="396" spans="1:39" ht="12.75" hidden="1">
      <c r="A396" s="15" t="s">
        <v>26</v>
      </c>
      <c r="C396" s="15" t="s">
        <v>752</v>
      </c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>
        <f aca="true" t="shared" si="29" ref="AI396">SUM(E396:AG396)</f>
        <v>0</v>
      </c>
      <c r="AJ396" s="24"/>
      <c r="AK396" s="15" t="str">
        <f>'Gen Rev'!A393</f>
        <v>Millersburg</v>
      </c>
      <c r="AL396" s="15" t="str">
        <f aca="true" t="shared" si="30" ref="AL396">A396</f>
        <v>Millville</v>
      </c>
      <c r="AM396" s="15" t="b">
        <f aca="true" t="shared" si="31" ref="AM396">AK396=AL396</f>
        <v>0</v>
      </c>
    </row>
    <row r="397" spans="1:39" s="31" customFormat="1" ht="12.75" hidden="1">
      <c r="A397" s="15" t="s">
        <v>684</v>
      </c>
      <c r="B397" s="15"/>
      <c r="C397" s="15" t="s">
        <v>603</v>
      </c>
      <c r="D397" s="1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>
        <f t="shared" si="24"/>
        <v>0</v>
      </c>
      <c r="AJ397" s="24"/>
      <c r="AK397" s="15" t="str">
        <f>'Gen Rev'!A396</f>
        <v>Milton Center</v>
      </c>
      <c r="AL397" s="15" t="str">
        <f t="shared" si="25"/>
        <v>Milton Center</v>
      </c>
      <c r="AM397" s="15" t="b">
        <f t="shared" si="26"/>
        <v>1</v>
      </c>
    </row>
    <row r="398" spans="1:39" ht="12.75">
      <c r="A398" s="15" t="s">
        <v>476</v>
      </c>
      <c r="C398" s="15" t="s">
        <v>474</v>
      </c>
      <c r="E398" s="102">
        <v>374</v>
      </c>
      <c r="F398" s="102"/>
      <c r="G398" s="102">
        <v>0</v>
      </c>
      <c r="H398" s="102"/>
      <c r="I398" s="102">
        <v>4596</v>
      </c>
      <c r="J398" s="102"/>
      <c r="K398" s="102">
        <v>0</v>
      </c>
      <c r="L398" s="102"/>
      <c r="M398" s="102">
        <v>0</v>
      </c>
      <c r="N398" s="102"/>
      <c r="O398" s="102">
        <v>0</v>
      </c>
      <c r="P398" s="102"/>
      <c r="Q398" s="102">
        <v>22</v>
      </c>
      <c r="R398" s="102"/>
      <c r="S398" s="102">
        <v>2</v>
      </c>
      <c r="T398" s="102"/>
      <c r="U398" s="102">
        <v>0</v>
      </c>
      <c r="V398" s="102"/>
      <c r="W398" s="102">
        <v>0</v>
      </c>
      <c r="X398" s="102"/>
      <c r="Y398" s="102">
        <v>0</v>
      </c>
      <c r="Z398" s="102"/>
      <c r="AA398" s="102">
        <v>0</v>
      </c>
      <c r="AB398" s="102"/>
      <c r="AC398" s="102">
        <v>0</v>
      </c>
      <c r="AD398" s="102"/>
      <c r="AE398" s="102">
        <v>0</v>
      </c>
      <c r="AF398" s="102"/>
      <c r="AG398" s="102">
        <v>0</v>
      </c>
      <c r="AH398" s="102"/>
      <c r="AI398" s="102">
        <f t="shared" si="24"/>
        <v>4994</v>
      </c>
      <c r="AJ398" s="24"/>
      <c r="AK398" s="15" t="str">
        <f>'Gen Rev'!A397</f>
        <v>Miltonsburg</v>
      </c>
      <c r="AL398" s="15" t="str">
        <f t="shared" si="25"/>
        <v>Miltonsburg</v>
      </c>
      <c r="AM398" s="15" t="b">
        <f t="shared" si="26"/>
        <v>1</v>
      </c>
    </row>
    <row r="399" spans="1:39" ht="12.75">
      <c r="A399" s="15" t="s">
        <v>234</v>
      </c>
      <c r="C399" s="15" t="s">
        <v>818</v>
      </c>
      <c r="E399" s="36">
        <v>68043.33</v>
      </c>
      <c r="F399" s="36"/>
      <c r="G399" s="36">
        <v>59049.53</v>
      </c>
      <c r="H399" s="36"/>
      <c r="I399" s="36">
        <v>313615.62</v>
      </c>
      <c r="J399" s="36"/>
      <c r="K399" s="36">
        <v>0</v>
      </c>
      <c r="L399" s="36"/>
      <c r="M399" s="36">
        <v>26000</v>
      </c>
      <c r="N399" s="36"/>
      <c r="O399" s="36">
        <v>7958.31</v>
      </c>
      <c r="P399" s="36"/>
      <c r="Q399" s="36">
        <v>152.84</v>
      </c>
      <c r="R399" s="36"/>
      <c r="S399" s="36">
        <v>4094.81</v>
      </c>
      <c r="T399" s="36"/>
      <c r="U399" s="36">
        <v>0</v>
      </c>
      <c r="V399" s="36"/>
      <c r="W399" s="36">
        <v>0</v>
      </c>
      <c r="X399" s="36"/>
      <c r="Y399" s="36">
        <v>1801</v>
      </c>
      <c r="Z399" s="36"/>
      <c r="AA399" s="36">
        <v>0</v>
      </c>
      <c r="AB399" s="36"/>
      <c r="AC399" s="36">
        <v>0</v>
      </c>
      <c r="AD399" s="36"/>
      <c r="AE399" s="36">
        <v>0</v>
      </c>
      <c r="AF399" s="36"/>
      <c r="AG399" s="36">
        <v>50</v>
      </c>
      <c r="AH399" s="36"/>
      <c r="AI399" s="36">
        <f>SUM(E399:AG399)</f>
        <v>480765.44</v>
      </c>
      <c r="AJ399" s="24"/>
      <c r="AK399" s="15" t="str">
        <f>'Gen Rev'!A398</f>
        <v>Mineral City</v>
      </c>
      <c r="AL399" s="15" t="str">
        <f t="shared" si="25"/>
        <v>Mineral City</v>
      </c>
      <c r="AM399" s="15" t="b">
        <f t="shared" si="26"/>
        <v>1</v>
      </c>
    </row>
    <row r="400" spans="1:39" s="31" customFormat="1" ht="12.75">
      <c r="A400" s="15" t="s">
        <v>547</v>
      </c>
      <c r="B400" s="15"/>
      <c r="C400" s="15" t="s">
        <v>542</v>
      </c>
      <c r="D400" s="15"/>
      <c r="E400" s="85">
        <v>2352167</v>
      </c>
      <c r="F400" s="85"/>
      <c r="G400" s="85">
        <v>0</v>
      </c>
      <c r="H400" s="85"/>
      <c r="I400" s="85">
        <f>433343+2000</f>
        <v>435343</v>
      </c>
      <c r="J400" s="85"/>
      <c r="K400" s="85">
        <v>0</v>
      </c>
      <c r="L400" s="85"/>
      <c r="M400" s="85">
        <v>89245</v>
      </c>
      <c r="N400" s="85"/>
      <c r="O400" s="85">
        <v>57748</v>
      </c>
      <c r="P400" s="85"/>
      <c r="Q400" s="85">
        <v>14527</v>
      </c>
      <c r="R400" s="85"/>
      <c r="S400" s="85">
        <v>65550</v>
      </c>
      <c r="T400" s="85"/>
      <c r="U400" s="85">
        <v>0</v>
      </c>
      <c r="V400" s="85"/>
      <c r="W400" s="85">
        <v>0</v>
      </c>
      <c r="X400" s="85"/>
      <c r="Y400" s="85">
        <v>0</v>
      </c>
      <c r="Z400" s="85"/>
      <c r="AA400" s="85">
        <v>0</v>
      </c>
      <c r="AB400" s="85"/>
      <c r="AC400" s="85">
        <v>0</v>
      </c>
      <c r="AD400" s="85"/>
      <c r="AE400" s="85">
        <v>2144500</v>
      </c>
      <c r="AF400" s="85"/>
      <c r="AG400" s="85">
        <v>0</v>
      </c>
      <c r="AH400" s="85"/>
      <c r="AI400" s="85">
        <f t="shared" si="24"/>
        <v>5159080</v>
      </c>
      <c r="AJ400" s="24"/>
      <c r="AK400" s="15" t="e">
        <f>#REF!</f>
        <v>#REF!</v>
      </c>
      <c r="AL400" s="15" t="str">
        <f t="shared" si="25"/>
        <v xml:space="preserve">Minerva  </v>
      </c>
      <c r="AM400" s="15" t="e">
        <f t="shared" si="26"/>
        <v>#REF!</v>
      </c>
    </row>
    <row r="401" spans="1:39" s="31" customFormat="1" ht="12.75">
      <c r="A401" s="15" t="s">
        <v>74</v>
      </c>
      <c r="B401" s="15"/>
      <c r="C401" s="15" t="s">
        <v>768</v>
      </c>
      <c r="D401" s="15"/>
      <c r="E401" s="36">
        <v>524676.13</v>
      </c>
      <c r="F401" s="36"/>
      <c r="G401" s="36">
        <v>275403.07</v>
      </c>
      <c r="H401" s="36"/>
      <c r="I401" s="36">
        <v>387647.61</v>
      </c>
      <c r="J401" s="36"/>
      <c r="K401" s="36">
        <v>3883.07</v>
      </c>
      <c r="L401" s="36"/>
      <c r="M401" s="36">
        <v>176174.27</v>
      </c>
      <c r="N401" s="36"/>
      <c r="O401" s="36">
        <v>53040.65</v>
      </c>
      <c r="P401" s="36"/>
      <c r="Q401" s="36">
        <v>1281.15</v>
      </c>
      <c r="R401" s="36"/>
      <c r="S401" s="36">
        <v>5500.57</v>
      </c>
      <c r="T401" s="36"/>
      <c r="U401" s="36">
        <v>0</v>
      </c>
      <c r="V401" s="36"/>
      <c r="W401" s="36">
        <v>0</v>
      </c>
      <c r="X401" s="36"/>
      <c r="Y401" s="36">
        <v>0</v>
      </c>
      <c r="Z401" s="36"/>
      <c r="AA401" s="36">
        <v>0</v>
      </c>
      <c r="AB401" s="36"/>
      <c r="AC401" s="36">
        <v>0</v>
      </c>
      <c r="AD401" s="36"/>
      <c r="AE401" s="36">
        <v>0</v>
      </c>
      <c r="AF401" s="36"/>
      <c r="AG401" s="36">
        <v>0</v>
      </c>
      <c r="AH401" s="36"/>
      <c r="AI401" s="36">
        <f>SUM(E401:AG401)</f>
        <v>1427606.52</v>
      </c>
      <c r="AJ401" s="24"/>
      <c r="AK401" s="15" t="e">
        <f>#REF!</f>
        <v>#REF!</v>
      </c>
      <c r="AL401" s="15" t="str">
        <f t="shared" si="25"/>
        <v>Minerva Park</v>
      </c>
      <c r="AM401" s="15" t="e">
        <f t="shared" si="26"/>
        <v>#REF!</v>
      </c>
    </row>
    <row r="402" spans="1:39" s="31" customFormat="1" ht="12.75">
      <c r="A402" s="15" t="s">
        <v>423</v>
      </c>
      <c r="B402" s="15"/>
      <c r="C402" s="15" t="s">
        <v>420</v>
      </c>
      <c r="D402" s="15"/>
      <c r="E402" s="85">
        <v>434475.76</v>
      </c>
      <c r="F402" s="85"/>
      <c r="G402" s="85">
        <v>938833.72</v>
      </c>
      <c r="H402" s="85"/>
      <c r="I402" s="85">
        <v>451237.34</v>
      </c>
      <c r="J402" s="85"/>
      <c r="K402" s="85">
        <v>0</v>
      </c>
      <c r="L402" s="85"/>
      <c r="M402" s="85">
        <v>189584.16</v>
      </c>
      <c r="N402" s="85"/>
      <c r="O402" s="85">
        <v>36366.71</v>
      </c>
      <c r="P402" s="85"/>
      <c r="Q402" s="85">
        <v>11345.22</v>
      </c>
      <c r="R402" s="85"/>
      <c r="S402" s="85">
        <v>9610.12</v>
      </c>
      <c r="T402" s="85"/>
      <c r="U402" s="85">
        <v>0</v>
      </c>
      <c r="V402" s="85"/>
      <c r="W402" s="85">
        <v>0</v>
      </c>
      <c r="X402" s="85"/>
      <c r="Y402" s="85">
        <v>920</v>
      </c>
      <c r="Z402" s="85"/>
      <c r="AA402" s="85">
        <v>12000</v>
      </c>
      <c r="AB402" s="85"/>
      <c r="AC402" s="85">
        <v>0</v>
      </c>
      <c r="AD402" s="85"/>
      <c r="AE402" s="85">
        <v>112313.43</v>
      </c>
      <c r="AF402" s="85"/>
      <c r="AG402" s="85">
        <v>0</v>
      </c>
      <c r="AH402" s="85"/>
      <c r="AI402" s="85">
        <f t="shared" si="24"/>
        <v>2196686.46</v>
      </c>
      <c r="AJ402" s="24"/>
      <c r="AK402" s="15" t="e">
        <f>#REF!</f>
        <v>#REF!</v>
      </c>
      <c r="AL402" s="15" t="str">
        <f t="shared" si="25"/>
        <v>Mingo Junction</v>
      </c>
      <c r="AM402" s="15" t="e">
        <f t="shared" si="26"/>
        <v>#REF!</v>
      </c>
    </row>
    <row r="403" spans="1:39" ht="12.6" customHeight="1">
      <c r="A403" s="15" t="s">
        <v>276</v>
      </c>
      <c r="C403" s="15" t="s">
        <v>275</v>
      </c>
      <c r="E403" s="85">
        <v>442643</v>
      </c>
      <c r="F403" s="85"/>
      <c r="G403" s="85">
        <v>4573881</v>
      </c>
      <c r="H403" s="85"/>
      <c r="I403" s="85">
        <v>206411</v>
      </c>
      <c r="J403" s="85"/>
      <c r="K403" s="85">
        <v>39274</v>
      </c>
      <c r="L403" s="85"/>
      <c r="M403" s="85">
        <v>628185</v>
      </c>
      <c r="N403" s="85"/>
      <c r="O403" s="85">
        <v>14562</v>
      </c>
      <c r="P403" s="85"/>
      <c r="Q403" s="85">
        <v>32876</v>
      </c>
      <c r="R403" s="85"/>
      <c r="S403" s="85">
        <v>73871</v>
      </c>
      <c r="T403" s="85"/>
      <c r="U403" s="85">
        <v>0</v>
      </c>
      <c r="V403" s="85"/>
      <c r="W403" s="85">
        <v>0</v>
      </c>
      <c r="X403" s="85"/>
      <c r="Y403" s="85">
        <v>1160</v>
      </c>
      <c r="Z403" s="85"/>
      <c r="AA403" s="85">
        <v>1935654</v>
      </c>
      <c r="AB403" s="85"/>
      <c r="AC403" s="85">
        <v>0</v>
      </c>
      <c r="AD403" s="85"/>
      <c r="AE403" s="85">
        <v>680804</v>
      </c>
      <c r="AF403" s="85"/>
      <c r="AG403" s="85">
        <v>0</v>
      </c>
      <c r="AH403" s="85"/>
      <c r="AI403" s="85">
        <f aca="true" t="shared" si="32" ref="AI403:AI468">SUM(E403:AG403)</f>
        <v>8629321</v>
      </c>
      <c r="AJ403" s="24"/>
      <c r="AK403" s="15" t="e">
        <f>#REF!</f>
        <v>#REF!</v>
      </c>
      <c r="AL403" s="15" t="str">
        <f t="shared" si="25"/>
        <v>Minster</v>
      </c>
      <c r="AM403" s="15" t="e">
        <f t="shared" si="26"/>
        <v>#REF!</v>
      </c>
    </row>
    <row r="404" spans="1:39" s="31" customFormat="1" ht="12.75">
      <c r="A404" s="15" t="s">
        <v>552</v>
      </c>
      <c r="B404" s="15"/>
      <c r="C404" s="15" t="s">
        <v>551</v>
      </c>
      <c r="D404" s="15"/>
      <c r="E404" s="85">
        <v>196441</v>
      </c>
      <c r="F404" s="85"/>
      <c r="G404" s="85">
        <v>2280022</v>
      </c>
      <c r="H404" s="85"/>
      <c r="I404" s="85">
        <v>717644</v>
      </c>
      <c r="J404" s="85"/>
      <c r="K404" s="85">
        <v>0</v>
      </c>
      <c r="L404" s="85"/>
      <c r="M404" s="85">
        <v>102115</v>
      </c>
      <c r="N404" s="85"/>
      <c r="O404" s="85">
        <v>113884</v>
      </c>
      <c r="P404" s="85"/>
      <c r="Q404" s="85">
        <v>1557</v>
      </c>
      <c r="R404" s="85"/>
      <c r="S404" s="85">
        <v>88402</v>
      </c>
      <c r="T404" s="85"/>
      <c r="U404" s="85">
        <v>0</v>
      </c>
      <c r="V404" s="85"/>
      <c r="W404" s="85">
        <v>810000</v>
      </c>
      <c r="X404" s="85"/>
      <c r="Y404" s="85">
        <v>0</v>
      </c>
      <c r="Z404" s="85"/>
      <c r="AA404" s="85">
        <v>2027439</v>
      </c>
      <c r="AB404" s="85"/>
      <c r="AC404" s="85">
        <v>0</v>
      </c>
      <c r="AD404" s="85"/>
      <c r="AE404" s="85">
        <v>0</v>
      </c>
      <c r="AF404" s="85"/>
      <c r="AG404" s="85">
        <v>0</v>
      </c>
      <c r="AH404" s="85"/>
      <c r="AI404" s="85">
        <f t="shared" si="32"/>
        <v>6337504</v>
      </c>
      <c r="AJ404" s="24"/>
      <c r="AK404" s="15" t="e">
        <f>#REF!</f>
        <v>#REF!</v>
      </c>
      <c r="AL404" s="15" t="str">
        <f aca="true" t="shared" si="33" ref="AL404:AL468">A404</f>
        <v>Mogadore</v>
      </c>
      <c r="AM404" s="15" t="e">
        <f aca="true" t="shared" si="34" ref="AM404:AM468">AK404=AL404</f>
        <v>#REF!</v>
      </c>
    </row>
    <row r="405" spans="1:39" s="31" customFormat="1" ht="12.75">
      <c r="A405" s="15" t="s">
        <v>415</v>
      </c>
      <c r="B405" s="15"/>
      <c r="C405" s="15" t="s">
        <v>416</v>
      </c>
      <c r="D405" s="15"/>
      <c r="E405" s="85">
        <v>71718</v>
      </c>
      <c r="F405" s="85"/>
      <c r="G405" s="85">
        <v>427611</v>
      </c>
      <c r="H405" s="85"/>
      <c r="I405" s="85">
        <v>385301</v>
      </c>
      <c r="J405" s="85"/>
      <c r="K405" s="85">
        <v>3454</v>
      </c>
      <c r="L405" s="85"/>
      <c r="M405" s="85">
        <v>9840</v>
      </c>
      <c r="N405" s="85"/>
      <c r="O405" s="85">
        <v>52260</v>
      </c>
      <c r="P405" s="85"/>
      <c r="Q405" s="85">
        <v>14246</v>
      </c>
      <c r="R405" s="85"/>
      <c r="S405" s="85">
        <v>36637</v>
      </c>
      <c r="T405" s="85"/>
      <c r="U405" s="85">
        <v>0</v>
      </c>
      <c r="V405" s="85"/>
      <c r="W405" s="85">
        <v>0</v>
      </c>
      <c r="X405" s="85"/>
      <c r="Y405" s="85">
        <v>0</v>
      </c>
      <c r="Z405" s="85"/>
      <c r="AA405" s="85">
        <v>38520</v>
      </c>
      <c r="AB405" s="85"/>
      <c r="AC405" s="85">
        <v>245611</v>
      </c>
      <c r="AD405" s="85"/>
      <c r="AE405" s="85">
        <v>1132</v>
      </c>
      <c r="AF405" s="85"/>
      <c r="AG405" s="85">
        <v>0</v>
      </c>
      <c r="AH405" s="85"/>
      <c r="AI405" s="85">
        <f t="shared" si="32"/>
        <v>1286330</v>
      </c>
      <c r="AJ405" s="24"/>
      <c r="AK405" s="15" t="e">
        <f>#REF!</f>
        <v>#REF!</v>
      </c>
      <c r="AL405" s="15" t="str">
        <f t="shared" si="33"/>
        <v>Monroeville</v>
      </c>
      <c r="AM405" s="15" t="e">
        <f t="shared" si="34"/>
        <v>#REF!</v>
      </c>
    </row>
    <row r="406" spans="1:39" s="39" customFormat="1" ht="12.75">
      <c r="A406" s="39" t="s">
        <v>160</v>
      </c>
      <c r="C406" s="39" t="s">
        <v>794</v>
      </c>
      <c r="E406" s="36">
        <v>4866.73</v>
      </c>
      <c r="F406" s="36"/>
      <c r="G406" s="36">
        <v>0</v>
      </c>
      <c r="H406" s="36"/>
      <c r="I406" s="36">
        <v>25240.78</v>
      </c>
      <c r="J406" s="36"/>
      <c r="K406" s="36">
        <v>6155.93</v>
      </c>
      <c r="L406" s="36"/>
      <c r="M406" s="36">
        <v>0</v>
      </c>
      <c r="N406" s="36"/>
      <c r="O406" s="36">
        <v>1861.39</v>
      </c>
      <c r="P406" s="36"/>
      <c r="Q406" s="36">
        <v>25.82</v>
      </c>
      <c r="R406" s="36"/>
      <c r="S406" s="36">
        <v>503.39</v>
      </c>
      <c r="T406" s="36"/>
      <c r="U406" s="36">
        <v>0</v>
      </c>
      <c r="V406" s="36"/>
      <c r="W406" s="36">
        <v>0</v>
      </c>
      <c r="X406" s="36"/>
      <c r="Y406" s="36">
        <v>0</v>
      </c>
      <c r="Z406" s="36"/>
      <c r="AA406" s="36">
        <v>0</v>
      </c>
      <c r="AB406" s="36"/>
      <c r="AC406" s="36">
        <v>0</v>
      </c>
      <c r="AD406" s="36"/>
      <c r="AE406" s="36">
        <v>0</v>
      </c>
      <c r="AF406" s="36"/>
      <c r="AG406" s="36">
        <v>0</v>
      </c>
      <c r="AH406" s="36"/>
      <c r="AI406" s="36">
        <f>SUM(E406:AG406)</f>
        <v>38654.04</v>
      </c>
      <c r="AK406" s="15" t="e">
        <f>#REF!</f>
        <v>#REF!</v>
      </c>
      <c r="AL406" s="15" t="str">
        <f t="shared" si="33"/>
        <v>Montezuma</v>
      </c>
      <c r="AM406" s="15" t="e">
        <f t="shared" si="34"/>
        <v>#REF!</v>
      </c>
    </row>
    <row r="407" spans="1:39" ht="12.75">
      <c r="A407" s="15" t="s">
        <v>599</v>
      </c>
      <c r="C407" s="15" t="s">
        <v>598</v>
      </c>
      <c r="E407" s="85">
        <v>467229</v>
      </c>
      <c r="F407" s="85"/>
      <c r="G407" s="85">
        <v>1508025</v>
      </c>
      <c r="H407" s="85"/>
      <c r="I407" s="85">
        <v>903530</v>
      </c>
      <c r="J407" s="85"/>
      <c r="K407" s="85">
        <v>30901</v>
      </c>
      <c r="L407" s="85"/>
      <c r="M407" s="85">
        <v>460170</v>
      </c>
      <c r="N407" s="85"/>
      <c r="O407" s="85">
        <v>37487</v>
      </c>
      <c r="P407" s="85"/>
      <c r="Q407" s="85">
        <v>78052</v>
      </c>
      <c r="R407" s="85"/>
      <c r="S407" s="85">
        <v>44699</v>
      </c>
      <c r="T407" s="85"/>
      <c r="U407" s="85">
        <v>0</v>
      </c>
      <c r="V407" s="85"/>
      <c r="W407" s="85">
        <v>350000</v>
      </c>
      <c r="X407" s="85"/>
      <c r="Y407" s="85">
        <v>0</v>
      </c>
      <c r="Z407" s="85"/>
      <c r="AA407" s="85">
        <v>45000</v>
      </c>
      <c r="AB407" s="85"/>
      <c r="AC407" s="85">
        <v>0</v>
      </c>
      <c r="AD407" s="85"/>
      <c r="AE407" s="85">
        <v>0</v>
      </c>
      <c r="AF407" s="85"/>
      <c r="AG407" s="85">
        <v>0</v>
      </c>
      <c r="AH407" s="85"/>
      <c r="AI407" s="85">
        <f t="shared" si="32"/>
        <v>3925093</v>
      </c>
      <c r="AJ407" s="24"/>
      <c r="AK407" s="15" t="e">
        <f>#REF!</f>
        <v>#REF!</v>
      </c>
      <c r="AL407" s="15" t="str">
        <f t="shared" si="33"/>
        <v>Montpelier</v>
      </c>
      <c r="AM407" s="15" t="e">
        <f t="shared" si="34"/>
        <v>#REF!</v>
      </c>
    </row>
    <row r="408" spans="1:42" s="31" customFormat="1" ht="12.6" customHeight="1">
      <c r="A408" s="15" t="s">
        <v>323</v>
      </c>
      <c r="B408" s="15"/>
      <c r="C408" s="15" t="s">
        <v>316</v>
      </c>
      <c r="D408" s="15"/>
      <c r="E408" s="85">
        <v>1595939</v>
      </c>
      <c r="F408" s="85"/>
      <c r="G408" s="85">
        <v>3068697</v>
      </c>
      <c r="H408" s="85"/>
      <c r="I408" s="85">
        <v>1185560</v>
      </c>
      <c r="J408" s="85"/>
      <c r="K408" s="85">
        <v>478454</v>
      </c>
      <c r="L408" s="85"/>
      <c r="M408" s="85">
        <v>567011</v>
      </c>
      <c r="N408" s="85"/>
      <c r="O408" s="85">
        <v>180375</v>
      </c>
      <c r="P408" s="85"/>
      <c r="Q408" s="85">
        <v>24507</v>
      </c>
      <c r="R408" s="85"/>
      <c r="S408" s="85">
        <v>902672</v>
      </c>
      <c r="T408" s="85"/>
      <c r="U408" s="85">
        <v>0</v>
      </c>
      <c r="V408" s="85"/>
      <c r="W408" s="85">
        <v>0</v>
      </c>
      <c r="X408" s="85"/>
      <c r="Y408" s="85">
        <v>0</v>
      </c>
      <c r="Z408" s="85"/>
      <c r="AA408" s="85">
        <v>2651541</v>
      </c>
      <c r="AB408" s="85"/>
      <c r="AC408" s="85">
        <v>0</v>
      </c>
      <c r="AD408" s="85"/>
      <c r="AE408" s="85">
        <v>0</v>
      </c>
      <c r="AF408" s="85"/>
      <c r="AG408" s="85">
        <v>0</v>
      </c>
      <c r="AH408" s="85"/>
      <c r="AI408" s="85">
        <f t="shared" si="32"/>
        <v>10654756</v>
      </c>
      <c r="AJ408" s="24"/>
      <c r="AK408" s="15" t="e">
        <f>#REF!</f>
        <v>#REF!</v>
      </c>
      <c r="AL408" s="15" t="str">
        <f t="shared" si="33"/>
        <v>Moreland Hills</v>
      </c>
      <c r="AM408" s="15" t="e">
        <f t="shared" si="34"/>
        <v>#REF!</v>
      </c>
      <c r="AN408" s="32"/>
      <c r="AO408" s="32"/>
      <c r="AP408" s="32"/>
    </row>
    <row r="409" spans="1:42" s="31" customFormat="1" ht="12.6" customHeight="1">
      <c r="A409" s="15" t="s">
        <v>950</v>
      </c>
      <c r="B409" s="15"/>
      <c r="C409" s="15" t="s">
        <v>463</v>
      </c>
      <c r="D409" s="15"/>
      <c r="E409" s="36">
        <v>13202.71</v>
      </c>
      <c r="F409" s="36"/>
      <c r="G409" s="36">
        <v>0</v>
      </c>
      <c r="H409" s="36"/>
      <c r="I409" s="36">
        <v>41442.27</v>
      </c>
      <c r="J409" s="36"/>
      <c r="K409" s="36">
        <v>0</v>
      </c>
      <c r="L409" s="36"/>
      <c r="M409" s="36">
        <v>0</v>
      </c>
      <c r="N409" s="36"/>
      <c r="O409" s="36">
        <v>0</v>
      </c>
      <c r="P409" s="36"/>
      <c r="Q409" s="36">
        <v>42.11</v>
      </c>
      <c r="R409" s="36"/>
      <c r="S409" s="36">
        <v>495.27</v>
      </c>
      <c r="T409" s="36"/>
      <c r="U409" s="36">
        <v>0</v>
      </c>
      <c r="V409" s="36"/>
      <c r="W409" s="36">
        <v>0</v>
      </c>
      <c r="X409" s="36"/>
      <c r="Y409" s="36">
        <v>0</v>
      </c>
      <c r="Z409" s="36"/>
      <c r="AA409" s="36">
        <v>0</v>
      </c>
      <c r="AB409" s="36"/>
      <c r="AC409" s="36">
        <v>0</v>
      </c>
      <c r="AD409" s="36"/>
      <c r="AE409" s="36">
        <v>0</v>
      </c>
      <c r="AF409" s="36"/>
      <c r="AG409" s="36">
        <v>345.63</v>
      </c>
      <c r="AH409" s="36"/>
      <c r="AI409" s="36">
        <f aca="true" t="shared" si="35" ref="AI409:AI414">SUM(E409:AG409)</f>
        <v>55527.98999999999</v>
      </c>
      <c r="AJ409" s="24"/>
      <c r="AK409" s="15" t="e">
        <f>#REF!</f>
        <v>#REF!</v>
      </c>
      <c r="AL409" s="15" t="str">
        <f t="shared" si="33"/>
        <v>Morral</v>
      </c>
      <c r="AM409" s="15" t="e">
        <f t="shared" si="34"/>
        <v>#REF!</v>
      </c>
      <c r="AN409" s="32"/>
      <c r="AO409" s="32"/>
      <c r="AP409" s="32"/>
    </row>
    <row r="410" spans="1:39" ht="12.75">
      <c r="A410" s="15" t="s">
        <v>18</v>
      </c>
      <c r="C410" s="15" t="s">
        <v>750</v>
      </c>
      <c r="E410" s="36">
        <v>11760.87</v>
      </c>
      <c r="F410" s="36"/>
      <c r="G410" s="36">
        <v>0</v>
      </c>
      <c r="H410" s="36"/>
      <c r="I410" s="36">
        <v>57225.62</v>
      </c>
      <c r="J410" s="36"/>
      <c r="K410" s="36">
        <v>0</v>
      </c>
      <c r="L410" s="36"/>
      <c r="M410" s="36">
        <v>46698.36</v>
      </c>
      <c r="N410" s="36"/>
      <c r="O410" s="36">
        <v>0</v>
      </c>
      <c r="P410" s="36"/>
      <c r="Q410" s="36">
        <v>97.37</v>
      </c>
      <c r="R410" s="36"/>
      <c r="S410" s="36">
        <v>4910</v>
      </c>
      <c r="T410" s="36"/>
      <c r="U410" s="36">
        <v>0</v>
      </c>
      <c r="V410" s="36"/>
      <c r="W410" s="36">
        <v>0</v>
      </c>
      <c r="X410" s="36"/>
      <c r="Y410" s="36">
        <v>0</v>
      </c>
      <c r="Z410" s="36"/>
      <c r="AA410" s="36">
        <v>0</v>
      </c>
      <c r="AB410" s="36"/>
      <c r="AC410" s="36">
        <v>0</v>
      </c>
      <c r="AD410" s="36"/>
      <c r="AE410" s="36">
        <v>0</v>
      </c>
      <c r="AF410" s="36"/>
      <c r="AG410" s="36">
        <v>0</v>
      </c>
      <c r="AH410" s="36"/>
      <c r="AI410" s="36">
        <f t="shared" si="35"/>
        <v>120692.22</v>
      </c>
      <c r="AJ410" s="24"/>
      <c r="AK410" s="15" t="str">
        <f>'Gen Rev'!A410</f>
        <v>Morristown</v>
      </c>
      <c r="AL410" s="15" t="str">
        <f t="shared" si="33"/>
        <v>Morristown</v>
      </c>
      <c r="AM410" s="15" t="b">
        <f t="shared" si="34"/>
        <v>1</v>
      </c>
    </row>
    <row r="411" spans="1:39" ht="12.75">
      <c r="A411" s="15" t="s">
        <v>243</v>
      </c>
      <c r="C411" s="15" t="s">
        <v>821</v>
      </c>
      <c r="E411" s="36">
        <v>39745.07</v>
      </c>
      <c r="F411" s="36"/>
      <c r="G411" s="36">
        <v>247000.84</v>
      </c>
      <c r="H411" s="36"/>
      <c r="I411" s="36">
        <v>588164.35</v>
      </c>
      <c r="J411" s="36"/>
      <c r="K411" s="36">
        <v>0</v>
      </c>
      <c r="L411" s="36"/>
      <c r="M411" s="36">
        <v>138002.48</v>
      </c>
      <c r="N411" s="36"/>
      <c r="O411" s="36">
        <v>125493.33</v>
      </c>
      <c r="P411" s="36"/>
      <c r="Q411" s="36">
        <v>8026.18</v>
      </c>
      <c r="R411" s="36"/>
      <c r="S411" s="36">
        <f>20808.85+30000</f>
        <v>50808.85</v>
      </c>
      <c r="T411" s="36"/>
      <c r="U411" s="36">
        <v>0</v>
      </c>
      <c r="V411" s="36"/>
      <c r="W411" s="36">
        <v>0</v>
      </c>
      <c r="X411" s="36"/>
      <c r="Y411" s="36">
        <v>1120</v>
      </c>
      <c r="Z411" s="36"/>
      <c r="AA411" s="36">
        <v>0</v>
      </c>
      <c r="AB411" s="36"/>
      <c r="AC411" s="36">
        <v>0</v>
      </c>
      <c r="AD411" s="36"/>
      <c r="AE411" s="36">
        <v>0</v>
      </c>
      <c r="AF411" s="36"/>
      <c r="AG411" s="36">
        <v>40</v>
      </c>
      <c r="AH411" s="36"/>
      <c r="AI411" s="36">
        <f t="shared" si="35"/>
        <v>1198401.1</v>
      </c>
      <c r="AJ411" s="24"/>
      <c r="AK411" s="15" t="str">
        <f>'Gen Rev'!A411</f>
        <v>Morrow</v>
      </c>
      <c r="AL411" s="15" t="str">
        <f t="shared" si="33"/>
        <v>Morrow</v>
      </c>
      <c r="AM411" s="15" t="b">
        <f t="shared" si="34"/>
        <v>1</v>
      </c>
    </row>
    <row r="412" spans="1:39" ht="12.6" customHeight="1">
      <c r="A412" s="15" t="s">
        <v>298</v>
      </c>
      <c r="C412" s="15" t="s">
        <v>295</v>
      </c>
      <c r="E412" s="36">
        <v>164546.92</v>
      </c>
      <c r="F412" s="36"/>
      <c r="G412" s="36">
        <v>2311.12</v>
      </c>
      <c r="H412" s="36"/>
      <c r="I412" s="36">
        <v>290295.81</v>
      </c>
      <c r="J412" s="36"/>
      <c r="K412" s="36">
        <v>0</v>
      </c>
      <c r="L412" s="36"/>
      <c r="M412" s="36">
        <v>11323.5</v>
      </c>
      <c r="N412" s="36"/>
      <c r="O412" s="36">
        <v>3088.09</v>
      </c>
      <c r="P412" s="36"/>
      <c r="Q412" s="36">
        <v>6145.86</v>
      </c>
      <c r="R412" s="36"/>
      <c r="S412" s="36">
        <v>12755.4</v>
      </c>
      <c r="T412" s="36"/>
      <c r="U412" s="36">
        <v>0</v>
      </c>
      <c r="V412" s="36"/>
      <c r="W412" s="36">
        <v>0</v>
      </c>
      <c r="X412" s="36"/>
      <c r="Y412" s="36">
        <v>0</v>
      </c>
      <c r="Z412" s="36"/>
      <c r="AA412" s="36">
        <v>0</v>
      </c>
      <c r="AB412" s="36"/>
      <c r="AC412" s="36">
        <v>0</v>
      </c>
      <c r="AD412" s="36"/>
      <c r="AE412" s="36">
        <v>0</v>
      </c>
      <c r="AF412" s="36"/>
      <c r="AG412" s="36">
        <v>550000</v>
      </c>
      <c r="AH412" s="36"/>
      <c r="AI412" s="36">
        <f t="shared" si="35"/>
        <v>1040466.7</v>
      </c>
      <c r="AJ412" s="24"/>
      <c r="AK412" s="15" t="str">
        <f>'Gen Rev'!A412</f>
        <v>Moscow</v>
      </c>
      <c r="AL412" s="15" t="str">
        <f t="shared" si="33"/>
        <v>Moscow</v>
      </c>
      <c r="AM412" s="15" t="b">
        <f t="shared" si="34"/>
        <v>1</v>
      </c>
    </row>
    <row r="413" spans="1:39" ht="12.75">
      <c r="A413" s="15" t="s">
        <v>249</v>
      </c>
      <c r="C413" s="15" t="s">
        <v>823</v>
      </c>
      <c r="E413" s="95">
        <v>17650.14</v>
      </c>
      <c r="F413" s="95"/>
      <c r="G413" s="95">
        <v>86346.78</v>
      </c>
      <c r="H413" s="95"/>
      <c r="I413" s="95">
        <v>34309.77</v>
      </c>
      <c r="J413" s="95"/>
      <c r="K413" s="95">
        <v>0</v>
      </c>
      <c r="L413" s="95"/>
      <c r="M413" s="95">
        <v>440</v>
      </c>
      <c r="N413" s="95"/>
      <c r="O413" s="95">
        <v>84600</v>
      </c>
      <c r="P413" s="95"/>
      <c r="Q413" s="95">
        <v>47.53</v>
      </c>
      <c r="R413" s="95"/>
      <c r="S413" s="95">
        <v>1506.32</v>
      </c>
      <c r="T413" s="95"/>
      <c r="U413" s="95">
        <v>0</v>
      </c>
      <c r="V413" s="95"/>
      <c r="W413" s="95">
        <v>0</v>
      </c>
      <c r="X413" s="95"/>
      <c r="Y413" s="95">
        <v>0</v>
      </c>
      <c r="Z413" s="95"/>
      <c r="AA413" s="95">
        <v>45000</v>
      </c>
      <c r="AB413" s="95"/>
      <c r="AC413" s="95">
        <v>0</v>
      </c>
      <c r="AD413" s="95"/>
      <c r="AE413" s="95">
        <v>0</v>
      </c>
      <c r="AF413" s="95"/>
      <c r="AG413" s="95">
        <v>0</v>
      </c>
      <c r="AH413" s="95"/>
      <c r="AI413" s="95">
        <f t="shared" si="35"/>
        <v>269900.54000000004</v>
      </c>
      <c r="AJ413" s="24"/>
      <c r="AK413" s="15" t="str">
        <f>'Gen Rev'!A413</f>
        <v>Mount Eaton</v>
      </c>
      <c r="AL413" s="15" t="str">
        <f t="shared" si="33"/>
        <v>Mount Eaton</v>
      </c>
      <c r="AM413" s="15" t="b">
        <f t="shared" si="34"/>
        <v>1</v>
      </c>
    </row>
    <row r="414" spans="1:39" s="31" customFormat="1" ht="12.75">
      <c r="A414" s="15" t="s">
        <v>141</v>
      </c>
      <c r="B414" s="15"/>
      <c r="C414" s="15" t="s">
        <v>789</v>
      </c>
      <c r="D414" s="15"/>
      <c r="E414" s="95">
        <v>19563.85</v>
      </c>
      <c r="F414" s="95"/>
      <c r="G414" s="95">
        <v>467672.09</v>
      </c>
      <c r="H414" s="95"/>
      <c r="I414" s="95">
        <v>217492.88</v>
      </c>
      <c r="J414" s="95"/>
      <c r="K414" s="95">
        <v>1785.6</v>
      </c>
      <c r="L414" s="95"/>
      <c r="M414" s="95">
        <v>164</v>
      </c>
      <c r="N414" s="95"/>
      <c r="O414" s="95">
        <v>61576.47</v>
      </c>
      <c r="P414" s="95"/>
      <c r="Q414" s="95">
        <v>575.53</v>
      </c>
      <c r="R414" s="95"/>
      <c r="S414" s="95">
        <v>89281.76</v>
      </c>
      <c r="T414" s="95"/>
      <c r="U414" s="95">
        <v>0</v>
      </c>
      <c r="V414" s="95"/>
      <c r="W414" s="95">
        <v>0</v>
      </c>
      <c r="X414" s="95"/>
      <c r="Y414" s="95">
        <v>0</v>
      </c>
      <c r="Z414" s="95"/>
      <c r="AA414" s="95">
        <v>0</v>
      </c>
      <c r="AB414" s="95"/>
      <c r="AC414" s="95">
        <v>0</v>
      </c>
      <c r="AD414" s="95"/>
      <c r="AE414" s="95">
        <v>0</v>
      </c>
      <c r="AF414" s="95"/>
      <c r="AG414" s="95">
        <v>0</v>
      </c>
      <c r="AH414" s="95"/>
      <c r="AI414" s="95">
        <f t="shared" si="35"/>
        <v>858112.18</v>
      </c>
      <c r="AJ414" s="24"/>
      <c r="AK414" s="15" t="str">
        <f>'Gen Rev'!A414</f>
        <v>Mount Sterling</v>
      </c>
      <c r="AL414" s="15" t="str">
        <f t="shared" si="33"/>
        <v>Mount Sterling</v>
      </c>
      <c r="AM414" s="15" t="b">
        <f t="shared" si="34"/>
        <v>1</v>
      </c>
    </row>
    <row r="415" spans="1:39" s="31" customFormat="1" ht="12.75" hidden="1">
      <c r="A415" s="15" t="s">
        <v>99</v>
      </c>
      <c r="B415" s="15"/>
      <c r="C415" s="15" t="s">
        <v>775</v>
      </c>
      <c r="D415" s="15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>
        <f t="shared" si="32"/>
        <v>0</v>
      </c>
      <c r="AJ415" s="24"/>
      <c r="AK415" s="15" t="str">
        <f>'Gen Rev'!A415</f>
        <v>Mount Victory</v>
      </c>
      <c r="AL415" s="15" t="str">
        <f t="shared" si="33"/>
        <v>Mount Victory</v>
      </c>
      <c r="AM415" s="15" t="b">
        <f t="shared" si="34"/>
        <v>1</v>
      </c>
    </row>
    <row r="416" spans="1:39" ht="12.75">
      <c r="A416" s="15" t="s">
        <v>410</v>
      </c>
      <c r="C416" s="15" t="s">
        <v>409</v>
      </c>
      <c r="E416" s="95">
        <v>40223.73</v>
      </c>
      <c r="F416" s="95"/>
      <c r="G416" s="95">
        <v>0</v>
      </c>
      <c r="H416" s="95"/>
      <c r="I416" s="95">
        <v>54285.63</v>
      </c>
      <c r="J416" s="95"/>
      <c r="K416" s="95">
        <v>0</v>
      </c>
      <c r="L416" s="95"/>
      <c r="M416" s="95">
        <v>17574.69</v>
      </c>
      <c r="N416" s="95"/>
      <c r="O416" s="95">
        <v>5507.94</v>
      </c>
      <c r="P416" s="95"/>
      <c r="Q416" s="95">
        <v>22.31</v>
      </c>
      <c r="R416" s="95"/>
      <c r="S416" s="95">
        <v>7467.74</v>
      </c>
      <c r="T416" s="95"/>
      <c r="U416" s="95">
        <v>0</v>
      </c>
      <c r="V416" s="95"/>
      <c r="W416" s="95">
        <v>0</v>
      </c>
      <c r="X416" s="95"/>
      <c r="Y416" s="95">
        <v>0</v>
      </c>
      <c r="Z416" s="95"/>
      <c r="AA416" s="95">
        <v>0</v>
      </c>
      <c r="AB416" s="95"/>
      <c r="AC416" s="95">
        <v>0</v>
      </c>
      <c r="AD416" s="95"/>
      <c r="AE416" s="95">
        <v>0</v>
      </c>
      <c r="AF416" s="95"/>
      <c r="AG416" s="95">
        <v>0</v>
      </c>
      <c r="AH416" s="95"/>
      <c r="AI416" s="95">
        <f>SUM(E416:AG416)</f>
        <v>125082.04000000001</v>
      </c>
      <c r="AJ416" s="24"/>
      <c r="AK416" s="15" t="str">
        <f>'Gen Rev'!A416</f>
        <v>Mowrystown</v>
      </c>
      <c r="AL416" s="15" t="str">
        <f t="shared" si="33"/>
        <v>Mowrystown</v>
      </c>
      <c r="AM416" s="15" t="b">
        <f t="shared" si="34"/>
        <v>1</v>
      </c>
    </row>
    <row r="417" spans="1:39" s="31" customFormat="1" ht="12.75">
      <c r="A417" s="15" t="s">
        <v>390</v>
      </c>
      <c r="B417" s="15"/>
      <c r="C417" s="15" t="s">
        <v>388</v>
      </c>
      <c r="D417" s="15"/>
      <c r="E417" s="36">
        <v>38908.28</v>
      </c>
      <c r="F417" s="36"/>
      <c r="G417" s="36">
        <v>0</v>
      </c>
      <c r="H417" s="36"/>
      <c r="I417" s="36">
        <v>69815.38</v>
      </c>
      <c r="J417" s="36"/>
      <c r="K417" s="36">
        <v>0</v>
      </c>
      <c r="L417" s="36"/>
      <c r="M417" s="36">
        <v>475</v>
      </c>
      <c r="N417" s="36"/>
      <c r="O417" s="36">
        <v>0</v>
      </c>
      <c r="P417" s="36"/>
      <c r="Q417" s="36">
        <v>166.93</v>
      </c>
      <c r="R417" s="36"/>
      <c r="S417" s="36">
        <v>84.21</v>
      </c>
      <c r="T417" s="36"/>
      <c r="U417" s="36">
        <v>0</v>
      </c>
      <c r="V417" s="36"/>
      <c r="W417" s="36">
        <v>0</v>
      </c>
      <c r="X417" s="36"/>
      <c r="Y417" s="36">
        <v>0</v>
      </c>
      <c r="Z417" s="36"/>
      <c r="AA417" s="36">
        <v>4680</v>
      </c>
      <c r="AB417" s="36"/>
      <c r="AC417" s="36">
        <v>0</v>
      </c>
      <c r="AD417" s="36"/>
      <c r="AE417" s="36">
        <v>0</v>
      </c>
      <c r="AF417" s="36"/>
      <c r="AG417" s="36">
        <v>0</v>
      </c>
      <c r="AH417" s="36"/>
      <c r="AI417" s="36">
        <f>SUM(E417:AG417)</f>
        <v>114129.8</v>
      </c>
      <c r="AJ417" s="24"/>
      <c r="AK417" s="15" t="str">
        <f>'Gen Rev'!A417</f>
        <v>Mt. Blanchard</v>
      </c>
      <c r="AL417" s="15" t="str">
        <f t="shared" si="33"/>
        <v>Mt. Blanchard</v>
      </c>
      <c r="AM417" s="15" t="b">
        <f t="shared" si="34"/>
        <v>1</v>
      </c>
    </row>
    <row r="418" spans="1:39" ht="12.75">
      <c r="A418" s="15" t="s">
        <v>391</v>
      </c>
      <c r="C418" s="15" t="s">
        <v>388</v>
      </c>
      <c r="E418" s="85">
        <v>15355.05</v>
      </c>
      <c r="F418" s="85"/>
      <c r="G418" s="85">
        <v>0</v>
      </c>
      <c r="H418" s="85"/>
      <c r="I418" s="85">
        <v>40361.65</v>
      </c>
      <c r="J418" s="85"/>
      <c r="K418" s="85">
        <v>0</v>
      </c>
      <c r="L418" s="85"/>
      <c r="M418" s="85">
        <v>2180</v>
      </c>
      <c r="N418" s="85"/>
      <c r="O418" s="85">
        <v>0</v>
      </c>
      <c r="P418" s="85"/>
      <c r="Q418" s="85">
        <v>288.23</v>
      </c>
      <c r="R418" s="85"/>
      <c r="S418" s="85">
        <v>5846.67</v>
      </c>
      <c r="T418" s="85"/>
      <c r="U418" s="85">
        <v>0</v>
      </c>
      <c r="V418" s="85"/>
      <c r="W418" s="85">
        <v>0</v>
      </c>
      <c r="X418" s="85"/>
      <c r="Y418" s="85">
        <v>0</v>
      </c>
      <c r="Z418" s="85"/>
      <c r="AA418" s="85">
        <v>0</v>
      </c>
      <c r="AB418" s="85"/>
      <c r="AC418" s="85">
        <v>0</v>
      </c>
      <c r="AD418" s="85"/>
      <c r="AE418" s="85">
        <v>0</v>
      </c>
      <c r="AF418" s="85"/>
      <c r="AG418" s="85">
        <v>0</v>
      </c>
      <c r="AH418" s="85"/>
      <c r="AI418" s="85">
        <f t="shared" si="32"/>
        <v>64031.6</v>
      </c>
      <c r="AJ418" s="24"/>
      <c r="AK418" s="15" t="str">
        <f>'Gen Rev'!A418</f>
        <v>Mt. Cory</v>
      </c>
      <c r="AL418" s="15" t="str">
        <f t="shared" si="33"/>
        <v>Mt. Cory</v>
      </c>
      <c r="AM418" s="15" t="b">
        <f t="shared" si="34"/>
        <v>1</v>
      </c>
    </row>
    <row r="419" spans="1:39" ht="12.75">
      <c r="A419" s="15" t="s">
        <v>483</v>
      </c>
      <c r="C419" s="15" t="s">
        <v>243</v>
      </c>
      <c r="E419" s="96">
        <f>102375+95837</f>
        <v>198212</v>
      </c>
      <c r="F419" s="96"/>
      <c r="G419" s="96">
        <f>853345+44912</f>
        <v>898257</v>
      </c>
      <c r="H419" s="96"/>
      <c r="I419" s="96">
        <f>50078+216568</f>
        <v>266646</v>
      </c>
      <c r="J419" s="96"/>
      <c r="K419" s="96">
        <v>0</v>
      </c>
      <c r="L419" s="96"/>
      <c r="M419" s="96">
        <v>164335</v>
      </c>
      <c r="N419" s="96"/>
      <c r="O419" s="96">
        <v>54447</v>
      </c>
      <c r="P419" s="96"/>
      <c r="Q419" s="96">
        <f>18824+1511+3023</f>
        <v>23358</v>
      </c>
      <c r="R419" s="96"/>
      <c r="S419" s="96">
        <f>115730+10416+323609</f>
        <v>449755</v>
      </c>
      <c r="T419" s="96"/>
      <c r="U419" s="96">
        <v>0</v>
      </c>
      <c r="V419" s="96"/>
      <c r="W419" s="96">
        <v>0</v>
      </c>
      <c r="X419" s="96"/>
      <c r="Y419" s="96">
        <v>0</v>
      </c>
      <c r="Z419" s="96"/>
      <c r="AA419" s="96">
        <f>331830+12084</f>
        <v>343914</v>
      </c>
      <c r="AB419" s="96"/>
      <c r="AC419" s="96">
        <v>0</v>
      </c>
      <c r="AD419" s="96"/>
      <c r="AE419" s="96">
        <v>0</v>
      </c>
      <c r="AF419" s="96"/>
      <c r="AG419" s="96">
        <v>0</v>
      </c>
      <c r="AH419" s="96"/>
      <c r="AI419" s="96">
        <f t="shared" si="32"/>
        <v>2398924</v>
      </c>
      <c r="AJ419" s="24"/>
      <c r="AK419" s="15" t="str">
        <f>'Gen Rev'!A419</f>
        <v>Mt. Giliad</v>
      </c>
      <c r="AL419" s="15" t="str">
        <f t="shared" si="33"/>
        <v>Mt. Giliad</v>
      </c>
      <c r="AM419" s="15" t="b">
        <f t="shared" si="34"/>
        <v>1</v>
      </c>
    </row>
    <row r="420" spans="1:39" ht="12.75">
      <c r="A420" s="15" t="s">
        <v>24</v>
      </c>
      <c r="C420" s="15" t="s">
        <v>751</v>
      </c>
      <c r="E420" s="36">
        <v>325438.92</v>
      </c>
      <c r="F420" s="36"/>
      <c r="G420" s="36">
        <v>901417.48</v>
      </c>
      <c r="H420" s="36"/>
      <c r="I420" s="36">
        <v>339732.96</v>
      </c>
      <c r="J420" s="36"/>
      <c r="K420" s="36">
        <v>69064.2</v>
      </c>
      <c r="L420" s="36"/>
      <c r="M420" s="36">
        <v>563865.5</v>
      </c>
      <c r="N420" s="36"/>
      <c r="O420" s="36">
        <v>169594.48</v>
      </c>
      <c r="P420" s="36"/>
      <c r="Q420" s="36">
        <v>34668.11</v>
      </c>
      <c r="R420" s="36"/>
      <c r="S420" s="36">
        <v>557344.69</v>
      </c>
      <c r="T420" s="36"/>
      <c r="U420" s="36">
        <v>2176841</v>
      </c>
      <c r="V420" s="36"/>
      <c r="W420" s="36">
        <v>1233800</v>
      </c>
      <c r="X420" s="36"/>
      <c r="Y420" s="36">
        <v>0</v>
      </c>
      <c r="Z420" s="36"/>
      <c r="AA420" s="36">
        <v>351023.21</v>
      </c>
      <c r="AB420" s="36"/>
      <c r="AC420" s="36">
        <v>10000</v>
      </c>
      <c r="AD420" s="36"/>
      <c r="AE420" s="36">
        <v>1600</v>
      </c>
      <c r="AF420" s="36"/>
      <c r="AG420" s="36">
        <v>16206.14</v>
      </c>
      <c r="AH420" s="36"/>
      <c r="AI420" s="36">
        <f>SUM(E420:AG420)</f>
        <v>6750596.6899999995</v>
      </c>
      <c r="AJ420" s="24"/>
      <c r="AK420" s="15" t="str">
        <f>'Gen Rev'!A420</f>
        <v>Mt. Orab</v>
      </c>
      <c r="AL420" s="15" t="str">
        <f t="shared" si="33"/>
        <v>Mt. Orab</v>
      </c>
      <c r="AM420" s="15" t="b">
        <f t="shared" si="34"/>
        <v>1</v>
      </c>
    </row>
    <row r="421" spans="1:39" s="31" customFormat="1" ht="12.75" hidden="1">
      <c r="A421" s="15" t="s">
        <v>112</v>
      </c>
      <c r="B421" s="15"/>
      <c r="C421" s="15" t="s">
        <v>779</v>
      </c>
      <c r="D421" s="15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>
        <f t="shared" si="32"/>
        <v>0</v>
      </c>
      <c r="AJ421" s="24"/>
      <c r="AK421" s="15" t="str">
        <f>'Gen Rev'!A421</f>
        <v>Murray City</v>
      </c>
      <c r="AL421" s="15" t="str">
        <f t="shared" si="33"/>
        <v>Murray City</v>
      </c>
      <c r="AM421" s="15" t="b">
        <f t="shared" si="34"/>
        <v>1</v>
      </c>
    </row>
    <row r="422" spans="1:39" ht="12.6" customHeight="1">
      <c r="A422" s="15" t="s">
        <v>288</v>
      </c>
      <c r="C422" s="15" t="s">
        <v>287</v>
      </c>
      <c r="E422" s="36">
        <v>3270.64</v>
      </c>
      <c r="F422" s="36"/>
      <c r="G422" s="36">
        <v>0</v>
      </c>
      <c r="H422" s="36"/>
      <c r="I422" s="36">
        <v>10078.7</v>
      </c>
      <c r="J422" s="36"/>
      <c r="K422" s="36">
        <v>0</v>
      </c>
      <c r="L422" s="36"/>
      <c r="M422" s="36">
        <v>0</v>
      </c>
      <c r="N422" s="36"/>
      <c r="O422" s="36">
        <v>25</v>
      </c>
      <c r="P422" s="36"/>
      <c r="Q422" s="36">
        <v>79.41</v>
      </c>
      <c r="R422" s="36"/>
      <c r="S422" s="36">
        <v>0</v>
      </c>
      <c r="T422" s="36"/>
      <c r="U422" s="36">
        <v>0</v>
      </c>
      <c r="V422" s="36"/>
      <c r="W422" s="36">
        <v>0</v>
      </c>
      <c r="X422" s="36"/>
      <c r="Y422" s="36">
        <v>0</v>
      </c>
      <c r="Z422" s="36"/>
      <c r="AA422" s="36">
        <v>0</v>
      </c>
      <c r="AB422" s="36"/>
      <c r="AC422" s="36">
        <v>0</v>
      </c>
      <c r="AD422" s="36"/>
      <c r="AE422" s="36">
        <v>0</v>
      </c>
      <c r="AF422" s="36"/>
      <c r="AG422" s="36">
        <v>0</v>
      </c>
      <c r="AH422" s="36"/>
      <c r="AI422" s="36">
        <f>SUM(E422:AG422)</f>
        <v>13453.75</v>
      </c>
      <c r="AJ422" s="24"/>
      <c r="AK422" s="15" t="str">
        <f>'Gen Rev'!A422</f>
        <v>Mutual</v>
      </c>
      <c r="AL422" s="15" t="str">
        <f t="shared" si="33"/>
        <v>Mutual</v>
      </c>
      <c r="AM422" s="15" t="b">
        <f t="shared" si="34"/>
        <v>1</v>
      </c>
    </row>
    <row r="423" spans="1:39" ht="12.6" customHeight="1">
      <c r="A423" s="15" t="s">
        <v>951</v>
      </c>
      <c r="C423" s="15" t="s">
        <v>412</v>
      </c>
      <c r="E423" s="36">
        <v>2395.15</v>
      </c>
      <c r="F423" s="36"/>
      <c r="G423" s="36">
        <v>0</v>
      </c>
      <c r="H423" s="36"/>
      <c r="I423" s="36">
        <v>41190.92</v>
      </c>
      <c r="J423" s="36"/>
      <c r="K423" s="36">
        <v>3346.48</v>
      </c>
      <c r="L423" s="36"/>
      <c r="M423" s="36">
        <v>0</v>
      </c>
      <c r="N423" s="36"/>
      <c r="O423" s="36">
        <v>11591.36</v>
      </c>
      <c r="P423" s="36"/>
      <c r="Q423" s="36">
        <v>0</v>
      </c>
      <c r="R423" s="36"/>
      <c r="S423" s="36">
        <v>21254.72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v>0</v>
      </c>
      <c r="AF423" s="36"/>
      <c r="AG423" s="36">
        <v>17224.57</v>
      </c>
      <c r="AH423" s="36"/>
      <c r="AI423" s="36">
        <f>SUM(E423:AG423)</f>
        <v>97003.20000000001</v>
      </c>
      <c r="AJ423" s="24"/>
      <c r="AK423" s="15" t="str">
        <f>'Gen Rev'!A423</f>
        <v>Nashville</v>
      </c>
      <c r="AL423" s="15" t="str">
        <f t="shared" si="33"/>
        <v>Nashville</v>
      </c>
      <c r="AM423" s="15" t="b">
        <f t="shared" si="34"/>
        <v>1</v>
      </c>
    </row>
    <row r="424" spans="1:39" ht="12.75">
      <c r="A424" s="15" t="s">
        <v>548</v>
      </c>
      <c r="C424" s="15" t="s">
        <v>542</v>
      </c>
      <c r="E424" s="85">
        <v>85482</v>
      </c>
      <c r="F424" s="85"/>
      <c r="G424" s="85">
        <v>844709</v>
      </c>
      <c r="H424" s="85"/>
      <c r="I424" s="85">
        <v>233678</v>
      </c>
      <c r="J424" s="85"/>
      <c r="K424" s="85">
        <v>0</v>
      </c>
      <c r="L424" s="85"/>
      <c r="M424" s="85">
        <v>66434</v>
      </c>
      <c r="N424" s="85"/>
      <c r="O424" s="85">
        <v>35251</v>
      </c>
      <c r="P424" s="85"/>
      <c r="Q424" s="85">
        <v>20243</v>
      </c>
      <c r="R424" s="85"/>
      <c r="S424" s="85">
        <v>28007</v>
      </c>
      <c r="T424" s="85"/>
      <c r="U424" s="85">
        <v>0</v>
      </c>
      <c r="V424" s="85"/>
      <c r="W424" s="85">
        <v>0</v>
      </c>
      <c r="X424" s="85"/>
      <c r="Y424" s="85">
        <v>0</v>
      </c>
      <c r="Z424" s="85"/>
      <c r="AA424" s="85">
        <v>800000</v>
      </c>
      <c r="AB424" s="85"/>
      <c r="AC424" s="85">
        <v>0</v>
      </c>
      <c r="AD424" s="85"/>
      <c r="AE424" s="85">
        <v>0</v>
      </c>
      <c r="AF424" s="85"/>
      <c r="AG424" s="85">
        <v>0</v>
      </c>
      <c r="AH424" s="85"/>
      <c r="AI424" s="85">
        <f t="shared" si="32"/>
        <v>2113804</v>
      </c>
      <c r="AJ424" s="24"/>
      <c r="AK424" s="15" t="str">
        <f>'Gen Rev'!A424</f>
        <v>Navarre</v>
      </c>
      <c r="AL424" s="15" t="str">
        <f t="shared" si="33"/>
        <v>Navarre</v>
      </c>
      <c r="AM424" s="15" t="b">
        <f t="shared" si="34"/>
        <v>1</v>
      </c>
    </row>
    <row r="425" spans="1:42" s="31" customFormat="1" ht="12.75">
      <c r="A425" s="15" t="s">
        <v>309</v>
      </c>
      <c r="B425" s="15"/>
      <c r="C425" s="15" t="s">
        <v>308</v>
      </c>
      <c r="D425" s="15"/>
      <c r="E425" s="85">
        <v>7600</v>
      </c>
      <c r="F425" s="85"/>
      <c r="G425" s="85">
        <v>0</v>
      </c>
      <c r="H425" s="85"/>
      <c r="I425" s="85">
        <v>14670</v>
      </c>
      <c r="J425" s="85"/>
      <c r="K425" s="85">
        <v>0</v>
      </c>
      <c r="L425" s="85"/>
      <c r="M425" s="85">
        <v>0</v>
      </c>
      <c r="N425" s="85"/>
      <c r="O425" s="85">
        <v>0</v>
      </c>
      <c r="P425" s="85"/>
      <c r="Q425" s="85">
        <v>0</v>
      </c>
      <c r="R425" s="85"/>
      <c r="S425" s="85">
        <v>4</v>
      </c>
      <c r="T425" s="85"/>
      <c r="U425" s="85">
        <v>0</v>
      </c>
      <c r="V425" s="85"/>
      <c r="W425" s="85">
        <v>0</v>
      </c>
      <c r="X425" s="85"/>
      <c r="Y425" s="85">
        <v>0</v>
      </c>
      <c r="Z425" s="85"/>
      <c r="AA425" s="85">
        <v>0</v>
      </c>
      <c r="AB425" s="85"/>
      <c r="AC425" s="85">
        <v>0</v>
      </c>
      <c r="AD425" s="85"/>
      <c r="AE425" s="85">
        <v>0</v>
      </c>
      <c r="AF425" s="85"/>
      <c r="AG425" s="85">
        <v>0</v>
      </c>
      <c r="AH425" s="85"/>
      <c r="AI425" s="85">
        <f t="shared" si="32"/>
        <v>22274</v>
      </c>
      <c r="AJ425" s="24"/>
      <c r="AK425" s="15" t="str">
        <f>'Gen Rev'!A425</f>
        <v>Nellie</v>
      </c>
      <c r="AL425" s="15" t="str">
        <f t="shared" si="33"/>
        <v>Nellie</v>
      </c>
      <c r="AM425" s="15" t="b">
        <f t="shared" si="34"/>
        <v>1</v>
      </c>
      <c r="AN425" s="32"/>
      <c r="AO425" s="32"/>
      <c r="AP425" s="32"/>
    </row>
    <row r="426" spans="1:39" ht="12.75">
      <c r="A426" s="15" t="s">
        <v>612</v>
      </c>
      <c r="C426" s="15" t="s">
        <v>611</v>
      </c>
      <c r="E426" s="85">
        <v>18965.24</v>
      </c>
      <c r="F426" s="85"/>
      <c r="G426" s="85">
        <v>0</v>
      </c>
      <c r="H426" s="85"/>
      <c r="I426" s="85">
        <v>58858.27</v>
      </c>
      <c r="J426" s="85"/>
      <c r="K426" s="85">
        <v>0</v>
      </c>
      <c r="L426" s="85"/>
      <c r="M426" s="85">
        <v>226879.9</v>
      </c>
      <c r="N426" s="85"/>
      <c r="O426" s="85">
        <v>544</v>
      </c>
      <c r="P426" s="85"/>
      <c r="Q426" s="85">
        <v>0</v>
      </c>
      <c r="R426" s="85"/>
      <c r="S426" s="85">
        <v>1659.1</v>
      </c>
      <c r="T426" s="85"/>
      <c r="U426" s="85">
        <v>0</v>
      </c>
      <c r="V426" s="85"/>
      <c r="W426" s="85">
        <v>0</v>
      </c>
      <c r="X426" s="85"/>
      <c r="Y426" s="85">
        <v>0</v>
      </c>
      <c r="Z426" s="85"/>
      <c r="AA426" s="85">
        <v>85320</v>
      </c>
      <c r="AB426" s="85"/>
      <c r="AC426" s="85">
        <v>0</v>
      </c>
      <c r="AD426" s="85"/>
      <c r="AE426" s="85">
        <v>6317.41</v>
      </c>
      <c r="AF426" s="85"/>
      <c r="AG426" s="85">
        <v>1850</v>
      </c>
      <c r="AH426" s="85"/>
      <c r="AI426" s="85">
        <f t="shared" si="32"/>
        <v>400393.9199999999</v>
      </c>
      <c r="AJ426" s="24"/>
      <c r="AK426" s="15" t="str">
        <f>'Gen Rev'!A426</f>
        <v>Nevada</v>
      </c>
      <c r="AL426" s="15" t="str">
        <f t="shared" si="33"/>
        <v>Nevada</v>
      </c>
      <c r="AM426" s="15" t="b">
        <f t="shared" si="34"/>
        <v>1</v>
      </c>
    </row>
    <row r="427" spans="1:39" ht="12.75">
      <c r="A427" s="15" t="s">
        <v>37</v>
      </c>
      <c r="C427" s="15" t="s">
        <v>756</v>
      </c>
      <c r="E427" s="36">
        <v>2410.72</v>
      </c>
      <c r="F427" s="36"/>
      <c r="G427" s="36">
        <v>0</v>
      </c>
      <c r="H427" s="36"/>
      <c r="I427" s="36">
        <v>22960.2</v>
      </c>
      <c r="J427" s="36"/>
      <c r="K427" s="36">
        <v>0</v>
      </c>
      <c r="L427" s="36"/>
      <c r="M427" s="36">
        <v>5115</v>
      </c>
      <c r="N427" s="36"/>
      <c r="O427" s="36">
        <v>0</v>
      </c>
      <c r="P427" s="36"/>
      <c r="Q427" s="36">
        <v>501.02</v>
      </c>
      <c r="R427" s="36"/>
      <c r="S427" s="36">
        <v>3233.04</v>
      </c>
      <c r="T427" s="36"/>
      <c r="U427" s="36">
        <v>0</v>
      </c>
      <c r="V427" s="36"/>
      <c r="W427" s="36">
        <v>0</v>
      </c>
      <c r="X427" s="36"/>
      <c r="Y427" s="36">
        <v>0</v>
      </c>
      <c r="Z427" s="36"/>
      <c r="AA427" s="36">
        <v>0</v>
      </c>
      <c r="AB427" s="36"/>
      <c r="AC427" s="36">
        <v>0</v>
      </c>
      <c r="AD427" s="36"/>
      <c r="AE427" s="36">
        <v>0</v>
      </c>
      <c r="AF427" s="36"/>
      <c r="AG427" s="36">
        <v>0</v>
      </c>
      <c r="AH427" s="36"/>
      <c r="AI427" s="36">
        <f>SUM(E427:AG427)</f>
        <v>34219.98</v>
      </c>
      <c r="AJ427" s="24"/>
      <c r="AK427" s="15" t="str">
        <f>'Gen Rev'!A427</f>
        <v>Neville</v>
      </c>
      <c r="AL427" s="15" t="str">
        <f t="shared" si="33"/>
        <v>Neville</v>
      </c>
      <c r="AM427" s="15" t="b">
        <f t="shared" si="34"/>
        <v>1</v>
      </c>
    </row>
    <row r="428" spans="1:42" s="31" customFormat="1" ht="12.75" hidden="1">
      <c r="A428" s="15" t="s">
        <v>355</v>
      </c>
      <c r="B428" s="15"/>
      <c r="C428" s="15" t="s">
        <v>353</v>
      </c>
      <c r="D428" s="1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>
        <f t="shared" si="32"/>
        <v>0</v>
      </c>
      <c r="AJ428" s="24"/>
      <c r="AK428" s="15" t="str">
        <f>'Gen Rev'!A428</f>
        <v>New Albany</v>
      </c>
      <c r="AL428" s="15" t="str">
        <f t="shared" si="33"/>
        <v>New Albany</v>
      </c>
      <c r="AM428" s="15" t="b">
        <f t="shared" si="34"/>
        <v>1</v>
      </c>
      <c r="AN428" s="32"/>
      <c r="AO428" s="32"/>
      <c r="AP428" s="32"/>
    </row>
    <row r="429" spans="1:39" ht="12.75">
      <c r="A429" s="15" t="s">
        <v>103</v>
      </c>
      <c r="C429" s="15" t="s">
        <v>776</v>
      </c>
      <c r="E429" s="36">
        <v>23563.17</v>
      </c>
      <c r="F429" s="36"/>
      <c r="G429" s="36">
        <v>0</v>
      </c>
      <c r="H429" s="36"/>
      <c r="I429" s="36">
        <v>42551.02</v>
      </c>
      <c r="J429" s="36"/>
      <c r="K429" s="36">
        <v>0</v>
      </c>
      <c r="L429" s="36"/>
      <c r="M429" s="36">
        <v>0</v>
      </c>
      <c r="N429" s="36"/>
      <c r="O429" s="36">
        <v>1448.6</v>
      </c>
      <c r="P429" s="36"/>
      <c r="Q429" s="36">
        <v>104.79</v>
      </c>
      <c r="R429" s="36"/>
      <c r="S429" s="36">
        <v>3784.15</v>
      </c>
      <c r="T429" s="36"/>
      <c r="U429" s="36">
        <v>0</v>
      </c>
      <c r="V429" s="36"/>
      <c r="W429" s="36">
        <v>0</v>
      </c>
      <c r="X429" s="36"/>
      <c r="Y429" s="36">
        <v>0</v>
      </c>
      <c r="Z429" s="36"/>
      <c r="AA429" s="36">
        <v>0</v>
      </c>
      <c r="AB429" s="36"/>
      <c r="AC429" s="36">
        <v>10000</v>
      </c>
      <c r="AD429" s="36"/>
      <c r="AE429" s="36">
        <v>0</v>
      </c>
      <c r="AF429" s="36"/>
      <c r="AG429" s="36">
        <v>0</v>
      </c>
      <c r="AH429" s="36"/>
      <c r="AI429" s="36">
        <f>SUM(E429:AG429)</f>
        <v>81451.73</v>
      </c>
      <c r="AJ429" s="24"/>
      <c r="AK429" s="15" t="str">
        <f>'Gen Rev'!A429</f>
        <v>New Athens</v>
      </c>
      <c r="AL429" s="15" t="str">
        <f t="shared" si="33"/>
        <v>New Athens</v>
      </c>
      <c r="AM429" s="15" t="b">
        <f t="shared" si="34"/>
        <v>1</v>
      </c>
    </row>
    <row r="430" spans="1:39" s="31" customFormat="1" ht="12.75">
      <c r="A430" s="15" t="s">
        <v>109</v>
      </c>
      <c r="B430" s="15"/>
      <c r="C430" s="15" t="s">
        <v>777</v>
      </c>
      <c r="D430" s="15"/>
      <c r="E430" s="95">
        <v>2315.88</v>
      </c>
      <c r="F430" s="95"/>
      <c r="G430" s="95">
        <v>2441.85</v>
      </c>
      <c r="H430" s="95"/>
      <c r="I430" s="95">
        <v>7625.82</v>
      </c>
      <c r="J430" s="95"/>
      <c r="K430" s="95">
        <v>0</v>
      </c>
      <c r="L430" s="95"/>
      <c r="M430" s="95">
        <v>1170</v>
      </c>
      <c r="N430" s="95"/>
      <c r="O430" s="95">
        <v>0</v>
      </c>
      <c r="P430" s="95"/>
      <c r="Q430" s="95">
        <v>4.02</v>
      </c>
      <c r="R430" s="95"/>
      <c r="S430" s="95">
        <v>1711.73</v>
      </c>
      <c r="T430" s="95"/>
      <c r="U430" s="95">
        <v>0</v>
      </c>
      <c r="V430" s="95"/>
      <c r="W430" s="95">
        <v>0</v>
      </c>
      <c r="X430" s="95"/>
      <c r="Y430" s="95">
        <v>0</v>
      </c>
      <c r="Z430" s="95"/>
      <c r="AA430" s="95">
        <v>0</v>
      </c>
      <c r="AB430" s="95"/>
      <c r="AC430" s="95">
        <v>0</v>
      </c>
      <c r="AD430" s="95"/>
      <c r="AE430" s="95">
        <v>0</v>
      </c>
      <c r="AF430" s="95"/>
      <c r="AG430" s="95">
        <v>0</v>
      </c>
      <c r="AH430" s="95"/>
      <c r="AI430" s="95">
        <f>SUM(E430:AG430)</f>
        <v>15269.3</v>
      </c>
      <c r="AJ430" s="24"/>
      <c r="AK430" s="15" t="str">
        <f>'Gen Rev'!A430</f>
        <v>New Bavaria</v>
      </c>
      <c r="AL430" s="15" t="str">
        <f t="shared" si="33"/>
        <v>New Bavaria</v>
      </c>
      <c r="AM430" s="15" t="b">
        <f t="shared" si="34"/>
        <v>1</v>
      </c>
    </row>
    <row r="431" spans="1:39" ht="12.75">
      <c r="A431" s="15" t="s">
        <v>149</v>
      </c>
      <c r="C431" s="15" t="s">
        <v>463</v>
      </c>
      <c r="E431" s="36">
        <v>11238.55</v>
      </c>
      <c r="F431" s="36"/>
      <c r="G431" s="36">
        <v>28746.33</v>
      </c>
      <c r="H431" s="36"/>
      <c r="I431" s="36">
        <v>28686.1</v>
      </c>
      <c r="J431" s="36"/>
      <c r="K431" s="36">
        <v>0</v>
      </c>
      <c r="L431" s="36"/>
      <c r="M431" s="36">
        <v>0</v>
      </c>
      <c r="N431" s="36"/>
      <c r="O431" s="36">
        <v>2494.6</v>
      </c>
      <c r="P431" s="36"/>
      <c r="Q431" s="36">
        <v>736.28</v>
      </c>
      <c r="R431" s="36"/>
      <c r="S431" s="36">
        <v>244.1</v>
      </c>
      <c r="T431" s="36"/>
      <c r="U431" s="36">
        <v>0</v>
      </c>
      <c r="V431" s="36"/>
      <c r="W431" s="36">
        <v>0</v>
      </c>
      <c r="X431" s="36"/>
      <c r="Y431" s="36">
        <v>0</v>
      </c>
      <c r="Z431" s="36"/>
      <c r="AA431" s="36">
        <v>0</v>
      </c>
      <c r="AB431" s="36"/>
      <c r="AC431" s="36">
        <v>0</v>
      </c>
      <c r="AD431" s="36"/>
      <c r="AE431" s="36">
        <v>0</v>
      </c>
      <c r="AF431" s="36"/>
      <c r="AG431" s="36">
        <v>0</v>
      </c>
      <c r="AH431" s="36"/>
      <c r="AI431" s="36">
        <f>SUM(E431:AG431)</f>
        <v>72145.96000000002</v>
      </c>
      <c r="AJ431" s="24"/>
      <c r="AK431" s="15" t="str">
        <f>'Gen Rev'!A431</f>
        <v>New Bloomington</v>
      </c>
      <c r="AL431" s="15" t="str">
        <f t="shared" si="33"/>
        <v>New Bloomington</v>
      </c>
      <c r="AM431" s="15" t="b">
        <f t="shared" si="34"/>
        <v>1</v>
      </c>
    </row>
    <row r="432" spans="1:39" ht="12.75">
      <c r="A432" s="15" t="s">
        <v>530</v>
      </c>
      <c r="C432" s="15" t="s">
        <v>531</v>
      </c>
      <c r="E432" s="36">
        <v>685863.75</v>
      </c>
      <c r="F432" s="36"/>
      <c r="G432" s="36">
        <v>1392125.19</v>
      </c>
      <c r="H432" s="36"/>
      <c r="I432" s="36">
        <v>347671.85</v>
      </c>
      <c r="J432" s="36"/>
      <c r="K432" s="36">
        <v>0</v>
      </c>
      <c r="L432" s="36"/>
      <c r="M432" s="36">
        <v>29150.85</v>
      </c>
      <c r="N432" s="36"/>
      <c r="O432" s="36">
        <v>64698.16</v>
      </c>
      <c r="P432" s="36"/>
      <c r="Q432" s="36">
        <v>465.33</v>
      </c>
      <c r="R432" s="36"/>
      <c r="S432" s="36">
        <f>76887.85+23067.18</f>
        <v>99955.03</v>
      </c>
      <c r="T432" s="36"/>
      <c r="U432" s="36">
        <v>215011.8</v>
      </c>
      <c r="V432" s="36"/>
      <c r="W432" s="36">
        <v>0</v>
      </c>
      <c r="X432" s="36"/>
      <c r="Y432" s="36">
        <v>2940</v>
      </c>
      <c r="Z432" s="36"/>
      <c r="AA432" s="36">
        <v>161081.15</v>
      </c>
      <c r="AB432" s="36"/>
      <c r="AC432" s="36">
        <v>0</v>
      </c>
      <c r="AD432" s="36"/>
      <c r="AE432" s="36">
        <v>0</v>
      </c>
      <c r="AF432" s="36"/>
      <c r="AG432" s="36">
        <v>180</v>
      </c>
      <c r="AH432" s="36"/>
      <c r="AI432" s="36">
        <f>SUM(E432:AG432)</f>
        <v>2999143.11</v>
      </c>
      <c r="AJ432" s="24"/>
      <c r="AK432" s="15" t="str">
        <f>'Gen Rev'!A432</f>
        <v>New Boston</v>
      </c>
      <c r="AL432" s="15" t="str">
        <f t="shared" si="33"/>
        <v>New Boston</v>
      </c>
      <c r="AM432" s="15" t="b">
        <f t="shared" si="34"/>
        <v>1</v>
      </c>
    </row>
    <row r="433" spans="1:39" ht="12.6" customHeight="1">
      <c r="A433" s="15" t="s">
        <v>277</v>
      </c>
      <c r="C433" s="15" t="s">
        <v>275</v>
      </c>
      <c r="E433" s="85">
        <v>267065</v>
      </c>
      <c r="F433" s="85"/>
      <c r="G433" s="85">
        <v>2766399</v>
      </c>
      <c r="H433" s="85"/>
      <c r="I433" s="85">
        <v>363634</v>
      </c>
      <c r="J433" s="85"/>
      <c r="K433" s="85">
        <v>19723</v>
      </c>
      <c r="L433" s="85"/>
      <c r="M433" s="85">
        <v>44393</v>
      </c>
      <c r="N433" s="85"/>
      <c r="O433" s="85">
        <v>12743</v>
      </c>
      <c r="P433" s="85"/>
      <c r="Q433" s="85">
        <v>9705</v>
      </c>
      <c r="R433" s="85"/>
      <c r="S433" s="85">
        <v>20475</v>
      </c>
      <c r="T433" s="85"/>
      <c r="U433" s="85">
        <v>0</v>
      </c>
      <c r="V433" s="85"/>
      <c r="W433" s="85">
        <v>0</v>
      </c>
      <c r="X433" s="85"/>
      <c r="Y433" s="85">
        <v>2896</v>
      </c>
      <c r="Z433" s="85"/>
      <c r="AA433" s="85">
        <v>239000</v>
      </c>
      <c r="AB433" s="85"/>
      <c r="AC433" s="85">
        <v>0</v>
      </c>
      <c r="AD433" s="85"/>
      <c r="AE433" s="85">
        <v>0</v>
      </c>
      <c r="AF433" s="85"/>
      <c r="AG433" s="85">
        <v>0</v>
      </c>
      <c r="AH433" s="85"/>
      <c r="AI433" s="85">
        <f t="shared" si="32"/>
        <v>3746033</v>
      </c>
      <c r="AJ433" s="24"/>
      <c r="AK433" s="15" t="str">
        <f>'Gen Rev'!A433</f>
        <v>New Bremen</v>
      </c>
      <c r="AL433" s="15" t="str">
        <f t="shared" si="33"/>
        <v>New Bremen</v>
      </c>
      <c r="AM433" s="15" t="b">
        <f t="shared" si="34"/>
        <v>1</v>
      </c>
    </row>
    <row r="434" spans="1:39" ht="12.75">
      <c r="A434" s="15" t="s">
        <v>487</v>
      </c>
      <c r="C434" s="15" t="s">
        <v>485</v>
      </c>
      <c r="E434" s="85">
        <v>751439.12</v>
      </c>
      <c r="F434" s="85"/>
      <c r="G434" s="85">
        <v>0</v>
      </c>
      <c r="H434" s="85"/>
      <c r="I434" s="85">
        <v>158523.63</v>
      </c>
      <c r="J434" s="85"/>
      <c r="K434" s="85">
        <v>17405.34</v>
      </c>
      <c r="L434" s="85"/>
      <c r="M434" s="85">
        <v>1308031.73</v>
      </c>
      <c r="N434" s="85"/>
      <c r="O434" s="85">
        <v>48492.62</v>
      </c>
      <c r="P434" s="85"/>
      <c r="Q434" s="85">
        <v>0</v>
      </c>
      <c r="R434" s="85"/>
      <c r="S434" s="85">
        <v>85599.82</v>
      </c>
      <c r="T434" s="85"/>
      <c r="U434" s="85">
        <v>0</v>
      </c>
      <c r="V434" s="85"/>
      <c r="W434" s="85">
        <v>1300175.3</v>
      </c>
      <c r="X434" s="85"/>
      <c r="Y434" s="85">
        <v>0</v>
      </c>
      <c r="Z434" s="85"/>
      <c r="AA434" s="85">
        <v>276684</v>
      </c>
      <c r="AB434" s="85"/>
      <c r="AC434" s="85">
        <v>0</v>
      </c>
      <c r="AD434" s="85"/>
      <c r="AE434" s="85">
        <v>0</v>
      </c>
      <c r="AF434" s="85"/>
      <c r="AG434" s="85">
        <v>3146</v>
      </c>
      <c r="AH434" s="85"/>
      <c r="AI434" s="85">
        <f t="shared" si="32"/>
        <v>3949497.5599999996</v>
      </c>
      <c r="AJ434" s="24"/>
      <c r="AK434" s="15" t="str">
        <f>'Gen Rev'!A434</f>
        <v>New Concord</v>
      </c>
      <c r="AL434" s="15" t="str">
        <f t="shared" si="33"/>
        <v>New Concord</v>
      </c>
      <c r="AM434" s="15" t="b">
        <f t="shared" si="34"/>
        <v>1</v>
      </c>
    </row>
    <row r="435" spans="1:39" ht="12.75">
      <c r="A435" s="15" t="s">
        <v>189</v>
      </c>
      <c r="C435" s="15" t="s">
        <v>804</v>
      </c>
      <c r="E435" s="36">
        <v>77331.96</v>
      </c>
      <c r="F435" s="36"/>
      <c r="G435" s="36">
        <v>0</v>
      </c>
      <c r="H435" s="36"/>
      <c r="I435" s="36">
        <v>72133.8</v>
      </c>
      <c r="J435" s="36"/>
      <c r="K435" s="36">
        <v>0</v>
      </c>
      <c r="L435" s="36"/>
      <c r="M435" s="36">
        <v>1205</v>
      </c>
      <c r="N435" s="36"/>
      <c r="O435" s="36">
        <v>1881.2</v>
      </c>
      <c r="P435" s="36"/>
      <c r="Q435" s="36">
        <v>2311.57</v>
      </c>
      <c r="R435" s="36"/>
      <c r="S435" s="36">
        <v>2175.32</v>
      </c>
      <c r="T435" s="36"/>
      <c r="U435" s="36">
        <v>0</v>
      </c>
      <c r="V435" s="36"/>
      <c r="W435" s="36">
        <v>0</v>
      </c>
      <c r="X435" s="36"/>
      <c r="Y435" s="36">
        <v>0</v>
      </c>
      <c r="Z435" s="36"/>
      <c r="AA435" s="36">
        <v>0</v>
      </c>
      <c r="AB435" s="36"/>
      <c r="AC435" s="36">
        <v>0</v>
      </c>
      <c r="AD435" s="36"/>
      <c r="AE435" s="36">
        <v>0</v>
      </c>
      <c r="AF435" s="36"/>
      <c r="AG435" s="36">
        <v>0</v>
      </c>
      <c r="AH435" s="36"/>
      <c r="AI435" s="36">
        <f>SUM(E435:AG435)</f>
        <v>157038.85000000003</v>
      </c>
      <c r="AJ435" s="24"/>
      <c r="AK435" s="15" t="str">
        <f>'Gen Rev'!A435</f>
        <v>New Holland</v>
      </c>
      <c r="AL435" s="15" t="str">
        <f t="shared" si="33"/>
        <v>New Holland</v>
      </c>
      <c r="AM435" s="15" t="b">
        <f t="shared" si="34"/>
        <v>1</v>
      </c>
    </row>
    <row r="436" spans="1:39" ht="12.75">
      <c r="A436" s="15" t="s">
        <v>12</v>
      </c>
      <c r="C436" s="15" t="s">
        <v>749</v>
      </c>
      <c r="E436" s="36">
        <v>93306.74</v>
      </c>
      <c r="F436" s="36"/>
      <c r="G436" s="36">
        <v>286543.28</v>
      </c>
      <c r="H436" s="36"/>
      <c r="I436" s="36">
        <v>135362.96</v>
      </c>
      <c r="J436" s="36"/>
      <c r="K436" s="36">
        <v>8432.26</v>
      </c>
      <c r="L436" s="36"/>
      <c r="M436" s="36">
        <v>90564.56</v>
      </c>
      <c r="N436" s="36"/>
      <c r="O436" s="36">
        <v>4083.07</v>
      </c>
      <c r="P436" s="36"/>
      <c r="Q436" s="36">
        <v>3246.46</v>
      </c>
      <c r="R436" s="36"/>
      <c r="S436" s="36">
        <f>14401.93+4443.63</f>
        <v>18845.56</v>
      </c>
      <c r="T436" s="36"/>
      <c r="U436" s="36">
        <v>0</v>
      </c>
      <c r="V436" s="36"/>
      <c r="W436" s="36">
        <v>0</v>
      </c>
      <c r="X436" s="36"/>
      <c r="Y436" s="36">
        <v>7977</v>
      </c>
      <c r="Z436" s="36"/>
      <c r="AA436" s="36">
        <v>66500.32</v>
      </c>
      <c r="AB436" s="36"/>
      <c r="AC436" s="36">
        <v>6000</v>
      </c>
      <c r="AD436" s="36"/>
      <c r="AE436" s="36">
        <v>0</v>
      </c>
      <c r="AF436" s="36"/>
      <c r="AG436" s="36">
        <v>0</v>
      </c>
      <c r="AH436" s="36"/>
      <c r="AI436" s="36">
        <f>SUM(E436:AG436)</f>
        <v>720862.21</v>
      </c>
      <c r="AJ436" s="24"/>
      <c r="AK436" s="15" t="str">
        <f>'Gen Rev'!A436</f>
        <v>New Knoxville</v>
      </c>
      <c r="AL436" s="15" t="str">
        <f t="shared" si="33"/>
        <v>New Knoxville</v>
      </c>
      <c r="AM436" s="15" t="b">
        <f t="shared" si="34"/>
        <v>1</v>
      </c>
    </row>
    <row r="437" spans="1:39" ht="12.75">
      <c r="A437" s="15" t="s">
        <v>481</v>
      </c>
      <c r="C437" s="15" t="s">
        <v>479</v>
      </c>
      <c r="E437" s="85">
        <v>618931</v>
      </c>
      <c r="F437" s="85"/>
      <c r="G437" s="85">
        <v>693518</v>
      </c>
      <c r="H437" s="85"/>
      <c r="I437" s="85">
        <v>1274208</v>
      </c>
      <c r="J437" s="85"/>
      <c r="K437" s="85">
        <v>54100</v>
      </c>
      <c r="L437" s="85"/>
      <c r="M437" s="85">
        <v>235694</v>
      </c>
      <c r="N437" s="85"/>
      <c r="O437" s="85">
        <v>9770</v>
      </c>
      <c r="P437" s="85"/>
      <c r="Q437" s="85">
        <v>6273</v>
      </c>
      <c r="R437" s="85"/>
      <c r="S437" s="85">
        <v>301602</v>
      </c>
      <c r="T437" s="85"/>
      <c r="U437" s="85">
        <v>0</v>
      </c>
      <c r="V437" s="85"/>
      <c r="W437" s="85">
        <v>495000</v>
      </c>
      <c r="X437" s="85"/>
      <c r="Y437" s="85">
        <v>6105</v>
      </c>
      <c r="Z437" s="85"/>
      <c r="AA437" s="85">
        <v>861311</v>
      </c>
      <c r="AB437" s="85"/>
      <c r="AC437" s="85">
        <v>0</v>
      </c>
      <c r="AD437" s="85"/>
      <c r="AE437" s="85">
        <v>22260</v>
      </c>
      <c r="AF437" s="85"/>
      <c r="AG437" s="85">
        <v>0</v>
      </c>
      <c r="AH437" s="85"/>
      <c r="AI437" s="85">
        <f t="shared" si="32"/>
        <v>4578772</v>
      </c>
      <c r="AJ437" s="24"/>
      <c r="AK437" s="15" t="str">
        <f>'Gen Rev'!A437</f>
        <v>New Lebanon</v>
      </c>
      <c r="AL437" s="15" t="str">
        <f t="shared" si="33"/>
        <v>New Lebanon</v>
      </c>
      <c r="AM437" s="15" t="b">
        <f t="shared" si="34"/>
        <v>1</v>
      </c>
    </row>
    <row r="438" spans="1:39" s="31" customFormat="1" ht="12.75">
      <c r="A438" s="15" t="s">
        <v>417</v>
      </c>
      <c r="B438" s="15"/>
      <c r="C438" s="15" t="s">
        <v>416</v>
      </c>
      <c r="D438" s="15"/>
      <c r="E438" s="85">
        <f>68853+7844</f>
        <v>76697</v>
      </c>
      <c r="F438" s="85"/>
      <c r="G438" s="85">
        <v>400868</v>
      </c>
      <c r="H438" s="85"/>
      <c r="I438" s="85">
        <f>141348+119660</f>
        <v>261008</v>
      </c>
      <c r="J438" s="85"/>
      <c r="K438" s="85">
        <v>0</v>
      </c>
      <c r="L438" s="85"/>
      <c r="M438" s="85">
        <f>18340+13600+42172</f>
        <v>74112</v>
      </c>
      <c r="N438" s="85"/>
      <c r="O438" s="85">
        <f>11961+391</f>
        <v>12352</v>
      </c>
      <c r="P438" s="85"/>
      <c r="Q438" s="85">
        <f>11691+22+325</f>
        <v>12038</v>
      </c>
      <c r="R438" s="85"/>
      <c r="S438" s="85">
        <f>36771+14595+7548</f>
        <v>58914</v>
      </c>
      <c r="T438" s="85"/>
      <c r="U438" s="85">
        <v>0</v>
      </c>
      <c r="V438" s="85"/>
      <c r="W438" s="85">
        <v>0</v>
      </c>
      <c r="X438" s="85"/>
      <c r="Y438" s="85">
        <v>2450</v>
      </c>
      <c r="Z438" s="85"/>
      <c r="AA438" s="85">
        <f>361540+34094</f>
        <v>395634</v>
      </c>
      <c r="AB438" s="85"/>
      <c r="AC438" s="85">
        <v>2500</v>
      </c>
      <c r="AD438" s="85"/>
      <c r="AE438" s="85">
        <v>0</v>
      </c>
      <c r="AF438" s="85"/>
      <c r="AG438" s="85">
        <v>0</v>
      </c>
      <c r="AH438" s="85"/>
      <c r="AI438" s="85">
        <f t="shared" si="32"/>
        <v>1296573</v>
      </c>
      <c r="AJ438" s="24"/>
      <c r="AK438" s="15" t="str">
        <f>'Gen Rev'!A438</f>
        <v>New London</v>
      </c>
      <c r="AL438" s="15" t="str">
        <f t="shared" si="33"/>
        <v>New London</v>
      </c>
      <c r="AM438" s="15" t="b">
        <f t="shared" si="34"/>
        <v>1</v>
      </c>
    </row>
    <row r="439" spans="1:42" ht="12.75">
      <c r="A439" s="15" t="s">
        <v>53</v>
      </c>
      <c r="C439" s="15" t="s">
        <v>762</v>
      </c>
      <c r="E439" s="36">
        <v>89643.32</v>
      </c>
      <c r="F439" s="36"/>
      <c r="G439" s="36">
        <v>115478.47</v>
      </c>
      <c r="H439" s="36"/>
      <c r="I439" s="36">
        <v>157685.88</v>
      </c>
      <c r="J439" s="36"/>
      <c r="K439" s="36">
        <v>325.83</v>
      </c>
      <c r="L439" s="36"/>
      <c r="M439" s="36">
        <v>65411.67</v>
      </c>
      <c r="N439" s="36"/>
      <c r="O439" s="36">
        <v>60</v>
      </c>
      <c r="P439" s="36"/>
      <c r="Q439" s="36">
        <v>2989.9</v>
      </c>
      <c r="R439" s="36"/>
      <c r="S439" s="36">
        <v>9866</v>
      </c>
      <c r="T439" s="36"/>
      <c r="U439" s="36">
        <v>0</v>
      </c>
      <c r="V439" s="36"/>
      <c r="W439" s="36">
        <v>0</v>
      </c>
      <c r="X439" s="36"/>
      <c r="Y439" s="36">
        <v>0</v>
      </c>
      <c r="Z439" s="36"/>
      <c r="AA439" s="36">
        <v>0</v>
      </c>
      <c r="AB439" s="36"/>
      <c r="AC439" s="36">
        <v>0</v>
      </c>
      <c r="AD439" s="36"/>
      <c r="AE439" s="36">
        <v>0</v>
      </c>
      <c r="AF439" s="36"/>
      <c r="AG439" s="36">
        <v>0</v>
      </c>
      <c r="AH439" s="36"/>
      <c r="AI439" s="36">
        <f aca="true" t="shared" si="36" ref="AI439:AI444">SUM(E439:AG439)</f>
        <v>441461.07000000007</v>
      </c>
      <c r="AJ439" s="39"/>
      <c r="AK439" s="15" t="str">
        <f>'Gen Rev'!A439</f>
        <v>New Madison</v>
      </c>
      <c r="AL439" s="15" t="str">
        <f t="shared" si="33"/>
        <v>New Madison</v>
      </c>
      <c r="AM439" s="15" t="b">
        <f t="shared" si="34"/>
        <v>1</v>
      </c>
      <c r="AN439" s="30"/>
      <c r="AO439" s="30"/>
      <c r="AP439" s="30"/>
    </row>
    <row r="440" spans="1:42" ht="12.75">
      <c r="A440" s="15" t="s">
        <v>952</v>
      </c>
      <c r="C440" s="15" t="s">
        <v>519</v>
      </c>
      <c r="E440" s="36">
        <v>130043.53</v>
      </c>
      <c r="F440" s="36"/>
      <c r="G440" s="36">
        <v>112354.8</v>
      </c>
      <c r="H440" s="36"/>
      <c r="I440" s="36">
        <v>286797.41</v>
      </c>
      <c r="J440" s="36"/>
      <c r="K440" s="36">
        <v>19047.77</v>
      </c>
      <c r="L440" s="36"/>
      <c r="M440" s="36">
        <v>41647.65</v>
      </c>
      <c r="N440" s="36"/>
      <c r="O440" s="36">
        <v>50082.38</v>
      </c>
      <c r="P440" s="36"/>
      <c r="Q440" s="36">
        <v>1593.63</v>
      </c>
      <c r="R440" s="36"/>
      <c r="S440" s="36">
        <v>2335.86</v>
      </c>
      <c r="T440" s="36"/>
      <c r="U440" s="36">
        <v>0</v>
      </c>
      <c r="V440" s="36"/>
      <c r="W440" s="36">
        <v>0</v>
      </c>
      <c r="X440" s="36"/>
      <c r="Y440" s="36">
        <v>79000</v>
      </c>
      <c r="Z440" s="36"/>
      <c r="AA440" s="36">
        <v>0</v>
      </c>
      <c r="AB440" s="36"/>
      <c r="AC440" s="36">
        <v>628.16</v>
      </c>
      <c r="AD440" s="36"/>
      <c r="AE440" s="36">
        <v>0</v>
      </c>
      <c r="AF440" s="36"/>
      <c r="AG440" s="36">
        <v>0</v>
      </c>
      <c r="AH440" s="36"/>
      <c r="AI440" s="36">
        <f t="shared" si="36"/>
        <v>723531.1900000001</v>
      </c>
      <c r="AJ440" s="39"/>
      <c r="AK440" s="15" t="str">
        <f>'Gen Rev'!A440</f>
        <v>New Miami</v>
      </c>
      <c r="AL440" s="15" t="str">
        <f t="shared" si="33"/>
        <v>New Miami</v>
      </c>
      <c r="AM440" s="15" t="b">
        <f t="shared" si="34"/>
        <v>1</v>
      </c>
      <c r="AN440" s="30"/>
      <c r="AO440" s="30"/>
      <c r="AP440" s="30"/>
    </row>
    <row r="441" spans="1:39" ht="12.75">
      <c r="A441" s="15" t="s">
        <v>145</v>
      </c>
      <c r="C441" s="15" t="s">
        <v>790</v>
      </c>
      <c r="E441" s="36">
        <v>335737.08</v>
      </c>
      <c r="F441" s="36"/>
      <c r="G441" s="36">
        <v>0</v>
      </c>
      <c r="H441" s="36"/>
      <c r="I441" s="36">
        <v>304480.94</v>
      </c>
      <c r="J441" s="36"/>
      <c r="K441" s="36">
        <v>9389.07</v>
      </c>
      <c r="L441" s="36"/>
      <c r="M441" s="36">
        <v>38500</v>
      </c>
      <c r="N441" s="36"/>
      <c r="O441" s="36">
        <v>41709.15</v>
      </c>
      <c r="P441" s="36"/>
      <c r="Q441" s="36">
        <v>131.8</v>
      </c>
      <c r="R441" s="36"/>
      <c r="S441" s="36">
        <v>80578.01</v>
      </c>
      <c r="T441" s="36"/>
      <c r="U441" s="36">
        <v>0</v>
      </c>
      <c r="V441" s="36"/>
      <c r="W441" s="36">
        <v>0</v>
      </c>
      <c r="X441" s="36"/>
      <c r="Y441" s="36">
        <v>0</v>
      </c>
      <c r="Z441" s="36"/>
      <c r="AA441" s="36">
        <v>50000</v>
      </c>
      <c r="AB441" s="36"/>
      <c r="AC441" s="36">
        <v>92000</v>
      </c>
      <c r="AD441" s="36"/>
      <c r="AE441" s="36">
        <v>48562.72</v>
      </c>
      <c r="AF441" s="36"/>
      <c r="AG441" s="36">
        <v>0</v>
      </c>
      <c r="AH441" s="36"/>
      <c r="AI441" s="36">
        <f t="shared" si="36"/>
        <v>1001088.77</v>
      </c>
      <c r="AJ441" s="24"/>
      <c r="AK441" s="15" t="str">
        <f>'Gen Rev'!A441</f>
        <v>New Middleton</v>
      </c>
      <c r="AL441" s="15" t="str">
        <f t="shared" si="33"/>
        <v>New Middleton</v>
      </c>
      <c r="AM441" s="15" t="b">
        <f t="shared" si="34"/>
        <v>1</v>
      </c>
    </row>
    <row r="442" spans="1:39" ht="12.75">
      <c r="A442" s="15" t="s">
        <v>511</v>
      </c>
      <c r="C442" s="15" t="s">
        <v>510</v>
      </c>
      <c r="E442" s="36">
        <v>127236.98</v>
      </c>
      <c r="F442" s="36"/>
      <c r="G442" s="36">
        <v>0</v>
      </c>
      <c r="H442" s="36"/>
      <c r="I442" s="36">
        <v>196376.63</v>
      </c>
      <c r="J442" s="36"/>
      <c r="K442" s="36">
        <v>0</v>
      </c>
      <c r="L442" s="36"/>
      <c r="M442" s="36">
        <v>105.8</v>
      </c>
      <c r="N442" s="36"/>
      <c r="O442" s="36">
        <v>5167.25</v>
      </c>
      <c r="P442" s="36"/>
      <c r="Q442" s="36">
        <v>1353.35</v>
      </c>
      <c r="R442" s="36"/>
      <c r="S442" s="36">
        <v>606.15</v>
      </c>
      <c r="T442" s="36"/>
      <c r="U442" s="36">
        <v>0</v>
      </c>
      <c r="V442" s="36"/>
      <c r="W442" s="36">
        <v>0</v>
      </c>
      <c r="X442" s="36"/>
      <c r="Y442" s="36">
        <v>0</v>
      </c>
      <c r="Z442" s="36"/>
      <c r="AA442" s="36">
        <v>105220.36</v>
      </c>
      <c r="AB442" s="36"/>
      <c r="AC442" s="36">
        <v>0</v>
      </c>
      <c r="AD442" s="36"/>
      <c r="AE442" s="36">
        <v>0</v>
      </c>
      <c r="AF442" s="36"/>
      <c r="AG442" s="36">
        <v>0</v>
      </c>
      <c r="AH442" s="36"/>
      <c r="AI442" s="36">
        <f t="shared" si="36"/>
        <v>436066.51999999996</v>
      </c>
      <c r="AJ442" s="24"/>
      <c r="AK442" s="15" t="str">
        <f>'Gen Rev'!A442</f>
        <v>New Paris</v>
      </c>
      <c r="AL442" s="15" t="str">
        <f t="shared" si="33"/>
        <v>New Paris</v>
      </c>
      <c r="AM442" s="15" t="b">
        <f t="shared" si="34"/>
        <v>1</v>
      </c>
    </row>
    <row r="443" spans="1:39" s="24" customFormat="1" ht="12.75">
      <c r="A443" s="24" t="s">
        <v>38</v>
      </c>
      <c r="C443" s="24" t="s">
        <v>756</v>
      </c>
      <c r="E443" s="95">
        <v>1005280.6</v>
      </c>
      <c r="F443" s="95"/>
      <c r="G443" s="95">
        <v>406457.34</v>
      </c>
      <c r="H443" s="95"/>
      <c r="I443" s="95">
        <v>712340.42</v>
      </c>
      <c r="J443" s="95"/>
      <c r="K443" s="95">
        <v>18976.06</v>
      </c>
      <c r="L443" s="95"/>
      <c r="M443" s="95">
        <v>14375</v>
      </c>
      <c r="N443" s="95"/>
      <c r="O443" s="95">
        <v>63692.36</v>
      </c>
      <c r="P443" s="95"/>
      <c r="Q443" s="95">
        <v>5395.78</v>
      </c>
      <c r="R443" s="95"/>
      <c r="S443" s="95">
        <v>153225.97</v>
      </c>
      <c r="T443" s="95"/>
      <c r="U443" s="95">
        <v>0</v>
      </c>
      <c r="V443" s="95"/>
      <c r="W443" s="95">
        <v>54246.32</v>
      </c>
      <c r="X443" s="95"/>
      <c r="Y443" s="95">
        <v>0</v>
      </c>
      <c r="Z443" s="95"/>
      <c r="AA443" s="95">
        <v>172096.94</v>
      </c>
      <c r="AB443" s="95"/>
      <c r="AC443" s="95">
        <v>319877.3</v>
      </c>
      <c r="AD443" s="95"/>
      <c r="AE443" s="95">
        <v>0</v>
      </c>
      <c r="AF443" s="95"/>
      <c r="AG443" s="95">
        <v>0</v>
      </c>
      <c r="AH443" s="95"/>
      <c r="AI443" s="95">
        <f t="shared" si="36"/>
        <v>2925964.0899999994</v>
      </c>
      <c r="AK443" s="15" t="str">
        <f>'Gen Rev'!A443</f>
        <v>New Richmond</v>
      </c>
      <c r="AL443" s="15" t="str">
        <f t="shared" si="33"/>
        <v>New Richmond</v>
      </c>
      <c r="AM443" s="15" t="b">
        <f t="shared" si="34"/>
        <v>1</v>
      </c>
    </row>
    <row r="444" spans="1:39" s="31" customFormat="1" ht="12.75">
      <c r="A444" s="15" t="s">
        <v>220</v>
      </c>
      <c r="B444" s="15"/>
      <c r="C444" s="15" t="s">
        <v>813</v>
      </c>
      <c r="D444" s="15"/>
      <c r="E444" s="36">
        <v>168833.44</v>
      </c>
      <c r="F444" s="36"/>
      <c r="G444" s="36">
        <v>69164.29</v>
      </c>
      <c r="H444" s="36"/>
      <c r="I444" s="36">
        <v>65347.16</v>
      </c>
      <c r="J444" s="36"/>
      <c r="K444" s="36">
        <v>0</v>
      </c>
      <c r="L444" s="36"/>
      <c r="M444" s="36">
        <v>43</v>
      </c>
      <c r="N444" s="36"/>
      <c r="O444" s="36">
        <v>3252</v>
      </c>
      <c r="P444" s="36"/>
      <c r="Q444" s="36">
        <v>690.57</v>
      </c>
      <c r="R444" s="36"/>
      <c r="S444" s="36">
        <v>646.41</v>
      </c>
      <c r="T444" s="36"/>
      <c r="U444" s="36">
        <v>0</v>
      </c>
      <c r="V444" s="36"/>
      <c r="W444" s="36">
        <v>0</v>
      </c>
      <c r="X444" s="36"/>
      <c r="Y444" s="36">
        <v>0</v>
      </c>
      <c r="Z444" s="36"/>
      <c r="AA444" s="36">
        <v>0</v>
      </c>
      <c r="AB444" s="36"/>
      <c r="AC444" s="36">
        <v>0</v>
      </c>
      <c r="AD444" s="36"/>
      <c r="AE444" s="36">
        <v>0</v>
      </c>
      <c r="AF444" s="36"/>
      <c r="AG444" s="36">
        <v>0</v>
      </c>
      <c r="AH444" s="36"/>
      <c r="AI444" s="36">
        <f t="shared" si="36"/>
        <v>307976.87</v>
      </c>
      <c r="AJ444" s="24"/>
      <c r="AK444" s="15" t="str">
        <f>'Gen Rev'!A444</f>
        <v>New Riegel</v>
      </c>
      <c r="AL444" s="15" t="str">
        <f t="shared" si="33"/>
        <v>New Riegel</v>
      </c>
      <c r="AM444" s="15" t="b">
        <f t="shared" si="34"/>
        <v>1</v>
      </c>
    </row>
    <row r="445" spans="1:39" ht="12.75">
      <c r="A445" s="15" t="s">
        <v>707</v>
      </c>
      <c r="C445" s="15" t="s">
        <v>501</v>
      </c>
      <c r="E445" s="85">
        <v>84557</v>
      </c>
      <c r="F445" s="85"/>
      <c r="G445" s="85">
        <v>0</v>
      </c>
      <c r="H445" s="85"/>
      <c r="I445" s="85">
        <v>40554</v>
      </c>
      <c r="J445" s="85"/>
      <c r="K445" s="85">
        <v>12621</v>
      </c>
      <c r="L445" s="85"/>
      <c r="M445" s="85">
        <v>23008</v>
      </c>
      <c r="N445" s="85"/>
      <c r="O445" s="85">
        <v>95</v>
      </c>
      <c r="P445" s="85"/>
      <c r="Q445" s="85">
        <v>0</v>
      </c>
      <c r="R445" s="85"/>
      <c r="S445" s="85">
        <v>11452</v>
      </c>
      <c r="T445" s="85"/>
      <c r="U445" s="85">
        <v>0</v>
      </c>
      <c r="V445" s="85"/>
      <c r="W445" s="85">
        <v>0</v>
      </c>
      <c r="X445" s="85"/>
      <c r="Y445" s="85">
        <v>0</v>
      </c>
      <c r="Z445" s="85"/>
      <c r="AA445" s="85">
        <v>21278</v>
      </c>
      <c r="AB445" s="85"/>
      <c r="AC445" s="85">
        <v>0</v>
      </c>
      <c r="AD445" s="85"/>
      <c r="AE445" s="85">
        <v>0</v>
      </c>
      <c r="AF445" s="85"/>
      <c r="AG445" s="85">
        <v>0</v>
      </c>
      <c r="AH445" s="85"/>
      <c r="AI445" s="85">
        <f t="shared" si="32"/>
        <v>193565</v>
      </c>
      <c r="AJ445" s="24"/>
      <c r="AK445" s="15" t="str">
        <f>'Gen Rev'!A445</f>
        <v>New Straitsville</v>
      </c>
      <c r="AL445" s="15" t="str">
        <f t="shared" si="33"/>
        <v>New Straitsville</v>
      </c>
      <c r="AM445" s="15" t="b">
        <f t="shared" si="34"/>
        <v>1</v>
      </c>
    </row>
    <row r="446" spans="1:42" ht="12.75">
      <c r="A446" s="15" t="s">
        <v>41</v>
      </c>
      <c r="C446" s="15" t="s">
        <v>757</v>
      </c>
      <c r="E446" s="36">
        <v>69770.38</v>
      </c>
      <c r="F446" s="36"/>
      <c r="G446" s="36">
        <v>0</v>
      </c>
      <c r="H446" s="36"/>
      <c r="I446" s="36">
        <v>87211.94</v>
      </c>
      <c r="J446" s="36"/>
      <c r="K446" s="36">
        <v>237655.12</v>
      </c>
      <c r="L446" s="36"/>
      <c r="M446" s="36">
        <v>0</v>
      </c>
      <c r="N446" s="36"/>
      <c r="O446" s="36">
        <v>6189.51</v>
      </c>
      <c r="P446" s="36"/>
      <c r="Q446" s="36">
        <v>822.42</v>
      </c>
      <c r="R446" s="36"/>
      <c r="S446" s="36">
        <v>7536.52</v>
      </c>
      <c r="T446" s="36"/>
      <c r="U446" s="36">
        <v>0</v>
      </c>
      <c r="V446" s="36"/>
      <c r="W446" s="36">
        <v>0</v>
      </c>
      <c r="X446" s="36"/>
      <c r="Y446" s="36">
        <v>0</v>
      </c>
      <c r="Z446" s="36"/>
      <c r="AA446" s="36">
        <v>0</v>
      </c>
      <c r="AB446" s="36"/>
      <c r="AC446" s="36">
        <v>5337</v>
      </c>
      <c r="AD446" s="36"/>
      <c r="AE446" s="36">
        <v>0</v>
      </c>
      <c r="AF446" s="36"/>
      <c r="AG446" s="36">
        <v>0</v>
      </c>
      <c r="AH446" s="36"/>
      <c r="AI446" s="36">
        <f>SUM(E446:AG446)</f>
        <v>414522.89</v>
      </c>
      <c r="AJ446" s="24"/>
      <c r="AK446" s="15" t="str">
        <f>'Gen Rev'!A446</f>
        <v>New Vienna</v>
      </c>
      <c r="AL446" s="15" t="str">
        <f t="shared" si="33"/>
        <v>New Vienna</v>
      </c>
      <c r="AM446" s="15" t="b">
        <f t="shared" si="34"/>
        <v>1</v>
      </c>
      <c r="AN446" s="30"/>
      <c r="AO446" s="30"/>
      <c r="AP446" s="30"/>
    </row>
    <row r="447" spans="1:42" s="31" customFormat="1" ht="12.6" customHeight="1">
      <c r="A447" s="15" t="s">
        <v>313</v>
      </c>
      <c r="B447" s="15"/>
      <c r="C447" s="15" t="s">
        <v>312</v>
      </c>
      <c r="D447" s="15"/>
      <c r="E447" s="36">
        <v>70252.1</v>
      </c>
      <c r="F447" s="36"/>
      <c r="G447" s="36">
        <v>309296.81</v>
      </c>
      <c r="H447" s="36"/>
      <c r="I447" s="36">
        <v>83310.57</v>
      </c>
      <c r="J447" s="36"/>
      <c r="K447" s="36">
        <v>4912.5</v>
      </c>
      <c r="L447" s="36"/>
      <c r="M447" s="36">
        <v>14105.57</v>
      </c>
      <c r="N447" s="36"/>
      <c r="O447" s="36">
        <v>8694.56</v>
      </c>
      <c r="P447" s="36"/>
      <c r="Q447" s="36">
        <v>2293.28</v>
      </c>
      <c r="R447" s="36"/>
      <c r="S447" s="36">
        <v>303335.19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60000</v>
      </c>
      <c r="AB447" s="36"/>
      <c r="AC447" s="36">
        <v>26384.8</v>
      </c>
      <c r="AD447" s="36"/>
      <c r="AE447" s="36">
        <v>0</v>
      </c>
      <c r="AF447" s="36"/>
      <c r="AG447" s="36">
        <v>23</v>
      </c>
      <c r="AH447" s="36"/>
      <c r="AI447" s="36">
        <f>SUM(E447:AG447)</f>
        <v>882608.3800000001</v>
      </c>
      <c r="AJ447" s="24"/>
      <c r="AK447" s="15" t="str">
        <f>'Gen Rev'!A447</f>
        <v>New Washington</v>
      </c>
      <c r="AL447" s="15" t="str">
        <f t="shared" si="33"/>
        <v>New Washington</v>
      </c>
      <c r="AM447" s="15" t="b">
        <f t="shared" si="34"/>
        <v>1</v>
      </c>
      <c r="AN447" s="32"/>
      <c r="AO447" s="32"/>
      <c r="AP447" s="32"/>
    </row>
    <row r="448" spans="1:42" s="31" customFormat="1" ht="12.75">
      <c r="A448" s="15" t="s">
        <v>854</v>
      </c>
      <c r="B448" s="15"/>
      <c r="C448" s="15" t="s">
        <v>758</v>
      </c>
      <c r="D448" s="15"/>
      <c r="E448" s="36">
        <v>63219.66</v>
      </c>
      <c r="F448" s="36"/>
      <c r="G448" s="36">
        <v>0</v>
      </c>
      <c r="H448" s="36"/>
      <c r="I448" s="36">
        <v>114139.45</v>
      </c>
      <c r="J448" s="36"/>
      <c r="K448" s="36">
        <v>0</v>
      </c>
      <c r="L448" s="36"/>
      <c r="M448" s="36">
        <v>59500</v>
      </c>
      <c r="N448" s="36"/>
      <c r="O448" s="36">
        <v>41202.83</v>
      </c>
      <c r="P448" s="36"/>
      <c r="Q448" s="36">
        <v>831.36</v>
      </c>
      <c r="R448" s="36"/>
      <c r="S448" s="36">
        <v>5580.2</v>
      </c>
      <c r="T448" s="36"/>
      <c r="U448" s="36">
        <v>0</v>
      </c>
      <c r="V448" s="36"/>
      <c r="W448" s="36">
        <v>0</v>
      </c>
      <c r="X448" s="36"/>
      <c r="Y448" s="36">
        <v>0</v>
      </c>
      <c r="Z448" s="36"/>
      <c r="AA448" s="36">
        <v>120500</v>
      </c>
      <c r="AB448" s="36"/>
      <c r="AC448" s="36">
        <v>0</v>
      </c>
      <c r="AD448" s="36"/>
      <c r="AE448" s="36">
        <v>8647.58</v>
      </c>
      <c r="AF448" s="36"/>
      <c r="AG448" s="36">
        <v>0</v>
      </c>
      <c r="AH448" s="36"/>
      <c r="AI448" s="36">
        <f>SUM(E448:AG448)</f>
        <v>413621.08</v>
      </c>
      <c r="AJ448" s="24"/>
      <c r="AK448" s="15" t="str">
        <f>'Gen Rev'!A448</f>
        <v>New Waterford</v>
      </c>
      <c r="AL448" s="15" t="str">
        <f t="shared" si="33"/>
        <v>New Waterford</v>
      </c>
      <c r="AM448" s="15" t="b">
        <f t="shared" si="34"/>
        <v>1</v>
      </c>
      <c r="AN448" s="32"/>
      <c r="AO448" s="32"/>
      <c r="AP448" s="32"/>
    </row>
    <row r="449" spans="1:42" s="72" customFormat="1" ht="12.6" customHeight="1">
      <c r="A449" s="39" t="s">
        <v>333</v>
      </c>
      <c r="B449" s="39"/>
      <c r="C449" s="39" t="s">
        <v>329</v>
      </c>
      <c r="D449" s="39"/>
      <c r="E449" s="85">
        <v>7768</v>
      </c>
      <c r="F449" s="85"/>
      <c r="G449" s="85">
        <v>0</v>
      </c>
      <c r="H449" s="85"/>
      <c r="I449" s="85">
        <v>37096</v>
      </c>
      <c r="J449" s="85"/>
      <c r="K449" s="85">
        <v>26595</v>
      </c>
      <c r="L449" s="85"/>
      <c r="M449" s="85">
        <v>0</v>
      </c>
      <c r="N449" s="85"/>
      <c r="O449" s="85">
        <v>0</v>
      </c>
      <c r="P449" s="85"/>
      <c r="Q449" s="85">
        <v>0</v>
      </c>
      <c r="R449" s="85"/>
      <c r="S449" s="85">
        <v>263</v>
      </c>
      <c r="T449" s="85"/>
      <c r="U449" s="85">
        <v>0</v>
      </c>
      <c r="V449" s="85"/>
      <c r="W449" s="85">
        <v>0</v>
      </c>
      <c r="X449" s="85"/>
      <c r="Y449" s="85">
        <v>0</v>
      </c>
      <c r="Z449" s="85"/>
      <c r="AA449" s="85">
        <v>0</v>
      </c>
      <c r="AB449" s="85"/>
      <c r="AC449" s="85">
        <v>0</v>
      </c>
      <c r="AD449" s="85"/>
      <c r="AE449" s="85">
        <v>0</v>
      </c>
      <c r="AF449" s="85"/>
      <c r="AG449" s="85">
        <v>0</v>
      </c>
      <c r="AH449" s="85"/>
      <c r="AI449" s="85">
        <f t="shared" si="32"/>
        <v>71722</v>
      </c>
      <c r="AJ449" s="39"/>
      <c r="AK449" s="15" t="str">
        <f>'Gen Rev'!A449</f>
        <v>New Weston</v>
      </c>
      <c r="AL449" s="15" t="str">
        <f t="shared" si="33"/>
        <v>New Weston</v>
      </c>
      <c r="AM449" s="15" t="b">
        <f t="shared" si="34"/>
        <v>1</v>
      </c>
      <c r="AN449" s="81"/>
      <c r="AO449" s="81"/>
      <c r="AP449" s="81"/>
    </row>
    <row r="450" spans="1:42" s="31" customFormat="1" ht="12.6" customHeight="1">
      <c r="A450" s="15" t="s">
        <v>324</v>
      </c>
      <c r="B450" s="15"/>
      <c r="C450" s="15" t="s">
        <v>316</v>
      </c>
      <c r="D450" s="15"/>
      <c r="E450" s="85">
        <v>469372</v>
      </c>
      <c r="F450" s="85"/>
      <c r="G450" s="85">
        <v>652908</v>
      </c>
      <c r="H450" s="85"/>
      <c r="I450" s="85">
        <v>377261</v>
      </c>
      <c r="J450" s="85"/>
      <c r="K450" s="85">
        <v>0</v>
      </c>
      <c r="L450" s="85"/>
      <c r="M450" s="85">
        <v>70164</v>
      </c>
      <c r="N450" s="85"/>
      <c r="O450" s="85">
        <v>413294</v>
      </c>
      <c r="P450" s="85"/>
      <c r="Q450" s="85">
        <v>0</v>
      </c>
      <c r="R450" s="85"/>
      <c r="S450" s="85">
        <v>147324</v>
      </c>
      <c r="T450" s="85"/>
      <c r="U450" s="85">
        <v>400000</v>
      </c>
      <c r="V450" s="85"/>
      <c r="W450" s="85">
        <v>0</v>
      </c>
      <c r="X450" s="85"/>
      <c r="Y450" s="85">
        <v>0</v>
      </c>
      <c r="Z450" s="85"/>
      <c r="AA450" s="85">
        <v>13421</v>
      </c>
      <c r="AB450" s="85"/>
      <c r="AC450" s="85">
        <v>0</v>
      </c>
      <c r="AD450" s="85"/>
      <c r="AE450" s="85">
        <v>0</v>
      </c>
      <c r="AF450" s="85"/>
      <c r="AG450" s="85">
        <v>0</v>
      </c>
      <c r="AH450" s="85"/>
      <c r="AI450" s="85">
        <f t="shared" si="32"/>
        <v>2543744</v>
      </c>
      <c r="AJ450" s="24"/>
      <c r="AK450" s="15" t="str">
        <f>'Gen Rev'!A450</f>
        <v>Newburgh Heights</v>
      </c>
      <c r="AL450" s="15" t="str">
        <f t="shared" si="33"/>
        <v>Newburgh Heights</v>
      </c>
      <c r="AM450" s="15" t="b">
        <f t="shared" si="34"/>
        <v>1</v>
      </c>
      <c r="AN450" s="32"/>
      <c r="AO450" s="32"/>
      <c r="AP450" s="32"/>
    </row>
    <row r="451" spans="1:39" ht="12.75">
      <c r="A451" s="15" t="s">
        <v>566</v>
      </c>
      <c r="C451" s="15" t="s">
        <v>562</v>
      </c>
      <c r="E451" s="85">
        <v>125159</v>
      </c>
      <c r="F451" s="85"/>
      <c r="G451" s="85">
        <v>970090</v>
      </c>
      <c r="H451" s="85"/>
      <c r="I451" s="85">
        <v>444989</v>
      </c>
      <c r="J451" s="85"/>
      <c r="K451" s="85">
        <v>2775</v>
      </c>
      <c r="L451" s="85"/>
      <c r="M451" s="85">
        <v>62804</v>
      </c>
      <c r="N451" s="85"/>
      <c r="O451" s="85">
        <v>35487</v>
      </c>
      <c r="P451" s="85"/>
      <c r="Q451" s="85">
        <v>11695</v>
      </c>
      <c r="R451" s="85"/>
      <c r="S451" s="85">
        <f>3851+4971+33380</f>
        <v>42202</v>
      </c>
      <c r="T451" s="85"/>
      <c r="U451" s="85">
        <v>0</v>
      </c>
      <c r="V451" s="85"/>
      <c r="W451" s="85">
        <v>0</v>
      </c>
      <c r="X451" s="85"/>
      <c r="Y451" s="85">
        <v>0</v>
      </c>
      <c r="Z451" s="85"/>
      <c r="AA451" s="85">
        <v>37000</v>
      </c>
      <c r="AB451" s="85"/>
      <c r="AC451" s="85">
        <v>0</v>
      </c>
      <c r="AD451" s="85"/>
      <c r="AE451" s="85">
        <v>0</v>
      </c>
      <c r="AF451" s="85"/>
      <c r="AG451" s="85">
        <v>0</v>
      </c>
      <c r="AH451" s="85"/>
      <c r="AI451" s="85">
        <f t="shared" si="32"/>
        <v>1732201</v>
      </c>
      <c r="AJ451" s="24"/>
      <c r="AK451" s="15" t="str">
        <f>'Gen Rev'!A451</f>
        <v>Newcomerstown</v>
      </c>
      <c r="AL451" s="15" t="str">
        <f t="shared" si="33"/>
        <v>Newcomerstown</v>
      </c>
      <c r="AM451" s="15" t="b">
        <f t="shared" si="34"/>
        <v>1</v>
      </c>
    </row>
    <row r="452" spans="1:39" ht="12.75">
      <c r="A452" s="15" t="s">
        <v>964</v>
      </c>
      <c r="C452" s="15" t="s">
        <v>817</v>
      </c>
      <c r="E452" s="85">
        <v>133568</v>
      </c>
      <c r="F452" s="85"/>
      <c r="G452" s="85">
        <v>766382</v>
      </c>
      <c r="H452" s="85"/>
      <c r="I452" s="85">
        <v>874230</v>
      </c>
      <c r="J452" s="85"/>
      <c r="K452" s="85">
        <v>0</v>
      </c>
      <c r="L452" s="85"/>
      <c r="M452" s="85">
        <v>57815</v>
      </c>
      <c r="N452" s="85"/>
      <c r="O452" s="85">
        <v>1051080</v>
      </c>
      <c r="P452" s="85"/>
      <c r="Q452" s="85">
        <v>112108</v>
      </c>
      <c r="R452" s="85"/>
      <c r="S452" s="85">
        <v>693483</v>
      </c>
      <c r="T452" s="85"/>
      <c r="U452" s="85">
        <v>0</v>
      </c>
      <c r="V452" s="85"/>
      <c r="W452" s="85">
        <v>0</v>
      </c>
      <c r="X452" s="85"/>
      <c r="Y452" s="85">
        <v>0</v>
      </c>
      <c r="Z452" s="85"/>
      <c r="AA452" s="85">
        <v>136021</v>
      </c>
      <c r="AB452" s="85"/>
      <c r="AC452" s="85">
        <v>0</v>
      </c>
      <c r="AD452" s="85"/>
      <c r="AE452" s="85">
        <v>0</v>
      </c>
      <c r="AF452" s="85"/>
      <c r="AG452" s="85">
        <v>0</v>
      </c>
      <c r="AH452" s="85"/>
      <c r="AI452" s="85">
        <f t="shared" si="32"/>
        <v>3824687</v>
      </c>
      <c r="AJ452" s="24"/>
      <c r="AK452" s="15" t="str">
        <f>'Gen Rev'!A452</f>
        <v>Newton Falls</v>
      </c>
      <c r="AL452" s="15" t="str">
        <f t="shared" si="33"/>
        <v>Newton Falls</v>
      </c>
      <c r="AM452" s="15" t="b">
        <f t="shared" si="34"/>
        <v>1</v>
      </c>
    </row>
    <row r="453" spans="1:39" ht="12.6" customHeight="1">
      <c r="A453" s="15" t="s">
        <v>688</v>
      </c>
      <c r="C453" s="15" t="s">
        <v>295</v>
      </c>
      <c r="E453" s="95">
        <v>9918.17</v>
      </c>
      <c r="F453" s="95"/>
      <c r="G453" s="95">
        <v>0</v>
      </c>
      <c r="H453" s="95"/>
      <c r="I453" s="95">
        <v>54282.92</v>
      </c>
      <c r="J453" s="95"/>
      <c r="K453" s="95">
        <v>0</v>
      </c>
      <c r="L453" s="95"/>
      <c r="M453" s="95">
        <v>0</v>
      </c>
      <c r="N453" s="95"/>
      <c r="O453" s="95">
        <v>10772.94</v>
      </c>
      <c r="P453" s="95"/>
      <c r="Q453" s="95">
        <v>141.33</v>
      </c>
      <c r="R453" s="95"/>
      <c r="S453" s="95">
        <v>1307.27</v>
      </c>
      <c r="T453" s="95"/>
      <c r="U453" s="95">
        <v>0</v>
      </c>
      <c r="V453" s="95"/>
      <c r="W453" s="95">
        <v>0</v>
      </c>
      <c r="X453" s="95"/>
      <c r="Y453" s="95">
        <v>0</v>
      </c>
      <c r="Z453" s="95"/>
      <c r="AA453" s="95">
        <v>0</v>
      </c>
      <c r="AB453" s="95"/>
      <c r="AC453" s="95">
        <v>0</v>
      </c>
      <c r="AD453" s="95"/>
      <c r="AE453" s="95">
        <v>0</v>
      </c>
      <c r="AF453" s="95"/>
      <c r="AG453" s="95">
        <v>0</v>
      </c>
      <c r="AH453" s="95"/>
      <c r="AI453" s="95">
        <f>SUM(E453:AG453)</f>
        <v>76422.63</v>
      </c>
      <c r="AJ453" s="24"/>
      <c r="AK453" s="15" t="str">
        <f>'Gen Rev'!A453</f>
        <v>Newtonville</v>
      </c>
      <c r="AL453" s="15" t="str">
        <f t="shared" si="33"/>
        <v>Newtonville</v>
      </c>
      <c r="AM453" s="15" t="b">
        <f t="shared" si="34"/>
        <v>1</v>
      </c>
    </row>
    <row r="454" spans="1:39" s="31" customFormat="1" ht="12.75">
      <c r="A454" s="15" t="s">
        <v>96</v>
      </c>
      <c r="B454" s="15"/>
      <c r="C454" s="15" t="s">
        <v>773</v>
      </c>
      <c r="D454" s="15"/>
      <c r="E454" s="36">
        <v>222437.05</v>
      </c>
      <c r="F454" s="36"/>
      <c r="G454" s="36">
        <v>1330002.27</v>
      </c>
      <c r="H454" s="36"/>
      <c r="I454" s="36">
        <v>346006.28</v>
      </c>
      <c r="J454" s="36"/>
      <c r="K454" s="36">
        <v>0</v>
      </c>
      <c r="L454" s="36"/>
      <c r="M454" s="36">
        <v>17681.5</v>
      </c>
      <c r="N454" s="36"/>
      <c r="O454" s="36">
        <v>157811.36</v>
      </c>
      <c r="P454" s="36"/>
      <c r="Q454" s="36">
        <v>646.88</v>
      </c>
      <c r="R454" s="36"/>
      <c r="S454" s="36">
        <v>64140.84</v>
      </c>
      <c r="T454" s="36"/>
      <c r="U454" s="36">
        <v>0</v>
      </c>
      <c r="V454" s="36"/>
      <c r="W454" s="36">
        <v>0</v>
      </c>
      <c r="X454" s="36"/>
      <c r="Y454" s="36">
        <v>54000</v>
      </c>
      <c r="Z454" s="36"/>
      <c r="AA454" s="36">
        <v>109143.23</v>
      </c>
      <c r="AB454" s="36"/>
      <c r="AC454" s="36">
        <v>10575.04</v>
      </c>
      <c r="AD454" s="36"/>
      <c r="AE454" s="36">
        <v>0</v>
      </c>
      <c r="AF454" s="36"/>
      <c r="AG454" s="36">
        <v>0</v>
      </c>
      <c r="AH454" s="36"/>
      <c r="AI454" s="36">
        <f>SUM(E454:AG454)</f>
        <v>2312444.4499999997</v>
      </c>
      <c r="AJ454" s="24"/>
      <c r="AK454" s="15" t="str">
        <f>'Gen Rev'!A454</f>
        <v>Newtown</v>
      </c>
      <c r="AL454" s="15" t="str">
        <f t="shared" si="33"/>
        <v>Newtown</v>
      </c>
      <c r="AM454" s="15" t="b">
        <f t="shared" si="34"/>
        <v>1</v>
      </c>
    </row>
    <row r="455" spans="1:42" ht="12.75">
      <c r="A455" s="15" t="s">
        <v>55</v>
      </c>
      <c r="C455" s="15" t="s">
        <v>763</v>
      </c>
      <c r="E455" s="36">
        <v>13570.1</v>
      </c>
      <c r="F455" s="36"/>
      <c r="G455" s="36">
        <v>0</v>
      </c>
      <c r="H455" s="36"/>
      <c r="I455" s="36">
        <v>107778.86</v>
      </c>
      <c r="J455" s="36"/>
      <c r="K455" s="36">
        <v>4082.65</v>
      </c>
      <c r="L455" s="36"/>
      <c r="M455" s="36">
        <v>0</v>
      </c>
      <c r="N455" s="36"/>
      <c r="O455" s="36">
        <v>0</v>
      </c>
      <c r="P455" s="36"/>
      <c r="Q455" s="36">
        <v>231.45</v>
      </c>
      <c r="R455" s="36"/>
      <c r="S455" s="36">
        <v>1725.77</v>
      </c>
      <c r="T455" s="36"/>
      <c r="U455" s="36">
        <v>0</v>
      </c>
      <c r="V455" s="36"/>
      <c r="W455" s="36">
        <v>0</v>
      </c>
      <c r="X455" s="36"/>
      <c r="Y455" s="36">
        <v>0</v>
      </c>
      <c r="Z455" s="36"/>
      <c r="AA455" s="36">
        <v>0</v>
      </c>
      <c r="AB455" s="36"/>
      <c r="AC455" s="36">
        <v>0</v>
      </c>
      <c r="AD455" s="36"/>
      <c r="AE455" s="36">
        <v>1079.24</v>
      </c>
      <c r="AF455" s="36"/>
      <c r="AG455" s="36">
        <v>0</v>
      </c>
      <c r="AH455" s="36"/>
      <c r="AI455" s="36">
        <f>SUM(E455:AG455)</f>
        <v>128468.07</v>
      </c>
      <c r="AJ455" s="24"/>
      <c r="AK455" s="15" t="str">
        <f>'Gen Rev'!A455</f>
        <v>Ney</v>
      </c>
      <c r="AL455" s="15" t="str">
        <f t="shared" si="33"/>
        <v>Ney</v>
      </c>
      <c r="AM455" s="15" t="b">
        <f t="shared" si="34"/>
        <v>1</v>
      </c>
      <c r="AN455" s="30"/>
      <c r="AO455" s="30"/>
      <c r="AP455" s="30"/>
    </row>
    <row r="456" spans="1:39" ht="12.75">
      <c r="A456" s="15" t="s">
        <v>607</v>
      </c>
      <c r="C456" s="15" t="s">
        <v>603</v>
      </c>
      <c r="E456" s="85">
        <v>305695</v>
      </c>
      <c r="F456" s="85"/>
      <c r="G456" s="85">
        <v>611384</v>
      </c>
      <c r="H456" s="85"/>
      <c r="I456" s="85">
        <v>156686</v>
      </c>
      <c r="J456" s="85"/>
      <c r="K456" s="85">
        <v>268284</v>
      </c>
      <c r="L456" s="85"/>
      <c r="M456" s="85">
        <v>56646</v>
      </c>
      <c r="N456" s="85"/>
      <c r="O456" s="85">
        <v>115532</v>
      </c>
      <c r="P456" s="85"/>
      <c r="Q456" s="85">
        <v>17833</v>
      </c>
      <c r="R456" s="85"/>
      <c r="S456" s="85">
        <v>89455</v>
      </c>
      <c r="T456" s="85"/>
      <c r="U456" s="85">
        <v>0</v>
      </c>
      <c r="V456" s="85"/>
      <c r="W456" s="85">
        <v>0</v>
      </c>
      <c r="X456" s="85"/>
      <c r="Y456" s="85">
        <v>0</v>
      </c>
      <c r="Z456" s="85"/>
      <c r="AA456" s="85">
        <v>466673</v>
      </c>
      <c r="AB456" s="85"/>
      <c r="AC456" s="85">
        <v>0</v>
      </c>
      <c r="AD456" s="85"/>
      <c r="AE456" s="85">
        <v>0</v>
      </c>
      <c r="AF456" s="85"/>
      <c r="AG456" s="85">
        <v>0</v>
      </c>
      <c r="AH456" s="85"/>
      <c r="AI456" s="85">
        <f t="shared" si="32"/>
        <v>2088188</v>
      </c>
      <c r="AJ456" s="24"/>
      <c r="AK456" s="15" t="str">
        <f>'Gen Rev'!A456</f>
        <v>North Baltimore</v>
      </c>
      <c r="AL456" s="15" t="str">
        <f t="shared" si="33"/>
        <v>North Baltimore</v>
      </c>
      <c r="AM456" s="15" t="b">
        <f t="shared" si="34"/>
        <v>1</v>
      </c>
    </row>
    <row r="457" spans="1:39" ht="12.75">
      <c r="A457" s="15" t="s">
        <v>97</v>
      </c>
      <c r="C457" s="15" t="s">
        <v>773</v>
      </c>
      <c r="E457" s="36">
        <v>325001.99</v>
      </c>
      <c r="F457" s="36"/>
      <c r="G457" s="36">
        <v>0</v>
      </c>
      <c r="H457" s="36"/>
      <c r="I457" s="36">
        <v>126134.5</v>
      </c>
      <c r="J457" s="36"/>
      <c r="K457" s="36">
        <v>4429.9</v>
      </c>
      <c r="L457" s="36"/>
      <c r="M457" s="36">
        <v>2016</v>
      </c>
      <c r="N457" s="36"/>
      <c r="O457" s="36">
        <v>18686</v>
      </c>
      <c r="P457" s="36"/>
      <c r="Q457" s="36">
        <v>1488.59</v>
      </c>
      <c r="R457" s="36"/>
      <c r="S457" s="36">
        <v>3544.44</v>
      </c>
      <c r="T457" s="36"/>
      <c r="U457" s="36">
        <v>0</v>
      </c>
      <c r="V457" s="36"/>
      <c r="W457" s="36">
        <v>0</v>
      </c>
      <c r="X457" s="36"/>
      <c r="Y457" s="36">
        <v>0</v>
      </c>
      <c r="Z457" s="36"/>
      <c r="AA457" s="36">
        <v>80000</v>
      </c>
      <c r="AB457" s="36"/>
      <c r="AC457" s="36">
        <v>0</v>
      </c>
      <c r="AD457" s="36"/>
      <c r="AE457" s="36">
        <v>0</v>
      </c>
      <c r="AF457" s="36"/>
      <c r="AG457" s="36">
        <v>0</v>
      </c>
      <c r="AH457" s="36"/>
      <c r="AI457" s="36">
        <f aca="true" t="shared" si="37" ref="AI457:AI462">SUM(E457:AG457)</f>
        <v>561301.42</v>
      </c>
      <c r="AJ457" s="24"/>
      <c r="AK457" s="15" t="str">
        <f>'Gen Rev'!A457</f>
        <v>North Bend</v>
      </c>
      <c r="AL457" s="15" t="str">
        <f t="shared" si="33"/>
        <v>North Bend</v>
      </c>
      <c r="AM457" s="15" t="b">
        <f t="shared" si="34"/>
        <v>1</v>
      </c>
    </row>
    <row r="458" spans="1:39" ht="12.75">
      <c r="A458" s="15" t="s">
        <v>418</v>
      </c>
      <c r="C458" s="15" t="s">
        <v>416</v>
      </c>
      <c r="E458" s="36">
        <v>21432.98</v>
      </c>
      <c r="F458" s="36"/>
      <c r="G458" s="36">
        <v>0</v>
      </c>
      <c r="H458" s="36"/>
      <c r="I458" s="36">
        <v>74457.98</v>
      </c>
      <c r="J458" s="36"/>
      <c r="K458" s="36">
        <v>0</v>
      </c>
      <c r="L458" s="36"/>
      <c r="M458" s="36">
        <v>26242.81</v>
      </c>
      <c r="N458" s="36"/>
      <c r="O458" s="36">
        <v>4772.5</v>
      </c>
      <c r="P458" s="36"/>
      <c r="Q458" s="36">
        <v>632.81</v>
      </c>
      <c r="R458" s="36"/>
      <c r="S458" s="36">
        <v>0</v>
      </c>
      <c r="T458" s="36"/>
      <c r="U458" s="36">
        <v>0</v>
      </c>
      <c r="V458" s="36"/>
      <c r="W458" s="36">
        <v>0</v>
      </c>
      <c r="X458" s="36"/>
      <c r="Y458" s="36">
        <v>0</v>
      </c>
      <c r="Z458" s="36"/>
      <c r="AA458" s="36">
        <v>0</v>
      </c>
      <c r="AB458" s="36"/>
      <c r="AC458" s="36">
        <v>0</v>
      </c>
      <c r="AD458" s="36"/>
      <c r="AE458" s="36">
        <v>129.07</v>
      </c>
      <c r="AF458" s="36"/>
      <c r="AG458" s="36">
        <v>0</v>
      </c>
      <c r="AH458" s="36"/>
      <c r="AI458" s="36">
        <f t="shared" si="37"/>
        <v>127668.15</v>
      </c>
      <c r="AJ458" s="24"/>
      <c r="AK458" s="15" t="str">
        <f>'Gen Rev'!A458</f>
        <v>North Fairfield</v>
      </c>
      <c r="AL458" s="15" t="str">
        <f t="shared" si="33"/>
        <v>North Fairfield</v>
      </c>
      <c r="AM458" s="15" t="b">
        <f t="shared" si="34"/>
        <v>1</v>
      </c>
    </row>
    <row r="459" spans="1:39" ht="12.6" customHeight="1">
      <c r="A459" s="15" t="s">
        <v>293</v>
      </c>
      <c r="C459" s="15" t="s">
        <v>292</v>
      </c>
      <c r="E459" s="36">
        <v>21292.7</v>
      </c>
      <c r="F459" s="36"/>
      <c r="G459" s="36">
        <v>0</v>
      </c>
      <c r="H459" s="36"/>
      <c r="I459" s="36">
        <v>35537.53</v>
      </c>
      <c r="J459" s="36"/>
      <c r="K459" s="36">
        <v>0</v>
      </c>
      <c r="L459" s="36"/>
      <c r="M459" s="36">
        <v>0</v>
      </c>
      <c r="N459" s="36"/>
      <c r="O459" s="36">
        <v>174066.5</v>
      </c>
      <c r="P459" s="36"/>
      <c r="Q459" s="36">
        <v>54.61</v>
      </c>
      <c r="R459" s="36"/>
      <c r="S459" s="36">
        <v>7475.74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v>0</v>
      </c>
      <c r="AF459" s="36"/>
      <c r="AG459" s="36">
        <v>250</v>
      </c>
      <c r="AH459" s="36"/>
      <c r="AI459" s="36">
        <f t="shared" si="37"/>
        <v>238677.07999999996</v>
      </c>
      <c r="AJ459" s="24"/>
      <c r="AK459" s="15" t="str">
        <f>'Gen Rev'!A459</f>
        <v>North Hampton</v>
      </c>
      <c r="AL459" s="15" t="str">
        <f t="shared" si="33"/>
        <v>North Hampton</v>
      </c>
      <c r="AM459" s="15" t="b">
        <f t="shared" si="34"/>
        <v>1</v>
      </c>
    </row>
    <row r="460" spans="1:42" ht="12.6" customHeight="1">
      <c r="A460" s="15" t="s">
        <v>689</v>
      </c>
      <c r="C460" s="15" t="s">
        <v>674</v>
      </c>
      <c r="E460" s="36">
        <v>281580.34</v>
      </c>
      <c r="F460" s="36"/>
      <c r="G460" s="36">
        <v>588994.94</v>
      </c>
      <c r="H460" s="36"/>
      <c r="I460" s="36">
        <v>252883.35</v>
      </c>
      <c r="J460" s="36"/>
      <c r="K460" s="36">
        <v>12438.41</v>
      </c>
      <c r="L460" s="36"/>
      <c r="M460" s="36">
        <v>34770.11</v>
      </c>
      <c r="N460" s="36"/>
      <c r="O460" s="36">
        <v>201053.48</v>
      </c>
      <c r="P460" s="36"/>
      <c r="Q460" s="36">
        <v>170.17</v>
      </c>
      <c r="R460" s="36"/>
      <c r="S460" s="36">
        <v>52208.27</v>
      </c>
      <c r="T460" s="36"/>
      <c r="U460" s="36">
        <v>120000</v>
      </c>
      <c r="V460" s="36"/>
      <c r="W460" s="36">
        <v>0</v>
      </c>
      <c r="X460" s="36"/>
      <c r="Y460" s="36">
        <v>3032</v>
      </c>
      <c r="Z460" s="36"/>
      <c r="AA460" s="36">
        <v>116408.77</v>
      </c>
      <c r="AB460" s="36"/>
      <c r="AC460" s="36">
        <v>2800</v>
      </c>
      <c r="AD460" s="36"/>
      <c r="AE460" s="36">
        <v>0</v>
      </c>
      <c r="AF460" s="36"/>
      <c r="AG460" s="36">
        <v>0</v>
      </c>
      <c r="AH460" s="36"/>
      <c r="AI460" s="36">
        <f t="shared" si="37"/>
        <v>1666339.84</v>
      </c>
      <c r="AJ460" s="24"/>
      <c r="AK460" s="15" t="str">
        <f>'Gen Rev'!A460</f>
        <v>North Kingsville</v>
      </c>
      <c r="AL460" s="15" t="str">
        <f t="shared" si="33"/>
        <v>North Kingsville</v>
      </c>
      <c r="AM460" s="15" t="b">
        <f t="shared" si="34"/>
        <v>1</v>
      </c>
      <c r="AN460" s="30"/>
      <c r="AO460" s="30"/>
      <c r="AP460" s="30"/>
    </row>
    <row r="461" spans="1:39" ht="12.6" customHeight="1">
      <c r="A461" s="15" t="s">
        <v>289</v>
      </c>
      <c r="C461" s="15" t="s">
        <v>287</v>
      </c>
      <c r="E461" s="36">
        <v>45699.23</v>
      </c>
      <c r="F461" s="36"/>
      <c r="G461" s="36">
        <v>191022.54</v>
      </c>
      <c r="H461" s="36"/>
      <c r="I461" s="36">
        <v>77771.9</v>
      </c>
      <c r="J461" s="36"/>
      <c r="K461" s="36">
        <v>0</v>
      </c>
      <c r="L461" s="36"/>
      <c r="M461" s="36">
        <v>0</v>
      </c>
      <c r="N461" s="36"/>
      <c r="O461" s="36">
        <v>20084.01</v>
      </c>
      <c r="P461" s="36"/>
      <c r="Q461" s="36">
        <v>2591.88</v>
      </c>
      <c r="R461" s="36"/>
      <c r="S461" s="36">
        <v>0</v>
      </c>
      <c r="T461" s="36"/>
      <c r="U461" s="36">
        <v>0</v>
      </c>
      <c r="V461" s="36"/>
      <c r="W461" s="36">
        <v>0</v>
      </c>
      <c r="X461" s="36"/>
      <c r="Y461" s="36">
        <v>0</v>
      </c>
      <c r="Z461" s="36"/>
      <c r="AA461" s="36">
        <v>0</v>
      </c>
      <c r="AB461" s="36"/>
      <c r="AC461" s="36">
        <v>0</v>
      </c>
      <c r="AD461" s="36"/>
      <c r="AE461" s="36">
        <v>31632.78</v>
      </c>
      <c r="AF461" s="36"/>
      <c r="AG461" s="36">
        <v>0</v>
      </c>
      <c r="AH461" s="36"/>
      <c r="AI461" s="36">
        <f t="shared" si="37"/>
        <v>368802.3400000001</v>
      </c>
      <c r="AJ461" s="24"/>
      <c r="AK461" s="15" t="str">
        <f>'Gen Rev'!A461</f>
        <v>North Lewisburg</v>
      </c>
      <c r="AL461" s="15" t="str">
        <f t="shared" si="33"/>
        <v>North Lewisburg</v>
      </c>
      <c r="AM461" s="15" t="b">
        <f t="shared" si="34"/>
        <v>1</v>
      </c>
    </row>
    <row r="462" spans="1:39" s="31" customFormat="1" ht="12.75">
      <c r="A462" s="15" t="s">
        <v>124</v>
      </c>
      <c r="B462" s="15"/>
      <c r="C462" s="15" t="s">
        <v>783</v>
      </c>
      <c r="D462" s="15"/>
      <c r="E462" s="36">
        <v>547483.26</v>
      </c>
      <c r="F462" s="36"/>
      <c r="G462" s="36">
        <v>1678934.06</v>
      </c>
      <c r="H462" s="36"/>
      <c r="I462" s="36">
        <v>550645.25</v>
      </c>
      <c r="J462" s="36"/>
      <c r="K462" s="36">
        <v>97.85</v>
      </c>
      <c r="L462" s="36"/>
      <c r="M462" s="36">
        <v>2800</v>
      </c>
      <c r="N462" s="36"/>
      <c r="O462" s="36">
        <v>22341.59</v>
      </c>
      <c r="P462" s="36"/>
      <c r="Q462" s="36">
        <v>162238.17</v>
      </c>
      <c r="R462" s="36"/>
      <c r="S462" s="36">
        <v>1876.48</v>
      </c>
      <c r="T462" s="36"/>
      <c r="U462" s="36">
        <v>0</v>
      </c>
      <c r="V462" s="36"/>
      <c r="W462" s="36">
        <v>0</v>
      </c>
      <c r="X462" s="36"/>
      <c r="Y462" s="36">
        <v>0</v>
      </c>
      <c r="Z462" s="36"/>
      <c r="AA462" s="36">
        <v>662262.5</v>
      </c>
      <c r="AB462" s="36"/>
      <c r="AC462" s="36">
        <v>0</v>
      </c>
      <c r="AD462" s="36"/>
      <c r="AE462" s="36">
        <v>0</v>
      </c>
      <c r="AF462" s="36"/>
      <c r="AG462" s="36">
        <v>0</v>
      </c>
      <c r="AH462" s="36"/>
      <c r="AI462" s="36">
        <f t="shared" si="37"/>
        <v>3628679.16</v>
      </c>
      <c r="AJ462" s="24"/>
      <c r="AK462" s="15" t="str">
        <f>'Gen Rev'!A462</f>
        <v>North Perry</v>
      </c>
      <c r="AL462" s="15" t="str">
        <f t="shared" si="33"/>
        <v>North Perry</v>
      </c>
      <c r="AM462" s="15" t="b">
        <f t="shared" si="34"/>
        <v>1</v>
      </c>
    </row>
    <row r="463" spans="1:42" s="31" customFormat="1" ht="12.75">
      <c r="A463" s="15" t="s">
        <v>844</v>
      </c>
      <c r="B463" s="15"/>
      <c r="C463" s="15" t="s">
        <v>761</v>
      </c>
      <c r="D463" s="15"/>
      <c r="E463" s="85">
        <v>190161</v>
      </c>
      <c r="F463" s="85"/>
      <c r="G463" s="85">
        <v>1058016</v>
      </c>
      <c r="H463" s="85"/>
      <c r="I463" s="85">
        <v>125877</v>
      </c>
      <c r="J463" s="85"/>
      <c r="K463" s="85">
        <v>121284</v>
      </c>
      <c r="L463" s="85"/>
      <c r="M463" s="85">
        <v>36391</v>
      </c>
      <c r="N463" s="85"/>
      <c r="O463" s="85">
        <v>279539</v>
      </c>
      <c r="P463" s="85"/>
      <c r="Q463" s="85">
        <v>0</v>
      </c>
      <c r="R463" s="85"/>
      <c r="S463" s="85">
        <v>90193</v>
      </c>
      <c r="T463" s="85"/>
      <c r="U463" s="85">
        <v>0</v>
      </c>
      <c r="V463" s="85"/>
      <c r="W463" s="85">
        <v>0</v>
      </c>
      <c r="X463" s="85"/>
      <c r="Y463" s="85">
        <v>25613</v>
      </c>
      <c r="Z463" s="85"/>
      <c r="AA463" s="85">
        <v>0</v>
      </c>
      <c r="AB463" s="85"/>
      <c r="AC463" s="85">
        <v>0</v>
      </c>
      <c r="AD463" s="85"/>
      <c r="AE463" s="85">
        <v>0</v>
      </c>
      <c r="AF463" s="85"/>
      <c r="AG463" s="85">
        <v>0</v>
      </c>
      <c r="AH463" s="85"/>
      <c r="AI463" s="85">
        <f t="shared" si="32"/>
        <v>1927074</v>
      </c>
      <c r="AJ463" s="24"/>
      <c r="AK463" s="15" t="str">
        <f>'Gen Rev'!A463</f>
        <v>North Randall</v>
      </c>
      <c r="AL463" s="15" t="str">
        <f t="shared" si="33"/>
        <v>North Randall</v>
      </c>
      <c r="AM463" s="15" t="b">
        <f t="shared" si="34"/>
        <v>1</v>
      </c>
      <c r="AN463" s="32"/>
      <c r="AO463" s="32"/>
      <c r="AP463" s="32"/>
    </row>
    <row r="464" spans="1:42" s="31" customFormat="1" ht="12.6" customHeight="1">
      <c r="A464" s="15" t="s">
        <v>314</v>
      </c>
      <c r="B464" s="15"/>
      <c r="C464" s="15" t="s">
        <v>312</v>
      </c>
      <c r="D464" s="15"/>
      <c r="E464" s="85">
        <v>8197.65</v>
      </c>
      <c r="F464" s="85"/>
      <c r="G464" s="85">
        <v>0</v>
      </c>
      <c r="H464" s="85"/>
      <c r="I464" s="85">
        <v>12244.07</v>
      </c>
      <c r="J464" s="85"/>
      <c r="K464" s="85">
        <v>10154.75</v>
      </c>
      <c r="L464" s="85"/>
      <c r="M464" s="85">
        <v>0</v>
      </c>
      <c r="N464" s="85"/>
      <c r="O464" s="85">
        <v>20</v>
      </c>
      <c r="P464" s="85"/>
      <c r="Q464" s="85">
        <f>63.54+118.15</f>
        <v>181.69</v>
      </c>
      <c r="R464" s="85"/>
      <c r="S464" s="85">
        <v>0</v>
      </c>
      <c r="T464" s="85"/>
      <c r="U464" s="85">
        <v>0</v>
      </c>
      <c r="V464" s="85"/>
      <c r="W464" s="85">
        <v>0</v>
      </c>
      <c r="X464" s="85"/>
      <c r="Y464" s="85">
        <v>0</v>
      </c>
      <c r="Z464" s="85"/>
      <c r="AA464" s="85">
        <v>0</v>
      </c>
      <c r="AB464" s="85"/>
      <c r="AC464" s="85">
        <v>0</v>
      </c>
      <c r="AD464" s="85"/>
      <c r="AE464" s="85">
        <v>0</v>
      </c>
      <c r="AF464" s="85"/>
      <c r="AG464" s="85">
        <v>0</v>
      </c>
      <c r="AH464" s="85"/>
      <c r="AI464" s="85">
        <f t="shared" si="32"/>
        <v>30798.16</v>
      </c>
      <c r="AJ464" s="24"/>
      <c r="AK464" s="15" t="str">
        <f>'Gen Rev'!A464</f>
        <v>North Robinson</v>
      </c>
      <c r="AL464" s="15" t="str">
        <f t="shared" si="33"/>
        <v>North Robinson</v>
      </c>
      <c r="AM464" s="15" t="b">
        <f t="shared" si="34"/>
        <v>1</v>
      </c>
      <c r="AN464" s="32"/>
      <c r="AO464" s="32"/>
      <c r="AP464" s="32"/>
    </row>
    <row r="465" spans="1:42" ht="12" customHeight="1" hidden="1">
      <c r="A465" s="15" t="s">
        <v>334</v>
      </c>
      <c r="C465" s="15" t="s">
        <v>329</v>
      </c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>
        <f t="shared" si="32"/>
        <v>0</v>
      </c>
      <c r="AJ465" s="24"/>
      <c r="AK465" s="15" t="str">
        <f>'Gen Rev'!A465</f>
        <v xml:space="preserve">North Star </v>
      </c>
      <c r="AL465" s="15" t="str">
        <f t="shared" si="33"/>
        <v xml:space="preserve">North Star </v>
      </c>
      <c r="AM465" s="15" t="b">
        <f t="shared" si="34"/>
        <v>1</v>
      </c>
      <c r="AN465" s="30"/>
      <c r="AO465" s="30"/>
      <c r="AP465" s="30"/>
    </row>
    <row r="466" spans="1:39" s="24" customFormat="1" ht="12.75">
      <c r="A466" s="24" t="s">
        <v>553</v>
      </c>
      <c r="C466" s="24" t="s">
        <v>551</v>
      </c>
      <c r="E466" s="85">
        <f>469317.45+265767.5+20659.04</f>
        <v>755743.99</v>
      </c>
      <c r="F466" s="85"/>
      <c r="G466" s="85">
        <v>1015748.51</v>
      </c>
      <c r="H466" s="85"/>
      <c r="I466" s="85">
        <f>226040.59+11650.01+144178.91+2602.69</f>
        <v>384472.2</v>
      </c>
      <c r="J466" s="85"/>
      <c r="K466" s="85">
        <v>0</v>
      </c>
      <c r="L466" s="85"/>
      <c r="M466" s="85">
        <v>896263.2</v>
      </c>
      <c r="N466" s="85"/>
      <c r="O466" s="85">
        <f>222002.06+2151.65</f>
        <v>224153.71</v>
      </c>
      <c r="P466" s="85"/>
      <c r="Q466" s="85">
        <f>63.01+6+49.96</f>
        <v>118.97</v>
      </c>
      <c r="R466" s="85"/>
      <c r="S466" s="85">
        <f>102497.9+200+120</f>
        <v>102817.9</v>
      </c>
      <c r="T466" s="85"/>
      <c r="U466" s="85">
        <v>0</v>
      </c>
      <c r="V466" s="85"/>
      <c r="W466" s="85">
        <v>0</v>
      </c>
      <c r="X466" s="85"/>
      <c r="Y466" s="85">
        <v>0</v>
      </c>
      <c r="Z466" s="85"/>
      <c r="AA466" s="85">
        <v>0</v>
      </c>
      <c r="AB466" s="85"/>
      <c r="AC466" s="85">
        <v>0</v>
      </c>
      <c r="AD466" s="85"/>
      <c r="AE466" s="85">
        <v>0</v>
      </c>
      <c r="AF466" s="85"/>
      <c r="AG466" s="85">
        <v>90311</v>
      </c>
      <c r="AH466" s="85"/>
      <c r="AI466" s="85">
        <f>SUM(E466:AG466)</f>
        <v>3469629.4800000004</v>
      </c>
      <c r="AK466" s="15" t="str">
        <f>'Gen Rev'!A466</f>
        <v>Northfield</v>
      </c>
      <c r="AL466" s="15" t="str">
        <f t="shared" si="33"/>
        <v>Northfield</v>
      </c>
      <c r="AM466" s="15" t="b">
        <f t="shared" si="34"/>
        <v>1</v>
      </c>
    </row>
    <row r="467" spans="1:39" ht="12.75">
      <c r="A467" s="15" t="s">
        <v>176</v>
      </c>
      <c r="C467" s="15" t="s">
        <v>800</v>
      </c>
      <c r="E467" s="36">
        <v>11751.95</v>
      </c>
      <c r="F467" s="36"/>
      <c r="G467" s="36">
        <v>0</v>
      </c>
      <c r="H467" s="36"/>
      <c r="I467" s="36">
        <v>15677.27</v>
      </c>
      <c r="J467" s="36"/>
      <c r="K467" s="36">
        <v>0</v>
      </c>
      <c r="L467" s="36"/>
      <c r="M467" s="36">
        <v>0</v>
      </c>
      <c r="N467" s="36"/>
      <c r="O467" s="36">
        <v>0</v>
      </c>
      <c r="P467" s="36"/>
      <c r="Q467" s="36">
        <v>66.45</v>
      </c>
      <c r="R467" s="36"/>
      <c r="S467" s="36">
        <v>11959.43</v>
      </c>
      <c r="T467" s="36"/>
      <c r="U467" s="36">
        <v>0</v>
      </c>
      <c r="V467" s="36"/>
      <c r="W467" s="36">
        <v>0</v>
      </c>
      <c r="X467" s="36"/>
      <c r="Y467" s="36">
        <v>380</v>
      </c>
      <c r="Z467" s="36"/>
      <c r="AA467" s="36">
        <v>0</v>
      </c>
      <c r="AB467" s="36"/>
      <c r="AC467" s="36">
        <v>0</v>
      </c>
      <c r="AD467" s="36"/>
      <c r="AE467" s="36">
        <v>0</v>
      </c>
      <c r="AF467" s="36"/>
      <c r="AG467" s="36">
        <v>0</v>
      </c>
      <c r="AH467" s="36"/>
      <c r="AI467" s="36">
        <f>SUM(E467:AG467)</f>
        <v>39835.100000000006</v>
      </c>
      <c r="AJ467" s="24"/>
      <c r="AK467" s="15" t="str">
        <f>'Gen Rev'!A467</f>
        <v>Norwich</v>
      </c>
      <c r="AL467" s="15" t="str">
        <f t="shared" si="33"/>
        <v>Norwich</v>
      </c>
      <c r="AM467" s="15" t="b">
        <f t="shared" si="34"/>
        <v>1</v>
      </c>
    </row>
    <row r="468" spans="1:39" ht="12.75">
      <c r="A468" s="15" t="s">
        <v>495</v>
      </c>
      <c r="C468" s="15" t="s">
        <v>207</v>
      </c>
      <c r="E468" s="85">
        <v>252494</v>
      </c>
      <c r="F468" s="85"/>
      <c r="G468" s="85">
        <v>612724</v>
      </c>
      <c r="H468" s="85"/>
      <c r="I468" s="85">
        <v>338307</v>
      </c>
      <c r="J468" s="85"/>
      <c r="K468" s="85">
        <v>4549</v>
      </c>
      <c r="L468" s="85"/>
      <c r="M468" s="85">
        <v>105373</v>
      </c>
      <c r="N468" s="85"/>
      <c r="O468" s="85">
        <v>7598</v>
      </c>
      <c r="P468" s="85"/>
      <c r="Q468" s="85">
        <v>87708</v>
      </c>
      <c r="R468" s="85"/>
      <c r="S468" s="85">
        <v>109960</v>
      </c>
      <c r="T468" s="85"/>
      <c r="U468" s="85">
        <v>0</v>
      </c>
      <c r="V468" s="85"/>
      <c r="W468" s="85">
        <v>0</v>
      </c>
      <c r="X468" s="85"/>
      <c r="Y468" s="85">
        <v>0</v>
      </c>
      <c r="Z468" s="85"/>
      <c r="AA468" s="85">
        <v>60266</v>
      </c>
      <c r="AB468" s="85"/>
      <c r="AC468" s="85">
        <v>0</v>
      </c>
      <c r="AD468" s="85"/>
      <c r="AE468" s="85">
        <v>0</v>
      </c>
      <c r="AF468" s="85"/>
      <c r="AG468" s="85">
        <v>0</v>
      </c>
      <c r="AH468" s="85"/>
      <c r="AI468" s="85">
        <f t="shared" si="32"/>
        <v>1578979</v>
      </c>
      <c r="AJ468" s="24"/>
      <c r="AK468" s="15" t="str">
        <f>'Gen Rev'!A468</f>
        <v>Oak Harbor</v>
      </c>
      <c r="AL468" s="15" t="str">
        <f t="shared" si="33"/>
        <v>Oak Harbor</v>
      </c>
      <c r="AM468" s="15" t="b">
        <f t="shared" si="34"/>
        <v>1</v>
      </c>
    </row>
    <row r="469" spans="1:39" ht="12.75">
      <c r="A469" s="15" t="s">
        <v>114</v>
      </c>
      <c r="C469" s="15" t="s">
        <v>666</v>
      </c>
      <c r="E469" s="36">
        <v>279538.27</v>
      </c>
      <c r="F469" s="36"/>
      <c r="G469" s="36">
        <v>0</v>
      </c>
      <c r="H469" s="36"/>
      <c r="I469" s="36">
        <v>134712.32</v>
      </c>
      <c r="J469" s="36"/>
      <c r="K469" s="36">
        <v>0</v>
      </c>
      <c r="L469" s="36"/>
      <c r="M469" s="36">
        <v>29454.76</v>
      </c>
      <c r="N469" s="36"/>
      <c r="O469" s="36">
        <v>10656.3</v>
      </c>
      <c r="P469" s="36"/>
      <c r="Q469" s="36">
        <v>23688.39</v>
      </c>
      <c r="R469" s="36"/>
      <c r="S469" s="36">
        <v>774125.39</v>
      </c>
      <c r="T469" s="36"/>
      <c r="U469" s="36">
        <v>0</v>
      </c>
      <c r="V469" s="36"/>
      <c r="W469" s="36">
        <v>0</v>
      </c>
      <c r="X469" s="36"/>
      <c r="Y469" s="36">
        <v>0</v>
      </c>
      <c r="Z469" s="36"/>
      <c r="AA469" s="36">
        <v>0</v>
      </c>
      <c r="AB469" s="36"/>
      <c r="AC469" s="36">
        <v>166356.39</v>
      </c>
      <c r="AD469" s="36"/>
      <c r="AE469" s="36">
        <v>2183.64</v>
      </c>
      <c r="AF469" s="36"/>
      <c r="AG469" s="36">
        <v>3</v>
      </c>
      <c r="AH469" s="36"/>
      <c r="AI469" s="36">
        <f>SUM(E469:AG469)</f>
        <v>1420718.4600000002</v>
      </c>
      <c r="AJ469" s="24"/>
      <c r="AK469" s="15" t="str">
        <f>'Gen Rev'!A469</f>
        <v>Oak Hill</v>
      </c>
      <c r="AL469" s="15" t="str">
        <f aca="true" t="shared" si="38" ref="AL469:AL535">A469</f>
        <v>Oak Hill</v>
      </c>
      <c r="AM469" s="15" t="b">
        <f aca="true" t="shared" si="39" ref="AM469:AM535">AK469=AL469</f>
        <v>1</v>
      </c>
    </row>
    <row r="470" spans="1:42" s="29" customFormat="1" ht="12.6" customHeight="1">
      <c r="A470" s="24" t="s">
        <v>325</v>
      </c>
      <c r="B470" s="24"/>
      <c r="C470" s="24" t="s">
        <v>316</v>
      </c>
      <c r="D470" s="24"/>
      <c r="E470" s="85">
        <v>413428</v>
      </c>
      <c r="F470" s="85"/>
      <c r="G470" s="85">
        <v>4798453</v>
      </c>
      <c r="H470" s="85"/>
      <c r="I470" s="85">
        <v>859414</v>
      </c>
      <c r="J470" s="85"/>
      <c r="K470" s="85">
        <v>172919</v>
      </c>
      <c r="L470" s="85"/>
      <c r="M470" s="85">
        <v>294110</v>
      </c>
      <c r="N470" s="85"/>
      <c r="O470" s="85">
        <v>385680</v>
      </c>
      <c r="P470" s="85"/>
      <c r="Q470" s="85">
        <v>0</v>
      </c>
      <c r="R470" s="85"/>
      <c r="S470" s="85">
        <v>519350</v>
      </c>
      <c r="T470" s="85"/>
      <c r="U470" s="85">
        <v>0</v>
      </c>
      <c r="V470" s="85"/>
      <c r="W470" s="85">
        <v>5345000</v>
      </c>
      <c r="X470" s="85"/>
      <c r="Y470" s="85">
        <v>0</v>
      </c>
      <c r="Z470" s="85"/>
      <c r="AA470" s="85">
        <v>396100</v>
      </c>
      <c r="AB470" s="85"/>
      <c r="AC470" s="85">
        <v>0</v>
      </c>
      <c r="AD470" s="85"/>
      <c r="AE470" s="85">
        <v>0</v>
      </c>
      <c r="AF470" s="85"/>
      <c r="AG470" s="85">
        <v>0</v>
      </c>
      <c r="AH470" s="85"/>
      <c r="AI470" s="85">
        <f aca="true" t="shared" si="40" ref="AI470:AI531">SUM(E470:AG470)</f>
        <v>13184454</v>
      </c>
      <c r="AJ470" s="24"/>
      <c r="AK470" s="15" t="str">
        <f>'Gen Rev'!A470</f>
        <v>Oakwood</v>
      </c>
      <c r="AL470" s="15" t="str">
        <f t="shared" si="38"/>
        <v>Oakwood</v>
      </c>
      <c r="AM470" s="15" t="b">
        <f t="shared" si="39"/>
        <v>1</v>
      </c>
      <c r="AN470" s="74"/>
      <c r="AO470" s="74"/>
      <c r="AP470" s="74"/>
    </row>
    <row r="471" spans="1:39" ht="12.75">
      <c r="A471" s="15" t="s">
        <v>325</v>
      </c>
      <c r="C471" s="15" t="s">
        <v>497</v>
      </c>
      <c r="E471" s="85">
        <v>61748.54</v>
      </c>
      <c r="F471" s="85"/>
      <c r="G471" s="85">
        <v>95131.9</v>
      </c>
      <c r="H471" s="85"/>
      <c r="I471" s="85">
        <v>191092.89</v>
      </c>
      <c r="J471" s="85"/>
      <c r="K471" s="85">
        <v>0</v>
      </c>
      <c r="L471" s="85"/>
      <c r="M471" s="85">
        <v>112742.72</v>
      </c>
      <c r="N471" s="85"/>
      <c r="O471" s="85">
        <v>1977</v>
      </c>
      <c r="P471" s="85"/>
      <c r="Q471" s="85">
        <v>344.8</v>
      </c>
      <c r="R471" s="85"/>
      <c r="S471" s="85">
        <v>28064.62</v>
      </c>
      <c r="T471" s="85"/>
      <c r="U471" s="85">
        <v>0</v>
      </c>
      <c r="V471" s="85"/>
      <c r="W471" s="85">
        <v>1597336.49</v>
      </c>
      <c r="X471" s="85"/>
      <c r="Y471" s="85">
        <v>0</v>
      </c>
      <c r="Z471" s="85"/>
      <c r="AA471" s="85">
        <v>25000</v>
      </c>
      <c r="AB471" s="85"/>
      <c r="AC471" s="85">
        <v>0</v>
      </c>
      <c r="AD471" s="85"/>
      <c r="AE471" s="85">
        <v>22282.78</v>
      </c>
      <c r="AF471" s="85"/>
      <c r="AG471" s="85">
        <v>0</v>
      </c>
      <c r="AH471" s="85"/>
      <c r="AI471" s="85">
        <f t="shared" si="40"/>
        <v>2135721.7399999998</v>
      </c>
      <c r="AJ471" s="24"/>
      <c r="AK471" s="15" t="str">
        <f>'Gen Rev'!A471</f>
        <v>Oakwood</v>
      </c>
      <c r="AL471" s="15" t="str">
        <f t="shared" si="38"/>
        <v>Oakwood</v>
      </c>
      <c r="AM471" s="15" t="b">
        <f t="shared" si="39"/>
        <v>1</v>
      </c>
    </row>
    <row r="472" spans="1:39" ht="12.75">
      <c r="A472" s="15" t="s">
        <v>75</v>
      </c>
      <c r="C472" s="15" t="s">
        <v>768</v>
      </c>
      <c r="E472" s="83">
        <v>232699</v>
      </c>
      <c r="F472" s="83"/>
      <c r="G472" s="83">
        <v>4510438</v>
      </c>
      <c r="H472" s="83"/>
      <c r="I472" s="83">
        <v>5438635</v>
      </c>
      <c r="J472" s="83"/>
      <c r="K472" s="83">
        <v>40494</v>
      </c>
      <c r="L472" s="83"/>
      <c r="M472" s="83">
        <v>192079</v>
      </c>
      <c r="N472" s="83"/>
      <c r="O472" s="83">
        <v>183677</v>
      </c>
      <c r="P472" s="83"/>
      <c r="Q472" s="83">
        <v>21429</v>
      </c>
      <c r="R472" s="83"/>
      <c r="S472" s="83">
        <f>202609+300096</f>
        <v>502705</v>
      </c>
      <c r="T472" s="83"/>
      <c r="U472" s="85">
        <v>0</v>
      </c>
      <c r="V472" s="85"/>
      <c r="W472" s="85">
        <v>1385000</v>
      </c>
      <c r="X472" s="85"/>
      <c r="Y472" s="85">
        <v>0</v>
      </c>
      <c r="Z472" s="85"/>
      <c r="AA472" s="85">
        <v>51423</v>
      </c>
      <c r="AB472" s="85"/>
      <c r="AC472" s="85">
        <v>26460</v>
      </c>
      <c r="AD472" s="85"/>
      <c r="AE472" s="85">
        <v>0</v>
      </c>
      <c r="AF472" s="85"/>
      <c r="AG472" s="85">
        <v>0</v>
      </c>
      <c r="AH472" s="85"/>
      <c r="AI472" s="85">
        <f t="shared" si="40"/>
        <v>12585039</v>
      </c>
      <c r="AJ472" s="24"/>
      <c r="AK472" s="15" t="str">
        <f>'Gen Rev'!A472</f>
        <v>Obetz</v>
      </c>
      <c r="AL472" s="15" t="str">
        <f t="shared" si="38"/>
        <v>Obetz</v>
      </c>
      <c r="AM472" s="15" t="b">
        <f t="shared" si="39"/>
        <v>1</v>
      </c>
    </row>
    <row r="473" spans="1:42" ht="12.75">
      <c r="A473" s="15" t="s">
        <v>71</v>
      </c>
      <c r="C473" s="15" t="s">
        <v>767</v>
      </c>
      <c r="E473" s="36">
        <v>32828.07</v>
      </c>
      <c r="F473" s="36"/>
      <c r="G473" s="36">
        <v>33849.13</v>
      </c>
      <c r="H473" s="36"/>
      <c r="I473" s="36">
        <v>8885.01</v>
      </c>
      <c r="J473" s="36"/>
      <c r="K473" s="36">
        <v>0</v>
      </c>
      <c r="L473" s="36"/>
      <c r="M473" s="36">
        <v>0</v>
      </c>
      <c r="N473" s="36"/>
      <c r="O473" s="36">
        <v>1080.5</v>
      </c>
      <c r="P473" s="36"/>
      <c r="Q473" s="36">
        <v>119.54</v>
      </c>
      <c r="R473" s="36"/>
      <c r="S473" s="36">
        <v>3087.6</v>
      </c>
      <c r="T473" s="36"/>
      <c r="U473" s="36">
        <v>0</v>
      </c>
      <c r="V473" s="36"/>
      <c r="W473" s="36">
        <v>0</v>
      </c>
      <c r="X473" s="36"/>
      <c r="Y473" s="36">
        <v>0</v>
      </c>
      <c r="Z473" s="36"/>
      <c r="AA473" s="36">
        <v>0</v>
      </c>
      <c r="AB473" s="36"/>
      <c r="AC473" s="36">
        <v>622.45</v>
      </c>
      <c r="AD473" s="36"/>
      <c r="AE473" s="36">
        <v>19071</v>
      </c>
      <c r="AF473" s="36"/>
      <c r="AG473" s="36">
        <v>0</v>
      </c>
      <c r="AH473" s="36"/>
      <c r="AI473" s="36">
        <f>SUM(E473:AG473)</f>
        <v>99543.29999999999</v>
      </c>
      <c r="AJ473" s="24"/>
      <c r="AK473" s="15" t="str">
        <f>'Gen Rev'!A473</f>
        <v>Octa</v>
      </c>
      <c r="AL473" s="15" t="str">
        <f t="shared" si="38"/>
        <v>Octa</v>
      </c>
      <c r="AM473" s="15" t="b">
        <f t="shared" si="39"/>
        <v>1</v>
      </c>
      <c r="AN473" s="30"/>
      <c r="AO473" s="30"/>
      <c r="AP473" s="30"/>
    </row>
    <row r="474" spans="5:42" ht="11.25" customHeight="1"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83" t="s">
        <v>864</v>
      </c>
      <c r="AJ474" s="24"/>
      <c r="AN474" s="30"/>
      <c r="AO474" s="30"/>
      <c r="AP474" s="30"/>
    </row>
    <row r="475" spans="1:39" ht="12.75">
      <c r="A475" s="15" t="s">
        <v>575</v>
      </c>
      <c r="C475" s="15" t="s">
        <v>574</v>
      </c>
      <c r="E475" s="102">
        <f>56929+26366</f>
        <v>83295</v>
      </c>
      <c r="F475" s="102"/>
      <c r="G475" s="102">
        <v>57154</v>
      </c>
      <c r="H475" s="102"/>
      <c r="I475" s="102">
        <f>43097+43542+628670</f>
        <v>715309</v>
      </c>
      <c r="J475" s="102"/>
      <c r="K475" s="102">
        <v>0</v>
      </c>
      <c r="L475" s="102"/>
      <c r="M475" s="102">
        <v>76310</v>
      </c>
      <c r="N475" s="102"/>
      <c r="O475" s="102">
        <v>528</v>
      </c>
      <c r="P475" s="102"/>
      <c r="Q475" s="102">
        <f>1211+57</f>
        <v>1268</v>
      </c>
      <c r="R475" s="102"/>
      <c r="S475" s="102">
        <f>13810+158822</f>
        <v>172632</v>
      </c>
      <c r="T475" s="102"/>
      <c r="U475" s="102">
        <v>0</v>
      </c>
      <c r="V475" s="102"/>
      <c r="W475" s="102">
        <v>0</v>
      </c>
      <c r="X475" s="102"/>
      <c r="Y475" s="102">
        <v>0</v>
      </c>
      <c r="Z475" s="102"/>
      <c r="AA475" s="102">
        <f>13463+5715</f>
        <v>19178</v>
      </c>
      <c r="AB475" s="102"/>
      <c r="AC475" s="102">
        <v>0</v>
      </c>
      <c r="AD475" s="102"/>
      <c r="AE475" s="102">
        <v>0</v>
      </c>
      <c r="AF475" s="102"/>
      <c r="AG475" s="102">
        <v>0</v>
      </c>
      <c r="AH475" s="102"/>
      <c r="AI475" s="102">
        <f t="shared" si="40"/>
        <v>1125674</v>
      </c>
      <c r="AJ475" s="24"/>
      <c r="AK475" s="15" t="str">
        <f>'Gen Rev'!A474</f>
        <v xml:space="preserve">Ohio City </v>
      </c>
      <c r="AL475" s="15" t="str">
        <f t="shared" si="38"/>
        <v xml:space="preserve">Ohio City </v>
      </c>
      <c r="AM475" s="15" t="b">
        <f t="shared" si="39"/>
        <v>1</v>
      </c>
    </row>
    <row r="476" spans="1:38" ht="12.75">
      <c r="A476" s="15" t="s">
        <v>972</v>
      </c>
      <c r="C476" s="15" t="s">
        <v>375</v>
      </c>
      <c r="E476" s="95">
        <v>17211.19</v>
      </c>
      <c r="F476" s="95"/>
      <c r="G476" s="95">
        <v>0</v>
      </c>
      <c r="H476" s="95"/>
      <c r="I476" s="95">
        <v>28959.9</v>
      </c>
      <c r="J476" s="95"/>
      <c r="K476" s="95">
        <v>0</v>
      </c>
      <c r="L476" s="95"/>
      <c r="M476" s="95">
        <v>5825</v>
      </c>
      <c r="N476" s="95"/>
      <c r="O476" s="95">
        <v>0</v>
      </c>
      <c r="P476" s="95"/>
      <c r="Q476" s="95">
        <v>897.79</v>
      </c>
      <c r="R476" s="95"/>
      <c r="S476" s="95">
        <v>15397</v>
      </c>
      <c r="T476" s="95"/>
      <c r="U476" s="95">
        <v>0</v>
      </c>
      <c r="V476" s="95"/>
      <c r="W476" s="95">
        <v>0</v>
      </c>
      <c r="X476" s="95"/>
      <c r="Y476" s="95">
        <v>0</v>
      </c>
      <c r="Z476" s="95"/>
      <c r="AA476" s="95">
        <v>0</v>
      </c>
      <c r="AB476" s="95"/>
      <c r="AC476" s="95">
        <v>0</v>
      </c>
      <c r="AD476" s="95"/>
      <c r="AE476" s="95">
        <v>2373</v>
      </c>
      <c r="AF476" s="95"/>
      <c r="AG476" s="95">
        <v>0</v>
      </c>
      <c r="AH476" s="95"/>
      <c r="AI476" s="95">
        <f>SUM(E476:AG476)</f>
        <v>70663.88</v>
      </c>
      <c r="AJ476" s="24"/>
      <c r="AL476" s="15" t="str">
        <f t="shared" si="38"/>
        <v>Old Washington</v>
      </c>
    </row>
    <row r="477" spans="1:39" ht="12.75">
      <c r="A477" s="15" t="s">
        <v>922</v>
      </c>
      <c r="C477" s="15" t="s">
        <v>316</v>
      </c>
      <c r="E477" s="85">
        <v>1526136</v>
      </c>
      <c r="F477" s="85"/>
      <c r="G477" s="85">
        <v>3136356</v>
      </c>
      <c r="H477" s="85"/>
      <c r="I477" s="85">
        <v>765858</v>
      </c>
      <c r="J477" s="85"/>
      <c r="K477" s="85">
        <v>607405</v>
      </c>
      <c r="L477" s="85"/>
      <c r="M477" s="85">
        <v>211602</v>
      </c>
      <c r="N477" s="85"/>
      <c r="O477" s="85">
        <v>177054</v>
      </c>
      <c r="P477" s="85"/>
      <c r="Q477" s="85">
        <v>48660</v>
      </c>
      <c r="R477" s="85"/>
      <c r="S477" s="85">
        <v>366371</v>
      </c>
      <c r="T477" s="85"/>
      <c r="U477" s="85">
        <v>0</v>
      </c>
      <c r="V477" s="85"/>
      <c r="W477" s="85">
        <v>0</v>
      </c>
      <c r="X477" s="85"/>
      <c r="Y477" s="85">
        <v>0</v>
      </c>
      <c r="Z477" s="85"/>
      <c r="AA477" s="85">
        <v>621071</v>
      </c>
      <c r="AB477" s="85"/>
      <c r="AC477" s="85">
        <v>0</v>
      </c>
      <c r="AD477" s="85"/>
      <c r="AE477" s="85">
        <v>0</v>
      </c>
      <c r="AF477" s="85"/>
      <c r="AG477" s="85">
        <v>0</v>
      </c>
      <c r="AH477" s="85"/>
      <c r="AI477" s="85">
        <f t="shared" si="40"/>
        <v>7460513</v>
      </c>
      <c r="AJ477" s="24"/>
      <c r="AK477" s="15" t="str">
        <f>'Gen Rev'!A476</f>
        <v xml:space="preserve">Orange </v>
      </c>
      <c r="AL477" s="15" t="str">
        <f t="shared" si="38"/>
        <v xml:space="preserve">Orange </v>
      </c>
      <c r="AM477" s="15" t="b">
        <f t="shared" si="39"/>
        <v>1</v>
      </c>
    </row>
    <row r="478" spans="1:39" ht="12.75">
      <c r="A478" s="15" t="s">
        <v>229</v>
      </c>
      <c r="C478" s="15" t="s">
        <v>817</v>
      </c>
      <c r="E478" s="95">
        <v>23704.03</v>
      </c>
      <c r="F478" s="95"/>
      <c r="G478" s="95">
        <v>0</v>
      </c>
      <c r="H478" s="95"/>
      <c r="I478" s="95">
        <v>23425.99</v>
      </c>
      <c r="J478" s="95"/>
      <c r="K478" s="95">
        <v>6701.92</v>
      </c>
      <c r="L478" s="95"/>
      <c r="M478" s="95">
        <v>0</v>
      </c>
      <c r="N478" s="95"/>
      <c r="O478" s="95">
        <v>368</v>
      </c>
      <c r="P478" s="95"/>
      <c r="Q478" s="95">
        <v>77.49</v>
      </c>
      <c r="R478" s="95"/>
      <c r="S478" s="95">
        <v>2828.89</v>
      </c>
      <c r="T478" s="95"/>
      <c r="U478" s="95">
        <v>0</v>
      </c>
      <c r="V478" s="95"/>
      <c r="W478" s="95">
        <v>0</v>
      </c>
      <c r="X478" s="95"/>
      <c r="Y478" s="95">
        <v>0</v>
      </c>
      <c r="Z478" s="95"/>
      <c r="AA478" s="95">
        <v>0</v>
      </c>
      <c r="AB478" s="95"/>
      <c r="AC478" s="95">
        <v>0</v>
      </c>
      <c r="AD478" s="95"/>
      <c r="AE478" s="95">
        <v>0</v>
      </c>
      <c r="AF478" s="95"/>
      <c r="AG478" s="95">
        <v>0</v>
      </c>
      <c r="AH478" s="95"/>
      <c r="AI478" s="95">
        <f>SUM(E478:AG478)</f>
        <v>57106.32</v>
      </c>
      <c r="AJ478" s="24"/>
      <c r="AK478" s="15" t="str">
        <f>'Gen Rev'!A477</f>
        <v>Orangeville</v>
      </c>
      <c r="AL478" s="15" t="str">
        <f t="shared" si="38"/>
        <v>Orangeville</v>
      </c>
      <c r="AM478" s="15" t="b">
        <f t="shared" si="39"/>
        <v>1</v>
      </c>
    </row>
    <row r="479" spans="1:39" ht="12.75">
      <c r="A479" s="15" t="s">
        <v>190</v>
      </c>
      <c r="C479" s="15" t="s">
        <v>804</v>
      </c>
      <c r="E479" s="36">
        <v>5024.97</v>
      </c>
      <c r="F479" s="36"/>
      <c r="G479" s="36">
        <v>0</v>
      </c>
      <c r="H479" s="36"/>
      <c r="I479" s="36">
        <v>91908.96</v>
      </c>
      <c r="J479" s="36"/>
      <c r="K479" s="36">
        <v>0</v>
      </c>
      <c r="L479" s="36"/>
      <c r="M479" s="36">
        <v>0</v>
      </c>
      <c r="N479" s="36"/>
      <c r="O479" s="36">
        <v>2545.38</v>
      </c>
      <c r="P479" s="36"/>
      <c r="Q479" s="36">
        <v>60.14</v>
      </c>
      <c r="R479" s="36"/>
      <c r="S479" s="36">
        <v>10.25</v>
      </c>
      <c r="T479" s="36"/>
      <c r="U479" s="36">
        <v>0</v>
      </c>
      <c r="V479" s="36"/>
      <c r="W479" s="36">
        <v>0</v>
      </c>
      <c r="X479" s="36"/>
      <c r="Y479" s="36">
        <v>0</v>
      </c>
      <c r="Z479" s="36"/>
      <c r="AA479" s="36">
        <v>0</v>
      </c>
      <c r="AB479" s="36"/>
      <c r="AC479" s="36">
        <v>0</v>
      </c>
      <c r="AD479" s="36"/>
      <c r="AE479" s="36">
        <v>0</v>
      </c>
      <c r="AF479" s="36"/>
      <c r="AG479" s="36">
        <v>0</v>
      </c>
      <c r="AH479" s="36"/>
      <c r="AI479" s="36">
        <f>SUM(E479:AG479)</f>
        <v>99549.70000000001</v>
      </c>
      <c r="AJ479" s="24"/>
      <c r="AK479" s="15" t="str">
        <f>'Gen Rev'!A478</f>
        <v>Orient</v>
      </c>
      <c r="AL479" s="15" t="str">
        <f t="shared" si="38"/>
        <v>Orient</v>
      </c>
      <c r="AM479" s="15" t="b">
        <f t="shared" si="39"/>
        <v>1</v>
      </c>
    </row>
    <row r="480" spans="1:39" ht="12.75">
      <c r="A480" s="15" t="s">
        <v>678</v>
      </c>
      <c r="C480" s="15" t="s">
        <v>674</v>
      </c>
      <c r="E480" s="85">
        <v>1717468</v>
      </c>
      <c r="F480" s="85"/>
      <c r="G480" s="85">
        <v>0</v>
      </c>
      <c r="H480" s="85"/>
      <c r="I480" s="85">
        <f>182697+49898</f>
        <v>232595</v>
      </c>
      <c r="J480" s="85"/>
      <c r="K480" s="85">
        <v>0</v>
      </c>
      <c r="L480" s="85"/>
      <c r="M480" s="85">
        <v>103739</v>
      </c>
      <c r="N480" s="85"/>
      <c r="O480" s="85">
        <v>5215</v>
      </c>
      <c r="P480" s="85"/>
      <c r="Q480" s="85">
        <v>2</v>
      </c>
      <c r="R480" s="85"/>
      <c r="S480" s="85">
        <v>-33085</v>
      </c>
      <c r="T480" s="85"/>
      <c r="U480" s="85">
        <v>0</v>
      </c>
      <c r="V480" s="85"/>
      <c r="W480" s="85">
        <v>0</v>
      </c>
      <c r="X480" s="85"/>
      <c r="Y480" s="85">
        <v>0</v>
      </c>
      <c r="Z480" s="85"/>
      <c r="AA480" s="85">
        <v>49970</v>
      </c>
      <c r="AB480" s="85"/>
      <c r="AC480" s="85">
        <v>0</v>
      </c>
      <c r="AD480" s="85"/>
      <c r="AE480" s="85">
        <v>0</v>
      </c>
      <c r="AF480" s="85"/>
      <c r="AG480" s="85">
        <v>0</v>
      </c>
      <c r="AH480" s="85"/>
      <c r="AI480" s="85">
        <f t="shared" si="40"/>
        <v>2075904</v>
      </c>
      <c r="AJ480" s="24"/>
      <c r="AK480" s="15" t="e">
        <f>#REF!</f>
        <v>#REF!</v>
      </c>
      <c r="AL480" s="15" t="str">
        <f t="shared" si="38"/>
        <v>Orwell</v>
      </c>
      <c r="AM480" s="15" t="e">
        <f t="shared" si="39"/>
        <v>#REF!</v>
      </c>
    </row>
    <row r="481" spans="1:42" ht="12.6" customHeight="1">
      <c r="A481" s="15" t="s">
        <v>335</v>
      </c>
      <c r="C481" s="15" t="s">
        <v>329</v>
      </c>
      <c r="E481" s="85">
        <v>8338</v>
      </c>
      <c r="F481" s="85"/>
      <c r="G481" s="85">
        <v>56101</v>
      </c>
      <c r="H481" s="85"/>
      <c r="I481" s="85">
        <f>30434+22510+1007648+647880</f>
        <v>1708472</v>
      </c>
      <c r="J481" s="85"/>
      <c r="K481" s="85">
        <v>2773</v>
      </c>
      <c r="L481" s="85"/>
      <c r="M481" s="85">
        <v>0</v>
      </c>
      <c r="N481" s="85"/>
      <c r="O481" s="85">
        <v>0</v>
      </c>
      <c r="P481" s="85"/>
      <c r="Q481" s="85">
        <f>634+32+71</f>
        <v>737</v>
      </c>
      <c r="R481" s="85"/>
      <c r="S481" s="85">
        <f>3417+3027</f>
        <v>6444</v>
      </c>
      <c r="T481" s="85"/>
      <c r="U481" s="85">
        <v>0</v>
      </c>
      <c r="V481" s="85"/>
      <c r="W481" s="85">
        <v>0</v>
      </c>
      <c r="X481" s="85"/>
      <c r="Y481" s="85">
        <v>0</v>
      </c>
      <c r="Z481" s="85"/>
      <c r="AA481" s="85">
        <f>4173+94000+76791</f>
        <v>174964</v>
      </c>
      <c r="AB481" s="85"/>
      <c r="AC481" s="85">
        <v>95000</v>
      </c>
      <c r="AD481" s="85"/>
      <c r="AE481" s="85">
        <v>0</v>
      </c>
      <c r="AF481" s="85"/>
      <c r="AG481" s="85">
        <v>0</v>
      </c>
      <c r="AH481" s="85"/>
      <c r="AI481" s="85">
        <f t="shared" si="40"/>
        <v>2052829</v>
      </c>
      <c r="AJ481" s="24"/>
      <c r="AK481" s="15" t="e">
        <f>#REF!</f>
        <v>#REF!</v>
      </c>
      <c r="AL481" s="15" t="str">
        <f t="shared" si="38"/>
        <v>Osgood</v>
      </c>
      <c r="AM481" s="15" t="e">
        <f t="shared" si="39"/>
        <v>#REF!</v>
      </c>
      <c r="AN481" s="30"/>
      <c r="AO481" s="30"/>
      <c r="AP481" s="30"/>
    </row>
    <row r="482" spans="1:42" s="31" customFormat="1" ht="12.6" customHeight="1">
      <c r="A482" s="15" t="s">
        <v>344</v>
      </c>
      <c r="B482" s="15"/>
      <c r="C482" s="15" t="s">
        <v>343</v>
      </c>
      <c r="D482" s="15"/>
      <c r="E482" s="85">
        <v>20090</v>
      </c>
      <c r="F482" s="85"/>
      <c r="G482" s="85">
        <v>0</v>
      </c>
      <c r="H482" s="85"/>
      <c r="I482" s="85">
        <v>190843</v>
      </c>
      <c r="J482" s="85"/>
      <c r="K482" s="85">
        <v>306</v>
      </c>
      <c r="L482" s="85"/>
      <c r="M482" s="85">
        <v>37</v>
      </c>
      <c r="N482" s="85"/>
      <c r="O482" s="85">
        <v>4390</v>
      </c>
      <c r="P482" s="85"/>
      <c r="Q482" s="85">
        <v>1104</v>
      </c>
      <c r="R482" s="85"/>
      <c r="S482" s="85">
        <v>29478</v>
      </c>
      <c r="T482" s="85"/>
      <c r="U482" s="85">
        <v>0</v>
      </c>
      <c r="V482" s="85"/>
      <c r="W482" s="85">
        <v>0</v>
      </c>
      <c r="X482" s="85"/>
      <c r="Y482" s="85">
        <v>0</v>
      </c>
      <c r="Z482" s="85"/>
      <c r="AA482" s="85">
        <v>12000</v>
      </c>
      <c r="AB482" s="85"/>
      <c r="AC482" s="85">
        <v>0</v>
      </c>
      <c r="AD482" s="85"/>
      <c r="AE482" s="85">
        <v>0</v>
      </c>
      <c r="AF482" s="85"/>
      <c r="AG482" s="85">
        <v>0</v>
      </c>
      <c r="AH482" s="85"/>
      <c r="AI482" s="85">
        <f t="shared" si="40"/>
        <v>258248</v>
      </c>
      <c r="AJ482" s="24"/>
      <c r="AK482" s="15" t="e">
        <f>#REF!</f>
        <v>#REF!</v>
      </c>
      <c r="AL482" s="15" t="str">
        <f t="shared" si="38"/>
        <v>Ostrander</v>
      </c>
      <c r="AM482" s="15" t="e">
        <f t="shared" si="39"/>
        <v>#REF!</v>
      </c>
      <c r="AN482" s="32"/>
      <c r="AO482" s="32"/>
      <c r="AP482" s="32"/>
    </row>
    <row r="483" spans="1:39" s="31" customFormat="1" ht="12.75">
      <c r="A483" s="15" t="s">
        <v>207</v>
      </c>
      <c r="B483" s="15"/>
      <c r="C483" s="15" t="s">
        <v>808</v>
      </c>
      <c r="D483" s="15"/>
      <c r="E483" s="36">
        <v>351178.47</v>
      </c>
      <c r="F483" s="36"/>
      <c r="G483" s="36">
        <v>1234024.39</v>
      </c>
      <c r="H483" s="36"/>
      <c r="I483" s="36">
        <v>1670672.86</v>
      </c>
      <c r="J483" s="36"/>
      <c r="K483" s="36">
        <v>6759.37</v>
      </c>
      <c r="L483" s="36"/>
      <c r="M483" s="36">
        <v>154659.58</v>
      </c>
      <c r="N483" s="36"/>
      <c r="O483" s="36">
        <v>50987.18</v>
      </c>
      <c r="P483" s="36"/>
      <c r="Q483" s="36">
        <v>53107.7</v>
      </c>
      <c r="R483" s="36"/>
      <c r="S483" s="36">
        <v>40014.83</v>
      </c>
      <c r="T483" s="36"/>
      <c r="U483" s="36">
        <v>3150051.9</v>
      </c>
      <c r="V483" s="36"/>
      <c r="W483" s="36">
        <v>1005000</v>
      </c>
      <c r="X483" s="36"/>
      <c r="Y483" s="36">
        <v>5346.84</v>
      </c>
      <c r="Z483" s="36"/>
      <c r="AA483" s="36">
        <v>0</v>
      </c>
      <c r="AB483" s="36"/>
      <c r="AC483" s="36">
        <v>0</v>
      </c>
      <c r="AD483" s="36"/>
      <c r="AE483" s="36">
        <v>0</v>
      </c>
      <c r="AF483" s="36"/>
      <c r="AG483" s="36">
        <v>0</v>
      </c>
      <c r="AH483" s="36"/>
      <c r="AI483" s="36">
        <f>SUM(E483:AG483)</f>
        <v>7721803.12</v>
      </c>
      <c r="AJ483" s="24"/>
      <c r="AK483" s="15" t="e">
        <f>#REF!</f>
        <v>#REF!</v>
      </c>
      <c r="AL483" s="15" t="str">
        <f t="shared" si="38"/>
        <v>Ottawa</v>
      </c>
      <c r="AM483" s="15" t="e">
        <f t="shared" si="39"/>
        <v>#REF!</v>
      </c>
    </row>
    <row r="484" spans="1:39" s="24" customFormat="1" ht="12.75">
      <c r="A484" s="24" t="s">
        <v>456</v>
      </c>
      <c r="C484" s="24" t="s">
        <v>455</v>
      </c>
      <c r="E484" s="85">
        <v>574361</v>
      </c>
      <c r="F484" s="85"/>
      <c r="G484" s="85">
        <v>3537917</v>
      </c>
      <c r="H484" s="85"/>
      <c r="I484" s="85">
        <v>743189</v>
      </c>
      <c r="J484" s="85"/>
      <c r="K484" s="85">
        <v>62471</v>
      </c>
      <c r="L484" s="85"/>
      <c r="M484" s="85">
        <v>150116</v>
      </c>
      <c r="N484" s="85"/>
      <c r="O484" s="85">
        <v>65686</v>
      </c>
      <c r="P484" s="85"/>
      <c r="Q484" s="85">
        <v>177734</v>
      </c>
      <c r="R484" s="85"/>
      <c r="S484" s="85">
        <v>132584</v>
      </c>
      <c r="T484" s="85"/>
      <c r="U484" s="85">
        <v>0</v>
      </c>
      <c r="V484" s="85"/>
      <c r="W484" s="85">
        <v>0</v>
      </c>
      <c r="X484" s="85"/>
      <c r="Y484" s="85">
        <v>0</v>
      </c>
      <c r="Z484" s="85"/>
      <c r="AA484" s="85">
        <v>1122000</v>
      </c>
      <c r="AB484" s="85"/>
      <c r="AC484" s="85">
        <v>0</v>
      </c>
      <c r="AD484" s="85"/>
      <c r="AE484" s="85">
        <v>0</v>
      </c>
      <c r="AF484" s="85"/>
      <c r="AG484" s="85">
        <v>0</v>
      </c>
      <c r="AH484" s="85"/>
      <c r="AI484" s="85">
        <f t="shared" si="40"/>
        <v>6566058</v>
      </c>
      <c r="AK484" s="15" t="e">
        <f>#REF!</f>
        <v>#REF!</v>
      </c>
      <c r="AL484" s="15" t="str">
        <f t="shared" si="38"/>
        <v>Ottawa Hills</v>
      </c>
      <c r="AM484" s="15" t="e">
        <f t="shared" si="39"/>
        <v>#REF!</v>
      </c>
    </row>
    <row r="485" spans="1:39" ht="12.75">
      <c r="A485" s="15" t="s">
        <v>517</v>
      </c>
      <c r="C485" s="15" t="s">
        <v>514</v>
      </c>
      <c r="E485" s="36">
        <v>97531.07</v>
      </c>
      <c r="F485" s="36"/>
      <c r="G485" s="36">
        <v>414159.48</v>
      </c>
      <c r="H485" s="36"/>
      <c r="I485" s="36">
        <v>338016.67</v>
      </c>
      <c r="J485" s="36"/>
      <c r="K485" s="36">
        <v>1197.34</v>
      </c>
      <c r="L485" s="36"/>
      <c r="M485" s="36">
        <v>52273.91</v>
      </c>
      <c r="N485" s="36"/>
      <c r="O485" s="36">
        <v>2912</v>
      </c>
      <c r="P485" s="36"/>
      <c r="Q485" s="36">
        <v>3289.04</v>
      </c>
      <c r="R485" s="36"/>
      <c r="S485" s="36">
        <v>8743.36</v>
      </c>
      <c r="T485" s="36"/>
      <c r="U485" s="36">
        <v>0</v>
      </c>
      <c r="V485" s="36"/>
      <c r="W485" s="36">
        <v>0</v>
      </c>
      <c r="X485" s="36"/>
      <c r="Y485" s="36">
        <v>0</v>
      </c>
      <c r="Z485" s="36"/>
      <c r="AA485" s="36">
        <v>132034.75</v>
      </c>
      <c r="AB485" s="36"/>
      <c r="AC485" s="36">
        <v>0</v>
      </c>
      <c r="AD485" s="36"/>
      <c r="AE485" s="36">
        <v>0</v>
      </c>
      <c r="AF485" s="36"/>
      <c r="AG485" s="36">
        <v>0</v>
      </c>
      <c r="AH485" s="36"/>
      <c r="AI485" s="36">
        <f>SUM(E485:AG485)</f>
        <v>1050157.62</v>
      </c>
      <c r="AJ485" s="24"/>
      <c r="AK485" s="15" t="e">
        <f>#REF!</f>
        <v>#REF!</v>
      </c>
      <c r="AL485" s="15" t="str">
        <f t="shared" si="38"/>
        <v>Ottoville</v>
      </c>
      <c r="AM485" s="15" t="e">
        <f t="shared" si="39"/>
        <v>#REF!</v>
      </c>
    </row>
    <row r="486" spans="1:39" ht="12.75">
      <c r="A486" s="15" t="s">
        <v>216</v>
      </c>
      <c r="C486" s="15" t="s">
        <v>812</v>
      </c>
      <c r="E486" s="85">
        <f>6899.81+727.62</f>
        <v>7627.43</v>
      </c>
      <c r="F486" s="85"/>
      <c r="G486" s="85">
        <v>0</v>
      </c>
      <c r="H486" s="85"/>
      <c r="I486" s="85">
        <v>16592.21</v>
      </c>
      <c r="J486" s="85"/>
      <c r="K486" s="85">
        <v>0</v>
      </c>
      <c r="L486" s="85"/>
      <c r="M486" s="85">
        <v>27340</v>
      </c>
      <c r="N486" s="85"/>
      <c r="O486" s="85">
        <v>0</v>
      </c>
      <c r="P486" s="85"/>
      <c r="Q486" s="85">
        <v>115.83</v>
      </c>
      <c r="R486" s="85"/>
      <c r="S486" s="85">
        <v>26907.42</v>
      </c>
      <c r="T486" s="85"/>
      <c r="U486" s="85">
        <v>0</v>
      </c>
      <c r="V486" s="85"/>
      <c r="W486" s="85">
        <v>0</v>
      </c>
      <c r="X486" s="85"/>
      <c r="Y486" s="85">
        <v>0</v>
      </c>
      <c r="Z486" s="85"/>
      <c r="AA486" s="85">
        <v>0</v>
      </c>
      <c r="AB486" s="85"/>
      <c r="AC486" s="85">
        <v>0</v>
      </c>
      <c r="AD486" s="85"/>
      <c r="AE486" s="85">
        <v>0</v>
      </c>
      <c r="AF486" s="85"/>
      <c r="AG486" s="85">
        <v>0</v>
      </c>
      <c r="AH486" s="85"/>
      <c r="AI486" s="85">
        <f t="shared" si="40"/>
        <v>78582.89</v>
      </c>
      <c r="AJ486" s="24"/>
      <c r="AK486" s="15" t="e">
        <f>#REF!</f>
        <v>#REF!</v>
      </c>
      <c r="AL486" s="15" t="str">
        <f t="shared" si="38"/>
        <v>Otway</v>
      </c>
      <c r="AM486" s="15" t="e">
        <f t="shared" si="39"/>
        <v>#REF!</v>
      </c>
    </row>
    <row r="487" spans="1:39" ht="12.75">
      <c r="A487" s="15" t="s">
        <v>39</v>
      </c>
      <c r="C487" s="15" t="s">
        <v>756</v>
      </c>
      <c r="E487" s="36">
        <v>89160.49</v>
      </c>
      <c r="F487" s="36"/>
      <c r="G487" s="36">
        <v>116865.16</v>
      </c>
      <c r="H487" s="36"/>
      <c r="I487" s="36">
        <v>151458.28</v>
      </c>
      <c r="J487" s="36"/>
      <c r="K487" s="36">
        <v>0</v>
      </c>
      <c r="L487" s="36"/>
      <c r="M487" s="36">
        <v>873.91</v>
      </c>
      <c r="N487" s="36"/>
      <c r="O487" s="36">
        <v>108492.91</v>
      </c>
      <c r="P487" s="36"/>
      <c r="Q487" s="36">
        <v>743.38</v>
      </c>
      <c r="R487" s="36"/>
      <c r="S487" s="36">
        <v>13126.7</v>
      </c>
      <c r="T487" s="36"/>
      <c r="U487" s="36">
        <v>0</v>
      </c>
      <c r="V487" s="36"/>
      <c r="W487" s="36">
        <v>0</v>
      </c>
      <c r="X487" s="36"/>
      <c r="Y487" s="36">
        <v>0</v>
      </c>
      <c r="Z487" s="36"/>
      <c r="AA487" s="36">
        <v>0</v>
      </c>
      <c r="AB487" s="36"/>
      <c r="AC487" s="36">
        <v>0</v>
      </c>
      <c r="AD487" s="36"/>
      <c r="AE487" s="36">
        <v>20101.91</v>
      </c>
      <c r="AF487" s="36"/>
      <c r="AG487" s="36">
        <v>0</v>
      </c>
      <c r="AH487" s="36"/>
      <c r="AI487" s="36">
        <f>SUM(E487:AG487)</f>
        <v>500822.74</v>
      </c>
      <c r="AJ487" s="39"/>
      <c r="AK487" s="15" t="e">
        <f>#REF!</f>
        <v>#REF!</v>
      </c>
      <c r="AL487" s="15" t="str">
        <f t="shared" si="38"/>
        <v>Owensville</v>
      </c>
      <c r="AM487" s="15" t="e">
        <f t="shared" si="39"/>
        <v>#REF!</v>
      </c>
    </row>
    <row r="488" spans="1:39" ht="12.75" hidden="1">
      <c r="A488" s="15" t="s">
        <v>907</v>
      </c>
      <c r="C488" s="15" t="s">
        <v>329</v>
      </c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>
        <f t="shared" si="40"/>
        <v>0</v>
      </c>
      <c r="AJ488" s="24"/>
      <c r="AK488" s="15" t="e">
        <f>#REF!</f>
        <v>#REF!</v>
      </c>
      <c r="AL488" s="15" t="str">
        <f t="shared" si="38"/>
        <v>Palestine</v>
      </c>
      <c r="AM488" s="15" t="e">
        <f t="shared" si="39"/>
        <v>#REF!</v>
      </c>
    </row>
    <row r="489" spans="1:39" ht="12.75">
      <c r="A489" s="15" t="s">
        <v>518</v>
      </c>
      <c r="C489" s="15" t="s">
        <v>514</v>
      </c>
      <c r="E489" s="85">
        <v>42788</v>
      </c>
      <c r="F489" s="85"/>
      <c r="G489" s="85">
        <v>332920</v>
      </c>
      <c r="H489" s="85"/>
      <c r="I489" s="85">
        <v>141630</v>
      </c>
      <c r="J489" s="85"/>
      <c r="K489" s="85">
        <v>0</v>
      </c>
      <c r="L489" s="85"/>
      <c r="M489" s="85">
        <v>19458</v>
      </c>
      <c r="N489" s="85"/>
      <c r="O489" s="85">
        <v>2996</v>
      </c>
      <c r="P489" s="85"/>
      <c r="Q489" s="85">
        <v>4568</v>
      </c>
      <c r="R489" s="85"/>
      <c r="S489" s="85">
        <f>12975+16400+5130</f>
        <v>34505</v>
      </c>
      <c r="T489" s="85"/>
      <c r="U489" s="85">
        <v>0</v>
      </c>
      <c r="V489" s="85"/>
      <c r="W489" s="85">
        <v>0</v>
      </c>
      <c r="X489" s="85"/>
      <c r="Y489" s="85">
        <v>0</v>
      </c>
      <c r="Z489" s="85"/>
      <c r="AA489" s="85">
        <v>36000</v>
      </c>
      <c r="AB489" s="85"/>
      <c r="AC489" s="85">
        <v>0</v>
      </c>
      <c r="AD489" s="85"/>
      <c r="AE489" s="85">
        <v>0</v>
      </c>
      <c r="AF489" s="85"/>
      <c r="AG489" s="85">
        <v>0</v>
      </c>
      <c r="AH489" s="85"/>
      <c r="AI489" s="85">
        <f t="shared" si="40"/>
        <v>614865</v>
      </c>
      <c r="AJ489" s="24"/>
      <c r="AK489" s="15" t="e">
        <f>#REF!</f>
        <v>#REF!</v>
      </c>
      <c r="AL489" s="15" t="str">
        <f t="shared" si="38"/>
        <v>Pandora</v>
      </c>
      <c r="AM489" s="15" t="e">
        <f t="shared" si="39"/>
        <v>#REF!</v>
      </c>
    </row>
    <row r="490" spans="1:39" ht="12.75">
      <c r="A490" s="15" t="s">
        <v>567</v>
      </c>
      <c r="C490" s="15" t="s">
        <v>562</v>
      </c>
      <c r="E490" s="85">
        <v>12005</v>
      </c>
      <c r="F490" s="85"/>
      <c r="G490" s="85">
        <v>0</v>
      </c>
      <c r="H490" s="85"/>
      <c r="I490" s="85">
        <f>7458+10915</f>
        <v>18373</v>
      </c>
      <c r="J490" s="85"/>
      <c r="K490" s="85">
        <v>2530</v>
      </c>
      <c r="L490" s="85"/>
      <c r="M490" s="85">
        <v>0</v>
      </c>
      <c r="N490" s="85"/>
      <c r="O490" s="85">
        <v>20</v>
      </c>
      <c r="P490" s="85"/>
      <c r="Q490" s="85">
        <f>413+338</f>
        <v>751</v>
      </c>
      <c r="R490" s="85"/>
      <c r="S490" s="85">
        <f>38+15000</f>
        <v>15038</v>
      </c>
      <c r="T490" s="85"/>
      <c r="U490" s="85">
        <v>0</v>
      </c>
      <c r="V490" s="85"/>
      <c r="W490" s="85">
        <v>0</v>
      </c>
      <c r="X490" s="85"/>
      <c r="Y490" s="85">
        <v>0</v>
      </c>
      <c r="Z490" s="85"/>
      <c r="AA490" s="85">
        <v>0</v>
      </c>
      <c r="AB490" s="85"/>
      <c r="AC490" s="85">
        <v>15000</v>
      </c>
      <c r="AD490" s="85"/>
      <c r="AE490" s="85">
        <v>0</v>
      </c>
      <c r="AF490" s="85"/>
      <c r="AG490" s="85">
        <v>0</v>
      </c>
      <c r="AH490" s="85"/>
      <c r="AI490" s="85">
        <f t="shared" si="40"/>
        <v>63717</v>
      </c>
      <c r="AJ490" s="24"/>
      <c r="AK490" s="15" t="e">
        <f>#REF!</f>
        <v>#REF!</v>
      </c>
      <c r="AL490" s="15" t="str">
        <f t="shared" si="38"/>
        <v>Parral</v>
      </c>
      <c r="AM490" s="15" t="e">
        <f t="shared" si="39"/>
        <v>#REF!</v>
      </c>
    </row>
    <row r="491" spans="1:39" s="31" customFormat="1" ht="12.75">
      <c r="A491" s="15" t="s">
        <v>400</v>
      </c>
      <c r="B491" s="15"/>
      <c r="C491" s="15" t="s">
        <v>396</v>
      </c>
      <c r="D491" s="15"/>
      <c r="E491" s="85">
        <v>1362</v>
      </c>
      <c r="F491" s="85"/>
      <c r="G491" s="85">
        <v>0</v>
      </c>
      <c r="H491" s="85"/>
      <c r="I491" s="85">
        <f>3055+1127</f>
        <v>4182</v>
      </c>
      <c r="J491" s="85"/>
      <c r="K491" s="85">
        <v>0</v>
      </c>
      <c r="L491" s="85"/>
      <c r="M491" s="85">
        <v>0</v>
      </c>
      <c r="N491" s="85"/>
      <c r="O491" s="85">
        <v>0</v>
      </c>
      <c r="P491" s="85"/>
      <c r="Q491" s="85">
        <v>13</v>
      </c>
      <c r="R491" s="85"/>
      <c r="S491" s="85">
        <v>1081</v>
      </c>
      <c r="T491" s="85"/>
      <c r="U491" s="85">
        <v>0</v>
      </c>
      <c r="V491" s="85"/>
      <c r="W491" s="85">
        <v>0</v>
      </c>
      <c r="X491" s="85"/>
      <c r="Y491" s="85">
        <v>0</v>
      </c>
      <c r="Z491" s="85"/>
      <c r="AA491" s="85">
        <v>0</v>
      </c>
      <c r="AB491" s="85"/>
      <c r="AC491" s="85">
        <v>0</v>
      </c>
      <c r="AD491" s="85"/>
      <c r="AE491" s="85">
        <v>0</v>
      </c>
      <c r="AF491" s="85"/>
      <c r="AG491" s="85">
        <v>0</v>
      </c>
      <c r="AH491" s="85"/>
      <c r="AI491" s="85">
        <f t="shared" si="40"/>
        <v>6638</v>
      </c>
      <c r="AJ491" s="24"/>
      <c r="AK491" s="15" t="str">
        <f>'Gen Rev'!A491</f>
        <v>Patterson</v>
      </c>
      <c r="AL491" s="15" t="str">
        <f t="shared" si="38"/>
        <v>Patterson</v>
      </c>
      <c r="AM491" s="15" t="b">
        <f t="shared" si="39"/>
        <v>1</v>
      </c>
    </row>
    <row r="492" spans="1:39" ht="12.75">
      <c r="A492" s="15" t="s">
        <v>497</v>
      </c>
      <c r="C492" s="15" t="s">
        <v>497</v>
      </c>
      <c r="E492" s="85">
        <v>421369</v>
      </c>
      <c r="F492" s="85"/>
      <c r="G492" s="85">
        <v>405499</v>
      </c>
      <c r="H492" s="85"/>
      <c r="I492" s="85">
        <v>701146</v>
      </c>
      <c r="J492" s="85"/>
      <c r="K492" s="85">
        <v>0</v>
      </c>
      <c r="L492" s="85"/>
      <c r="M492" s="85">
        <v>267731</v>
      </c>
      <c r="N492" s="85"/>
      <c r="O492" s="85">
        <v>32086</v>
      </c>
      <c r="P492" s="85"/>
      <c r="Q492" s="85">
        <v>8744</v>
      </c>
      <c r="R492" s="85"/>
      <c r="S492" s="85">
        <v>57090</v>
      </c>
      <c r="T492" s="85"/>
      <c r="U492" s="85">
        <v>525000</v>
      </c>
      <c r="V492" s="85"/>
      <c r="W492" s="85">
        <v>0</v>
      </c>
      <c r="X492" s="85"/>
      <c r="Y492" s="85">
        <v>141866</v>
      </c>
      <c r="Z492" s="85"/>
      <c r="AA492" s="85">
        <v>0</v>
      </c>
      <c r="AB492" s="85"/>
      <c r="AC492" s="85">
        <v>0</v>
      </c>
      <c r="AD492" s="85"/>
      <c r="AE492" s="85">
        <v>0</v>
      </c>
      <c r="AF492" s="85"/>
      <c r="AG492" s="85">
        <v>0</v>
      </c>
      <c r="AH492" s="85"/>
      <c r="AI492" s="85">
        <f t="shared" si="40"/>
        <v>2560531</v>
      </c>
      <c r="AJ492" s="24"/>
      <c r="AK492" s="15" t="str">
        <f>'Gen Rev'!A492</f>
        <v>Paulding</v>
      </c>
      <c r="AL492" s="15" t="str">
        <f t="shared" si="38"/>
        <v>Paulding</v>
      </c>
      <c r="AM492" s="15" t="b">
        <f t="shared" si="39"/>
        <v>1</v>
      </c>
    </row>
    <row r="493" spans="1:39" ht="12.75">
      <c r="A493" s="15" t="s">
        <v>499</v>
      </c>
      <c r="C493" s="15" t="s">
        <v>497</v>
      </c>
      <c r="E493" s="36">
        <v>147605.2</v>
      </c>
      <c r="F493" s="36"/>
      <c r="G493" s="36">
        <v>0</v>
      </c>
      <c r="H493" s="36"/>
      <c r="I493" s="36">
        <v>190410.13</v>
      </c>
      <c r="J493" s="36"/>
      <c r="K493" s="36">
        <v>0</v>
      </c>
      <c r="L493" s="36"/>
      <c r="M493" s="36">
        <v>91065.29</v>
      </c>
      <c r="N493" s="36"/>
      <c r="O493" s="36">
        <v>12549.67</v>
      </c>
      <c r="P493" s="36"/>
      <c r="Q493" s="36">
        <v>962.85</v>
      </c>
      <c r="R493" s="36"/>
      <c r="S493" s="36">
        <v>47962.56</v>
      </c>
      <c r="T493" s="36"/>
      <c r="U493" s="36">
        <v>0</v>
      </c>
      <c r="V493" s="36"/>
      <c r="W493" s="36">
        <v>31180.79</v>
      </c>
      <c r="X493" s="36"/>
      <c r="Y493" s="36">
        <v>0</v>
      </c>
      <c r="Z493" s="36"/>
      <c r="AA493" s="36">
        <v>54146.5</v>
      </c>
      <c r="AB493" s="36"/>
      <c r="AC493" s="36">
        <v>0</v>
      </c>
      <c r="AD493" s="36"/>
      <c r="AE493" s="36">
        <v>0</v>
      </c>
      <c r="AF493" s="36"/>
      <c r="AG493" s="36">
        <v>0</v>
      </c>
      <c r="AH493" s="36"/>
      <c r="AI493" s="36">
        <f>SUM(E493:AG493)</f>
        <v>575882.99</v>
      </c>
      <c r="AJ493" s="24"/>
      <c r="AK493" s="15" t="str">
        <f>'Gen Rev'!A493</f>
        <v>Payne</v>
      </c>
      <c r="AL493" s="15" t="str">
        <f t="shared" si="38"/>
        <v>Payne</v>
      </c>
      <c r="AM493" s="15" t="b">
        <f t="shared" si="39"/>
        <v>1</v>
      </c>
    </row>
    <row r="494" spans="1:39" ht="12.75">
      <c r="A494" s="15" t="s">
        <v>679</v>
      </c>
      <c r="C494" s="15" t="s">
        <v>662</v>
      </c>
      <c r="E494" s="95">
        <v>269984.81</v>
      </c>
      <c r="F494" s="95"/>
      <c r="G494" s="95">
        <v>0</v>
      </c>
      <c r="H494" s="95"/>
      <c r="I494" s="95">
        <v>71312.12</v>
      </c>
      <c r="J494" s="95"/>
      <c r="K494" s="95">
        <v>0</v>
      </c>
      <c r="L494" s="95"/>
      <c r="M494" s="95">
        <v>98321.61</v>
      </c>
      <c r="N494" s="95"/>
      <c r="O494" s="95">
        <v>48423.05</v>
      </c>
      <c r="P494" s="95"/>
      <c r="Q494" s="95">
        <v>860.2</v>
      </c>
      <c r="R494" s="95"/>
      <c r="S494" s="95">
        <v>26536.74</v>
      </c>
      <c r="T494" s="95"/>
      <c r="U494" s="95">
        <v>0</v>
      </c>
      <c r="V494" s="95"/>
      <c r="W494" s="95">
        <v>0</v>
      </c>
      <c r="X494" s="95"/>
      <c r="Y494" s="95">
        <v>0</v>
      </c>
      <c r="Z494" s="95"/>
      <c r="AA494" s="95">
        <v>0</v>
      </c>
      <c r="AB494" s="95"/>
      <c r="AC494" s="95">
        <v>0</v>
      </c>
      <c r="AD494" s="95"/>
      <c r="AE494" s="95">
        <v>36987</v>
      </c>
      <c r="AF494" s="95"/>
      <c r="AG494" s="95">
        <v>0</v>
      </c>
      <c r="AH494" s="95"/>
      <c r="AI494" s="95">
        <f>SUM(E494:AG494)</f>
        <v>552425.53</v>
      </c>
      <c r="AJ494" s="24"/>
      <c r="AK494" s="15" t="str">
        <f>'Gen Rev'!A494</f>
        <v>Peebles</v>
      </c>
      <c r="AL494" s="15" t="str">
        <f t="shared" si="38"/>
        <v>Peebles</v>
      </c>
      <c r="AM494" s="15" t="b">
        <f t="shared" si="39"/>
        <v>1</v>
      </c>
    </row>
    <row r="495" spans="1:39" ht="12.75">
      <c r="A495" s="15" t="s">
        <v>608</v>
      </c>
      <c r="C495" s="15" t="s">
        <v>603</v>
      </c>
      <c r="E495" s="36">
        <v>90761.33</v>
      </c>
      <c r="F495" s="36"/>
      <c r="G495" s="36">
        <v>333931.06</v>
      </c>
      <c r="H495" s="36"/>
      <c r="I495" s="36">
        <v>127854.14</v>
      </c>
      <c r="J495" s="36"/>
      <c r="K495" s="36">
        <v>109812.19</v>
      </c>
      <c r="L495" s="36"/>
      <c r="M495" s="36">
        <v>1125</v>
      </c>
      <c r="N495" s="36"/>
      <c r="O495" s="36">
        <v>23704.43</v>
      </c>
      <c r="P495" s="36"/>
      <c r="Q495" s="36">
        <v>19469.33</v>
      </c>
      <c r="R495" s="36"/>
      <c r="S495" s="36">
        <v>6362.96</v>
      </c>
      <c r="T495" s="36"/>
      <c r="U495" s="36">
        <v>0</v>
      </c>
      <c r="V495" s="36"/>
      <c r="W495" s="36">
        <v>0</v>
      </c>
      <c r="X495" s="36"/>
      <c r="Y495" s="36">
        <v>0</v>
      </c>
      <c r="Z495" s="36"/>
      <c r="AA495" s="36">
        <v>250000</v>
      </c>
      <c r="AB495" s="36"/>
      <c r="AC495" s="36">
        <v>15000</v>
      </c>
      <c r="AD495" s="36"/>
      <c r="AE495" s="36">
        <v>1668.6</v>
      </c>
      <c r="AF495" s="36"/>
      <c r="AG495" s="36">
        <v>0</v>
      </c>
      <c r="AH495" s="36"/>
      <c r="AI495" s="36">
        <f>SUM(E495:AG495)</f>
        <v>979689.0399999999</v>
      </c>
      <c r="AJ495" s="24"/>
      <c r="AK495" s="15" t="str">
        <f>'Gen Rev'!A495</f>
        <v>Pemberville</v>
      </c>
      <c r="AL495" s="15" t="str">
        <f t="shared" si="38"/>
        <v>Pemberville</v>
      </c>
      <c r="AM495" s="15" t="b">
        <f t="shared" si="39"/>
        <v>1</v>
      </c>
    </row>
    <row r="496" spans="1:39" ht="12.75">
      <c r="A496" s="15" t="s">
        <v>554</v>
      </c>
      <c r="C496" s="15" t="s">
        <v>551</v>
      </c>
      <c r="E496" s="36">
        <v>97791.8</v>
      </c>
      <c r="F496" s="36"/>
      <c r="G496" s="36">
        <v>294181.68</v>
      </c>
      <c r="H496" s="36"/>
      <c r="I496" s="36">
        <v>267700.41</v>
      </c>
      <c r="J496" s="36"/>
      <c r="K496" s="36">
        <v>0</v>
      </c>
      <c r="L496" s="36"/>
      <c r="M496" s="36">
        <v>206788</v>
      </c>
      <c r="N496" s="36"/>
      <c r="O496" s="36">
        <v>66687.93</v>
      </c>
      <c r="P496" s="36"/>
      <c r="Q496" s="36">
        <v>185.02</v>
      </c>
      <c r="R496" s="36"/>
      <c r="S496" s="36">
        <v>12608.71</v>
      </c>
      <c r="T496" s="36"/>
      <c r="U496" s="36">
        <v>0</v>
      </c>
      <c r="V496" s="36"/>
      <c r="W496" s="36">
        <v>0</v>
      </c>
      <c r="X496" s="36"/>
      <c r="Y496" s="36">
        <v>0</v>
      </c>
      <c r="Z496" s="36"/>
      <c r="AA496" s="36">
        <v>0</v>
      </c>
      <c r="AB496" s="36"/>
      <c r="AC496" s="36">
        <v>2000</v>
      </c>
      <c r="AD496" s="36"/>
      <c r="AE496" s="36">
        <v>0</v>
      </c>
      <c r="AF496" s="36"/>
      <c r="AG496" s="36">
        <v>0</v>
      </c>
      <c r="AH496" s="36"/>
      <c r="AI496" s="36">
        <f>SUM(E496:AG496)</f>
        <v>947943.5499999998</v>
      </c>
      <c r="AJ496" s="24"/>
      <c r="AK496" s="15" t="str">
        <f>'Gen Rev'!A496</f>
        <v>Peninsula</v>
      </c>
      <c r="AL496" s="15" t="str">
        <f t="shared" si="38"/>
        <v>Peninsula</v>
      </c>
      <c r="AM496" s="15" t="b">
        <f t="shared" si="39"/>
        <v>1</v>
      </c>
    </row>
    <row r="497" spans="1:39" s="31" customFormat="1" ht="12.75">
      <c r="A497" s="15" t="s">
        <v>433</v>
      </c>
      <c r="B497" s="15"/>
      <c r="C497" s="15" t="s">
        <v>430</v>
      </c>
      <c r="D497" s="15"/>
      <c r="E497" s="85">
        <v>72089</v>
      </c>
      <c r="F497" s="85"/>
      <c r="G497" s="85">
        <v>588088</v>
      </c>
      <c r="H497" s="85"/>
      <c r="I497" s="85">
        <v>365163</v>
      </c>
      <c r="J497" s="85"/>
      <c r="K497" s="85">
        <v>33906</v>
      </c>
      <c r="L497" s="85"/>
      <c r="M497" s="85">
        <v>0</v>
      </c>
      <c r="N497" s="85"/>
      <c r="O497" s="85">
        <v>20180</v>
      </c>
      <c r="P497" s="85"/>
      <c r="Q497" s="85">
        <v>1940</v>
      </c>
      <c r="R497" s="85"/>
      <c r="S497" s="85">
        <v>117311</v>
      </c>
      <c r="T497" s="85"/>
      <c r="U497" s="85">
        <v>0</v>
      </c>
      <c r="V497" s="85"/>
      <c r="W497" s="85">
        <v>0</v>
      </c>
      <c r="X497" s="85"/>
      <c r="Y497" s="85">
        <v>0</v>
      </c>
      <c r="Z497" s="85"/>
      <c r="AA497" s="85">
        <v>12313</v>
      </c>
      <c r="AB497" s="85"/>
      <c r="AC497" s="85">
        <v>20754</v>
      </c>
      <c r="AD497" s="85"/>
      <c r="AE497" s="85">
        <v>0</v>
      </c>
      <c r="AF497" s="85"/>
      <c r="AG497" s="85">
        <v>0</v>
      </c>
      <c r="AH497" s="85"/>
      <c r="AI497" s="85">
        <f t="shared" si="40"/>
        <v>1231744</v>
      </c>
      <c r="AJ497" s="24"/>
      <c r="AK497" s="15" t="str">
        <f>'Gen Rev'!A497</f>
        <v xml:space="preserve">Perry </v>
      </c>
      <c r="AL497" s="15" t="str">
        <f t="shared" si="38"/>
        <v xml:space="preserve">Perry </v>
      </c>
      <c r="AM497" s="15" t="b">
        <f t="shared" si="39"/>
        <v>1</v>
      </c>
    </row>
    <row r="498" spans="1:39" ht="12.75">
      <c r="A498" s="15" t="s">
        <v>680</v>
      </c>
      <c r="C498" s="15" t="s">
        <v>669</v>
      </c>
      <c r="E498" s="36">
        <v>35153.09</v>
      </c>
      <c r="F498" s="36"/>
      <c r="G498" s="36">
        <v>170242.94</v>
      </c>
      <c r="H498" s="36"/>
      <c r="I498" s="36">
        <v>67181.92</v>
      </c>
      <c r="J498" s="36"/>
      <c r="K498" s="36">
        <v>0</v>
      </c>
      <c r="L498" s="36"/>
      <c r="M498" s="36">
        <v>0</v>
      </c>
      <c r="N498" s="36"/>
      <c r="O498" s="36">
        <v>3393</v>
      </c>
      <c r="P498" s="36"/>
      <c r="Q498" s="36">
        <v>137.13</v>
      </c>
      <c r="R498" s="36"/>
      <c r="S498" s="36">
        <v>4843.33</v>
      </c>
      <c r="T498" s="36"/>
      <c r="U498" s="36">
        <v>0</v>
      </c>
      <c r="V498" s="36"/>
      <c r="W498" s="36">
        <v>0</v>
      </c>
      <c r="X498" s="36"/>
      <c r="Y498" s="36">
        <v>0</v>
      </c>
      <c r="Z498" s="36"/>
      <c r="AA498" s="36">
        <v>5000</v>
      </c>
      <c r="AB498" s="36"/>
      <c r="AC498" s="36">
        <v>0</v>
      </c>
      <c r="AD498" s="36"/>
      <c r="AE498" s="36">
        <v>0</v>
      </c>
      <c r="AF498" s="36"/>
      <c r="AG498" s="36">
        <v>0</v>
      </c>
      <c r="AH498" s="36"/>
      <c r="AI498" s="36">
        <f>SUM(E498:AG498)</f>
        <v>285951.41000000003</v>
      </c>
      <c r="AJ498" s="24"/>
      <c r="AK498" s="15" t="str">
        <f>'Gen Rev'!A498</f>
        <v>Perrysville</v>
      </c>
      <c r="AL498" s="15" t="str">
        <f t="shared" si="38"/>
        <v>Perrysville</v>
      </c>
      <c r="AM498" s="15" t="b">
        <f t="shared" si="39"/>
        <v>1</v>
      </c>
    </row>
    <row r="499" spans="1:39" ht="12.75">
      <c r="A499" s="15" t="s">
        <v>482</v>
      </c>
      <c r="C499" s="15" t="s">
        <v>479</v>
      </c>
      <c r="E499" s="85">
        <v>83251</v>
      </c>
      <c r="F499" s="85"/>
      <c r="G499" s="85">
        <v>71260</v>
      </c>
      <c r="H499" s="85"/>
      <c r="I499" s="85">
        <v>266166</v>
      </c>
      <c r="J499" s="85"/>
      <c r="K499" s="85">
        <v>15112</v>
      </c>
      <c r="L499" s="85"/>
      <c r="M499" s="85">
        <v>52907</v>
      </c>
      <c r="N499" s="85"/>
      <c r="O499" s="85">
        <v>6547</v>
      </c>
      <c r="P499" s="85"/>
      <c r="Q499" s="85">
        <v>348</v>
      </c>
      <c r="R499" s="85"/>
      <c r="S499" s="85">
        <v>4578</v>
      </c>
      <c r="T499" s="85"/>
      <c r="U499" s="85">
        <v>0</v>
      </c>
      <c r="V499" s="85"/>
      <c r="W499" s="85">
        <v>0</v>
      </c>
      <c r="X499" s="85"/>
      <c r="Y499" s="85">
        <v>0</v>
      </c>
      <c r="Z499" s="85"/>
      <c r="AA499" s="85">
        <v>19425</v>
      </c>
      <c r="AB499" s="85"/>
      <c r="AC499" s="85">
        <v>0</v>
      </c>
      <c r="AD499" s="85"/>
      <c r="AE499" s="85">
        <v>959</v>
      </c>
      <c r="AF499" s="85"/>
      <c r="AG499" s="85">
        <v>32766</v>
      </c>
      <c r="AH499" s="85"/>
      <c r="AI499" s="85">
        <f t="shared" si="40"/>
        <v>553319</v>
      </c>
      <c r="AJ499" s="24"/>
      <c r="AK499" s="15" t="str">
        <f>'Gen Rev'!A499</f>
        <v>Phillipsburg</v>
      </c>
      <c r="AL499" s="15" t="str">
        <f t="shared" si="38"/>
        <v>Phillipsburg</v>
      </c>
      <c r="AM499" s="15" t="b">
        <f t="shared" si="39"/>
        <v>1</v>
      </c>
    </row>
    <row r="500" spans="1:39" ht="12.75">
      <c r="A500" s="15" t="s">
        <v>488</v>
      </c>
      <c r="C500" s="15" t="s">
        <v>485</v>
      </c>
      <c r="E500" s="85">
        <v>45875</v>
      </c>
      <c r="F500" s="85"/>
      <c r="G500" s="85">
        <v>0</v>
      </c>
      <c r="H500" s="85"/>
      <c r="I500" s="85">
        <v>79810</v>
      </c>
      <c r="J500" s="85"/>
      <c r="K500" s="85">
        <v>0</v>
      </c>
      <c r="L500" s="85"/>
      <c r="M500" s="85">
        <v>0</v>
      </c>
      <c r="N500" s="85"/>
      <c r="O500" s="85">
        <v>8530</v>
      </c>
      <c r="P500" s="85"/>
      <c r="Q500" s="85">
        <v>0</v>
      </c>
      <c r="R500" s="85"/>
      <c r="S500" s="85">
        <v>4609</v>
      </c>
      <c r="T500" s="85"/>
      <c r="U500" s="85">
        <v>0</v>
      </c>
      <c r="V500" s="85"/>
      <c r="W500" s="85">
        <v>0</v>
      </c>
      <c r="X500" s="85"/>
      <c r="Y500" s="85">
        <v>0</v>
      </c>
      <c r="Z500" s="85"/>
      <c r="AA500" s="85">
        <v>0</v>
      </c>
      <c r="AB500" s="85"/>
      <c r="AC500" s="85">
        <v>0</v>
      </c>
      <c r="AD500" s="85"/>
      <c r="AE500" s="85">
        <v>0</v>
      </c>
      <c r="AF500" s="85"/>
      <c r="AG500" s="85">
        <v>0</v>
      </c>
      <c r="AH500" s="85"/>
      <c r="AI500" s="85">
        <f t="shared" si="40"/>
        <v>138824</v>
      </c>
      <c r="AJ500" s="24"/>
      <c r="AK500" s="15" t="str">
        <f>'Gen Rev'!A500</f>
        <v>Philo</v>
      </c>
      <c r="AL500" s="15" t="str">
        <f t="shared" si="38"/>
        <v>Philo</v>
      </c>
      <c r="AM500" s="15" t="b">
        <f t="shared" si="39"/>
        <v>1</v>
      </c>
    </row>
    <row r="501" spans="1:39" ht="12.75">
      <c r="A501" s="15" t="s">
        <v>506</v>
      </c>
      <c r="C501" s="15" t="s">
        <v>507</v>
      </c>
      <c r="E501" s="36">
        <v>147556.88</v>
      </c>
      <c r="F501" s="36"/>
      <c r="G501" s="36">
        <v>519821.46</v>
      </c>
      <c r="H501" s="36"/>
      <c r="I501" s="36">
        <v>225157.27</v>
      </c>
      <c r="J501" s="36"/>
      <c r="K501" s="36">
        <v>0</v>
      </c>
      <c r="L501" s="36"/>
      <c r="M501" s="36">
        <v>0</v>
      </c>
      <c r="N501" s="36"/>
      <c r="O501" s="36">
        <v>65434.11</v>
      </c>
      <c r="P501" s="36"/>
      <c r="Q501" s="36">
        <v>2635.03</v>
      </c>
      <c r="R501" s="36"/>
      <c r="S501" s="36">
        <v>22947.21</v>
      </c>
      <c r="T501" s="36"/>
      <c r="U501" s="36">
        <v>0</v>
      </c>
      <c r="V501" s="36"/>
      <c r="W501" s="36">
        <v>0</v>
      </c>
      <c r="X501" s="36"/>
      <c r="Y501" s="36">
        <v>0</v>
      </c>
      <c r="Z501" s="36"/>
      <c r="AA501" s="36">
        <v>0</v>
      </c>
      <c r="AB501" s="36"/>
      <c r="AC501" s="36">
        <v>0</v>
      </c>
      <c r="AD501" s="36"/>
      <c r="AE501" s="36">
        <v>0</v>
      </c>
      <c r="AF501" s="36"/>
      <c r="AG501" s="36">
        <v>0</v>
      </c>
      <c r="AH501" s="36"/>
      <c r="AI501" s="36">
        <f>SUM(E501:AG501)</f>
        <v>983551.9600000001</v>
      </c>
      <c r="AJ501" s="24"/>
      <c r="AK501" s="15" t="str">
        <f>'Gen Rev'!A501</f>
        <v>Piketon</v>
      </c>
      <c r="AL501" s="15" t="str">
        <f t="shared" si="38"/>
        <v>Piketon</v>
      </c>
      <c r="AM501" s="15" t="b">
        <f t="shared" si="39"/>
        <v>1</v>
      </c>
    </row>
    <row r="502" spans="1:42" s="31" customFormat="1" ht="12.75">
      <c r="A502" s="15" t="s">
        <v>908</v>
      </c>
      <c r="B502" s="15"/>
      <c r="C502" s="15" t="s">
        <v>598</v>
      </c>
      <c r="D502" s="15"/>
      <c r="E502" s="85">
        <v>227868.73</v>
      </c>
      <c r="F502" s="85"/>
      <c r="G502" s="85">
        <v>372968.81</v>
      </c>
      <c r="H502" s="85"/>
      <c r="I502" s="85">
        <v>251253.78</v>
      </c>
      <c r="J502" s="85"/>
      <c r="K502" s="85">
        <v>13268.36</v>
      </c>
      <c r="L502" s="85"/>
      <c r="M502" s="85">
        <v>58155.48</v>
      </c>
      <c r="N502" s="85"/>
      <c r="O502" s="85">
        <v>6126</v>
      </c>
      <c r="P502" s="85"/>
      <c r="Q502" s="85">
        <v>14255.41</v>
      </c>
      <c r="R502" s="85"/>
      <c r="S502" s="85">
        <v>58403.17</v>
      </c>
      <c r="T502" s="85"/>
      <c r="U502" s="85">
        <v>0</v>
      </c>
      <c r="V502" s="85"/>
      <c r="W502" s="85">
        <v>166770.02</v>
      </c>
      <c r="X502" s="85"/>
      <c r="Y502" s="85">
        <v>0</v>
      </c>
      <c r="Z502" s="85"/>
      <c r="AA502" s="85">
        <v>0</v>
      </c>
      <c r="AB502" s="85"/>
      <c r="AC502" s="85">
        <v>0</v>
      </c>
      <c r="AD502" s="85"/>
      <c r="AE502" s="85">
        <v>19091.88</v>
      </c>
      <c r="AF502" s="85"/>
      <c r="AG502" s="85">
        <v>0</v>
      </c>
      <c r="AH502" s="85"/>
      <c r="AI502" s="85">
        <f t="shared" si="40"/>
        <v>1188161.64</v>
      </c>
      <c r="AJ502" s="24"/>
      <c r="AK502" s="15" t="str">
        <f>'Gen Rev'!A502</f>
        <v>Pioneer</v>
      </c>
      <c r="AL502" s="15" t="str">
        <f t="shared" si="38"/>
        <v>Pioneer</v>
      </c>
      <c r="AM502" s="15" t="b">
        <f t="shared" si="39"/>
        <v>1</v>
      </c>
      <c r="AN502" s="32"/>
      <c r="AO502" s="32"/>
      <c r="AP502" s="32"/>
    </row>
    <row r="503" spans="1:42" s="31" customFormat="1" ht="12.75">
      <c r="A503" s="15" t="s">
        <v>54</v>
      </c>
      <c r="B503" s="15"/>
      <c r="C503" s="15" t="s">
        <v>762</v>
      </c>
      <c r="D503" s="15"/>
      <c r="E503" s="36">
        <v>42843.09</v>
      </c>
      <c r="F503" s="36"/>
      <c r="G503" s="36">
        <v>0</v>
      </c>
      <c r="H503" s="36"/>
      <c r="I503" s="36">
        <v>61036.01</v>
      </c>
      <c r="J503" s="36"/>
      <c r="K503" s="36">
        <v>1092.5</v>
      </c>
      <c r="L503" s="36"/>
      <c r="M503" s="36">
        <v>27867.25</v>
      </c>
      <c r="N503" s="36"/>
      <c r="O503" s="36">
        <v>0</v>
      </c>
      <c r="P503" s="36"/>
      <c r="Q503" s="36">
        <v>312.88</v>
      </c>
      <c r="R503" s="36"/>
      <c r="S503" s="36">
        <v>6725.54</v>
      </c>
      <c r="T503" s="36"/>
      <c r="U503" s="36">
        <v>0</v>
      </c>
      <c r="V503" s="36"/>
      <c r="W503" s="36">
        <v>0</v>
      </c>
      <c r="X503" s="36"/>
      <c r="Y503" s="36">
        <v>0</v>
      </c>
      <c r="Z503" s="36"/>
      <c r="AA503" s="36">
        <v>2352</v>
      </c>
      <c r="AB503" s="36"/>
      <c r="AC503" s="36">
        <v>1161.88</v>
      </c>
      <c r="AD503" s="36"/>
      <c r="AE503" s="36">
        <v>0</v>
      </c>
      <c r="AF503" s="36"/>
      <c r="AG503" s="36">
        <v>0</v>
      </c>
      <c r="AH503" s="36"/>
      <c r="AI503" s="36">
        <f>SUM(E503:AG503)</f>
        <v>143391.15000000002</v>
      </c>
      <c r="AJ503" s="24"/>
      <c r="AK503" s="15" t="str">
        <f>'Gen Rev'!A503</f>
        <v>Pitsburg</v>
      </c>
      <c r="AL503" s="15" t="str">
        <f t="shared" si="38"/>
        <v>Pitsburg</v>
      </c>
      <c r="AM503" s="15" t="b">
        <f t="shared" si="39"/>
        <v>1</v>
      </c>
      <c r="AN503" s="32"/>
      <c r="AO503" s="32"/>
      <c r="AP503" s="32"/>
    </row>
    <row r="504" spans="1:39" ht="12.75">
      <c r="A504" s="15" t="s">
        <v>460</v>
      </c>
      <c r="C504" s="15" t="s">
        <v>432</v>
      </c>
      <c r="E504" s="96">
        <v>390579.98</v>
      </c>
      <c r="F504" s="96"/>
      <c r="G504" s="96">
        <v>1000558.37</v>
      </c>
      <c r="H504" s="96"/>
      <c r="I504" s="96">
        <v>347445.74</v>
      </c>
      <c r="J504" s="96"/>
      <c r="K504" s="96">
        <v>0</v>
      </c>
      <c r="L504" s="96"/>
      <c r="M504" s="96">
        <v>392525.38</v>
      </c>
      <c r="N504" s="96"/>
      <c r="O504" s="96">
        <v>48661.97</v>
      </c>
      <c r="P504" s="96"/>
      <c r="Q504" s="96">
        <v>4086.47</v>
      </c>
      <c r="R504" s="96"/>
      <c r="S504" s="96">
        <v>35672.52</v>
      </c>
      <c r="T504" s="96"/>
      <c r="U504" s="96">
        <v>0</v>
      </c>
      <c r="V504" s="96"/>
      <c r="W504" s="96">
        <v>0</v>
      </c>
      <c r="X504" s="96"/>
      <c r="Y504" s="96">
        <v>0</v>
      </c>
      <c r="Z504" s="96"/>
      <c r="AA504" s="96">
        <v>0</v>
      </c>
      <c r="AB504" s="96"/>
      <c r="AC504" s="96">
        <v>0</v>
      </c>
      <c r="AD504" s="96"/>
      <c r="AE504" s="96">
        <v>0</v>
      </c>
      <c r="AF504" s="96"/>
      <c r="AG504" s="96">
        <v>0</v>
      </c>
      <c r="AH504" s="96"/>
      <c r="AI504" s="96">
        <f>SUM(E504:AG504)</f>
        <v>2219530.4300000006</v>
      </c>
      <c r="AJ504" s="24"/>
      <c r="AK504" s="15" t="str">
        <f>'Gen Rev'!A504</f>
        <v>Plain City</v>
      </c>
      <c r="AL504" s="15" t="str">
        <f t="shared" si="38"/>
        <v>Plain City</v>
      </c>
      <c r="AM504" s="15" t="b">
        <f t="shared" si="39"/>
        <v>1</v>
      </c>
    </row>
    <row r="505" spans="1:39" ht="12.75">
      <c r="A505" s="15" t="s">
        <v>909</v>
      </c>
      <c r="C505" s="15" t="s">
        <v>308</v>
      </c>
      <c r="E505" s="85">
        <f>6047.76+7177.7</f>
        <v>13225.46</v>
      </c>
      <c r="F505" s="85"/>
      <c r="G505" s="85">
        <v>0</v>
      </c>
      <c r="H505" s="85"/>
      <c r="I505" s="85">
        <v>0</v>
      </c>
      <c r="J505" s="85"/>
      <c r="K505" s="85">
        <v>0</v>
      </c>
      <c r="L505" s="85"/>
      <c r="M505" s="85">
        <v>0</v>
      </c>
      <c r="N505" s="85"/>
      <c r="O505" s="85">
        <v>0</v>
      </c>
      <c r="P505" s="85"/>
      <c r="Q505" s="85">
        <f>791.13+452.85</f>
        <v>1243.98</v>
      </c>
      <c r="R505" s="85"/>
      <c r="S505" s="85">
        <v>0</v>
      </c>
      <c r="T505" s="85"/>
      <c r="U505" s="85">
        <v>0</v>
      </c>
      <c r="V505" s="85"/>
      <c r="W505" s="85">
        <v>0</v>
      </c>
      <c r="X505" s="85"/>
      <c r="Y505" s="85">
        <v>0</v>
      </c>
      <c r="Z505" s="85"/>
      <c r="AA505" s="85">
        <v>0</v>
      </c>
      <c r="AB505" s="85"/>
      <c r="AC505" s="85">
        <v>0</v>
      </c>
      <c r="AD505" s="85"/>
      <c r="AE505" s="85">
        <v>0</v>
      </c>
      <c r="AF505" s="85"/>
      <c r="AG505" s="85">
        <v>0</v>
      </c>
      <c r="AH505" s="85"/>
      <c r="AI505" s="85">
        <f t="shared" si="40"/>
        <v>14469.439999999999</v>
      </c>
      <c r="AJ505" s="24"/>
      <c r="AK505" s="15" t="str">
        <f>'Gen Rev'!A505</f>
        <v>Plainfield</v>
      </c>
      <c r="AL505" s="15" t="str">
        <f t="shared" si="38"/>
        <v>Plainfield</v>
      </c>
      <c r="AM505" s="15" t="b">
        <f t="shared" si="39"/>
        <v>1</v>
      </c>
    </row>
    <row r="506" spans="1:39" ht="12.75">
      <c r="A506" s="15" t="s">
        <v>376</v>
      </c>
      <c r="C506" s="15" t="s">
        <v>375</v>
      </c>
      <c r="E506" s="36">
        <v>32707.92</v>
      </c>
      <c r="F506" s="36"/>
      <c r="G506" s="36">
        <v>0</v>
      </c>
      <c r="H506" s="36"/>
      <c r="I506" s="36">
        <v>39245.52</v>
      </c>
      <c r="J506" s="36"/>
      <c r="K506" s="36">
        <v>5234.54</v>
      </c>
      <c r="L506" s="36"/>
      <c r="M506" s="36">
        <v>6065.91</v>
      </c>
      <c r="N506" s="36"/>
      <c r="O506" s="36">
        <v>7104.7</v>
      </c>
      <c r="P506" s="36"/>
      <c r="Q506" s="36">
        <v>4556.84</v>
      </c>
      <c r="R506" s="36"/>
      <c r="S506" s="36">
        <v>500</v>
      </c>
      <c r="T506" s="36"/>
      <c r="U506" s="36">
        <v>0</v>
      </c>
      <c r="V506" s="36"/>
      <c r="W506" s="36">
        <v>0</v>
      </c>
      <c r="X506" s="36"/>
      <c r="Y506" s="36">
        <v>0</v>
      </c>
      <c r="Z506" s="36"/>
      <c r="AA506" s="36">
        <v>0</v>
      </c>
      <c r="AB506" s="36"/>
      <c r="AC506" s="36">
        <v>0</v>
      </c>
      <c r="AD506" s="36"/>
      <c r="AE506" s="36">
        <v>0</v>
      </c>
      <c r="AF506" s="36"/>
      <c r="AG506" s="36">
        <v>0</v>
      </c>
      <c r="AH506" s="36"/>
      <c r="AI506" s="36">
        <f aca="true" t="shared" si="41" ref="AI506:AI513">SUM(E506:AG506)</f>
        <v>95415.43</v>
      </c>
      <c r="AJ506" s="24"/>
      <c r="AK506" s="15" t="str">
        <f>'Gen Rev'!A506</f>
        <v>Pleasant City</v>
      </c>
      <c r="AL506" s="15" t="str">
        <f t="shared" si="38"/>
        <v>Pleasant City</v>
      </c>
      <c r="AM506" s="15" t="b">
        <f t="shared" si="39"/>
        <v>1</v>
      </c>
    </row>
    <row r="507" spans="1:39" ht="12.75">
      <c r="A507" s="15" t="s">
        <v>163</v>
      </c>
      <c r="C507" s="15" t="s">
        <v>795</v>
      </c>
      <c r="E507" s="36">
        <v>27771.49</v>
      </c>
      <c r="F507" s="36"/>
      <c r="G507" s="36">
        <v>155535.97</v>
      </c>
      <c r="H507" s="36"/>
      <c r="I507" s="36">
        <v>1554139.39</v>
      </c>
      <c r="J507" s="36"/>
      <c r="K507" s="36">
        <v>43344.45</v>
      </c>
      <c r="L507" s="36"/>
      <c r="M507" s="36">
        <v>19420.26</v>
      </c>
      <c r="N507" s="36"/>
      <c r="O507" s="36">
        <v>11254.13</v>
      </c>
      <c r="P507" s="36"/>
      <c r="Q507" s="36">
        <v>2094.8</v>
      </c>
      <c r="R507" s="36"/>
      <c r="S507" s="36">
        <v>32378.62</v>
      </c>
      <c r="T507" s="36"/>
      <c r="U507" s="36">
        <v>0</v>
      </c>
      <c r="V507" s="36"/>
      <c r="W507" s="36">
        <v>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v>0</v>
      </c>
      <c r="AF507" s="36"/>
      <c r="AG507" s="36">
        <v>0</v>
      </c>
      <c r="AH507" s="36"/>
      <c r="AI507" s="36">
        <f t="shared" si="41"/>
        <v>1845939.1099999999</v>
      </c>
      <c r="AJ507" s="24"/>
      <c r="AK507" s="15" t="str">
        <f>'Gen Rev'!A507</f>
        <v>Pleasant Hill</v>
      </c>
      <c r="AL507" s="15" t="str">
        <f t="shared" si="38"/>
        <v>Pleasant Hill</v>
      </c>
      <c r="AM507" s="15" t="b">
        <f t="shared" si="39"/>
        <v>1</v>
      </c>
    </row>
    <row r="508" spans="1:39" ht="12.75">
      <c r="A508" s="15" t="s">
        <v>244</v>
      </c>
      <c r="C508" s="15" t="s">
        <v>821</v>
      </c>
      <c r="E508" s="36">
        <v>2902.55</v>
      </c>
      <c r="F508" s="36"/>
      <c r="G508" s="36">
        <v>0</v>
      </c>
      <c r="H508" s="36"/>
      <c r="I508" s="36">
        <v>13122.61</v>
      </c>
      <c r="J508" s="36"/>
      <c r="K508" s="36">
        <v>0</v>
      </c>
      <c r="L508" s="36"/>
      <c r="M508" s="36">
        <v>0</v>
      </c>
      <c r="N508" s="36"/>
      <c r="O508" s="36">
        <v>0</v>
      </c>
      <c r="P508" s="36"/>
      <c r="Q508" s="36">
        <v>269.09</v>
      </c>
      <c r="R508" s="36"/>
      <c r="S508" s="36">
        <v>5278.62</v>
      </c>
      <c r="T508" s="36"/>
      <c r="U508" s="36">
        <v>0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v>0</v>
      </c>
      <c r="AF508" s="36"/>
      <c r="AG508" s="36">
        <v>0</v>
      </c>
      <c r="AH508" s="36"/>
      <c r="AI508" s="36">
        <f t="shared" si="41"/>
        <v>21572.87</v>
      </c>
      <c r="AJ508" s="24"/>
      <c r="AK508" s="15" t="str">
        <f>'Gen Rev'!A508</f>
        <v>Pleasant Plain</v>
      </c>
      <c r="AL508" s="15" t="str">
        <f t="shared" si="38"/>
        <v>Pleasant Plain</v>
      </c>
      <c r="AM508" s="15" t="b">
        <f t="shared" si="39"/>
        <v>1</v>
      </c>
    </row>
    <row r="509" spans="1:42" s="31" customFormat="1" ht="12.75">
      <c r="A509" s="15" t="s">
        <v>64</v>
      </c>
      <c r="B509" s="15"/>
      <c r="C509" s="15" t="s">
        <v>766</v>
      </c>
      <c r="D509" s="15"/>
      <c r="E509" s="36">
        <v>62727.61</v>
      </c>
      <c r="F509" s="36"/>
      <c r="G509" s="36">
        <v>0</v>
      </c>
      <c r="H509" s="36"/>
      <c r="I509" s="36">
        <v>135417.35</v>
      </c>
      <c r="J509" s="36"/>
      <c r="K509" s="36">
        <v>1679.57</v>
      </c>
      <c r="L509" s="36"/>
      <c r="M509" s="36">
        <v>20353.65</v>
      </c>
      <c r="N509" s="36"/>
      <c r="O509" s="36">
        <v>7007.49</v>
      </c>
      <c r="P509" s="36"/>
      <c r="Q509" s="36">
        <v>0.9</v>
      </c>
      <c r="R509" s="36"/>
      <c r="S509" s="36">
        <v>1475.42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2846.76</v>
      </c>
      <c r="AB509" s="36"/>
      <c r="AC509" s="36">
        <v>0</v>
      </c>
      <c r="AD509" s="36"/>
      <c r="AE509" s="36">
        <v>0</v>
      </c>
      <c r="AF509" s="36"/>
      <c r="AG509" s="36">
        <v>0</v>
      </c>
      <c r="AH509" s="36"/>
      <c r="AI509" s="36">
        <f t="shared" si="41"/>
        <v>231508.75000000003</v>
      </c>
      <c r="AJ509" s="24"/>
      <c r="AK509" s="15" t="str">
        <f>'Gen Rev'!A509</f>
        <v>Pleasantville</v>
      </c>
      <c r="AL509" s="15" t="str">
        <f t="shared" si="38"/>
        <v>Pleasantville</v>
      </c>
      <c r="AM509" s="15" t="b">
        <f t="shared" si="39"/>
        <v>1</v>
      </c>
      <c r="AN509" s="32"/>
      <c r="AO509" s="32"/>
      <c r="AP509" s="32"/>
    </row>
    <row r="510" spans="1:39" ht="12.75">
      <c r="A510" s="15" t="s">
        <v>209</v>
      </c>
      <c r="C510" s="15" t="s">
        <v>809</v>
      </c>
      <c r="E510" s="36">
        <v>292869.91</v>
      </c>
      <c r="F510" s="36"/>
      <c r="G510" s="36">
        <v>0</v>
      </c>
      <c r="H510" s="36"/>
      <c r="I510" s="36">
        <v>210426.07</v>
      </c>
      <c r="J510" s="36"/>
      <c r="K510" s="36">
        <v>0</v>
      </c>
      <c r="L510" s="36"/>
      <c r="M510" s="36">
        <v>34804</v>
      </c>
      <c r="N510" s="36"/>
      <c r="O510" s="36">
        <v>31973.76</v>
      </c>
      <c r="P510" s="36"/>
      <c r="Q510" s="36">
        <v>2647.85</v>
      </c>
      <c r="R510" s="36"/>
      <c r="S510" s="36">
        <v>75043.98</v>
      </c>
      <c r="T510" s="36"/>
      <c r="U510" s="36">
        <v>0</v>
      </c>
      <c r="V510" s="36"/>
      <c r="W510" s="36">
        <v>0</v>
      </c>
      <c r="X510" s="36"/>
      <c r="Y510" s="36">
        <v>4327</v>
      </c>
      <c r="Z510" s="36"/>
      <c r="AA510" s="36">
        <v>318124.2</v>
      </c>
      <c r="AB510" s="36"/>
      <c r="AC510" s="36">
        <v>0</v>
      </c>
      <c r="AD510" s="36"/>
      <c r="AE510" s="36">
        <v>0</v>
      </c>
      <c r="AF510" s="36"/>
      <c r="AG510" s="36">
        <v>0</v>
      </c>
      <c r="AH510" s="36"/>
      <c r="AI510" s="36">
        <f t="shared" si="41"/>
        <v>970216.77</v>
      </c>
      <c r="AJ510" s="24"/>
      <c r="AK510" s="15" t="str">
        <f>'Gen Rev'!A510</f>
        <v>Plymouth</v>
      </c>
      <c r="AL510" s="15" t="str">
        <f t="shared" si="38"/>
        <v>Plymouth</v>
      </c>
      <c r="AM510" s="15" t="b">
        <f t="shared" si="39"/>
        <v>1</v>
      </c>
    </row>
    <row r="511" spans="1:39" s="31" customFormat="1" ht="12.75">
      <c r="A511" s="15" t="s">
        <v>146</v>
      </c>
      <c r="B511" s="15"/>
      <c r="C511" s="15" t="s">
        <v>790</v>
      </c>
      <c r="D511" s="15"/>
      <c r="E511" s="36">
        <v>434945.7</v>
      </c>
      <c r="F511" s="36"/>
      <c r="G511" s="36">
        <v>0</v>
      </c>
      <c r="H511" s="36"/>
      <c r="I511" s="36">
        <v>291745.67</v>
      </c>
      <c r="J511" s="36"/>
      <c r="K511" s="36">
        <v>613.25</v>
      </c>
      <c r="L511" s="36"/>
      <c r="M511" s="36">
        <v>0</v>
      </c>
      <c r="N511" s="36"/>
      <c r="O511" s="36">
        <v>191855.81</v>
      </c>
      <c r="P511" s="36"/>
      <c r="Q511" s="36">
        <v>25649.4</v>
      </c>
      <c r="R511" s="36"/>
      <c r="S511" s="36">
        <v>19390.92</v>
      </c>
      <c r="T511" s="36"/>
      <c r="U511" s="36">
        <v>0</v>
      </c>
      <c r="V511" s="36"/>
      <c r="W511" s="36">
        <v>0</v>
      </c>
      <c r="X511" s="36"/>
      <c r="Y511" s="36">
        <v>0</v>
      </c>
      <c r="Z511" s="36"/>
      <c r="AA511" s="36">
        <v>20004.73</v>
      </c>
      <c r="AB511" s="36"/>
      <c r="AC511" s="36">
        <v>0</v>
      </c>
      <c r="AD511" s="36"/>
      <c r="AE511" s="36">
        <v>0</v>
      </c>
      <c r="AF511" s="36"/>
      <c r="AG511" s="36">
        <v>0</v>
      </c>
      <c r="AH511" s="36"/>
      <c r="AI511" s="36">
        <f t="shared" si="41"/>
        <v>984205.48</v>
      </c>
      <c r="AJ511" s="24"/>
      <c r="AK511" s="15" t="str">
        <f>'Gen Rev'!A511</f>
        <v>Poland</v>
      </c>
      <c r="AL511" s="15" t="str">
        <f t="shared" si="38"/>
        <v>Poland</v>
      </c>
      <c r="AM511" s="15" t="b">
        <f t="shared" si="39"/>
        <v>1</v>
      </c>
    </row>
    <row r="512" spans="1:39" ht="12.75">
      <c r="A512" s="15" t="s">
        <v>681</v>
      </c>
      <c r="C512" s="15" t="s">
        <v>669</v>
      </c>
      <c r="E512" s="36">
        <v>9143.45</v>
      </c>
      <c r="F512" s="36"/>
      <c r="G512" s="36">
        <v>0</v>
      </c>
      <c r="H512" s="36"/>
      <c r="I512" s="36">
        <v>51188.24</v>
      </c>
      <c r="J512" s="36"/>
      <c r="K512" s="36">
        <v>0</v>
      </c>
      <c r="L512" s="36"/>
      <c r="M512" s="36">
        <v>2985</v>
      </c>
      <c r="N512" s="36"/>
      <c r="O512" s="36">
        <v>40</v>
      </c>
      <c r="P512" s="36"/>
      <c r="Q512" s="36">
        <v>104.58</v>
      </c>
      <c r="R512" s="36"/>
      <c r="S512" s="36">
        <v>300</v>
      </c>
      <c r="T512" s="36"/>
      <c r="U512" s="36">
        <v>0</v>
      </c>
      <c r="V512" s="36"/>
      <c r="W512" s="36">
        <v>0</v>
      </c>
      <c r="X512" s="36"/>
      <c r="Y512" s="36">
        <v>0</v>
      </c>
      <c r="Z512" s="36"/>
      <c r="AA512" s="36">
        <v>0</v>
      </c>
      <c r="AB512" s="36"/>
      <c r="AC512" s="36">
        <v>0</v>
      </c>
      <c r="AD512" s="36"/>
      <c r="AE512" s="36">
        <v>0</v>
      </c>
      <c r="AF512" s="36"/>
      <c r="AG512" s="36">
        <v>0</v>
      </c>
      <c r="AH512" s="36"/>
      <c r="AI512" s="36">
        <f t="shared" si="41"/>
        <v>63761.270000000004</v>
      </c>
      <c r="AJ512" s="24"/>
      <c r="AK512" s="15" t="str">
        <f>'Gen Rev'!A512</f>
        <v>Polk</v>
      </c>
      <c r="AL512" s="15" t="str">
        <f t="shared" si="38"/>
        <v>Polk</v>
      </c>
      <c r="AM512" s="15" t="b">
        <f t="shared" si="39"/>
        <v>1</v>
      </c>
    </row>
    <row r="513" spans="1:39" ht="12.75">
      <c r="A513" s="15" t="s">
        <v>157</v>
      </c>
      <c r="C513" s="15" t="s">
        <v>793</v>
      </c>
      <c r="E513" s="36">
        <v>143723.15</v>
      </c>
      <c r="F513" s="36"/>
      <c r="G513" s="36">
        <v>323506.91</v>
      </c>
      <c r="H513" s="36"/>
      <c r="I513" s="36">
        <v>229041.17</v>
      </c>
      <c r="J513" s="36"/>
      <c r="K513" s="36">
        <v>0</v>
      </c>
      <c r="L513" s="36"/>
      <c r="M513" s="36">
        <v>70284.55</v>
      </c>
      <c r="N513" s="36"/>
      <c r="O513" s="36">
        <v>161772.91</v>
      </c>
      <c r="P513" s="36"/>
      <c r="Q513" s="36">
        <v>1529.22</v>
      </c>
      <c r="R513" s="36"/>
      <c r="S513" s="36">
        <v>9238.92</v>
      </c>
      <c r="T513" s="36"/>
      <c r="U513" s="36">
        <v>0</v>
      </c>
      <c r="V513" s="36"/>
      <c r="W513" s="36">
        <v>0</v>
      </c>
      <c r="X513" s="36"/>
      <c r="Y513" s="36">
        <v>275</v>
      </c>
      <c r="Z513" s="36"/>
      <c r="AA513" s="36">
        <v>66000</v>
      </c>
      <c r="AB513" s="36"/>
      <c r="AC513" s="36">
        <v>0</v>
      </c>
      <c r="AD513" s="36"/>
      <c r="AE513" s="36">
        <v>0</v>
      </c>
      <c r="AF513" s="36"/>
      <c r="AG513" s="36">
        <v>0</v>
      </c>
      <c r="AH513" s="36"/>
      <c r="AI513" s="36">
        <f t="shared" si="41"/>
        <v>1005371.8300000001</v>
      </c>
      <c r="AJ513" s="24"/>
      <c r="AK513" s="15" t="str">
        <f>'Gen Rev'!A513</f>
        <v>Pomeroy</v>
      </c>
      <c r="AL513" s="15" t="str">
        <f t="shared" si="38"/>
        <v>Pomeroy</v>
      </c>
      <c r="AM513" s="15" t="b">
        <f t="shared" si="39"/>
        <v>1</v>
      </c>
    </row>
    <row r="514" spans="1:39" ht="12.75">
      <c r="A514" s="15" t="s">
        <v>911</v>
      </c>
      <c r="C514" s="15" t="s">
        <v>538</v>
      </c>
      <c r="E514" s="85">
        <v>7446</v>
      </c>
      <c r="F514" s="85"/>
      <c r="G514" s="85">
        <v>0</v>
      </c>
      <c r="H514" s="85"/>
      <c r="I514" s="85">
        <v>41226</v>
      </c>
      <c r="J514" s="85"/>
      <c r="K514" s="85">
        <v>6249</v>
      </c>
      <c r="L514" s="85"/>
      <c r="M514" s="85">
        <v>6626</v>
      </c>
      <c r="N514" s="85"/>
      <c r="O514" s="85">
        <v>13414</v>
      </c>
      <c r="P514" s="85"/>
      <c r="Q514" s="85">
        <v>525</v>
      </c>
      <c r="R514" s="85"/>
      <c r="S514" s="85">
        <v>7859</v>
      </c>
      <c r="T514" s="85"/>
      <c r="U514" s="85">
        <v>0</v>
      </c>
      <c r="V514" s="85"/>
      <c r="W514" s="85">
        <v>0</v>
      </c>
      <c r="X514" s="85"/>
      <c r="Y514" s="85">
        <v>0</v>
      </c>
      <c r="Z514" s="85"/>
      <c r="AA514" s="85">
        <v>0</v>
      </c>
      <c r="AB514" s="85"/>
      <c r="AC514" s="85">
        <v>0</v>
      </c>
      <c r="AD514" s="85"/>
      <c r="AE514" s="85">
        <v>0</v>
      </c>
      <c r="AF514" s="85"/>
      <c r="AG514" s="85">
        <v>0</v>
      </c>
      <c r="AH514" s="85"/>
      <c r="AI514" s="85">
        <f t="shared" si="40"/>
        <v>83345</v>
      </c>
      <c r="AJ514" s="24"/>
      <c r="AK514" s="15" t="str">
        <f>'Gen Rev'!A514</f>
        <v>Port Jefferson</v>
      </c>
      <c r="AL514" s="15" t="str">
        <f t="shared" si="38"/>
        <v>Port Jefferson</v>
      </c>
      <c r="AM514" s="15" t="b">
        <f t="shared" si="39"/>
        <v>1</v>
      </c>
    </row>
    <row r="515" spans="1:39" ht="12.75">
      <c r="A515" s="15" t="s">
        <v>682</v>
      </c>
      <c r="C515" s="15" t="s">
        <v>562</v>
      </c>
      <c r="E515" s="36">
        <v>21704.18</v>
      </c>
      <c r="F515" s="36"/>
      <c r="G515" s="36">
        <v>62336.6</v>
      </c>
      <c r="H515" s="36"/>
      <c r="I515" s="36">
        <v>50118.48</v>
      </c>
      <c r="J515" s="36"/>
      <c r="K515" s="36">
        <v>30</v>
      </c>
      <c r="L515" s="36"/>
      <c r="M515" s="36">
        <v>250</v>
      </c>
      <c r="N515" s="36"/>
      <c r="O515" s="36">
        <v>9443.21</v>
      </c>
      <c r="P515" s="36"/>
      <c r="Q515" s="36">
        <v>73.07</v>
      </c>
      <c r="R515" s="36"/>
      <c r="S515" s="36">
        <v>17.81</v>
      </c>
      <c r="T515" s="36"/>
      <c r="U515" s="36">
        <v>0</v>
      </c>
      <c r="V515" s="36"/>
      <c r="W515" s="36">
        <v>0</v>
      </c>
      <c r="X515" s="36"/>
      <c r="Y515" s="36">
        <v>0</v>
      </c>
      <c r="Z515" s="36"/>
      <c r="AA515" s="36">
        <v>0</v>
      </c>
      <c r="AB515" s="36"/>
      <c r="AC515" s="36">
        <v>0</v>
      </c>
      <c r="AD515" s="36"/>
      <c r="AE515" s="36">
        <v>0</v>
      </c>
      <c r="AF515" s="36"/>
      <c r="AG515" s="36">
        <v>0</v>
      </c>
      <c r="AH515" s="36"/>
      <c r="AI515" s="36">
        <f aca="true" t="shared" si="42" ref="AI515:AI525">SUM(E515:AG515)</f>
        <v>143973.35</v>
      </c>
      <c r="AJ515" s="24"/>
      <c r="AK515" s="15" t="str">
        <f>'Gen Rev'!A515</f>
        <v>Port Washington</v>
      </c>
      <c r="AL515" s="15" t="str">
        <f t="shared" si="38"/>
        <v>Port Washington</v>
      </c>
      <c r="AM515" s="15" t="b">
        <f t="shared" si="39"/>
        <v>1</v>
      </c>
    </row>
    <row r="516" spans="1:42" s="31" customFormat="1" ht="12.6" customHeight="1">
      <c r="A516" s="15" t="s">
        <v>303</v>
      </c>
      <c r="B516" s="15"/>
      <c r="C516" s="15" t="s">
        <v>299</v>
      </c>
      <c r="D516" s="15"/>
      <c r="E516" s="36">
        <v>13015.73</v>
      </c>
      <c r="F516" s="36"/>
      <c r="G516" s="36">
        <v>0</v>
      </c>
      <c r="H516" s="36"/>
      <c r="I516" s="36">
        <v>20424.06</v>
      </c>
      <c r="J516" s="36"/>
      <c r="K516" s="36">
        <v>0</v>
      </c>
      <c r="L516" s="36"/>
      <c r="M516" s="36">
        <v>75884.94</v>
      </c>
      <c r="N516" s="36"/>
      <c r="O516" s="36">
        <v>0</v>
      </c>
      <c r="P516" s="36"/>
      <c r="Q516" s="36">
        <v>133.3</v>
      </c>
      <c r="R516" s="36"/>
      <c r="S516" s="36">
        <v>7505.86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20417.21</v>
      </c>
      <c r="AB516" s="36"/>
      <c r="AC516" s="36">
        <v>0</v>
      </c>
      <c r="AD516" s="36"/>
      <c r="AE516" s="36">
        <v>0</v>
      </c>
      <c r="AF516" s="36"/>
      <c r="AG516" s="36">
        <v>0</v>
      </c>
      <c r="AH516" s="36"/>
      <c r="AI516" s="36">
        <f t="shared" si="42"/>
        <v>137381.1</v>
      </c>
      <c r="AJ516" s="24"/>
      <c r="AK516" s="15" t="str">
        <f>'Gen Rev'!A516</f>
        <v>Port William</v>
      </c>
      <c r="AL516" s="15" t="str">
        <f t="shared" si="38"/>
        <v>Port William</v>
      </c>
      <c r="AM516" s="15" t="b">
        <f t="shared" si="39"/>
        <v>1</v>
      </c>
      <c r="AN516" s="32"/>
      <c r="AO516" s="32"/>
      <c r="AP516" s="32"/>
    </row>
    <row r="517" spans="1:39" ht="12.75">
      <c r="A517" s="15" t="s">
        <v>259</v>
      </c>
      <c r="C517" s="15" t="s">
        <v>825</v>
      </c>
      <c r="E517" s="36">
        <v>16342.9</v>
      </c>
      <c r="F517" s="36"/>
      <c r="G517" s="36">
        <v>83773.84</v>
      </c>
      <c r="H517" s="36"/>
      <c r="I517" s="36">
        <v>48290.45</v>
      </c>
      <c r="J517" s="36"/>
      <c r="K517" s="36">
        <v>8090.74</v>
      </c>
      <c r="L517" s="36"/>
      <c r="M517" s="36">
        <v>0</v>
      </c>
      <c r="N517" s="36"/>
      <c r="O517" s="36">
        <v>4139.84</v>
      </c>
      <c r="P517" s="36"/>
      <c r="Q517" s="36">
        <v>340.75</v>
      </c>
      <c r="R517" s="36"/>
      <c r="S517" s="36">
        <v>2324.56</v>
      </c>
      <c r="T517" s="36"/>
      <c r="U517" s="36">
        <v>0</v>
      </c>
      <c r="V517" s="36"/>
      <c r="W517" s="36">
        <v>0</v>
      </c>
      <c r="X517" s="36"/>
      <c r="Y517" s="36">
        <v>0</v>
      </c>
      <c r="Z517" s="36"/>
      <c r="AA517" s="36">
        <v>215</v>
      </c>
      <c r="AB517" s="36"/>
      <c r="AC517" s="36">
        <v>0</v>
      </c>
      <c r="AD517" s="36"/>
      <c r="AE517" s="36">
        <v>0</v>
      </c>
      <c r="AF517" s="36"/>
      <c r="AG517" s="36">
        <v>0</v>
      </c>
      <c r="AH517" s="36"/>
      <c r="AI517" s="36">
        <f t="shared" si="42"/>
        <v>163518.08</v>
      </c>
      <c r="AJ517" s="24"/>
      <c r="AK517" s="15" t="str">
        <f>'Gen Rev'!A517</f>
        <v>Portage</v>
      </c>
      <c r="AL517" s="15" t="str">
        <f t="shared" si="38"/>
        <v>Portage</v>
      </c>
      <c r="AM517" s="15" t="b">
        <f t="shared" si="39"/>
        <v>1</v>
      </c>
    </row>
    <row r="518" spans="1:39" ht="12.75">
      <c r="A518" s="15" t="s">
        <v>471</v>
      </c>
      <c r="C518" s="15" t="s">
        <v>470</v>
      </c>
      <c r="E518" s="36">
        <v>9125.29</v>
      </c>
      <c r="F518" s="36"/>
      <c r="G518" s="36">
        <v>0</v>
      </c>
      <c r="H518" s="36"/>
      <c r="I518" s="36">
        <v>30239.74</v>
      </c>
      <c r="J518" s="36"/>
      <c r="K518" s="36">
        <v>0</v>
      </c>
      <c r="L518" s="36"/>
      <c r="M518" s="36">
        <v>0</v>
      </c>
      <c r="N518" s="36"/>
      <c r="O518" s="36">
        <v>1232.49</v>
      </c>
      <c r="P518" s="36"/>
      <c r="Q518" s="36">
        <v>40.93</v>
      </c>
      <c r="R518" s="36"/>
      <c r="S518" s="36">
        <v>0</v>
      </c>
      <c r="T518" s="36"/>
      <c r="U518" s="36">
        <v>0</v>
      </c>
      <c r="V518" s="36"/>
      <c r="W518" s="36">
        <v>0</v>
      </c>
      <c r="X518" s="36"/>
      <c r="Y518" s="36">
        <v>0</v>
      </c>
      <c r="Z518" s="36"/>
      <c r="AA518" s="36">
        <v>8200</v>
      </c>
      <c r="AB518" s="36"/>
      <c r="AC518" s="36">
        <v>0</v>
      </c>
      <c r="AD518" s="36"/>
      <c r="AE518" s="36">
        <v>0</v>
      </c>
      <c r="AF518" s="36"/>
      <c r="AG518" s="36">
        <v>0</v>
      </c>
      <c r="AH518" s="36"/>
      <c r="AI518" s="36">
        <f t="shared" si="42"/>
        <v>48838.45</v>
      </c>
      <c r="AJ518" s="24"/>
      <c r="AK518" s="15" t="str">
        <f>'Gen Rev'!A518</f>
        <v>Potsdam</v>
      </c>
      <c r="AL518" s="15" t="str">
        <f t="shared" si="38"/>
        <v>Potsdam</v>
      </c>
      <c r="AM518" s="15" t="b">
        <f t="shared" si="39"/>
        <v>1</v>
      </c>
    </row>
    <row r="519" spans="1:39" ht="12.75">
      <c r="A519" s="15" t="s">
        <v>19</v>
      </c>
      <c r="C519" s="15" t="s">
        <v>750</v>
      </c>
      <c r="E519" s="36">
        <v>94255.68</v>
      </c>
      <c r="F519" s="36"/>
      <c r="G519" s="36">
        <v>183569.71</v>
      </c>
      <c r="H519" s="36"/>
      <c r="I519" s="36">
        <v>278615.13</v>
      </c>
      <c r="J519" s="36"/>
      <c r="K519" s="36">
        <v>0</v>
      </c>
      <c r="L519" s="36"/>
      <c r="M519" s="36">
        <v>51626.14</v>
      </c>
      <c r="N519" s="36"/>
      <c r="O519" s="36">
        <v>23012.25</v>
      </c>
      <c r="P519" s="36"/>
      <c r="Q519" s="36">
        <v>2894.9</v>
      </c>
      <c r="R519" s="36"/>
      <c r="S519" s="36">
        <v>8119.86</v>
      </c>
      <c r="T519" s="36"/>
      <c r="U519" s="36">
        <v>0</v>
      </c>
      <c r="V519" s="36"/>
      <c r="W519" s="36">
        <v>0</v>
      </c>
      <c r="X519" s="36"/>
      <c r="Y519" s="36">
        <v>0</v>
      </c>
      <c r="Z519" s="36"/>
      <c r="AA519" s="36">
        <v>25000</v>
      </c>
      <c r="AB519" s="36"/>
      <c r="AC519" s="36">
        <v>0</v>
      </c>
      <c r="AD519" s="36"/>
      <c r="AE519" s="36">
        <v>0</v>
      </c>
      <c r="AF519" s="36"/>
      <c r="AG519" s="36">
        <v>0</v>
      </c>
      <c r="AH519" s="36"/>
      <c r="AI519" s="36">
        <f t="shared" si="42"/>
        <v>667093.67</v>
      </c>
      <c r="AJ519" s="24"/>
      <c r="AK519" s="15" t="str">
        <f>'Gen Rev'!A519</f>
        <v>Powhatan Point</v>
      </c>
      <c r="AL519" s="15" t="str">
        <f t="shared" si="38"/>
        <v>Powhatan Point</v>
      </c>
      <c r="AM519" s="15" t="b">
        <f t="shared" si="39"/>
        <v>1</v>
      </c>
    </row>
    <row r="520" spans="1:39" ht="12.75">
      <c r="A520" s="15" t="s">
        <v>127</v>
      </c>
      <c r="C520" s="15" t="s">
        <v>437</v>
      </c>
      <c r="E520" s="36">
        <v>33779.68</v>
      </c>
      <c r="F520" s="36"/>
      <c r="G520" s="36">
        <v>0</v>
      </c>
      <c r="H520" s="36"/>
      <c r="I520" s="36">
        <v>60943.08</v>
      </c>
      <c r="J520" s="36"/>
      <c r="K520" s="36">
        <v>0</v>
      </c>
      <c r="L520" s="36"/>
      <c r="M520" s="36">
        <v>0</v>
      </c>
      <c r="N520" s="36"/>
      <c r="O520" s="36">
        <v>94021.66</v>
      </c>
      <c r="P520" s="36"/>
      <c r="Q520" s="36">
        <v>0</v>
      </c>
      <c r="R520" s="36"/>
      <c r="S520" s="36">
        <v>16080.85</v>
      </c>
      <c r="T520" s="36"/>
      <c r="U520" s="36">
        <v>45000</v>
      </c>
      <c r="V520" s="36"/>
      <c r="W520" s="36">
        <v>0</v>
      </c>
      <c r="X520" s="36"/>
      <c r="Y520" s="36">
        <v>0</v>
      </c>
      <c r="Z520" s="36"/>
      <c r="AA520" s="36">
        <v>0</v>
      </c>
      <c r="AB520" s="36"/>
      <c r="AC520" s="36">
        <v>0</v>
      </c>
      <c r="AD520" s="36"/>
      <c r="AE520" s="36">
        <v>0</v>
      </c>
      <c r="AF520" s="36"/>
      <c r="AG520" s="36">
        <v>0</v>
      </c>
      <c r="AH520" s="36"/>
      <c r="AI520" s="36">
        <f t="shared" si="42"/>
        <v>249825.27000000002</v>
      </c>
      <c r="AJ520" s="24"/>
      <c r="AK520" s="15" t="str">
        <f>'Gen Rev'!A520</f>
        <v>Proctorville</v>
      </c>
      <c r="AL520" s="15" t="str">
        <f t="shared" si="38"/>
        <v>Proctorville</v>
      </c>
      <c r="AM520" s="15" t="b">
        <f t="shared" si="39"/>
        <v>1</v>
      </c>
    </row>
    <row r="521" spans="1:39" ht="12.75">
      <c r="A521" s="15" t="s">
        <v>150</v>
      </c>
      <c r="C521" s="15" t="s">
        <v>791</v>
      </c>
      <c r="E521" s="36">
        <v>92730.37</v>
      </c>
      <c r="F521" s="36"/>
      <c r="G521" s="36">
        <v>0</v>
      </c>
      <c r="H521" s="36"/>
      <c r="I521" s="36">
        <v>77723.85</v>
      </c>
      <c r="J521" s="36"/>
      <c r="K521" s="36">
        <v>0</v>
      </c>
      <c r="L521" s="36"/>
      <c r="M521" s="36">
        <v>0</v>
      </c>
      <c r="N521" s="36"/>
      <c r="O521" s="36">
        <v>3054.5</v>
      </c>
      <c r="P521" s="36"/>
      <c r="Q521" s="36">
        <v>774.34</v>
      </c>
      <c r="R521" s="36"/>
      <c r="S521" s="36">
        <v>4616.97</v>
      </c>
      <c r="T521" s="36"/>
      <c r="U521" s="36">
        <v>0</v>
      </c>
      <c r="V521" s="36"/>
      <c r="W521" s="36">
        <v>7321.11</v>
      </c>
      <c r="X521" s="36"/>
      <c r="Y521" s="36">
        <v>0</v>
      </c>
      <c r="Z521" s="36"/>
      <c r="AA521" s="36">
        <v>129089.41</v>
      </c>
      <c r="AB521" s="36"/>
      <c r="AC521" s="36">
        <v>0</v>
      </c>
      <c r="AD521" s="36"/>
      <c r="AE521" s="36">
        <v>16518.71</v>
      </c>
      <c r="AF521" s="36"/>
      <c r="AG521" s="36">
        <v>0</v>
      </c>
      <c r="AH521" s="36"/>
      <c r="AI521" s="36">
        <f t="shared" si="42"/>
        <v>331829.26</v>
      </c>
      <c r="AJ521" s="24"/>
      <c r="AK521" s="15" t="str">
        <f>'Gen Rev'!A521</f>
        <v>Prospect</v>
      </c>
      <c r="AL521" s="15" t="str">
        <f t="shared" si="38"/>
        <v>Prospect</v>
      </c>
      <c r="AM521" s="15" t="b">
        <f t="shared" si="39"/>
        <v>1</v>
      </c>
    </row>
    <row r="522" spans="1:39" ht="12.75">
      <c r="A522" s="15" t="s">
        <v>181</v>
      </c>
      <c r="C522" s="15" t="s">
        <v>802</v>
      </c>
      <c r="E522" s="36">
        <v>715082.18</v>
      </c>
      <c r="F522" s="36"/>
      <c r="G522" s="36">
        <v>0</v>
      </c>
      <c r="H522" s="36"/>
      <c r="I522" s="36">
        <v>759728.48</v>
      </c>
      <c r="J522" s="36"/>
      <c r="K522" s="36">
        <v>9100.44</v>
      </c>
      <c r="L522" s="36"/>
      <c r="M522" s="36">
        <v>554460.31</v>
      </c>
      <c r="N522" s="36"/>
      <c r="O522" s="36">
        <v>116012.8</v>
      </c>
      <c r="P522" s="36"/>
      <c r="Q522" s="36">
        <v>12005.11</v>
      </c>
      <c r="R522" s="36"/>
      <c r="S522" s="36">
        <v>159954.01</v>
      </c>
      <c r="T522" s="36"/>
      <c r="U522" s="36">
        <v>0</v>
      </c>
      <c r="V522" s="36"/>
      <c r="W522" s="36">
        <v>0</v>
      </c>
      <c r="X522" s="36"/>
      <c r="Y522" s="36">
        <v>0</v>
      </c>
      <c r="Z522" s="36"/>
      <c r="AA522" s="36">
        <v>11278.72</v>
      </c>
      <c r="AB522" s="36"/>
      <c r="AC522" s="36">
        <v>332742.01</v>
      </c>
      <c r="AD522" s="36"/>
      <c r="AE522" s="36">
        <v>0</v>
      </c>
      <c r="AF522" s="36"/>
      <c r="AG522" s="36">
        <v>2000</v>
      </c>
      <c r="AH522" s="36"/>
      <c r="AI522" s="36">
        <f t="shared" si="42"/>
        <v>2672364.0600000005</v>
      </c>
      <c r="AJ522" s="24"/>
      <c r="AK522" s="15" t="str">
        <f>'Gen Rev'!A522</f>
        <v>Put-In-Bay</v>
      </c>
      <c r="AL522" s="15" t="str">
        <f t="shared" si="38"/>
        <v>Put-In-Bay</v>
      </c>
      <c r="AM522" s="15" t="b">
        <f t="shared" si="39"/>
        <v>1</v>
      </c>
    </row>
    <row r="523" spans="1:39" ht="12.75">
      <c r="A523" s="15" t="s">
        <v>89</v>
      </c>
      <c r="C523" s="15" t="s">
        <v>772</v>
      </c>
      <c r="E523" s="36">
        <v>35256.46</v>
      </c>
      <c r="F523" s="36"/>
      <c r="G523" s="36">
        <v>0</v>
      </c>
      <c r="H523" s="36"/>
      <c r="I523" s="36">
        <v>44535.52</v>
      </c>
      <c r="J523" s="36"/>
      <c r="K523" s="36">
        <v>0</v>
      </c>
      <c r="L523" s="36"/>
      <c r="M523" s="36">
        <v>51211.52</v>
      </c>
      <c r="N523" s="36"/>
      <c r="O523" s="36">
        <v>0</v>
      </c>
      <c r="P523" s="36"/>
      <c r="Q523" s="36">
        <v>226.83</v>
      </c>
      <c r="R523" s="36"/>
      <c r="S523" s="36">
        <f>11135.48+50850.61</f>
        <v>61986.09</v>
      </c>
      <c r="T523" s="36"/>
      <c r="U523" s="36">
        <v>0</v>
      </c>
      <c r="V523" s="36"/>
      <c r="W523" s="36">
        <v>0</v>
      </c>
      <c r="X523" s="36"/>
      <c r="Y523" s="36">
        <v>0</v>
      </c>
      <c r="Z523" s="36"/>
      <c r="AA523" s="36">
        <v>0</v>
      </c>
      <c r="AB523" s="36"/>
      <c r="AC523" s="36">
        <v>0</v>
      </c>
      <c r="AD523" s="36"/>
      <c r="AE523" s="36">
        <v>0</v>
      </c>
      <c r="AF523" s="36"/>
      <c r="AG523" s="36">
        <v>0</v>
      </c>
      <c r="AH523" s="36"/>
      <c r="AI523" s="36">
        <f t="shared" si="42"/>
        <v>193216.41999999998</v>
      </c>
      <c r="AJ523" s="24"/>
      <c r="AK523" s="15" t="str">
        <f>'Gen Rev'!A523</f>
        <v>Quaker City</v>
      </c>
      <c r="AL523" s="15" t="str">
        <f t="shared" si="38"/>
        <v>Quaker City</v>
      </c>
      <c r="AM523" s="15" t="b">
        <f t="shared" si="39"/>
        <v>1</v>
      </c>
    </row>
    <row r="524" spans="1:39" s="31" customFormat="1" ht="12.75">
      <c r="A524" s="15" t="s">
        <v>134</v>
      </c>
      <c r="B524" s="15"/>
      <c r="C524" s="15" t="s">
        <v>786</v>
      </c>
      <c r="D524" s="15"/>
      <c r="E524" s="95">
        <v>75013.35</v>
      </c>
      <c r="F524" s="95"/>
      <c r="G524" s="95">
        <v>40299.5</v>
      </c>
      <c r="H524" s="95"/>
      <c r="I524" s="95">
        <v>163003.35</v>
      </c>
      <c r="J524" s="95"/>
      <c r="K524" s="95">
        <v>0</v>
      </c>
      <c r="L524" s="95"/>
      <c r="M524" s="95">
        <v>4410</v>
      </c>
      <c r="N524" s="95"/>
      <c r="O524" s="95">
        <v>3184.62</v>
      </c>
      <c r="P524" s="95"/>
      <c r="Q524" s="95">
        <v>643.1</v>
      </c>
      <c r="R524" s="95"/>
      <c r="S524" s="95">
        <v>808.75</v>
      </c>
      <c r="T524" s="95"/>
      <c r="U524" s="95">
        <v>0</v>
      </c>
      <c r="V524" s="95"/>
      <c r="W524" s="95">
        <v>0</v>
      </c>
      <c r="X524" s="95"/>
      <c r="Y524" s="95">
        <v>0</v>
      </c>
      <c r="Z524" s="95"/>
      <c r="AA524" s="95">
        <v>0</v>
      </c>
      <c r="AB524" s="95"/>
      <c r="AC524" s="95">
        <v>0</v>
      </c>
      <c r="AD524" s="95"/>
      <c r="AE524" s="95">
        <v>0</v>
      </c>
      <c r="AF524" s="95"/>
      <c r="AG524" s="95">
        <v>503.3</v>
      </c>
      <c r="AH524" s="95"/>
      <c r="AI524" s="95">
        <f t="shared" si="42"/>
        <v>287865.97</v>
      </c>
      <c r="AJ524" s="24"/>
      <c r="AK524" s="15" t="str">
        <f>'Gen Rev'!A524</f>
        <v>Quincy</v>
      </c>
      <c r="AL524" s="15" t="str">
        <f t="shared" si="38"/>
        <v>Quincy</v>
      </c>
      <c r="AM524" s="15" t="b">
        <f t="shared" si="39"/>
        <v>1</v>
      </c>
    </row>
    <row r="525" spans="1:39" ht="12.75">
      <c r="A525" s="15" t="s">
        <v>158</v>
      </c>
      <c r="C525" s="15" t="s">
        <v>793</v>
      </c>
      <c r="E525" s="95">
        <v>62465.13</v>
      </c>
      <c r="F525" s="95"/>
      <c r="G525" s="95">
        <v>0</v>
      </c>
      <c r="H525" s="95"/>
      <c r="I525" s="95">
        <v>46607.39</v>
      </c>
      <c r="J525" s="95"/>
      <c r="K525" s="95">
        <v>144122.6</v>
      </c>
      <c r="L525" s="95"/>
      <c r="M525" s="95">
        <v>61332.16</v>
      </c>
      <c r="N525" s="95"/>
      <c r="O525" s="95">
        <v>6206</v>
      </c>
      <c r="P525" s="95"/>
      <c r="Q525" s="95">
        <v>1080.89</v>
      </c>
      <c r="R525" s="95"/>
      <c r="S525" s="95">
        <v>135178.84</v>
      </c>
      <c r="T525" s="95"/>
      <c r="U525" s="95">
        <v>0</v>
      </c>
      <c r="V525" s="95"/>
      <c r="W525" s="95">
        <v>0</v>
      </c>
      <c r="X525" s="95"/>
      <c r="Y525" s="95">
        <v>0</v>
      </c>
      <c r="Z525" s="95"/>
      <c r="AA525" s="95">
        <v>22289.65</v>
      </c>
      <c r="AB525" s="95"/>
      <c r="AC525" s="95">
        <v>0</v>
      </c>
      <c r="AD525" s="95"/>
      <c r="AE525" s="95">
        <v>8810</v>
      </c>
      <c r="AF525" s="95"/>
      <c r="AG525" s="95">
        <v>0</v>
      </c>
      <c r="AH525" s="95"/>
      <c r="AI525" s="95">
        <f t="shared" si="42"/>
        <v>488092.66000000003</v>
      </c>
      <c r="AJ525" s="24"/>
      <c r="AK525" s="15" t="str">
        <f>'Gen Rev'!A525</f>
        <v>Racine</v>
      </c>
      <c r="AL525" s="15" t="str">
        <f t="shared" si="38"/>
        <v>Racine</v>
      </c>
      <c r="AM525" s="15" t="b">
        <f t="shared" si="39"/>
        <v>1</v>
      </c>
    </row>
    <row r="526" spans="1:39" ht="12.75" hidden="1">
      <c r="A526" s="15" t="s">
        <v>532</v>
      </c>
      <c r="C526" s="15" t="s">
        <v>531</v>
      </c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>
        <f t="shared" si="40"/>
        <v>0</v>
      </c>
      <c r="AJ526" s="24"/>
      <c r="AK526" s="15" t="str">
        <f>'Gen Rev'!A526</f>
        <v>Rarden</v>
      </c>
      <c r="AL526" s="15" t="str">
        <f t="shared" si="38"/>
        <v>Rarden</v>
      </c>
      <c r="AM526" s="15" t="b">
        <f t="shared" si="39"/>
        <v>1</v>
      </c>
    </row>
    <row r="527" spans="1:39" s="31" customFormat="1" ht="12.75">
      <c r="A527" s="15" t="s">
        <v>392</v>
      </c>
      <c r="B527" s="15"/>
      <c r="C527" s="15" t="s">
        <v>388</v>
      </c>
      <c r="D527" s="15"/>
      <c r="E527" s="36">
        <v>8520.88</v>
      </c>
      <c r="F527" s="36"/>
      <c r="G527" s="36">
        <v>0</v>
      </c>
      <c r="H527" s="36"/>
      <c r="I527" s="36">
        <v>70135</v>
      </c>
      <c r="J527" s="36"/>
      <c r="K527" s="36">
        <v>408746.52</v>
      </c>
      <c r="L527" s="36"/>
      <c r="M527" s="36">
        <v>260</v>
      </c>
      <c r="N527" s="36"/>
      <c r="O527" s="36">
        <v>0</v>
      </c>
      <c r="P527" s="36"/>
      <c r="Q527" s="36">
        <v>888.03</v>
      </c>
      <c r="R527" s="36"/>
      <c r="S527" s="36">
        <v>733.8</v>
      </c>
      <c r="T527" s="36"/>
      <c r="U527" s="36">
        <v>0</v>
      </c>
      <c r="V527" s="36"/>
      <c r="W527" s="36">
        <v>0</v>
      </c>
      <c r="X527" s="36"/>
      <c r="Y527" s="36">
        <v>0</v>
      </c>
      <c r="Z527" s="36"/>
      <c r="AA527" s="36">
        <v>0</v>
      </c>
      <c r="AB527" s="36"/>
      <c r="AC527" s="36">
        <v>0</v>
      </c>
      <c r="AD527" s="36"/>
      <c r="AE527" s="36">
        <v>0</v>
      </c>
      <c r="AF527" s="36"/>
      <c r="AG527" s="36">
        <v>0</v>
      </c>
      <c r="AH527" s="36"/>
      <c r="AI527" s="36">
        <f>SUM(E527:AG527)</f>
        <v>489284.23000000004</v>
      </c>
      <c r="AJ527" s="24"/>
      <c r="AK527" s="15" t="str">
        <f>'Gen Rev'!A527</f>
        <v>Rawson</v>
      </c>
      <c r="AL527" s="15" t="str">
        <f t="shared" si="38"/>
        <v>Rawson</v>
      </c>
      <c r="AM527" s="15" t="b">
        <f t="shared" si="39"/>
        <v>1</v>
      </c>
    </row>
    <row r="528" spans="1:39" s="31" customFormat="1" ht="12.75">
      <c r="A528" s="15" t="s">
        <v>966</v>
      </c>
      <c r="B528" s="15"/>
      <c r="C528" s="15" t="s">
        <v>781</v>
      </c>
      <c r="D528" s="15"/>
      <c r="E528" s="83">
        <v>19139</v>
      </c>
      <c r="F528" s="83"/>
      <c r="G528" s="83">
        <v>0</v>
      </c>
      <c r="H528" s="83"/>
      <c r="I528" s="83">
        <v>40264</v>
      </c>
      <c r="J528" s="83"/>
      <c r="K528" s="83">
        <v>245</v>
      </c>
      <c r="L528" s="83"/>
      <c r="M528" s="83">
        <v>1767</v>
      </c>
      <c r="N528" s="83"/>
      <c r="O528" s="83">
        <v>8690</v>
      </c>
      <c r="P528" s="83"/>
      <c r="Q528" s="83">
        <v>70</v>
      </c>
      <c r="R528" s="83"/>
      <c r="S528" s="83">
        <v>12962</v>
      </c>
      <c r="T528" s="83"/>
      <c r="U528" s="85">
        <v>0</v>
      </c>
      <c r="V528" s="85"/>
      <c r="W528" s="85">
        <v>0</v>
      </c>
      <c r="X528" s="85"/>
      <c r="Y528" s="85">
        <v>0</v>
      </c>
      <c r="Z528" s="85"/>
      <c r="AA528" s="85">
        <v>0</v>
      </c>
      <c r="AB528" s="85"/>
      <c r="AC528" s="85">
        <v>0</v>
      </c>
      <c r="AD528" s="85"/>
      <c r="AE528" s="85">
        <v>0</v>
      </c>
      <c r="AF528" s="85"/>
      <c r="AG528" s="85">
        <v>0</v>
      </c>
      <c r="AH528" s="85"/>
      <c r="AI528" s="85">
        <f>SUM(E528:AG528)</f>
        <v>83137</v>
      </c>
      <c r="AJ528" s="24"/>
      <c r="AK528" s="15" t="str">
        <f>'Gen Rev'!A528</f>
        <v>Rayland</v>
      </c>
      <c r="AL528" s="15" t="str">
        <f t="shared" si="38"/>
        <v>Rayland</v>
      </c>
      <c r="AM528" s="15" t="b">
        <f t="shared" si="39"/>
        <v>1</v>
      </c>
    </row>
    <row r="529" spans="1:39" ht="12.75">
      <c r="A529" s="15" t="s">
        <v>228</v>
      </c>
      <c r="C529" s="15" t="s">
        <v>816</v>
      </c>
      <c r="E529" s="36">
        <v>263760.27</v>
      </c>
      <c r="F529" s="36"/>
      <c r="G529" s="36">
        <v>2366271.99</v>
      </c>
      <c r="H529" s="36"/>
      <c r="I529" s="36">
        <v>582373.16</v>
      </c>
      <c r="J529" s="36"/>
      <c r="K529" s="36">
        <v>0</v>
      </c>
      <c r="L529" s="36"/>
      <c r="M529" s="36">
        <v>37692.56</v>
      </c>
      <c r="N529" s="36"/>
      <c r="O529" s="36">
        <v>170399.47</v>
      </c>
      <c r="P529" s="36"/>
      <c r="Q529" s="36">
        <v>1344.74</v>
      </c>
      <c r="R529" s="36"/>
      <c r="S529" s="36">
        <f>423592.54+1567.99</f>
        <v>425160.52999999997</v>
      </c>
      <c r="T529" s="36"/>
      <c r="U529" s="36">
        <v>0</v>
      </c>
      <c r="V529" s="36"/>
      <c r="W529" s="36">
        <v>0</v>
      </c>
      <c r="X529" s="36"/>
      <c r="Y529" s="36">
        <v>0</v>
      </c>
      <c r="Z529" s="36"/>
      <c r="AA529" s="36">
        <v>79429.29</v>
      </c>
      <c r="AB529" s="36"/>
      <c r="AC529" s="36">
        <v>85870.79</v>
      </c>
      <c r="AD529" s="36"/>
      <c r="AE529" s="36">
        <v>234.84</v>
      </c>
      <c r="AF529" s="36"/>
      <c r="AG529" s="36">
        <v>36690.81</v>
      </c>
      <c r="AH529" s="36"/>
      <c r="AI529" s="36">
        <f>SUM(E529:AG529)</f>
        <v>4049228.4500000007</v>
      </c>
      <c r="AJ529" s="24"/>
      <c r="AK529" s="15" t="str">
        <f>'Gen Rev'!A529</f>
        <v>Reminderville</v>
      </c>
      <c r="AL529" s="15" t="str">
        <f t="shared" si="38"/>
        <v>Reminderville</v>
      </c>
      <c r="AM529" s="15" t="b">
        <f t="shared" si="39"/>
        <v>1</v>
      </c>
    </row>
    <row r="530" spans="1:39" ht="12.75">
      <c r="A530" s="15" t="s">
        <v>536</v>
      </c>
      <c r="C530" s="15" t="s">
        <v>534</v>
      </c>
      <c r="E530" s="36">
        <v>18053.62</v>
      </c>
      <c r="F530" s="36"/>
      <c r="G530" s="36">
        <v>0</v>
      </c>
      <c r="H530" s="36"/>
      <c r="I530" s="36">
        <v>91771.94</v>
      </c>
      <c r="J530" s="36"/>
      <c r="K530" s="36">
        <v>0</v>
      </c>
      <c r="L530" s="36"/>
      <c r="M530" s="36">
        <v>7606.85</v>
      </c>
      <c r="N530" s="36"/>
      <c r="O530" s="36">
        <v>53807</v>
      </c>
      <c r="P530" s="36"/>
      <c r="Q530" s="36">
        <v>4603.94</v>
      </c>
      <c r="R530" s="36"/>
      <c r="S530" s="36">
        <v>20582.32</v>
      </c>
      <c r="T530" s="36"/>
      <c r="U530" s="36">
        <v>0</v>
      </c>
      <c r="V530" s="36"/>
      <c r="W530" s="36">
        <v>0</v>
      </c>
      <c r="X530" s="36"/>
      <c r="Y530" s="36">
        <v>0</v>
      </c>
      <c r="Z530" s="36"/>
      <c r="AA530" s="36">
        <v>0</v>
      </c>
      <c r="AB530" s="36"/>
      <c r="AC530" s="36">
        <v>0</v>
      </c>
      <c r="AD530" s="36"/>
      <c r="AE530" s="36">
        <v>0</v>
      </c>
      <c r="AF530" s="36"/>
      <c r="AG530" s="36">
        <v>240</v>
      </c>
      <c r="AH530" s="36"/>
      <c r="AI530" s="36">
        <f>SUM(E530:AG530)</f>
        <v>196665.67</v>
      </c>
      <c r="AJ530" s="24"/>
      <c r="AK530" s="15" t="str">
        <f>'Gen Rev'!A530</f>
        <v>Republic</v>
      </c>
      <c r="AL530" s="15" t="str">
        <f t="shared" si="38"/>
        <v>Republic</v>
      </c>
      <c r="AM530" s="15" t="b">
        <f t="shared" si="39"/>
        <v>1</v>
      </c>
    </row>
    <row r="531" spans="1:39" ht="12.75">
      <c r="A531" s="15" t="s">
        <v>555</v>
      </c>
      <c r="C531" s="15" t="s">
        <v>551</v>
      </c>
      <c r="E531" s="85">
        <v>709564</v>
      </c>
      <c r="F531" s="85"/>
      <c r="G531" s="85">
        <v>7786618</v>
      </c>
      <c r="H531" s="85"/>
      <c r="I531" s="85">
        <v>832890</v>
      </c>
      <c r="J531" s="85"/>
      <c r="K531" s="85">
        <v>583349</v>
      </c>
      <c r="L531" s="85"/>
      <c r="M531" s="85">
        <v>1111743</v>
      </c>
      <c r="N531" s="85"/>
      <c r="O531" s="85">
        <v>73542</v>
      </c>
      <c r="P531" s="85"/>
      <c r="Q531" s="85">
        <v>10876</v>
      </c>
      <c r="R531" s="85"/>
      <c r="S531" s="85">
        <v>164515</v>
      </c>
      <c r="T531" s="85"/>
      <c r="U531" s="85">
        <v>0</v>
      </c>
      <c r="V531" s="85"/>
      <c r="W531" s="85">
        <v>0</v>
      </c>
      <c r="X531" s="85"/>
      <c r="Y531" s="85">
        <v>0</v>
      </c>
      <c r="Z531" s="85"/>
      <c r="AA531" s="85">
        <v>7033988</v>
      </c>
      <c r="AB531" s="85"/>
      <c r="AC531" s="85">
        <v>247000</v>
      </c>
      <c r="AD531" s="85"/>
      <c r="AE531" s="85">
        <v>10000</v>
      </c>
      <c r="AF531" s="85"/>
      <c r="AG531" s="85">
        <v>0</v>
      </c>
      <c r="AH531" s="85"/>
      <c r="AI531" s="85">
        <f t="shared" si="40"/>
        <v>18564085</v>
      </c>
      <c r="AJ531" s="24"/>
      <c r="AK531" s="15" t="str">
        <f>'Gen Rev'!A531</f>
        <v>Richfield</v>
      </c>
      <c r="AL531" s="15" t="str">
        <f t="shared" si="38"/>
        <v>Richfield</v>
      </c>
      <c r="AM531" s="15" t="b">
        <f t="shared" si="39"/>
        <v>1</v>
      </c>
    </row>
    <row r="532" spans="1:39" s="31" customFormat="1" ht="12.75">
      <c r="A532" s="15" t="s">
        <v>119</v>
      </c>
      <c r="B532" s="15"/>
      <c r="C532" s="15" t="s">
        <v>781</v>
      </c>
      <c r="D532" s="15"/>
      <c r="E532" s="95">
        <v>41914.32</v>
      </c>
      <c r="F532" s="95"/>
      <c r="G532" s="95">
        <v>0</v>
      </c>
      <c r="H532" s="95"/>
      <c r="I532" s="95">
        <v>50580.52</v>
      </c>
      <c r="J532" s="95"/>
      <c r="K532" s="95">
        <v>0</v>
      </c>
      <c r="L532" s="95"/>
      <c r="M532" s="95">
        <v>7200</v>
      </c>
      <c r="N532" s="95"/>
      <c r="O532" s="95">
        <v>280</v>
      </c>
      <c r="P532" s="95"/>
      <c r="Q532" s="95">
        <v>41.31</v>
      </c>
      <c r="R532" s="95"/>
      <c r="S532" s="95">
        <v>913.5</v>
      </c>
      <c r="T532" s="95"/>
      <c r="U532" s="95">
        <v>0</v>
      </c>
      <c r="V532" s="95"/>
      <c r="W532" s="95">
        <v>0</v>
      </c>
      <c r="X532" s="95"/>
      <c r="Y532" s="95">
        <v>0</v>
      </c>
      <c r="Z532" s="95"/>
      <c r="AA532" s="95">
        <v>9051.71</v>
      </c>
      <c r="AB532" s="95"/>
      <c r="AC532" s="95">
        <v>0</v>
      </c>
      <c r="AD532" s="95"/>
      <c r="AE532" s="95">
        <v>11.85</v>
      </c>
      <c r="AF532" s="95"/>
      <c r="AG532" s="95">
        <v>2000</v>
      </c>
      <c r="AH532" s="95"/>
      <c r="AI532" s="95">
        <f aca="true" t="shared" si="43" ref="AI532:AI537">SUM(E532:AG532)</f>
        <v>111993.20999999999</v>
      </c>
      <c r="AJ532" s="24"/>
      <c r="AK532" s="15" t="str">
        <f>'Gen Rev'!A532</f>
        <v>Richmond</v>
      </c>
      <c r="AL532" s="15" t="str">
        <f t="shared" si="38"/>
        <v>Richmond</v>
      </c>
      <c r="AM532" s="15" t="b">
        <f t="shared" si="39"/>
        <v>1</v>
      </c>
    </row>
    <row r="533" spans="1:39" s="31" customFormat="1" ht="12.75">
      <c r="A533" s="15" t="s">
        <v>238</v>
      </c>
      <c r="B533" s="15"/>
      <c r="C533" s="15" t="s">
        <v>819</v>
      </c>
      <c r="D533" s="15"/>
      <c r="E533" s="36">
        <v>259972.99</v>
      </c>
      <c r="F533" s="36"/>
      <c r="G533" s="36">
        <v>427799.43</v>
      </c>
      <c r="H533" s="36"/>
      <c r="I533" s="36">
        <v>97556.39</v>
      </c>
      <c r="J533" s="36"/>
      <c r="K533" s="36">
        <v>0</v>
      </c>
      <c r="L533" s="36"/>
      <c r="M533" s="36">
        <v>3459</v>
      </c>
      <c r="N533" s="36"/>
      <c r="O533" s="36">
        <v>9340.14</v>
      </c>
      <c r="P533" s="36"/>
      <c r="Q533" s="36">
        <v>5070.64</v>
      </c>
      <c r="R533" s="36"/>
      <c r="S533" s="36">
        <v>3768.43</v>
      </c>
      <c r="T533" s="36"/>
      <c r="U533" s="36">
        <v>0</v>
      </c>
      <c r="V533" s="36"/>
      <c r="W533" s="36">
        <v>0</v>
      </c>
      <c r="X533" s="36"/>
      <c r="Y533" s="36">
        <v>0</v>
      </c>
      <c r="Z533" s="36"/>
      <c r="AA533" s="36">
        <v>4205.9</v>
      </c>
      <c r="AB533" s="36"/>
      <c r="AC533" s="36">
        <v>0</v>
      </c>
      <c r="AD533" s="36"/>
      <c r="AE533" s="36">
        <v>0</v>
      </c>
      <c r="AF533" s="36"/>
      <c r="AG533" s="36">
        <v>0</v>
      </c>
      <c r="AH533" s="36"/>
      <c r="AI533" s="36">
        <f t="shared" si="43"/>
        <v>811172.92</v>
      </c>
      <c r="AJ533" s="24"/>
      <c r="AK533" s="15" t="str">
        <f>'Gen Rev'!A533</f>
        <v>Richwood</v>
      </c>
      <c r="AL533" s="15" t="str">
        <f t="shared" si="38"/>
        <v>Richwood</v>
      </c>
      <c r="AM533" s="15" t="b">
        <f t="shared" si="39"/>
        <v>1</v>
      </c>
    </row>
    <row r="534" spans="1:39" s="31" customFormat="1" ht="12.75">
      <c r="A534" s="15" t="s">
        <v>401</v>
      </c>
      <c r="B534" s="15"/>
      <c r="C534" s="15" t="s">
        <v>396</v>
      </c>
      <c r="D534" s="15"/>
      <c r="E534" s="36">
        <v>13119.79</v>
      </c>
      <c r="F534" s="36"/>
      <c r="G534" s="36">
        <v>30202.07</v>
      </c>
      <c r="H534" s="36"/>
      <c r="I534" s="36">
        <v>283527.98</v>
      </c>
      <c r="J534" s="36"/>
      <c r="K534" s="36">
        <v>0</v>
      </c>
      <c r="L534" s="36"/>
      <c r="M534" s="36">
        <v>3193</v>
      </c>
      <c r="N534" s="36"/>
      <c r="O534" s="36">
        <v>1608.54</v>
      </c>
      <c r="P534" s="36"/>
      <c r="Q534" s="36">
        <v>781.41</v>
      </c>
      <c r="R534" s="36"/>
      <c r="S534" s="36">
        <v>1150.78</v>
      </c>
      <c r="T534" s="36"/>
      <c r="U534" s="36">
        <v>0</v>
      </c>
      <c r="V534" s="36"/>
      <c r="W534" s="36">
        <v>0</v>
      </c>
      <c r="X534" s="36"/>
      <c r="Y534" s="36">
        <v>0</v>
      </c>
      <c r="Z534" s="36"/>
      <c r="AA534" s="36">
        <v>0</v>
      </c>
      <c r="AB534" s="36"/>
      <c r="AC534" s="36">
        <v>0</v>
      </c>
      <c r="AD534" s="36"/>
      <c r="AE534" s="36">
        <v>639.24</v>
      </c>
      <c r="AF534" s="36"/>
      <c r="AG534" s="36">
        <v>0</v>
      </c>
      <c r="AH534" s="36"/>
      <c r="AI534" s="36">
        <f t="shared" si="43"/>
        <v>334222.80999999994</v>
      </c>
      <c r="AJ534" s="39"/>
      <c r="AK534" s="15" t="str">
        <f>'Gen Rev'!A534</f>
        <v>Ridgeway</v>
      </c>
      <c r="AL534" s="15" t="str">
        <f t="shared" si="38"/>
        <v>Ridgeway</v>
      </c>
      <c r="AM534" s="15" t="b">
        <f t="shared" si="39"/>
        <v>1</v>
      </c>
    </row>
    <row r="535" spans="1:39" ht="12.75">
      <c r="A535" s="15" t="s">
        <v>81</v>
      </c>
      <c r="C535" s="15" t="s">
        <v>770</v>
      </c>
      <c r="E535" s="36">
        <v>2999.58</v>
      </c>
      <c r="F535" s="36"/>
      <c r="G535" s="36">
        <v>200218.12</v>
      </c>
      <c r="H535" s="36"/>
      <c r="I535" s="36">
        <v>84766.28</v>
      </c>
      <c r="J535" s="36"/>
      <c r="K535" s="36">
        <v>0</v>
      </c>
      <c r="L535" s="36"/>
      <c r="M535" s="36">
        <v>33352.93</v>
      </c>
      <c r="N535" s="36"/>
      <c r="O535" s="36">
        <v>9509.63</v>
      </c>
      <c r="P535" s="36"/>
      <c r="Q535" s="36">
        <v>75.82</v>
      </c>
      <c r="R535" s="36"/>
      <c r="S535" s="36">
        <v>2840.13</v>
      </c>
      <c r="T535" s="36"/>
      <c r="U535" s="36">
        <v>0</v>
      </c>
      <c r="V535" s="36"/>
      <c r="W535" s="36">
        <v>0</v>
      </c>
      <c r="X535" s="36"/>
      <c r="Y535" s="36">
        <v>0</v>
      </c>
      <c r="Z535" s="36"/>
      <c r="AA535" s="36">
        <v>0</v>
      </c>
      <c r="AB535" s="36"/>
      <c r="AC535" s="36">
        <v>0</v>
      </c>
      <c r="AD535" s="36"/>
      <c r="AE535" s="36">
        <v>0</v>
      </c>
      <c r="AF535" s="36"/>
      <c r="AG535" s="36">
        <v>0</v>
      </c>
      <c r="AH535" s="36"/>
      <c r="AI535" s="36">
        <f t="shared" si="43"/>
        <v>333762.49</v>
      </c>
      <c r="AJ535" s="24"/>
      <c r="AK535" s="15" t="str">
        <f>'Gen Rev'!A535</f>
        <v>Rio Grande</v>
      </c>
      <c r="AL535" s="15" t="str">
        <f t="shared" si="38"/>
        <v>Rio Grande</v>
      </c>
      <c r="AM535" s="15" t="b">
        <f t="shared" si="39"/>
        <v>1</v>
      </c>
    </row>
    <row r="536" spans="1:39" ht="12.6" customHeight="1">
      <c r="A536" s="15" t="s">
        <v>284</v>
      </c>
      <c r="C536" s="15" t="s">
        <v>283</v>
      </c>
      <c r="E536" s="36">
        <v>157393.84</v>
      </c>
      <c r="F536" s="36"/>
      <c r="G536" s="36">
        <v>217486.6</v>
      </c>
      <c r="H536" s="36"/>
      <c r="I536" s="36">
        <v>237949.09</v>
      </c>
      <c r="J536" s="36"/>
      <c r="K536" s="36">
        <v>9972.97</v>
      </c>
      <c r="L536" s="36"/>
      <c r="M536" s="36">
        <v>66245.22</v>
      </c>
      <c r="N536" s="36"/>
      <c r="O536" s="36">
        <v>79745.81</v>
      </c>
      <c r="P536" s="36"/>
      <c r="Q536" s="36">
        <v>21352.69</v>
      </c>
      <c r="R536" s="36"/>
      <c r="S536" s="36">
        <v>86646.52</v>
      </c>
      <c r="T536" s="36"/>
      <c r="U536" s="36">
        <v>0</v>
      </c>
      <c r="V536" s="36"/>
      <c r="W536" s="36">
        <v>0</v>
      </c>
      <c r="X536" s="36"/>
      <c r="Y536" s="36">
        <v>0</v>
      </c>
      <c r="Z536" s="36"/>
      <c r="AA536" s="36">
        <v>20000</v>
      </c>
      <c r="AB536" s="36"/>
      <c r="AC536" s="36">
        <v>0</v>
      </c>
      <c r="AD536" s="36"/>
      <c r="AE536" s="36">
        <v>78.75</v>
      </c>
      <c r="AF536" s="36"/>
      <c r="AG536" s="36">
        <v>0</v>
      </c>
      <c r="AH536" s="36"/>
      <c r="AI536" s="36">
        <f t="shared" si="43"/>
        <v>896871.49</v>
      </c>
      <c r="AJ536" s="24"/>
      <c r="AK536" s="15" t="str">
        <f>'Gen Rev'!A536</f>
        <v>Ripley</v>
      </c>
      <c r="AL536" s="15" t="str">
        <f aca="true" t="shared" si="44" ref="AL536:AL589">A536</f>
        <v>Ripley</v>
      </c>
      <c r="AM536" s="15" t="b">
        <f aca="true" t="shared" si="45" ref="AM536:AM589">AK536=AL536</f>
        <v>1</v>
      </c>
    </row>
    <row r="537" spans="1:39" ht="12.75">
      <c r="A537" s="15" t="s">
        <v>260</v>
      </c>
      <c r="C537" s="15" t="s">
        <v>825</v>
      </c>
      <c r="E537" s="36">
        <v>90154.81</v>
      </c>
      <c r="F537" s="36"/>
      <c r="G537" s="36">
        <v>0</v>
      </c>
      <c r="H537" s="36"/>
      <c r="I537" s="36">
        <v>57329.49</v>
      </c>
      <c r="J537" s="36"/>
      <c r="K537" s="36">
        <v>0</v>
      </c>
      <c r="L537" s="36"/>
      <c r="M537" s="36">
        <v>114554.07</v>
      </c>
      <c r="N537" s="36"/>
      <c r="O537" s="36">
        <v>18024.29</v>
      </c>
      <c r="P537" s="36"/>
      <c r="Q537" s="36">
        <v>619.18</v>
      </c>
      <c r="R537" s="36"/>
      <c r="S537" s="36">
        <v>9051.37</v>
      </c>
      <c r="T537" s="36"/>
      <c r="U537" s="36">
        <v>0</v>
      </c>
      <c r="V537" s="36"/>
      <c r="W537" s="36">
        <v>0</v>
      </c>
      <c r="X537" s="36"/>
      <c r="Y537" s="36">
        <v>1250</v>
      </c>
      <c r="Z537" s="36"/>
      <c r="AA537" s="36">
        <v>8550.5</v>
      </c>
      <c r="AB537" s="36"/>
      <c r="AC537" s="36">
        <v>0</v>
      </c>
      <c r="AD537" s="36"/>
      <c r="AE537" s="36">
        <v>15</v>
      </c>
      <c r="AF537" s="36"/>
      <c r="AG537" s="36">
        <v>976.76</v>
      </c>
      <c r="AH537" s="36"/>
      <c r="AI537" s="36">
        <f t="shared" si="43"/>
        <v>300525.47</v>
      </c>
      <c r="AJ537" s="24"/>
      <c r="AK537" s="15" t="str">
        <f>'Gen Rev'!A537</f>
        <v>Risingsun</v>
      </c>
      <c r="AL537" s="15" t="str">
        <f t="shared" si="44"/>
        <v>Risingsun</v>
      </c>
      <c r="AM537" s="15" t="b">
        <f t="shared" si="45"/>
        <v>1</v>
      </c>
    </row>
    <row r="538" spans="1:42" s="31" customFormat="1" ht="12.6" customHeight="1">
      <c r="A538" s="15" t="s">
        <v>356</v>
      </c>
      <c r="B538" s="15"/>
      <c r="C538" s="15" t="s">
        <v>353</v>
      </c>
      <c r="D538" s="15"/>
      <c r="E538" s="85">
        <v>139858</v>
      </c>
      <c r="F538" s="85"/>
      <c r="G538" s="85">
        <v>0</v>
      </c>
      <c r="H538" s="85"/>
      <c r="I538" s="85">
        <v>66357</v>
      </c>
      <c r="J538" s="85"/>
      <c r="K538" s="85">
        <v>0</v>
      </c>
      <c r="L538" s="85"/>
      <c r="M538" s="85">
        <v>0</v>
      </c>
      <c r="N538" s="85"/>
      <c r="O538" s="85">
        <v>9533</v>
      </c>
      <c r="P538" s="85"/>
      <c r="Q538" s="85">
        <v>3384</v>
      </c>
      <c r="R538" s="85"/>
      <c r="S538" s="85">
        <v>0</v>
      </c>
      <c r="T538" s="85"/>
      <c r="U538" s="85">
        <v>0</v>
      </c>
      <c r="V538" s="85"/>
      <c r="W538" s="85">
        <v>0</v>
      </c>
      <c r="X538" s="85"/>
      <c r="Y538" s="85">
        <v>0</v>
      </c>
      <c r="Z538" s="85"/>
      <c r="AA538" s="85">
        <v>0</v>
      </c>
      <c r="AB538" s="85"/>
      <c r="AC538" s="85">
        <v>0</v>
      </c>
      <c r="AD538" s="85"/>
      <c r="AE538" s="85">
        <v>0</v>
      </c>
      <c r="AF538" s="85"/>
      <c r="AG538" s="85">
        <v>0</v>
      </c>
      <c r="AH538" s="85"/>
      <c r="AI538" s="85">
        <f aca="true" t="shared" si="46" ref="AI538:AI605">SUM(E538:AG538)</f>
        <v>219132</v>
      </c>
      <c r="AJ538" s="24"/>
      <c r="AK538" s="15" t="str">
        <f>'Gen Rev'!A538</f>
        <v>Riverlea</v>
      </c>
      <c r="AL538" s="15" t="str">
        <f t="shared" si="44"/>
        <v>Riverlea</v>
      </c>
      <c r="AM538" s="15" t="b">
        <f t="shared" si="45"/>
        <v>1</v>
      </c>
      <c r="AN538" s="32"/>
      <c r="AO538" s="32"/>
      <c r="AP538" s="32"/>
    </row>
    <row r="539" spans="1:39" ht="12.75">
      <c r="A539" s="15" t="s">
        <v>673</v>
      </c>
      <c r="B539" s="15" t="s">
        <v>894</v>
      </c>
      <c r="C539" s="15" t="s">
        <v>674</v>
      </c>
      <c r="E539" s="85">
        <v>266267.42</v>
      </c>
      <c r="F539" s="85"/>
      <c r="G539" s="85">
        <v>0</v>
      </c>
      <c r="H539" s="85"/>
      <c r="I539" s="85">
        <v>309901.15</v>
      </c>
      <c r="J539" s="85"/>
      <c r="K539" s="85">
        <v>0</v>
      </c>
      <c r="L539" s="85"/>
      <c r="M539" s="85">
        <v>0</v>
      </c>
      <c r="N539" s="85"/>
      <c r="O539" s="85">
        <v>5977.6</v>
      </c>
      <c r="P539" s="85"/>
      <c r="Q539" s="85">
        <v>1565.1</v>
      </c>
      <c r="R539" s="85"/>
      <c r="S539" s="85">
        <v>12353.61</v>
      </c>
      <c r="T539" s="85"/>
      <c r="U539" s="85">
        <v>0</v>
      </c>
      <c r="V539" s="85"/>
      <c r="W539" s="85">
        <v>46049</v>
      </c>
      <c r="X539" s="85"/>
      <c r="Y539" s="85">
        <v>0</v>
      </c>
      <c r="Z539" s="85"/>
      <c r="AA539" s="85">
        <v>104415.08</v>
      </c>
      <c r="AB539" s="85"/>
      <c r="AC539" s="85">
        <v>0</v>
      </c>
      <c r="AD539" s="85"/>
      <c r="AE539" s="85">
        <v>40008.92</v>
      </c>
      <c r="AF539" s="85"/>
      <c r="AG539" s="85">
        <v>0</v>
      </c>
      <c r="AH539" s="85"/>
      <c r="AI539" s="85">
        <f t="shared" si="46"/>
        <v>786537.88</v>
      </c>
      <c r="AJ539" s="24"/>
      <c r="AK539" s="15" t="str">
        <f>'Gen Rev'!A539</f>
        <v>Roaming Shores</v>
      </c>
      <c r="AL539" s="15" t="str">
        <f t="shared" si="44"/>
        <v>Roaming Shores</v>
      </c>
      <c r="AM539" s="15" t="b">
        <f t="shared" si="45"/>
        <v>1</v>
      </c>
    </row>
    <row r="540" spans="1:39" s="29" customFormat="1" ht="12.75">
      <c r="A540" s="24" t="s">
        <v>138</v>
      </c>
      <c r="B540" s="24"/>
      <c r="C540" s="24" t="s">
        <v>787</v>
      </c>
      <c r="D540" s="24"/>
      <c r="E540" s="95">
        <v>14241.15</v>
      </c>
      <c r="F540" s="95"/>
      <c r="G540" s="95">
        <v>0</v>
      </c>
      <c r="H540" s="95"/>
      <c r="I540" s="95">
        <v>31256.94</v>
      </c>
      <c r="J540" s="95"/>
      <c r="K540" s="95">
        <v>0</v>
      </c>
      <c r="L540" s="95"/>
      <c r="M540" s="95">
        <v>0</v>
      </c>
      <c r="N540" s="95"/>
      <c r="O540" s="95">
        <v>0</v>
      </c>
      <c r="P540" s="95"/>
      <c r="Q540" s="95">
        <v>1074.49</v>
      </c>
      <c r="R540" s="95"/>
      <c r="S540" s="95">
        <v>0</v>
      </c>
      <c r="T540" s="95"/>
      <c r="U540" s="95">
        <v>0</v>
      </c>
      <c r="V540" s="95"/>
      <c r="W540" s="95">
        <v>0</v>
      </c>
      <c r="X540" s="95"/>
      <c r="Y540" s="95">
        <v>0</v>
      </c>
      <c r="Z540" s="95"/>
      <c r="AA540" s="95">
        <v>5499.72</v>
      </c>
      <c r="AB540" s="95"/>
      <c r="AC540" s="95">
        <v>0</v>
      </c>
      <c r="AD540" s="95"/>
      <c r="AE540" s="95">
        <v>0</v>
      </c>
      <c r="AF540" s="95"/>
      <c r="AG540" s="95">
        <v>0</v>
      </c>
      <c r="AH540" s="95"/>
      <c r="AI540" s="95">
        <f>SUM(E540:AG540)</f>
        <v>52072.299999999996</v>
      </c>
      <c r="AJ540" s="24"/>
      <c r="AK540" s="15" t="str">
        <f>'Gen Rev'!A540</f>
        <v>Rochester</v>
      </c>
      <c r="AL540" s="15" t="str">
        <f t="shared" si="44"/>
        <v>Rochester</v>
      </c>
      <c r="AM540" s="15" t="b">
        <f t="shared" si="45"/>
        <v>1</v>
      </c>
    </row>
    <row r="541" spans="1:39" ht="12.75">
      <c r="A541" s="15" t="s">
        <v>675</v>
      </c>
      <c r="C541" s="15" t="s">
        <v>674</v>
      </c>
      <c r="E541" s="36">
        <v>64602.39</v>
      </c>
      <c r="F541" s="36"/>
      <c r="G541" s="36">
        <v>77410</v>
      </c>
      <c r="H541" s="36"/>
      <c r="I541" s="36">
        <v>58009.38</v>
      </c>
      <c r="J541" s="36"/>
      <c r="K541" s="36">
        <v>0</v>
      </c>
      <c r="L541" s="36"/>
      <c r="M541" s="36">
        <v>0</v>
      </c>
      <c r="N541" s="36"/>
      <c r="O541" s="36">
        <v>245.32</v>
      </c>
      <c r="P541" s="36"/>
      <c r="Q541" s="36">
        <v>568.56</v>
      </c>
      <c r="R541" s="36"/>
      <c r="S541" s="36">
        <v>27127.61</v>
      </c>
      <c r="T541" s="36"/>
      <c r="U541" s="36">
        <v>0</v>
      </c>
      <c r="V541" s="36"/>
      <c r="W541" s="36">
        <v>0</v>
      </c>
      <c r="X541" s="36"/>
      <c r="Y541" s="36">
        <v>0</v>
      </c>
      <c r="Z541" s="36"/>
      <c r="AA541" s="36">
        <v>0</v>
      </c>
      <c r="AB541" s="36"/>
      <c r="AC541" s="36">
        <v>0</v>
      </c>
      <c r="AD541" s="36"/>
      <c r="AE541" s="36">
        <v>5191</v>
      </c>
      <c r="AF541" s="36"/>
      <c r="AG541" s="36">
        <v>0</v>
      </c>
      <c r="AH541" s="36"/>
      <c r="AI541" s="36">
        <f>SUM(E541:AG541)</f>
        <v>233154.26</v>
      </c>
      <c r="AJ541" s="24"/>
      <c r="AK541" s="15" t="str">
        <f>'Gen Rev'!A541</f>
        <v>Rock Creek</v>
      </c>
      <c r="AL541" s="15" t="str">
        <f t="shared" si="44"/>
        <v>Rock Creek</v>
      </c>
      <c r="AM541" s="15" t="b">
        <f t="shared" si="45"/>
        <v>1</v>
      </c>
    </row>
    <row r="542" spans="1:39" ht="12.75">
      <c r="A542" s="15" t="s">
        <v>468</v>
      </c>
      <c r="C542" s="15" t="s">
        <v>466</v>
      </c>
      <c r="E542" s="36">
        <v>77766.64</v>
      </c>
      <c r="F542" s="36"/>
      <c r="G542" s="36">
        <v>258353.15</v>
      </c>
      <c r="H542" s="36"/>
      <c r="I542" s="36">
        <v>128018.9</v>
      </c>
      <c r="J542" s="36"/>
      <c r="K542" s="36">
        <v>118241.28</v>
      </c>
      <c r="L542" s="36"/>
      <c r="M542" s="36">
        <v>14598</v>
      </c>
      <c r="N542" s="36"/>
      <c r="O542" s="36">
        <v>20722.2</v>
      </c>
      <c r="P542" s="36"/>
      <c r="Q542" s="36">
        <v>2291.14</v>
      </c>
      <c r="R542" s="36"/>
      <c r="S542" s="36">
        <v>16825.75</v>
      </c>
      <c r="T542" s="36"/>
      <c r="U542" s="36">
        <v>0</v>
      </c>
      <c r="V542" s="36"/>
      <c r="W542" s="36">
        <v>0</v>
      </c>
      <c r="X542" s="36"/>
      <c r="Y542" s="36">
        <v>0</v>
      </c>
      <c r="Z542" s="36"/>
      <c r="AA542" s="36">
        <v>26947.02</v>
      </c>
      <c r="AB542" s="36"/>
      <c r="AC542" s="36">
        <v>0</v>
      </c>
      <c r="AD542" s="36"/>
      <c r="AE542" s="36">
        <v>0</v>
      </c>
      <c r="AF542" s="36"/>
      <c r="AG542" s="36">
        <v>0</v>
      </c>
      <c r="AH542" s="36"/>
      <c r="AI542" s="36">
        <f>SUM(E542:AG542)</f>
        <v>663764.08</v>
      </c>
      <c r="AJ542" s="24"/>
      <c r="AK542" s="15" t="str">
        <f>'Gen Rev'!A542</f>
        <v>Rockford</v>
      </c>
      <c r="AL542" s="15" t="str">
        <f t="shared" si="44"/>
        <v>Rockford</v>
      </c>
      <c r="AM542" s="15" t="b">
        <f t="shared" si="45"/>
        <v>1</v>
      </c>
    </row>
    <row r="543" spans="1:39" ht="12.75">
      <c r="A543" s="15" t="s">
        <v>831</v>
      </c>
      <c r="C543" s="15" t="s">
        <v>802</v>
      </c>
      <c r="E543" s="36">
        <v>30604.26</v>
      </c>
      <c r="F543" s="36"/>
      <c r="G543" s="36">
        <v>0</v>
      </c>
      <c r="H543" s="36"/>
      <c r="I543" s="36">
        <v>61731.02</v>
      </c>
      <c r="J543" s="36"/>
      <c r="K543" s="36">
        <v>0</v>
      </c>
      <c r="L543" s="36"/>
      <c r="M543" s="36">
        <v>23111</v>
      </c>
      <c r="N543" s="36"/>
      <c r="O543" s="36">
        <v>1129.37</v>
      </c>
      <c r="P543" s="36"/>
      <c r="Q543" s="36">
        <v>38.78</v>
      </c>
      <c r="R543" s="36"/>
      <c r="S543" s="36">
        <v>0</v>
      </c>
      <c r="T543" s="36"/>
      <c r="U543" s="36">
        <v>0</v>
      </c>
      <c r="V543" s="36"/>
      <c r="W543" s="36">
        <v>0</v>
      </c>
      <c r="X543" s="36"/>
      <c r="Y543" s="36">
        <v>0</v>
      </c>
      <c r="Z543" s="36"/>
      <c r="AA543" s="36">
        <v>0</v>
      </c>
      <c r="AB543" s="36"/>
      <c r="AC543" s="36">
        <v>0</v>
      </c>
      <c r="AD543" s="36"/>
      <c r="AE543" s="36">
        <v>0</v>
      </c>
      <c r="AF543" s="36"/>
      <c r="AG543" s="36">
        <v>0</v>
      </c>
      <c r="AH543" s="36"/>
      <c r="AI543" s="36">
        <f>SUM(E543:AG543)</f>
        <v>116614.43</v>
      </c>
      <c r="AJ543" s="24"/>
      <c r="AK543" s="15" t="str">
        <f>'Gen Rev'!A543</f>
        <v>Rocky Ridge</v>
      </c>
      <c r="AL543" s="15" t="str">
        <f t="shared" si="44"/>
        <v>Rocky Ridge</v>
      </c>
      <c r="AM543" s="15" t="b">
        <f t="shared" si="45"/>
        <v>1</v>
      </c>
    </row>
    <row r="544" spans="1:42" s="31" customFormat="1" ht="12.75">
      <c r="A544" s="15" t="s">
        <v>45</v>
      </c>
      <c r="B544" s="15"/>
      <c r="C544" s="15" t="s">
        <v>758</v>
      </c>
      <c r="D544" s="15"/>
      <c r="E544" s="36">
        <v>12753.46</v>
      </c>
      <c r="F544" s="36"/>
      <c r="G544" s="36">
        <v>0</v>
      </c>
      <c r="H544" s="36"/>
      <c r="I544" s="36">
        <v>30622.44</v>
      </c>
      <c r="J544" s="36"/>
      <c r="K544" s="36">
        <v>0</v>
      </c>
      <c r="L544" s="36"/>
      <c r="M544" s="36">
        <v>0</v>
      </c>
      <c r="N544" s="36"/>
      <c r="O544" s="36">
        <v>5096</v>
      </c>
      <c r="P544" s="36"/>
      <c r="Q544" s="36">
        <v>0</v>
      </c>
      <c r="R544" s="36"/>
      <c r="S544" s="36">
        <v>11835.1</v>
      </c>
      <c r="T544" s="36"/>
      <c r="U544" s="36">
        <v>0</v>
      </c>
      <c r="V544" s="36"/>
      <c r="W544" s="36">
        <v>0</v>
      </c>
      <c r="X544" s="36"/>
      <c r="Y544" s="36">
        <v>0</v>
      </c>
      <c r="Z544" s="36"/>
      <c r="AA544" s="36">
        <v>0</v>
      </c>
      <c r="AB544" s="36"/>
      <c r="AC544" s="36">
        <v>0</v>
      </c>
      <c r="AD544" s="36"/>
      <c r="AE544" s="36">
        <v>79.92</v>
      </c>
      <c r="AF544" s="36"/>
      <c r="AG544" s="36">
        <v>0</v>
      </c>
      <c r="AH544" s="36"/>
      <c r="AI544" s="36">
        <f>SUM(E544:AG544)</f>
        <v>60386.91999999999</v>
      </c>
      <c r="AJ544" s="24"/>
      <c r="AK544" s="15" t="str">
        <f>'Gen Rev'!A544</f>
        <v>Rogers</v>
      </c>
      <c r="AL544" s="15" t="str">
        <f t="shared" si="44"/>
        <v>Rogers</v>
      </c>
      <c r="AM544" s="15" t="b">
        <f t="shared" si="45"/>
        <v>1</v>
      </c>
      <c r="AN544" s="32"/>
      <c r="AO544" s="32"/>
      <c r="AP544" s="32"/>
    </row>
    <row r="545" spans="1:39" ht="12.75">
      <c r="A545" s="15" t="s">
        <v>832</v>
      </c>
      <c r="C545" s="15" t="s">
        <v>662</v>
      </c>
      <c r="E545" s="85">
        <v>2519</v>
      </c>
      <c r="F545" s="85"/>
      <c r="G545" s="85">
        <v>0</v>
      </c>
      <c r="H545" s="85"/>
      <c r="I545" s="85">
        <v>0</v>
      </c>
      <c r="J545" s="85"/>
      <c r="K545" s="85">
        <v>0</v>
      </c>
      <c r="L545" s="85"/>
      <c r="M545" s="85">
        <v>0</v>
      </c>
      <c r="N545" s="85"/>
      <c r="O545" s="85">
        <f>219+975</f>
        <v>1194</v>
      </c>
      <c r="P545" s="85"/>
      <c r="Q545" s="85">
        <v>0</v>
      </c>
      <c r="R545" s="85"/>
      <c r="S545" s="85">
        <f>5569+2556+299</f>
        <v>8424</v>
      </c>
      <c r="T545" s="85"/>
      <c r="U545" s="85">
        <v>0</v>
      </c>
      <c r="V545" s="85"/>
      <c r="W545" s="85">
        <v>0</v>
      </c>
      <c r="X545" s="85"/>
      <c r="Y545" s="85">
        <v>0</v>
      </c>
      <c r="Z545" s="85"/>
      <c r="AA545" s="85">
        <v>0</v>
      </c>
      <c r="AB545" s="85"/>
      <c r="AC545" s="85">
        <v>0</v>
      </c>
      <c r="AD545" s="85"/>
      <c r="AE545" s="85">
        <v>0</v>
      </c>
      <c r="AF545" s="85"/>
      <c r="AG545" s="85">
        <v>0</v>
      </c>
      <c r="AH545" s="85"/>
      <c r="AI545" s="85">
        <f t="shared" si="46"/>
        <v>12137</v>
      </c>
      <c r="AJ545" s="24"/>
      <c r="AK545" s="15" t="str">
        <f>'Gen Rev'!A545</f>
        <v>Rome</v>
      </c>
      <c r="AL545" s="15" t="str">
        <f t="shared" si="44"/>
        <v>Rome</v>
      </c>
      <c r="AM545" s="15" t="b">
        <f t="shared" si="45"/>
        <v>1</v>
      </c>
    </row>
    <row r="546" spans="1:39" ht="12.75">
      <c r="A546" s="15" t="s">
        <v>489</v>
      </c>
      <c r="C546" s="15" t="s">
        <v>485</v>
      </c>
      <c r="E546" s="36">
        <v>177581.09</v>
      </c>
      <c r="F546" s="36"/>
      <c r="G546" s="36">
        <v>123293.78</v>
      </c>
      <c r="H546" s="36"/>
      <c r="I546" s="36">
        <v>878206.02</v>
      </c>
      <c r="J546" s="36"/>
      <c r="K546" s="36">
        <v>0</v>
      </c>
      <c r="L546" s="36"/>
      <c r="M546" s="36">
        <v>130847.19</v>
      </c>
      <c r="N546" s="36"/>
      <c r="O546" s="36">
        <v>23461.15</v>
      </c>
      <c r="P546" s="36"/>
      <c r="Q546" s="36">
        <v>1587.21</v>
      </c>
      <c r="R546" s="36"/>
      <c r="S546" s="36">
        <f>34642.1+727580.84</f>
        <v>762222.94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112095.7</v>
      </c>
      <c r="AB546" s="36"/>
      <c r="AC546" s="36">
        <v>0</v>
      </c>
      <c r="AD546" s="36"/>
      <c r="AE546" s="36">
        <v>0</v>
      </c>
      <c r="AF546" s="36"/>
      <c r="AG546" s="36">
        <v>0</v>
      </c>
      <c r="AH546" s="36"/>
      <c r="AI546" s="36">
        <f>SUM(E546:AG546)</f>
        <v>2209295.08</v>
      </c>
      <c r="AJ546" s="24"/>
      <c r="AK546" s="15" t="str">
        <f>'Gen Rev'!A546</f>
        <v>Roseville</v>
      </c>
      <c r="AL546" s="15" t="str">
        <f t="shared" si="44"/>
        <v>Roseville</v>
      </c>
      <c r="AM546" s="15" t="b">
        <f t="shared" si="45"/>
        <v>1</v>
      </c>
    </row>
    <row r="547" spans="1:42" s="31" customFormat="1" ht="12.6" customHeight="1">
      <c r="A547" s="15" t="s">
        <v>336</v>
      </c>
      <c r="B547" s="15"/>
      <c r="C547" s="15" t="s">
        <v>329</v>
      </c>
      <c r="D547" s="15"/>
      <c r="E547" s="85">
        <v>7693</v>
      </c>
      <c r="F547" s="85"/>
      <c r="G547" s="85">
        <v>0</v>
      </c>
      <c r="H547" s="85"/>
      <c r="I547" s="85">
        <f>30143+12932+234809</f>
        <v>277884</v>
      </c>
      <c r="J547" s="85"/>
      <c r="K547" s="85">
        <v>12021</v>
      </c>
      <c r="L547" s="85"/>
      <c r="M547" s="85">
        <v>0</v>
      </c>
      <c r="N547" s="85"/>
      <c r="O547" s="85">
        <v>0</v>
      </c>
      <c r="P547" s="85"/>
      <c r="Q547" s="85">
        <f>21+17</f>
        <v>38</v>
      </c>
      <c r="R547" s="85"/>
      <c r="S547" s="85">
        <f>991+90</f>
        <v>1081</v>
      </c>
      <c r="T547" s="85"/>
      <c r="U547" s="85">
        <v>0</v>
      </c>
      <c r="V547" s="85"/>
      <c r="W547" s="85">
        <v>0</v>
      </c>
      <c r="X547" s="85"/>
      <c r="Y547" s="85">
        <v>2700</v>
      </c>
      <c r="Z547" s="85"/>
      <c r="AA547" s="85">
        <v>0</v>
      </c>
      <c r="AB547" s="85"/>
      <c r="AC547" s="85">
        <v>0</v>
      </c>
      <c r="AD547" s="85"/>
      <c r="AE547" s="85">
        <v>0</v>
      </c>
      <c r="AF547" s="85"/>
      <c r="AG547" s="85">
        <v>0</v>
      </c>
      <c r="AH547" s="85"/>
      <c r="AI547" s="85">
        <f t="shared" si="46"/>
        <v>301417</v>
      </c>
      <c r="AJ547" s="24"/>
      <c r="AK547" s="15" t="str">
        <f>'Gen Rev'!A547</f>
        <v>Rossburg</v>
      </c>
      <c r="AL547" s="15" t="str">
        <f t="shared" si="44"/>
        <v>Rossburg</v>
      </c>
      <c r="AM547" s="15" t="b">
        <f t="shared" si="45"/>
        <v>1</v>
      </c>
      <c r="AN547" s="32"/>
      <c r="AO547" s="32"/>
      <c r="AP547" s="32"/>
    </row>
    <row r="548" spans="1:39" s="31" customFormat="1" ht="12.75">
      <c r="A548" s="15" t="s">
        <v>912</v>
      </c>
      <c r="B548" s="15"/>
      <c r="C548" s="15" t="s">
        <v>562</v>
      </c>
      <c r="D548" s="15"/>
      <c r="E548" s="95">
        <v>18433.27</v>
      </c>
      <c r="F548" s="95"/>
      <c r="G548" s="95">
        <v>17378.39</v>
      </c>
      <c r="H548" s="95"/>
      <c r="I548" s="95">
        <v>27102.63</v>
      </c>
      <c r="J548" s="95"/>
      <c r="K548" s="95">
        <v>0</v>
      </c>
      <c r="L548" s="95"/>
      <c r="M548" s="95">
        <v>0</v>
      </c>
      <c r="N548" s="95"/>
      <c r="O548" s="95">
        <v>544</v>
      </c>
      <c r="P548" s="95"/>
      <c r="Q548" s="95">
        <v>11.48</v>
      </c>
      <c r="R548" s="95"/>
      <c r="S548" s="95">
        <v>3367.3</v>
      </c>
      <c r="T548" s="95"/>
      <c r="U548" s="95">
        <v>0</v>
      </c>
      <c r="V548" s="95"/>
      <c r="W548" s="95">
        <v>0</v>
      </c>
      <c r="X548" s="95"/>
      <c r="Y548" s="95">
        <v>0</v>
      </c>
      <c r="Z548" s="95"/>
      <c r="AA548" s="95">
        <v>0</v>
      </c>
      <c r="AB548" s="95"/>
      <c r="AC548" s="95">
        <v>0</v>
      </c>
      <c r="AD548" s="95"/>
      <c r="AE548" s="95">
        <v>0</v>
      </c>
      <c r="AF548" s="95"/>
      <c r="AG548" s="95">
        <v>0</v>
      </c>
      <c r="AH548" s="95"/>
      <c r="AI548" s="95">
        <f>SUM(E548:AG548)</f>
        <v>66837.07</v>
      </c>
      <c r="AJ548" s="24"/>
      <c r="AK548" s="15" t="str">
        <f>'Gen Rev'!A548</f>
        <v>Roswell</v>
      </c>
      <c r="AL548" s="15" t="str">
        <f t="shared" si="44"/>
        <v>Roswell</v>
      </c>
      <c r="AM548" s="15" t="b">
        <f t="shared" si="45"/>
        <v>1</v>
      </c>
    </row>
    <row r="549" spans="1:39" s="31" customFormat="1" ht="12.75">
      <c r="A549" s="15"/>
      <c r="B549" s="15"/>
      <c r="C549" s="15"/>
      <c r="D549" s="1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83" t="s">
        <v>864</v>
      </c>
      <c r="AJ549" s="24"/>
      <c r="AK549" s="15"/>
      <c r="AL549" s="15"/>
      <c r="AM549" s="15"/>
    </row>
    <row r="550" spans="1:39" s="31" customFormat="1" ht="12.75">
      <c r="A550" s="15" t="s">
        <v>855</v>
      </c>
      <c r="B550" s="15"/>
      <c r="C550" s="15" t="s">
        <v>786</v>
      </c>
      <c r="D550" s="15"/>
      <c r="E550" s="102">
        <v>65389.03</v>
      </c>
      <c r="F550" s="102"/>
      <c r="G550" s="102">
        <v>0</v>
      </c>
      <c r="H550" s="102"/>
      <c r="I550" s="102">
        <v>95589.31</v>
      </c>
      <c r="J550" s="102"/>
      <c r="K550" s="102">
        <v>0</v>
      </c>
      <c r="L550" s="102"/>
      <c r="M550" s="102">
        <v>0</v>
      </c>
      <c r="N550" s="102"/>
      <c r="O550" s="102">
        <v>2700.5</v>
      </c>
      <c r="P550" s="102"/>
      <c r="Q550" s="102">
        <v>1008.16</v>
      </c>
      <c r="R550" s="102"/>
      <c r="S550" s="102">
        <v>3047.9</v>
      </c>
      <c r="T550" s="102"/>
      <c r="U550" s="102">
        <v>0</v>
      </c>
      <c r="V550" s="102"/>
      <c r="W550" s="102">
        <v>0</v>
      </c>
      <c r="X550" s="102"/>
      <c r="Y550" s="102">
        <v>0</v>
      </c>
      <c r="Z550" s="102"/>
      <c r="AA550" s="102">
        <v>0</v>
      </c>
      <c r="AB550" s="102"/>
      <c r="AC550" s="102">
        <v>0</v>
      </c>
      <c r="AD550" s="102"/>
      <c r="AE550" s="102">
        <v>0</v>
      </c>
      <c r="AF550" s="102"/>
      <c r="AG550" s="102">
        <v>0</v>
      </c>
      <c r="AH550" s="102"/>
      <c r="AI550" s="102">
        <f>SUM(E550:AG550)</f>
        <v>167734.9</v>
      </c>
      <c r="AJ550" s="24"/>
      <c r="AK550" s="15" t="str">
        <f>'Gen Rev'!A549</f>
        <v>Rushsylvania</v>
      </c>
      <c r="AL550" s="15" t="str">
        <f t="shared" si="44"/>
        <v>Rushsylvania</v>
      </c>
      <c r="AM550" s="15" t="b">
        <f t="shared" si="45"/>
        <v>1</v>
      </c>
    </row>
    <row r="551" spans="1:42" s="31" customFormat="1" ht="12.75">
      <c r="A551" s="15" t="s">
        <v>65</v>
      </c>
      <c r="B551" s="15"/>
      <c r="C551" s="15" t="s">
        <v>766</v>
      </c>
      <c r="D551" s="15"/>
      <c r="E551" s="36">
        <v>7972.28</v>
      </c>
      <c r="F551" s="36"/>
      <c r="G551" s="36">
        <v>0</v>
      </c>
      <c r="H551" s="36"/>
      <c r="I551" s="36">
        <v>22167.94</v>
      </c>
      <c r="J551" s="36"/>
      <c r="K551" s="36">
        <v>800</v>
      </c>
      <c r="L551" s="36"/>
      <c r="M551" s="36">
        <v>1500</v>
      </c>
      <c r="N551" s="36"/>
      <c r="O551" s="36">
        <v>1150.76</v>
      </c>
      <c r="P551" s="36"/>
      <c r="Q551" s="36">
        <v>1640.61</v>
      </c>
      <c r="R551" s="36"/>
      <c r="S551" s="36">
        <v>639.3</v>
      </c>
      <c r="T551" s="36"/>
      <c r="U551" s="36">
        <v>0</v>
      </c>
      <c r="V551" s="36"/>
      <c r="W551" s="36">
        <v>0</v>
      </c>
      <c r="X551" s="36"/>
      <c r="Y551" s="36">
        <v>0</v>
      </c>
      <c r="Z551" s="36"/>
      <c r="AA551" s="36">
        <v>4.13</v>
      </c>
      <c r="AB551" s="36"/>
      <c r="AC551" s="36">
        <v>0</v>
      </c>
      <c r="AD551" s="36"/>
      <c r="AE551" s="36">
        <v>0</v>
      </c>
      <c r="AF551" s="36"/>
      <c r="AG551" s="36">
        <v>0</v>
      </c>
      <c r="AH551" s="36"/>
      <c r="AI551" s="36">
        <f>SUM(E551:AG551)</f>
        <v>35875.02</v>
      </c>
      <c r="AJ551" s="24"/>
      <c r="AK551" s="15" t="str">
        <f>'Gen Rev'!A550</f>
        <v>Rushville</v>
      </c>
      <c r="AL551" s="15" t="str">
        <f t="shared" si="44"/>
        <v>Rushville</v>
      </c>
      <c r="AM551" s="15" t="b">
        <f t="shared" si="45"/>
        <v>1</v>
      </c>
      <c r="AN551" s="32"/>
      <c r="AO551" s="32"/>
      <c r="AP551" s="32"/>
    </row>
    <row r="552" spans="1:39" s="31" customFormat="1" ht="12.75">
      <c r="A552" s="15" t="s">
        <v>447</v>
      </c>
      <c r="B552" s="15"/>
      <c r="C552" s="15" t="s">
        <v>446</v>
      </c>
      <c r="D552" s="15"/>
      <c r="E552" s="36">
        <v>143058.26</v>
      </c>
      <c r="F552" s="36"/>
      <c r="G552" s="36">
        <v>200918.62</v>
      </c>
      <c r="H552" s="36"/>
      <c r="I552" s="36">
        <v>401315.96</v>
      </c>
      <c r="J552" s="36"/>
      <c r="K552" s="36">
        <v>0</v>
      </c>
      <c r="L552" s="36"/>
      <c r="M552" s="36">
        <v>0</v>
      </c>
      <c r="N552" s="36"/>
      <c r="O552" s="36">
        <v>34863.64</v>
      </c>
      <c r="P552" s="36"/>
      <c r="Q552" s="36">
        <v>890.12</v>
      </c>
      <c r="R552" s="36"/>
      <c r="S552" s="36">
        <v>104566.72</v>
      </c>
      <c r="T552" s="36"/>
      <c r="U552" s="36">
        <v>0</v>
      </c>
      <c r="V552" s="36"/>
      <c r="W552" s="36">
        <v>0</v>
      </c>
      <c r="X552" s="36"/>
      <c r="Y552" s="36">
        <v>0</v>
      </c>
      <c r="Z552" s="36"/>
      <c r="AA552" s="36">
        <v>150000</v>
      </c>
      <c r="AB552" s="36"/>
      <c r="AC552" s="36">
        <v>2000</v>
      </c>
      <c r="AD552" s="36"/>
      <c r="AE552" s="36">
        <v>0</v>
      </c>
      <c r="AF552" s="36"/>
      <c r="AG552" s="36">
        <v>0</v>
      </c>
      <c r="AH552" s="36"/>
      <c r="AI552" s="36">
        <f>SUM(E552:AG552)</f>
        <v>1037613.3200000001</v>
      </c>
      <c r="AJ552" s="24"/>
      <c r="AK552" s="15" t="str">
        <f>'Gen Rev'!A551</f>
        <v>Russells Point</v>
      </c>
      <c r="AL552" s="15" t="str">
        <f t="shared" si="44"/>
        <v>Russells Point</v>
      </c>
      <c r="AM552" s="15" t="b">
        <f t="shared" si="45"/>
        <v>1</v>
      </c>
    </row>
    <row r="553" spans="1:39" s="31" customFormat="1" ht="12.75">
      <c r="A553" s="15" t="s">
        <v>953</v>
      </c>
      <c r="B553" s="15"/>
      <c r="C553" s="15" t="s">
        <v>283</v>
      </c>
      <c r="D553" s="15"/>
      <c r="E553" s="36">
        <v>86460.72</v>
      </c>
      <c r="F553" s="36"/>
      <c r="G553" s="36">
        <v>0</v>
      </c>
      <c r="H553" s="36"/>
      <c r="I553" s="36">
        <v>40208.44</v>
      </c>
      <c r="J553" s="36"/>
      <c r="K553" s="36">
        <v>1530.55</v>
      </c>
      <c r="L553" s="36"/>
      <c r="M553" s="36">
        <v>66609.52</v>
      </c>
      <c r="N553" s="36"/>
      <c r="O553" s="36">
        <v>43211.6</v>
      </c>
      <c r="P553" s="36"/>
      <c r="Q553" s="36">
        <v>135.76</v>
      </c>
      <c r="R553" s="36"/>
      <c r="S553" s="36">
        <v>2099.07</v>
      </c>
      <c r="T553" s="36"/>
      <c r="U553" s="36">
        <v>0</v>
      </c>
      <c r="V553" s="36"/>
      <c r="W553" s="36">
        <v>0</v>
      </c>
      <c r="X553" s="36"/>
      <c r="Y553" s="36">
        <v>0</v>
      </c>
      <c r="Z553" s="36"/>
      <c r="AA553" s="36">
        <v>0</v>
      </c>
      <c r="AB553" s="36"/>
      <c r="AC553" s="36">
        <v>8478.44</v>
      </c>
      <c r="AD553" s="36"/>
      <c r="AE553" s="36">
        <v>0</v>
      </c>
      <c r="AF553" s="36"/>
      <c r="AG553" s="36">
        <v>0</v>
      </c>
      <c r="AH553" s="36"/>
      <c r="AI553" s="36">
        <f>SUM(E553:AG553)</f>
        <v>248734.10000000003</v>
      </c>
      <c r="AJ553" s="24"/>
      <c r="AK553" s="15" t="str">
        <f>'Gen Rev'!A552</f>
        <v>Russellville</v>
      </c>
      <c r="AL553" s="15" t="str">
        <f t="shared" si="44"/>
        <v>Russellville</v>
      </c>
      <c r="AM553" s="15" t="b">
        <f t="shared" si="45"/>
        <v>1</v>
      </c>
    </row>
    <row r="554" spans="1:39" ht="12.75">
      <c r="A554" s="15" t="s">
        <v>540</v>
      </c>
      <c r="C554" s="15" t="s">
        <v>538</v>
      </c>
      <c r="E554" s="85">
        <v>19968</v>
      </c>
      <c r="F554" s="85"/>
      <c r="G554" s="85">
        <f>107913+122988</f>
        <v>230901</v>
      </c>
      <c r="H554" s="85"/>
      <c r="I554" s="85">
        <f>35259+39819</f>
        <v>75078</v>
      </c>
      <c r="J554" s="85"/>
      <c r="K554" s="85">
        <f>20581+554</f>
        <v>21135</v>
      </c>
      <c r="L554" s="85"/>
      <c r="M554" s="85">
        <v>6027</v>
      </c>
      <c r="N554" s="85"/>
      <c r="O554" s="85">
        <v>2350</v>
      </c>
      <c r="P554" s="85"/>
      <c r="Q554" s="85">
        <v>518</v>
      </c>
      <c r="R554" s="85"/>
      <c r="S554" s="85">
        <f>12600+6675</f>
        <v>19275</v>
      </c>
      <c r="T554" s="85"/>
      <c r="U554" s="85">
        <v>0</v>
      </c>
      <c r="V554" s="85"/>
      <c r="W554" s="85">
        <v>0</v>
      </c>
      <c r="X554" s="85"/>
      <c r="Y554" s="85">
        <v>0</v>
      </c>
      <c r="Z554" s="85"/>
      <c r="AA554" s="85">
        <v>0</v>
      </c>
      <c r="AB554" s="85"/>
      <c r="AC554" s="85">
        <v>0</v>
      </c>
      <c r="AD554" s="85"/>
      <c r="AE554" s="85">
        <v>0</v>
      </c>
      <c r="AF554" s="85"/>
      <c r="AG554" s="85">
        <v>0</v>
      </c>
      <c r="AH554" s="85"/>
      <c r="AI554" s="85">
        <f t="shared" si="46"/>
        <v>375252</v>
      </c>
      <c r="AJ554" s="24"/>
      <c r="AK554" s="15" t="str">
        <f>'Gen Rev'!A553</f>
        <v>Russia</v>
      </c>
      <c r="AL554" s="15" t="str">
        <f t="shared" si="44"/>
        <v>Russia</v>
      </c>
      <c r="AM554" s="15" t="b">
        <f t="shared" si="45"/>
        <v>1</v>
      </c>
    </row>
    <row r="555" spans="1:39" ht="12.75">
      <c r="A555" s="15" t="s">
        <v>706</v>
      </c>
      <c r="C555" s="15" t="s">
        <v>464</v>
      </c>
      <c r="E555" s="36">
        <v>19506.97</v>
      </c>
      <c r="F555" s="36"/>
      <c r="G555" s="36">
        <v>0</v>
      </c>
      <c r="H555" s="36"/>
      <c r="I555" s="36">
        <v>31706.19</v>
      </c>
      <c r="J555" s="36"/>
      <c r="K555" s="36">
        <v>1612.4</v>
      </c>
      <c r="L555" s="36"/>
      <c r="M555" s="36">
        <v>6788.99</v>
      </c>
      <c r="N555" s="36"/>
      <c r="O555" s="36">
        <v>773.59</v>
      </c>
      <c r="P555" s="36"/>
      <c r="Q555" s="36">
        <v>16.7</v>
      </c>
      <c r="R555" s="36"/>
      <c r="S555" s="36">
        <v>278</v>
      </c>
      <c r="T555" s="36"/>
      <c r="U555" s="36">
        <v>0</v>
      </c>
      <c r="V555" s="36"/>
      <c r="W555" s="36">
        <v>0</v>
      </c>
      <c r="X555" s="36"/>
      <c r="Y555" s="36">
        <v>0</v>
      </c>
      <c r="Z555" s="36"/>
      <c r="AA555" s="36">
        <v>0</v>
      </c>
      <c r="AB555" s="36"/>
      <c r="AC555" s="36">
        <v>0</v>
      </c>
      <c r="AD555" s="36"/>
      <c r="AE555" s="36">
        <v>0</v>
      </c>
      <c r="AF555" s="36"/>
      <c r="AG555" s="36">
        <v>7030.6</v>
      </c>
      <c r="AH555" s="36"/>
      <c r="AI555" s="36">
        <f>SUM(E555:AG555)</f>
        <v>67713.44</v>
      </c>
      <c r="AJ555" s="24"/>
      <c r="AK555" s="15" t="str">
        <f>'Gen Rev'!A554</f>
        <v>Rutland</v>
      </c>
      <c r="AL555" s="15" t="str">
        <f t="shared" si="44"/>
        <v>Rutland</v>
      </c>
      <c r="AM555" s="15" t="b">
        <f t="shared" si="45"/>
        <v>1</v>
      </c>
    </row>
    <row r="556" spans="1:42" ht="12.6" customHeight="1">
      <c r="A556" s="15" t="s">
        <v>304</v>
      </c>
      <c r="C556" s="15" t="s">
        <v>299</v>
      </c>
      <c r="E556" s="36">
        <v>84865.22</v>
      </c>
      <c r="F556" s="36"/>
      <c r="G556" s="36">
        <v>235929.41</v>
      </c>
      <c r="H556" s="36"/>
      <c r="I556" s="36">
        <v>285589.06</v>
      </c>
      <c r="J556" s="36"/>
      <c r="K556" s="36">
        <v>0</v>
      </c>
      <c r="L556" s="36"/>
      <c r="M556" s="36">
        <v>1976.05</v>
      </c>
      <c r="N556" s="36"/>
      <c r="O556" s="36">
        <v>28386.3</v>
      </c>
      <c r="P556" s="36"/>
      <c r="Q556" s="36">
        <v>2563.67</v>
      </c>
      <c r="R556" s="36"/>
      <c r="S556" s="36">
        <v>7797.44</v>
      </c>
      <c r="T556" s="36"/>
      <c r="U556" s="36">
        <v>0</v>
      </c>
      <c r="V556" s="36"/>
      <c r="W556" s="36">
        <v>0</v>
      </c>
      <c r="X556" s="36"/>
      <c r="Y556" s="36">
        <v>0</v>
      </c>
      <c r="Z556" s="36"/>
      <c r="AA556" s="36">
        <v>0</v>
      </c>
      <c r="AB556" s="36"/>
      <c r="AC556" s="36">
        <v>0</v>
      </c>
      <c r="AD556" s="36"/>
      <c r="AE556" s="36">
        <v>0</v>
      </c>
      <c r="AF556" s="36"/>
      <c r="AG556" s="36">
        <v>0</v>
      </c>
      <c r="AH556" s="36"/>
      <c r="AI556" s="36">
        <f>SUM(E556:AG556)</f>
        <v>647107.15</v>
      </c>
      <c r="AJ556" s="24"/>
      <c r="AK556" s="15" t="str">
        <f>'Gen Rev'!A555</f>
        <v>Sabina</v>
      </c>
      <c r="AL556" s="15" t="str">
        <f t="shared" si="44"/>
        <v>Sabina</v>
      </c>
      <c r="AM556" s="15" t="b">
        <f t="shared" si="45"/>
        <v>1</v>
      </c>
      <c r="AN556" s="30"/>
      <c r="AO556" s="30"/>
      <c r="AP556" s="30"/>
    </row>
    <row r="557" spans="1:39" s="31" customFormat="1" ht="12.75">
      <c r="A557" s="15" t="s">
        <v>161</v>
      </c>
      <c r="B557" s="15"/>
      <c r="C557" s="15" t="s">
        <v>794</v>
      </c>
      <c r="D557" s="15"/>
      <c r="E557" s="36">
        <v>96708.63</v>
      </c>
      <c r="F557" s="36"/>
      <c r="G557" s="36">
        <v>732579.66</v>
      </c>
      <c r="H557" s="36"/>
      <c r="I557" s="36">
        <v>225161.1</v>
      </c>
      <c r="J557" s="36"/>
      <c r="K557" s="36">
        <v>3480.56</v>
      </c>
      <c r="L557" s="36"/>
      <c r="M557" s="36">
        <v>32807.2</v>
      </c>
      <c r="N557" s="36"/>
      <c r="O557" s="36">
        <v>26364.64</v>
      </c>
      <c r="P557" s="36"/>
      <c r="Q557" s="36">
        <v>12475.19</v>
      </c>
      <c r="R557" s="36"/>
      <c r="S557" s="36">
        <v>0</v>
      </c>
      <c r="T557" s="36"/>
      <c r="U557" s="36">
        <v>0</v>
      </c>
      <c r="V557" s="36"/>
      <c r="W557" s="36">
        <v>0</v>
      </c>
      <c r="X557" s="36"/>
      <c r="Y557" s="36">
        <v>500</v>
      </c>
      <c r="Z557" s="36"/>
      <c r="AA557" s="36">
        <v>150000</v>
      </c>
      <c r="AB557" s="36"/>
      <c r="AC557" s="36">
        <v>0</v>
      </c>
      <c r="AD557" s="36"/>
      <c r="AE557" s="36">
        <v>0</v>
      </c>
      <c r="AF557" s="36"/>
      <c r="AG557" s="36">
        <v>0</v>
      </c>
      <c r="AH557" s="36"/>
      <c r="AI557" s="36">
        <f>SUM(E557:AG557)</f>
        <v>1280076.98</v>
      </c>
      <c r="AJ557" s="24"/>
      <c r="AK557" s="15" t="e">
        <f>#REF!</f>
        <v>#REF!</v>
      </c>
      <c r="AL557" s="15" t="str">
        <f t="shared" si="44"/>
        <v>Saint Henry</v>
      </c>
      <c r="AM557" s="15" t="e">
        <f t="shared" si="45"/>
        <v>#REF!</v>
      </c>
    </row>
    <row r="558" spans="1:39" s="31" customFormat="1" ht="12.75">
      <c r="A558" s="15" t="s">
        <v>954</v>
      </c>
      <c r="B558" s="15"/>
      <c r="C558" s="15" t="s">
        <v>375</v>
      </c>
      <c r="D558" s="15"/>
      <c r="E558" s="36">
        <v>6809.32</v>
      </c>
      <c r="F558" s="36"/>
      <c r="G558" s="36">
        <v>0</v>
      </c>
      <c r="H558" s="36"/>
      <c r="I558" s="36">
        <v>16234.11</v>
      </c>
      <c r="J558" s="36"/>
      <c r="K558" s="36">
        <v>0</v>
      </c>
      <c r="L558" s="36"/>
      <c r="M558" s="36">
        <v>250</v>
      </c>
      <c r="N558" s="36"/>
      <c r="O558" s="36">
        <v>0</v>
      </c>
      <c r="P558" s="36"/>
      <c r="Q558" s="36">
        <v>52.22</v>
      </c>
      <c r="R558" s="36"/>
      <c r="S558" s="36">
        <v>26347.32</v>
      </c>
      <c r="T558" s="36"/>
      <c r="U558" s="36">
        <v>0</v>
      </c>
      <c r="V558" s="36"/>
      <c r="W558" s="36">
        <v>0</v>
      </c>
      <c r="X558" s="36"/>
      <c r="Y558" s="36">
        <v>0</v>
      </c>
      <c r="Z558" s="36"/>
      <c r="AA558" s="36">
        <v>225</v>
      </c>
      <c r="AB558" s="36"/>
      <c r="AC558" s="36">
        <v>0</v>
      </c>
      <c r="AD558" s="36"/>
      <c r="AE558" s="36">
        <v>0</v>
      </c>
      <c r="AF558" s="36"/>
      <c r="AG558" s="36">
        <v>0</v>
      </c>
      <c r="AH558" s="36"/>
      <c r="AI558" s="36">
        <f>SUM(E558:AG558)</f>
        <v>49917.97</v>
      </c>
      <c r="AJ558" s="24"/>
      <c r="AK558" s="15" t="e">
        <f>#REF!</f>
        <v>#REF!</v>
      </c>
      <c r="AL558" s="15" t="str">
        <f t="shared" si="44"/>
        <v>Salesville</v>
      </c>
      <c r="AM558" s="15" t="e">
        <f t="shared" si="45"/>
        <v>#REF!</v>
      </c>
    </row>
    <row r="559" spans="1:42" ht="12.75">
      <c r="A559" s="15" t="s">
        <v>46</v>
      </c>
      <c r="C559" s="15" t="s">
        <v>758</v>
      </c>
      <c r="E559" s="36">
        <v>163793.56</v>
      </c>
      <c r="F559" s="36"/>
      <c r="G559" s="36">
        <v>110305.45</v>
      </c>
      <c r="H559" s="36"/>
      <c r="I559" s="36">
        <v>145852.37</v>
      </c>
      <c r="J559" s="36"/>
      <c r="K559" s="36">
        <v>0</v>
      </c>
      <c r="L559" s="36"/>
      <c r="M559" s="36">
        <v>8584.22</v>
      </c>
      <c r="N559" s="36"/>
      <c r="O559" s="36">
        <v>16345.2</v>
      </c>
      <c r="P559" s="36"/>
      <c r="Q559" s="36">
        <v>66.41</v>
      </c>
      <c r="R559" s="36"/>
      <c r="S559" s="36">
        <v>368.49</v>
      </c>
      <c r="T559" s="36"/>
      <c r="U559" s="36">
        <v>0</v>
      </c>
      <c r="V559" s="36"/>
      <c r="W559" s="36">
        <v>0</v>
      </c>
      <c r="X559" s="36"/>
      <c r="Y559" s="36">
        <v>0</v>
      </c>
      <c r="Z559" s="36"/>
      <c r="AA559" s="36">
        <v>30247.15</v>
      </c>
      <c r="AB559" s="36"/>
      <c r="AC559" s="36">
        <v>23651.3</v>
      </c>
      <c r="AD559" s="36"/>
      <c r="AE559" s="36">
        <v>129979.22</v>
      </c>
      <c r="AF559" s="36"/>
      <c r="AG559" s="36">
        <v>0</v>
      </c>
      <c r="AH559" s="36"/>
      <c r="AI559" s="36">
        <f>SUM(E559:AG559)</f>
        <v>629193.37</v>
      </c>
      <c r="AJ559" s="24"/>
      <c r="AK559" s="15" t="e">
        <f>#REF!</f>
        <v>#REF!</v>
      </c>
      <c r="AL559" s="15" t="str">
        <f t="shared" si="44"/>
        <v>Salineville</v>
      </c>
      <c r="AM559" s="15" t="e">
        <f t="shared" si="45"/>
        <v>#REF!</v>
      </c>
      <c r="AN559" s="30"/>
      <c r="AO559" s="30"/>
      <c r="AP559" s="30"/>
    </row>
    <row r="560" spans="1:42" ht="12.75">
      <c r="A560" s="15" t="s">
        <v>923</v>
      </c>
      <c r="C560" s="15" t="s">
        <v>491</v>
      </c>
      <c r="E560" s="85">
        <v>1870</v>
      </c>
      <c r="F560" s="85"/>
      <c r="G560" s="85">
        <v>20801</v>
      </c>
      <c r="H560" s="85"/>
      <c r="I560" s="85">
        <v>0</v>
      </c>
      <c r="J560" s="85"/>
      <c r="K560" s="85">
        <v>0</v>
      </c>
      <c r="L560" s="85"/>
      <c r="M560" s="85">
        <v>0</v>
      </c>
      <c r="N560" s="85"/>
      <c r="O560" s="85">
        <v>0</v>
      </c>
      <c r="P560" s="85"/>
      <c r="Q560" s="85">
        <v>26</v>
      </c>
      <c r="R560" s="85"/>
      <c r="S560" s="85">
        <v>1351</v>
      </c>
      <c r="T560" s="85"/>
      <c r="U560" s="85">
        <v>0</v>
      </c>
      <c r="V560" s="85"/>
      <c r="W560" s="85">
        <v>0</v>
      </c>
      <c r="X560" s="85"/>
      <c r="Y560" s="85">
        <v>0</v>
      </c>
      <c r="Z560" s="85"/>
      <c r="AA560" s="85">
        <v>0</v>
      </c>
      <c r="AB560" s="85"/>
      <c r="AC560" s="85">
        <v>0</v>
      </c>
      <c r="AD560" s="85"/>
      <c r="AE560" s="85">
        <v>0</v>
      </c>
      <c r="AF560" s="85"/>
      <c r="AG560" s="85">
        <v>0</v>
      </c>
      <c r="AH560" s="85"/>
      <c r="AI560" s="85">
        <f t="shared" si="46"/>
        <v>24048</v>
      </c>
      <c r="AJ560" s="24"/>
      <c r="AK560" s="15" t="e">
        <f>#REF!</f>
        <v>#REF!</v>
      </c>
      <c r="AL560" s="15" t="str">
        <f t="shared" si="44"/>
        <v>Sarahsville</v>
      </c>
      <c r="AM560" s="15" t="e">
        <f t="shared" si="45"/>
        <v>#REF!</v>
      </c>
      <c r="AN560" s="30"/>
      <c r="AO560" s="30"/>
      <c r="AP560" s="30"/>
    </row>
    <row r="561" spans="1:39" ht="12.75">
      <c r="A561" s="15" t="s">
        <v>25</v>
      </c>
      <c r="C561" s="15" t="s">
        <v>751</v>
      </c>
      <c r="E561" s="36">
        <v>62576.59</v>
      </c>
      <c r="F561" s="36"/>
      <c r="G561" s="36">
        <v>129203.22</v>
      </c>
      <c r="H561" s="36"/>
      <c r="I561" s="36">
        <v>48810.21</v>
      </c>
      <c r="J561" s="36"/>
      <c r="K561" s="36">
        <v>0</v>
      </c>
      <c r="L561" s="36"/>
      <c r="M561" s="36">
        <v>88209.93</v>
      </c>
      <c r="N561" s="36"/>
      <c r="O561" s="36">
        <v>15208.1</v>
      </c>
      <c r="P561" s="36"/>
      <c r="Q561" s="36">
        <v>340.28</v>
      </c>
      <c r="R561" s="36"/>
      <c r="S561" s="36">
        <v>23777.58</v>
      </c>
      <c r="T561" s="36"/>
      <c r="U561" s="36">
        <v>0</v>
      </c>
      <c r="V561" s="36"/>
      <c r="W561" s="36">
        <v>0</v>
      </c>
      <c r="X561" s="36"/>
      <c r="Y561" s="36">
        <v>0</v>
      </c>
      <c r="Z561" s="36"/>
      <c r="AA561" s="36">
        <v>338438.66</v>
      </c>
      <c r="AB561" s="36"/>
      <c r="AC561" s="36">
        <v>0</v>
      </c>
      <c r="AD561" s="36"/>
      <c r="AE561" s="36">
        <v>0</v>
      </c>
      <c r="AF561" s="36"/>
      <c r="AG561" s="36">
        <v>0</v>
      </c>
      <c r="AH561" s="36"/>
      <c r="AI561" s="36">
        <f>SUM(E561:AG561)</f>
        <v>706564.57</v>
      </c>
      <c r="AJ561" s="24"/>
      <c r="AK561" s="15" t="e">
        <f>#REF!</f>
        <v>#REF!</v>
      </c>
      <c r="AL561" s="15" t="str">
        <f t="shared" si="44"/>
        <v>Sardinia</v>
      </c>
      <c r="AM561" s="15" t="e">
        <f t="shared" si="45"/>
        <v>#REF!</v>
      </c>
    </row>
    <row r="562" spans="1:39" ht="12.75">
      <c r="A562" s="15" t="s">
        <v>676</v>
      </c>
      <c r="C562" s="15" t="s">
        <v>669</v>
      </c>
      <c r="E562" s="85">
        <v>7060.11</v>
      </c>
      <c r="F562" s="85"/>
      <c r="G562" s="85">
        <v>0</v>
      </c>
      <c r="H562" s="85"/>
      <c r="I562" s="85">
        <v>48024.48</v>
      </c>
      <c r="J562" s="85"/>
      <c r="K562" s="85">
        <v>0</v>
      </c>
      <c r="L562" s="85"/>
      <c r="M562" s="85">
        <v>0</v>
      </c>
      <c r="N562" s="85"/>
      <c r="O562" s="85">
        <v>671.52</v>
      </c>
      <c r="P562" s="85"/>
      <c r="Q562" s="85">
        <v>493.57</v>
      </c>
      <c r="R562" s="85"/>
      <c r="S562" s="85">
        <v>153.71</v>
      </c>
      <c r="T562" s="85"/>
      <c r="U562" s="85">
        <v>0</v>
      </c>
      <c r="V562" s="85"/>
      <c r="W562" s="85">
        <v>0</v>
      </c>
      <c r="X562" s="85"/>
      <c r="Y562" s="85">
        <v>0</v>
      </c>
      <c r="Z562" s="85"/>
      <c r="AA562" s="85">
        <v>0</v>
      </c>
      <c r="AB562" s="85"/>
      <c r="AC562" s="85">
        <v>0</v>
      </c>
      <c r="AD562" s="85"/>
      <c r="AE562" s="85">
        <v>0</v>
      </c>
      <c r="AF562" s="85"/>
      <c r="AG562" s="85">
        <v>0</v>
      </c>
      <c r="AH562" s="85"/>
      <c r="AI562" s="85">
        <f t="shared" si="46"/>
        <v>56403.39</v>
      </c>
      <c r="AJ562" s="24"/>
      <c r="AK562" s="15" t="e">
        <f>#REF!</f>
        <v>#REF!</v>
      </c>
      <c r="AL562" s="15" t="str">
        <f t="shared" si="44"/>
        <v>Savannah</v>
      </c>
      <c r="AM562" s="15" t="e">
        <f t="shared" si="45"/>
        <v>#REF!</v>
      </c>
    </row>
    <row r="563" spans="1:39" s="31" customFormat="1" ht="12.75">
      <c r="A563" s="15" t="s">
        <v>406</v>
      </c>
      <c r="B563" s="15"/>
      <c r="C563" s="15" t="s">
        <v>403</v>
      </c>
      <c r="D563" s="15"/>
      <c r="E563" s="85">
        <v>52480.4</v>
      </c>
      <c r="F563" s="85"/>
      <c r="G563" s="85">
        <v>57054.2</v>
      </c>
      <c r="H563" s="85"/>
      <c r="I563" s="85">
        <v>58802.06</v>
      </c>
      <c r="J563" s="85"/>
      <c r="K563" s="85">
        <v>0</v>
      </c>
      <c r="L563" s="85"/>
      <c r="M563" s="85">
        <v>145</v>
      </c>
      <c r="N563" s="85"/>
      <c r="O563" s="85">
        <v>173960</v>
      </c>
      <c r="P563" s="85"/>
      <c r="Q563" s="85">
        <v>1069.75</v>
      </c>
      <c r="R563" s="85"/>
      <c r="S563" s="85">
        <v>5829.95</v>
      </c>
      <c r="T563" s="85"/>
      <c r="U563" s="85">
        <v>0</v>
      </c>
      <c r="V563" s="85"/>
      <c r="W563" s="85">
        <v>0</v>
      </c>
      <c r="X563" s="85"/>
      <c r="Y563" s="85">
        <v>0</v>
      </c>
      <c r="Z563" s="85"/>
      <c r="AA563" s="85">
        <v>12756.37</v>
      </c>
      <c r="AB563" s="85"/>
      <c r="AC563" s="85">
        <v>0</v>
      </c>
      <c r="AD563" s="85"/>
      <c r="AE563" s="85">
        <v>0</v>
      </c>
      <c r="AF563" s="85"/>
      <c r="AG563" s="85">
        <v>0</v>
      </c>
      <c r="AH563" s="85"/>
      <c r="AI563" s="85">
        <f t="shared" si="46"/>
        <v>362097.73000000004</v>
      </c>
      <c r="AJ563" s="24"/>
      <c r="AK563" s="15" t="e">
        <f>#REF!</f>
        <v>#REF!</v>
      </c>
      <c r="AL563" s="15" t="str">
        <f t="shared" si="44"/>
        <v>Scio</v>
      </c>
      <c r="AM563" s="15" t="e">
        <f t="shared" si="45"/>
        <v>#REF!</v>
      </c>
    </row>
    <row r="564" spans="1:39" s="39" customFormat="1" ht="12.75">
      <c r="A564" s="39" t="s">
        <v>576</v>
      </c>
      <c r="C564" s="39" t="s">
        <v>574</v>
      </c>
      <c r="E564" s="36">
        <v>17942.52</v>
      </c>
      <c r="F564" s="36"/>
      <c r="G564" s="36">
        <v>0</v>
      </c>
      <c r="H564" s="36"/>
      <c r="I564" s="36">
        <v>142077.98</v>
      </c>
      <c r="J564" s="36"/>
      <c r="K564" s="36">
        <v>0</v>
      </c>
      <c r="L564" s="36"/>
      <c r="M564" s="36">
        <v>51570.47</v>
      </c>
      <c r="N564" s="36"/>
      <c r="O564" s="36">
        <v>0</v>
      </c>
      <c r="P564" s="36"/>
      <c r="Q564" s="36">
        <v>56.7</v>
      </c>
      <c r="R564" s="36"/>
      <c r="S564" s="36">
        <v>5446.49</v>
      </c>
      <c r="T564" s="36"/>
      <c r="U564" s="36">
        <v>0</v>
      </c>
      <c r="V564" s="36"/>
      <c r="W564" s="36">
        <v>0</v>
      </c>
      <c r="X564" s="36"/>
      <c r="Y564" s="36">
        <v>0</v>
      </c>
      <c r="Z564" s="36"/>
      <c r="AA564" s="36">
        <v>2000</v>
      </c>
      <c r="AB564" s="36"/>
      <c r="AC564" s="36">
        <v>67431</v>
      </c>
      <c r="AD564" s="36"/>
      <c r="AE564" s="36">
        <v>0</v>
      </c>
      <c r="AF564" s="36"/>
      <c r="AG564" s="36">
        <v>0</v>
      </c>
      <c r="AH564" s="36"/>
      <c r="AI564" s="36">
        <f>SUM(E564:AG564)</f>
        <v>286525.16000000003</v>
      </c>
      <c r="AK564" s="15" t="e">
        <f>#REF!</f>
        <v>#REF!</v>
      </c>
      <c r="AL564" s="15" t="str">
        <f t="shared" si="44"/>
        <v>Scott</v>
      </c>
      <c r="AM564" s="15" t="e">
        <f t="shared" si="45"/>
        <v>#REF!</v>
      </c>
    </row>
    <row r="565" spans="1:39" ht="12.75">
      <c r="A565" s="15" t="s">
        <v>677</v>
      </c>
      <c r="C565" s="15" t="s">
        <v>662</v>
      </c>
      <c r="E565" s="85">
        <v>201204</v>
      </c>
      <c r="F565" s="85"/>
      <c r="G565" s="85">
        <v>0</v>
      </c>
      <c r="H565" s="85"/>
      <c r="I565" s="85">
        <v>99641</v>
      </c>
      <c r="J565" s="85"/>
      <c r="K565" s="85">
        <v>0</v>
      </c>
      <c r="L565" s="85"/>
      <c r="M565" s="85">
        <v>7934</v>
      </c>
      <c r="N565" s="85"/>
      <c r="O565" s="85">
        <v>22727</v>
      </c>
      <c r="P565" s="85"/>
      <c r="Q565" s="85">
        <v>0</v>
      </c>
      <c r="R565" s="85"/>
      <c r="S565" s="85">
        <v>7900</v>
      </c>
      <c r="T565" s="85"/>
      <c r="U565" s="85">
        <v>0</v>
      </c>
      <c r="V565" s="85"/>
      <c r="W565" s="85">
        <v>0</v>
      </c>
      <c r="X565" s="85"/>
      <c r="Y565" s="85">
        <v>0</v>
      </c>
      <c r="Z565" s="85"/>
      <c r="AA565" s="85">
        <v>0</v>
      </c>
      <c r="AB565" s="85"/>
      <c r="AC565" s="85">
        <v>0</v>
      </c>
      <c r="AD565" s="85"/>
      <c r="AE565" s="85">
        <v>0</v>
      </c>
      <c r="AF565" s="85"/>
      <c r="AG565" s="85">
        <v>0</v>
      </c>
      <c r="AH565" s="85"/>
      <c r="AI565" s="85">
        <f t="shared" si="46"/>
        <v>339406</v>
      </c>
      <c r="AJ565" s="24"/>
      <c r="AK565" s="15" t="e">
        <f>#REF!</f>
        <v>#REF!</v>
      </c>
      <c r="AL565" s="15" t="str">
        <f t="shared" si="44"/>
        <v>Seaman</v>
      </c>
      <c r="AM565" s="15" t="e">
        <f t="shared" si="45"/>
        <v>#REF!</v>
      </c>
    </row>
    <row r="566" spans="1:39" ht="12.75">
      <c r="A566" s="15" t="s">
        <v>461</v>
      </c>
      <c r="C566" s="15" t="s">
        <v>462</v>
      </c>
      <c r="E566" s="85">
        <v>1868588</v>
      </c>
      <c r="F566" s="85"/>
      <c r="G566" s="85">
        <v>0</v>
      </c>
      <c r="H566" s="85"/>
      <c r="I566" s="85">
        <f>250729+44402</f>
        <v>295131</v>
      </c>
      <c r="J566" s="85"/>
      <c r="K566" s="85">
        <v>0</v>
      </c>
      <c r="L566" s="85"/>
      <c r="M566" s="85">
        <v>104571</v>
      </c>
      <c r="N566" s="85"/>
      <c r="O566" s="85">
        <v>65851</v>
      </c>
      <c r="P566" s="85"/>
      <c r="Q566" s="85">
        <v>168</v>
      </c>
      <c r="R566" s="85"/>
      <c r="S566" s="85">
        <v>41889</v>
      </c>
      <c r="T566" s="85"/>
      <c r="U566" s="85">
        <v>0</v>
      </c>
      <c r="V566" s="85"/>
      <c r="W566" s="85">
        <v>0</v>
      </c>
      <c r="X566" s="85"/>
      <c r="Y566" s="85">
        <v>0</v>
      </c>
      <c r="Z566" s="85"/>
      <c r="AA566" s="85">
        <v>0</v>
      </c>
      <c r="AB566" s="85"/>
      <c r="AC566" s="85">
        <v>0</v>
      </c>
      <c r="AD566" s="85"/>
      <c r="AE566" s="85">
        <v>440707</v>
      </c>
      <c r="AF566" s="85"/>
      <c r="AG566" s="85">
        <v>0</v>
      </c>
      <c r="AH566" s="85"/>
      <c r="AI566" s="85">
        <f t="shared" si="46"/>
        <v>2816905</v>
      </c>
      <c r="AJ566" s="24"/>
      <c r="AK566" s="15" t="str">
        <f>'Gen Rev'!A566</f>
        <v>Sebring</v>
      </c>
      <c r="AL566" s="15" t="str">
        <f t="shared" si="44"/>
        <v>Sebring</v>
      </c>
      <c r="AM566" s="15" t="b">
        <f t="shared" si="45"/>
        <v>1</v>
      </c>
    </row>
    <row r="567" spans="1:39" ht="12.75">
      <c r="A567" s="15" t="s">
        <v>90</v>
      </c>
      <c r="C567" s="15" t="s">
        <v>772</v>
      </c>
      <c r="E567" s="36">
        <v>34489.93</v>
      </c>
      <c r="F567" s="36"/>
      <c r="G567" s="36">
        <v>0</v>
      </c>
      <c r="H567" s="36"/>
      <c r="I567" s="36">
        <v>54641.52</v>
      </c>
      <c r="J567" s="36"/>
      <c r="K567" s="36">
        <v>0</v>
      </c>
      <c r="L567" s="36"/>
      <c r="M567" s="36">
        <v>16900</v>
      </c>
      <c r="N567" s="36"/>
      <c r="O567" s="36">
        <v>8251</v>
      </c>
      <c r="P567" s="36"/>
      <c r="Q567" s="36">
        <v>1298.31</v>
      </c>
      <c r="R567" s="36"/>
      <c r="S567" s="36">
        <v>45996.32</v>
      </c>
      <c r="T567" s="36"/>
      <c r="U567" s="36">
        <v>0</v>
      </c>
      <c r="V567" s="36"/>
      <c r="W567" s="36">
        <v>0</v>
      </c>
      <c r="X567" s="36"/>
      <c r="Y567" s="36">
        <v>0</v>
      </c>
      <c r="Z567" s="36"/>
      <c r="AA567" s="36">
        <v>1286.43</v>
      </c>
      <c r="AB567" s="36"/>
      <c r="AC567" s="36">
        <v>0</v>
      </c>
      <c r="AD567" s="36"/>
      <c r="AE567" s="36">
        <v>0</v>
      </c>
      <c r="AF567" s="36"/>
      <c r="AG567" s="36">
        <v>0</v>
      </c>
      <c r="AH567" s="36"/>
      <c r="AI567" s="36">
        <f aca="true" t="shared" si="47" ref="AI567:AI572">SUM(E567:AG567)</f>
        <v>162863.50999999998</v>
      </c>
      <c r="AJ567" s="24"/>
      <c r="AK567" s="15" t="str">
        <f>'Gen Rev'!A567</f>
        <v>Senecaville</v>
      </c>
      <c r="AL567" s="15" t="str">
        <f t="shared" si="44"/>
        <v>Senecaville</v>
      </c>
      <c r="AM567" s="15" t="b">
        <f t="shared" si="45"/>
        <v>1</v>
      </c>
    </row>
    <row r="568" spans="1:39" ht="12.75">
      <c r="A568" s="15" t="s">
        <v>27</v>
      </c>
      <c r="C568" s="15" t="s">
        <v>752</v>
      </c>
      <c r="E568" s="36">
        <v>34093.63</v>
      </c>
      <c r="F568" s="36"/>
      <c r="G568" s="36">
        <v>0</v>
      </c>
      <c r="H568" s="36"/>
      <c r="I568" s="36">
        <v>203791.68</v>
      </c>
      <c r="J568" s="36"/>
      <c r="K568" s="36">
        <v>0</v>
      </c>
      <c r="L568" s="36"/>
      <c r="M568" s="36">
        <v>39334.6</v>
      </c>
      <c r="N568" s="36"/>
      <c r="O568" s="36">
        <v>26796.37</v>
      </c>
      <c r="P568" s="36"/>
      <c r="Q568" s="36">
        <v>541.21</v>
      </c>
      <c r="R568" s="36"/>
      <c r="S568" s="36">
        <v>2581.88</v>
      </c>
      <c r="T568" s="36"/>
      <c r="U568" s="36">
        <v>0</v>
      </c>
      <c r="V568" s="36"/>
      <c r="W568" s="36">
        <v>0</v>
      </c>
      <c r="X568" s="36"/>
      <c r="Y568" s="36">
        <v>0</v>
      </c>
      <c r="Z568" s="36"/>
      <c r="AA568" s="36">
        <v>0</v>
      </c>
      <c r="AB568" s="36"/>
      <c r="AC568" s="36">
        <v>0</v>
      </c>
      <c r="AD568" s="36"/>
      <c r="AE568" s="36">
        <v>7015.18</v>
      </c>
      <c r="AF568" s="36"/>
      <c r="AG568" s="36">
        <v>0</v>
      </c>
      <c r="AH568" s="36"/>
      <c r="AI568" s="36">
        <f t="shared" si="47"/>
        <v>314154.55</v>
      </c>
      <c r="AJ568" s="24"/>
      <c r="AK568" s="15" t="str">
        <f>'Gen Rev'!A568</f>
        <v>Seven Mile</v>
      </c>
      <c r="AL568" s="15" t="str">
        <f t="shared" si="44"/>
        <v>Seven Mile</v>
      </c>
      <c r="AM568" s="15" t="b">
        <f t="shared" si="45"/>
        <v>1</v>
      </c>
    </row>
    <row r="569" spans="1:39" ht="12.75">
      <c r="A569" s="15" t="s">
        <v>154</v>
      </c>
      <c r="C569" s="15" t="s">
        <v>792</v>
      </c>
      <c r="E569" s="36">
        <v>294393.78</v>
      </c>
      <c r="F569" s="36"/>
      <c r="G569" s="36">
        <v>971462.07</v>
      </c>
      <c r="H569" s="36"/>
      <c r="I569" s="36">
        <v>333110.73</v>
      </c>
      <c r="J569" s="36"/>
      <c r="K569" s="36">
        <v>6500</v>
      </c>
      <c r="L569" s="36"/>
      <c r="M569" s="36">
        <v>0</v>
      </c>
      <c r="N569" s="36"/>
      <c r="O569" s="36">
        <v>4650</v>
      </c>
      <c r="P569" s="36"/>
      <c r="Q569" s="36">
        <v>9222.87</v>
      </c>
      <c r="R569" s="36"/>
      <c r="S569" s="36">
        <v>357143.09</v>
      </c>
      <c r="T569" s="36"/>
      <c r="U569" s="36">
        <v>0</v>
      </c>
      <c r="V569" s="36"/>
      <c r="W569" s="36">
        <v>1150</v>
      </c>
      <c r="X569" s="36"/>
      <c r="Y569" s="36">
        <v>0</v>
      </c>
      <c r="Z569" s="36"/>
      <c r="AA569" s="36">
        <v>739286.86</v>
      </c>
      <c r="AB569" s="36"/>
      <c r="AC569" s="36">
        <v>0</v>
      </c>
      <c r="AD569" s="36"/>
      <c r="AE569" s="36">
        <v>0</v>
      </c>
      <c r="AF569" s="36"/>
      <c r="AG569" s="36">
        <v>0</v>
      </c>
      <c r="AH569" s="36"/>
      <c r="AI569" s="36">
        <f t="shared" si="47"/>
        <v>2716919.4000000004</v>
      </c>
      <c r="AJ569" s="24"/>
      <c r="AK569" s="15" t="str">
        <f>'Gen Rev'!A569</f>
        <v>Seville</v>
      </c>
      <c r="AL569" s="15" t="str">
        <f t="shared" si="44"/>
        <v>Seville</v>
      </c>
      <c r="AM569" s="15" t="b">
        <f t="shared" si="45"/>
        <v>1</v>
      </c>
    </row>
    <row r="570" spans="1:39" ht="12.75">
      <c r="A570" s="15" t="s">
        <v>20</v>
      </c>
      <c r="C570" s="15" t="s">
        <v>750</v>
      </c>
      <c r="E570" s="36">
        <v>481109.14</v>
      </c>
      <c r="F570" s="36"/>
      <c r="G570" s="36">
        <v>0</v>
      </c>
      <c r="H570" s="36"/>
      <c r="I570" s="36">
        <v>527676.29</v>
      </c>
      <c r="J570" s="36"/>
      <c r="K570" s="36">
        <v>0</v>
      </c>
      <c r="L570" s="36"/>
      <c r="M570" s="36">
        <v>137226.27</v>
      </c>
      <c r="N570" s="36"/>
      <c r="O570" s="36">
        <v>11232.55</v>
      </c>
      <c r="P570" s="36"/>
      <c r="Q570" s="36">
        <v>1183.12</v>
      </c>
      <c r="R570" s="36"/>
      <c r="S570" s="36">
        <v>19979.04</v>
      </c>
      <c r="T570" s="36"/>
      <c r="U570" s="36">
        <v>0</v>
      </c>
      <c r="V570" s="36"/>
      <c r="W570" s="36">
        <v>0</v>
      </c>
      <c r="X570" s="36"/>
      <c r="Y570" s="36">
        <v>0</v>
      </c>
      <c r="Z570" s="36"/>
      <c r="AA570" s="36">
        <v>0</v>
      </c>
      <c r="AB570" s="36"/>
      <c r="AC570" s="36">
        <v>0</v>
      </c>
      <c r="AD570" s="36"/>
      <c r="AE570" s="36">
        <v>72674</v>
      </c>
      <c r="AF570" s="36"/>
      <c r="AG570" s="36">
        <v>20</v>
      </c>
      <c r="AH570" s="36"/>
      <c r="AI570" s="36">
        <f t="shared" si="47"/>
        <v>1251100.4100000001</v>
      </c>
      <c r="AJ570" s="24"/>
      <c r="AK570" s="15" t="str">
        <f>'Gen Rev'!A570</f>
        <v>Shadyside</v>
      </c>
      <c r="AL570" s="15" t="str">
        <f t="shared" si="44"/>
        <v>Shadyside</v>
      </c>
      <c r="AM570" s="15" t="b">
        <f t="shared" si="45"/>
        <v>1</v>
      </c>
    </row>
    <row r="571" spans="1:39" s="31" customFormat="1" ht="12.75">
      <c r="A571" s="15" t="s">
        <v>187</v>
      </c>
      <c r="B571" s="15"/>
      <c r="C571" s="15" t="s">
        <v>433</v>
      </c>
      <c r="D571" s="15"/>
      <c r="E571" s="36">
        <v>85698.18</v>
      </c>
      <c r="F571" s="36"/>
      <c r="G571" s="36">
        <v>0</v>
      </c>
      <c r="H571" s="36"/>
      <c r="I571" s="36">
        <v>47266.14</v>
      </c>
      <c r="J571" s="36"/>
      <c r="K571" s="36">
        <v>0</v>
      </c>
      <c r="L571" s="36"/>
      <c r="M571" s="36">
        <v>13618.49</v>
      </c>
      <c r="N571" s="36"/>
      <c r="O571" s="36">
        <v>100</v>
      </c>
      <c r="P571" s="36"/>
      <c r="Q571" s="36">
        <v>2188.79</v>
      </c>
      <c r="R571" s="36"/>
      <c r="S571" s="36">
        <v>4996.05</v>
      </c>
      <c r="T571" s="36"/>
      <c r="U571" s="36">
        <v>0</v>
      </c>
      <c r="V571" s="36"/>
      <c r="W571" s="36">
        <v>0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v>122573.79</v>
      </c>
      <c r="AF571" s="36"/>
      <c r="AG571" s="36">
        <v>0</v>
      </c>
      <c r="AH571" s="36"/>
      <c r="AI571" s="36">
        <f t="shared" si="47"/>
        <v>276441.44</v>
      </c>
      <c r="AJ571" s="24"/>
      <c r="AK571" s="15" t="str">
        <f>'Gen Rev'!A571</f>
        <v>Shawnee</v>
      </c>
      <c r="AL571" s="15" t="str">
        <f t="shared" si="44"/>
        <v>Shawnee</v>
      </c>
      <c r="AM571" s="15" t="b">
        <f t="shared" si="45"/>
        <v>1</v>
      </c>
    </row>
    <row r="572" spans="1:42" s="31" customFormat="1" ht="12.6" customHeight="1">
      <c r="A572" s="15" t="s">
        <v>345</v>
      </c>
      <c r="B572" s="15"/>
      <c r="C572" s="15" t="s">
        <v>343</v>
      </c>
      <c r="D572" s="15"/>
      <c r="E572" s="36">
        <v>315198.99</v>
      </c>
      <c r="F572" s="36"/>
      <c r="G572" s="36">
        <v>374481.52</v>
      </c>
      <c r="H572" s="36"/>
      <c r="I572" s="36">
        <v>93919.25</v>
      </c>
      <c r="J572" s="36"/>
      <c r="K572" s="36">
        <v>300833.51</v>
      </c>
      <c r="L572" s="36"/>
      <c r="M572" s="36">
        <v>0</v>
      </c>
      <c r="N572" s="36"/>
      <c r="O572" s="36">
        <v>81292.45</v>
      </c>
      <c r="P572" s="36"/>
      <c r="Q572" s="36">
        <v>62.5</v>
      </c>
      <c r="R572" s="36"/>
      <c r="S572" s="36">
        <v>13532.63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0</v>
      </c>
      <c r="AD572" s="36"/>
      <c r="AE572" s="36">
        <v>260</v>
      </c>
      <c r="AF572" s="36"/>
      <c r="AG572" s="36">
        <v>0</v>
      </c>
      <c r="AH572" s="36"/>
      <c r="AI572" s="36">
        <f t="shared" si="47"/>
        <v>1179580.8499999999</v>
      </c>
      <c r="AJ572" s="24"/>
      <c r="AK572" s="15" t="str">
        <f>'Gen Rev'!A572</f>
        <v>Shawnee Hills</v>
      </c>
      <c r="AL572" s="15" t="str">
        <f t="shared" si="44"/>
        <v>Shawnee Hills</v>
      </c>
      <c r="AM572" s="15" t="b">
        <f t="shared" si="45"/>
        <v>1</v>
      </c>
      <c r="AN572" s="32"/>
      <c r="AO572" s="32"/>
      <c r="AP572" s="32"/>
    </row>
    <row r="573" spans="1:39" ht="12.75">
      <c r="A573" s="15" t="s">
        <v>452</v>
      </c>
      <c r="C573" s="15" t="s">
        <v>451</v>
      </c>
      <c r="E573" s="85">
        <v>578866.42</v>
      </c>
      <c r="F573" s="85"/>
      <c r="G573" s="85">
        <v>3440037.22</v>
      </c>
      <c r="H573" s="85"/>
      <c r="I573" s="85">
        <v>827524.73</v>
      </c>
      <c r="J573" s="85"/>
      <c r="K573" s="85">
        <v>260033.23</v>
      </c>
      <c r="L573" s="85"/>
      <c r="M573" s="85">
        <v>130873.91</v>
      </c>
      <c r="N573" s="85"/>
      <c r="O573" s="85">
        <v>584102.47</v>
      </c>
      <c r="P573" s="85"/>
      <c r="Q573" s="85">
        <v>579.48</v>
      </c>
      <c r="R573" s="85"/>
      <c r="S573" s="85">
        <v>85092.68</v>
      </c>
      <c r="T573" s="85"/>
      <c r="U573" s="85">
        <v>0</v>
      </c>
      <c r="V573" s="85"/>
      <c r="W573" s="85">
        <v>750032</v>
      </c>
      <c r="X573" s="85"/>
      <c r="Y573" s="85">
        <v>0</v>
      </c>
      <c r="Z573" s="85"/>
      <c r="AA573" s="85">
        <v>616217.71</v>
      </c>
      <c r="AB573" s="85"/>
      <c r="AC573" s="85">
        <v>0</v>
      </c>
      <c r="AD573" s="85"/>
      <c r="AE573" s="85">
        <v>0</v>
      </c>
      <c r="AF573" s="85"/>
      <c r="AG573" s="85">
        <v>0</v>
      </c>
      <c r="AH573" s="85"/>
      <c r="AI573" s="85">
        <f t="shared" si="46"/>
        <v>7273359.850000001</v>
      </c>
      <c r="AJ573" s="24"/>
      <c r="AK573" s="15" t="str">
        <f>'Gen Rev'!A573</f>
        <v>Sheffield</v>
      </c>
      <c r="AL573" s="15" t="str">
        <f t="shared" si="44"/>
        <v>Sheffield</v>
      </c>
      <c r="AM573" s="15" t="b">
        <f t="shared" si="45"/>
        <v>1</v>
      </c>
    </row>
    <row r="574" spans="1:39" ht="12.75">
      <c r="A574" s="15" t="s">
        <v>31</v>
      </c>
      <c r="C574" s="15" t="s">
        <v>753</v>
      </c>
      <c r="E574" s="95">
        <v>6228.11</v>
      </c>
      <c r="F574" s="95"/>
      <c r="G574" s="95">
        <v>19900.07</v>
      </c>
      <c r="H574" s="95"/>
      <c r="I574" s="95">
        <v>43133.69</v>
      </c>
      <c r="J574" s="95"/>
      <c r="K574" s="95">
        <v>0</v>
      </c>
      <c r="L574" s="95"/>
      <c r="M574" s="95">
        <v>13081.31</v>
      </c>
      <c r="N574" s="95"/>
      <c r="O574" s="95">
        <v>3465.67</v>
      </c>
      <c r="P574" s="95"/>
      <c r="Q574" s="95">
        <v>186.89</v>
      </c>
      <c r="R574" s="95"/>
      <c r="S574" s="95">
        <v>5425</v>
      </c>
      <c r="T574" s="95"/>
      <c r="U574" s="95">
        <v>0</v>
      </c>
      <c r="V574" s="95"/>
      <c r="W574" s="95">
        <v>0</v>
      </c>
      <c r="X574" s="95"/>
      <c r="Y574" s="95">
        <v>0</v>
      </c>
      <c r="Z574" s="95"/>
      <c r="AA574" s="95">
        <v>0</v>
      </c>
      <c r="AB574" s="95"/>
      <c r="AC574" s="95">
        <v>0</v>
      </c>
      <c r="AD574" s="95"/>
      <c r="AE574" s="95">
        <v>542.81</v>
      </c>
      <c r="AF574" s="95"/>
      <c r="AG574" s="95">
        <v>0</v>
      </c>
      <c r="AH574" s="95"/>
      <c r="AI574" s="95">
        <f>SUM(E574:AG574)</f>
        <v>91963.54999999999</v>
      </c>
      <c r="AJ574" s="24"/>
      <c r="AK574" s="15" t="str">
        <f>'Gen Rev'!A574</f>
        <v>Sherrodsville</v>
      </c>
      <c r="AL574" s="15" t="str">
        <f t="shared" si="44"/>
        <v>Sherrodsville</v>
      </c>
      <c r="AM574" s="15" t="b">
        <f t="shared" si="45"/>
        <v>1</v>
      </c>
    </row>
    <row r="575" spans="1:42" ht="12.75">
      <c r="A575" s="15" t="s">
        <v>56</v>
      </c>
      <c r="C575" s="15" t="s">
        <v>763</v>
      </c>
      <c r="E575" s="36">
        <v>47086.96</v>
      </c>
      <c r="F575" s="36"/>
      <c r="G575" s="36">
        <v>64533.18</v>
      </c>
      <c r="H575" s="36"/>
      <c r="I575" s="36">
        <v>129052.42</v>
      </c>
      <c r="J575" s="36"/>
      <c r="K575" s="36">
        <v>0</v>
      </c>
      <c r="L575" s="36"/>
      <c r="M575" s="36">
        <v>68599.25</v>
      </c>
      <c r="N575" s="36"/>
      <c r="O575" s="36">
        <v>8789.15</v>
      </c>
      <c r="P575" s="36"/>
      <c r="Q575" s="36">
        <v>1043.38</v>
      </c>
      <c r="R575" s="36"/>
      <c r="S575" s="36">
        <v>19661.2</v>
      </c>
      <c r="T575" s="36"/>
      <c r="U575" s="36">
        <v>0</v>
      </c>
      <c r="V575" s="36"/>
      <c r="W575" s="36">
        <v>0</v>
      </c>
      <c r="X575" s="36"/>
      <c r="Y575" s="36">
        <v>0</v>
      </c>
      <c r="Z575" s="36"/>
      <c r="AA575" s="36">
        <v>18981.24</v>
      </c>
      <c r="AB575" s="36"/>
      <c r="AC575" s="36">
        <v>0</v>
      </c>
      <c r="AD575" s="36"/>
      <c r="AE575" s="36">
        <v>0</v>
      </c>
      <c r="AF575" s="36"/>
      <c r="AG575" s="36">
        <v>0</v>
      </c>
      <c r="AH575" s="36"/>
      <c r="AI575" s="36">
        <f>SUM(E575:AG575)</f>
        <v>357746.78</v>
      </c>
      <c r="AJ575" s="24"/>
      <c r="AK575" s="15" t="str">
        <f>'Gen Rev'!A575</f>
        <v>Sherwood</v>
      </c>
      <c r="AL575" s="15" t="str">
        <f t="shared" si="44"/>
        <v>Sherwood</v>
      </c>
      <c r="AM575" s="15" t="b">
        <f t="shared" si="45"/>
        <v>1</v>
      </c>
      <c r="AN575" s="30"/>
      <c r="AO575" s="30"/>
      <c r="AP575" s="30"/>
    </row>
    <row r="576" spans="1:39" ht="12.75">
      <c r="A576" s="15" t="s">
        <v>523</v>
      </c>
      <c r="C576" s="15" t="s">
        <v>520</v>
      </c>
      <c r="E576" s="85">
        <v>33332</v>
      </c>
      <c r="F576" s="85"/>
      <c r="G576" s="85">
        <v>0</v>
      </c>
      <c r="H576" s="85"/>
      <c r="I576" s="85">
        <v>89967</v>
      </c>
      <c r="J576" s="85"/>
      <c r="K576" s="85">
        <v>0</v>
      </c>
      <c r="L576" s="85"/>
      <c r="M576" s="85">
        <v>0</v>
      </c>
      <c r="N576" s="85"/>
      <c r="O576" s="85">
        <v>10424</v>
      </c>
      <c r="P576" s="85"/>
      <c r="Q576" s="85">
        <v>5632</v>
      </c>
      <c r="R576" s="85"/>
      <c r="S576" s="85">
        <v>6291</v>
      </c>
      <c r="T576" s="85"/>
      <c r="U576" s="85">
        <v>0</v>
      </c>
      <c r="V576" s="85"/>
      <c r="W576" s="85">
        <v>0</v>
      </c>
      <c r="X576" s="85"/>
      <c r="Y576" s="85">
        <v>0</v>
      </c>
      <c r="Z576" s="85"/>
      <c r="AA576" s="85">
        <v>0</v>
      </c>
      <c r="AB576" s="85"/>
      <c r="AC576" s="85">
        <v>0</v>
      </c>
      <c r="AD576" s="85"/>
      <c r="AE576" s="85">
        <v>22376</v>
      </c>
      <c r="AF576" s="85"/>
      <c r="AG576" s="85">
        <v>0</v>
      </c>
      <c r="AH576" s="85"/>
      <c r="AI576" s="85">
        <f t="shared" si="46"/>
        <v>168022</v>
      </c>
      <c r="AJ576" s="24"/>
      <c r="AK576" s="15" t="str">
        <f>'Gen Rev'!A576</f>
        <v>Shiloh</v>
      </c>
      <c r="AL576" s="15" t="str">
        <f t="shared" si="44"/>
        <v>Shiloh</v>
      </c>
      <c r="AM576" s="15" t="b">
        <f t="shared" si="45"/>
        <v>1</v>
      </c>
    </row>
    <row r="577" spans="1:39" ht="12.75">
      <c r="A577" s="15" t="s">
        <v>913</v>
      </c>
      <c r="C577" s="15" t="s">
        <v>590</v>
      </c>
      <c r="E577" s="85">
        <v>40308.55</v>
      </c>
      <c r="F577" s="85"/>
      <c r="G577" s="85">
        <v>215053.27</v>
      </c>
      <c r="H577" s="85"/>
      <c r="I577" s="85">
        <v>151176.98</v>
      </c>
      <c r="J577" s="85"/>
      <c r="K577" s="85">
        <v>8513.21</v>
      </c>
      <c r="L577" s="85"/>
      <c r="M577" s="85">
        <v>65606.26</v>
      </c>
      <c r="N577" s="85"/>
      <c r="O577" s="85">
        <v>663</v>
      </c>
      <c r="P577" s="85"/>
      <c r="Q577" s="85">
        <v>365.02</v>
      </c>
      <c r="R577" s="85"/>
      <c r="S577" s="85">
        <v>26156.8</v>
      </c>
      <c r="T577" s="85"/>
      <c r="U577" s="85">
        <v>0</v>
      </c>
      <c r="V577" s="85"/>
      <c r="W577" s="85">
        <v>0</v>
      </c>
      <c r="X577" s="85"/>
      <c r="Y577" s="85">
        <v>0</v>
      </c>
      <c r="Z577" s="85"/>
      <c r="AA577" s="85">
        <v>42775</v>
      </c>
      <c r="AB577" s="85"/>
      <c r="AC577" s="85">
        <v>0</v>
      </c>
      <c r="AD577" s="85"/>
      <c r="AE577" s="85">
        <v>0</v>
      </c>
      <c r="AF577" s="85"/>
      <c r="AG577" s="85">
        <v>0</v>
      </c>
      <c r="AH577" s="85"/>
      <c r="AI577" s="85">
        <f t="shared" si="46"/>
        <v>550618.0900000001</v>
      </c>
      <c r="AJ577" s="24"/>
      <c r="AK577" s="15" t="str">
        <f>'Gen Rev'!A577</f>
        <v>Shreve</v>
      </c>
      <c r="AL577" s="15" t="str">
        <f t="shared" si="44"/>
        <v>Shreve</v>
      </c>
      <c r="AM577" s="15" t="b">
        <f t="shared" si="45"/>
        <v>1</v>
      </c>
    </row>
    <row r="578" spans="1:39" ht="12.75">
      <c r="A578" s="15" t="s">
        <v>556</v>
      </c>
      <c r="C578" s="15" t="s">
        <v>551</v>
      </c>
      <c r="E578" s="85">
        <v>1095580</v>
      </c>
      <c r="F578" s="85"/>
      <c r="G578" s="85">
        <v>485854</v>
      </c>
      <c r="H578" s="85"/>
      <c r="I578" s="85">
        <v>868988</v>
      </c>
      <c r="J578" s="85"/>
      <c r="K578" s="85">
        <v>19877</v>
      </c>
      <c r="L578" s="85"/>
      <c r="M578" s="85">
        <v>3302</v>
      </c>
      <c r="N578" s="85"/>
      <c r="O578" s="85">
        <v>57653</v>
      </c>
      <c r="P578" s="85"/>
      <c r="Q578" s="85">
        <v>2168</v>
      </c>
      <c r="R578" s="85"/>
      <c r="S578" s="85">
        <v>14492</v>
      </c>
      <c r="T578" s="85"/>
      <c r="U578" s="85">
        <v>0</v>
      </c>
      <c r="V578" s="85"/>
      <c r="W578" s="85">
        <v>0</v>
      </c>
      <c r="X578" s="85"/>
      <c r="Y578" s="85">
        <v>12598</v>
      </c>
      <c r="Z578" s="85"/>
      <c r="AA578" s="85">
        <v>315782</v>
      </c>
      <c r="AB578" s="85"/>
      <c r="AC578" s="85">
        <v>0</v>
      </c>
      <c r="AD578" s="85"/>
      <c r="AE578" s="85">
        <v>210222</v>
      </c>
      <c r="AF578" s="85"/>
      <c r="AG578" s="85">
        <v>0</v>
      </c>
      <c r="AH578" s="85"/>
      <c r="AI578" s="85">
        <f t="shared" si="46"/>
        <v>3086516</v>
      </c>
      <c r="AJ578" s="24"/>
      <c r="AK578" s="15" t="str">
        <f>'Gen Rev'!A578</f>
        <v>Silver Lake</v>
      </c>
      <c r="AL578" s="15" t="str">
        <f t="shared" si="44"/>
        <v>Silver Lake</v>
      </c>
      <c r="AM578" s="15" t="b">
        <f t="shared" si="45"/>
        <v>1</v>
      </c>
    </row>
    <row r="579" spans="1:39" ht="12.75">
      <c r="A579" s="15" t="s">
        <v>962</v>
      </c>
      <c r="C579" s="15" t="s">
        <v>378</v>
      </c>
      <c r="E579" s="85">
        <v>568299</v>
      </c>
      <c r="F579" s="85"/>
      <c r="G579" s="85">
        <v>1388693</v>
      </c>
      <c r="H579" s="85"/>
      <c r="I579" s="85">
        <v>566124</v>
      </c>
      <c r="J579" s="85"/>
      <c r="K579" s="85">
        <v>0</v>
      </c>
      <c r="L579" s="85"/>
      <c r="M579" s="85">
        <v>325257</v>
      </c>
      <c r="N579" s="85"/>
      <c r="O579" s="85">
        <v>125272</v>
      </c>
      <c r="P579" s="85"/>
      <c r="Q579" s="85">
        <v>13546</v>
      </c>
      <c r="R579" s="85"/>
      <c r="S579" s="85">
        <v>29505</v>
      </c>
      <c r="T579" s="85"/>
      <c r="U579" s="85">
        <v>0</v>
      </c>
      <c r="V579" s="85"/>
      <c r="W579" s="85">
        <v>0</v>
      </c>
      <c r="X579" s="85"/>
      <c r="Y579" s="85">
        <v>2313</v>
      </c>
      <c r="Z579" s="85"/>
      <c r="AA579" s="85">
        <v>466118</v>
      </c>
      <c r="AB579" s="85"/>
      <c r="AC579" s="85">
        <v>0</v>
      </c>
      <c r="AD579" s="85"/>
      <c r="AE579" s="85">
        <v>0</v>
      </c>
      <c r="AF579" s="85"/>
      <c r="AG579" s="85">
        <v>0</v>
      </c>
      <c r="AH579" s="85"/>
      <c r="AI579" s="85">
        <f t="shared" si="46"/>
        <v>3485127</v>
      </c>
      <c r="AJ579" s="24"/>
      <c r="AK579" s="15" t="str">
        <f>'Gen Rev'!A579</f>
        <v>Silverton</v>
      </c>
      <c r="AL579" s="15" t="str">
        <f t="shared" si="44"/>
        <v>Silverton</v>
      </c>
      <c r="AM579" s="15" t="b">
        <f t="shared" si="45"/>
        <v>1</v>
      </c>
    </row>
    <row r="580" spans="1:39" s="31" customFormat="1" ht="12.75">
      <c r="A580" s="15" t="s">
        <v>411</v>
      </c>
      <c r="B580" s="15"/>
      <c r="C580" s="15" t="s">
        <v>409</v>
      </c>
      <c r="D580" s="15"/>
      <c r="E580" s="85">
        <v>6845</v>
      </c>
      <c r="F580" s="85"/>
      <c r="G580" s="85">
        <v>0</v>
      </c>
      <c r="H580" s="85"/>
      <c r="I580" s="85">
        <f>22586+6882</f>
        <v>29468</v>
      </c>
      <c r="J580" s="85"/>
      <c r="K580" s="85">
        <v>65000</v>
      </c>
      <c r="L580" s="85"/>
      <c r="M580" s="85">
        <v>0</v>
      </c>
      <c r="N580" s="85"/>
      <c r="O580" s="85">
        <v>0</v>
      </c>
      <c r="P580" s="85"/>
      <c r="Q580" s="85">
        <v>0</v>
      </c>
      <c r="R580" s="85"/>
      <c r="S580" s="85">
        <f>172+106</f>
        <v>278</v>
      </c>
      <c r="T580" s="85"/>
      <c r="U580" s="85">
        <v>0</v>
      </c>
      <c r="V580" s="85"/>
      <c r="W580" s="85">
        <v>0</v>
      </c>
      <c r="X580" s="85"/>
      <c r="Y580" s="85">
        <v>0</v>
      </c>
      <c r="Z580" s="85"/>
      <c r="AA580" s="85">
        <v>0</v>
      </c>
      <c r="AB580" s="85"/>
      <c r="AC580" s="85">
        <v>0</v>
      </c>
      <c r="AD580" s="85"/>
      <c r="AE580" s="85">
        <v>0</v>
      </c>
      <c r="AF580" s="85"/>
      <c r="AG580" s="85">
        <v>0</v>
      </c>
      <c r="AH580" s="85"/>
      <c r="AI580" s="85">
        <f t="shared" si="46"/>
        <v>101591</v>
      </c>
      <c r="AJ580" s="24"/>
      <c r="AK580" s="15" t="str">
        <f>'Gen Rev'!A580</f>
        <v>Sinking Spring</v>
      </c>
      <c r="AL580" s="15" t="str">
        <f t="shared" si="44"/>
        <v>Sinking Spring</v>
      </c>
      <c r="AM580" s="15" t="b">
        <f t="shared" si="45"/>
        <v>1</v>
      </c>
    </row>
    <row r="581" spans="1:39" ht="12.75">
      <c r="A581" s="15" t="s">
        <v>596</v>
      </c>
      <c r="C581" s="15" t="s">
        <v>590</v>
      </c>
      <c r="D581" s="15" t="s">
        <v>894</v>
      </c>
      <c r="E581" s="85">
        <v>590754</v>
      </c>
      <c r="F581" s="85"/>
      <c r="G581" s="85">
        <v>0</v>
      </c>
      <c r="H581" s="85"/>
      <c r="I581" s="85">
        <f>111735+37170</f>
        <v>148905</v>
      </c>
      <c r="J581" s="85"/>
      <c r="K581" s="85">
        <v>0</v>
      </c>
      <c r="L581" s="85"/>
      <c r="M581" s="85">
        <v>3877</v>
      </c>
      <c r="N581" s="85"/>
      <c r="O581" s="85">
        <v>24508</v>
      </c>
      <c r="P581" s="85"/>
      <c r="Q581" s="85">
        <v>1059</v>
      </c>
      <c r="R581" s="85"/>
      <c r="S581" s="85">
        <v>8168</v>
      </c>
      <c r="T581" s="85"/>
      <c r="U581" s="85">
        <v>0</v>
      </c>
      <c r="V581" s="85"/>
      <c r="W581" s="85">
        <v>0</v>
      </c>
      <c r="X581" s="85"/>
      <c r="Y581" s="85">
        <v>0</v>
      </c>
      <c r="Z581" s="85"/>
      <c r="AA581" s="85">
        <v>131452</v>
      </c>
      <c r="AB581" s="85"/>
      <c r="AC581" s="85">
        <v>0</v>
      </c>
      <c r="AD581" s="85"/>
      <c r="AE581" s="85">
        <v>0</v>
      </c>
      <c r="AF581" s="85"/>
      <c r="AG581" s="85">
        <v>0</v>
      </c>
      <c r="AH581" s="85"/>
      <c r="AI581" s="85">
        <f t="shared" si="46"/>
        <v>908723</v>
      </c>
      <c r="AJ581" s="24"/>
      <c r="AK581" s="15" t="str">
        <f>'Gen Rev'!A581</f>
        <v>Smithville</v>
      </c>
      <c r="AL581" s="15" t="str">
        <f t="shared" si="44"/>
        <v>Smithville</v>
      </c>
      <c r="AM581" s="15" t="b">
        <f t="shared" si="45"/>
        <v>1</v>
      </c>
    </row>
    <row r="582" spans="1:39" ht="12.75">
      <c r="A582" s="15" t="s">
        <v>503</v>
      </c>
      <c r="C582" s="15" t="s">
        <v>501</v>
      </c>
      <c r="E582" s="85">
        <v>165454.49</v>
      </c>
      <c r="F582" s="85"/>
      <c r="G582" s="85">
        <v>0</v>
      </c>
      <c r="H582" s="85"/>
      <c r="I582" s="85">
        <v>109708.77</v>
      </c>
      <c r="J582" s="85"/>
      <c r="K582" s="85">
        <v>0</v>
      </c>
      <c r="L582" s="85"/>
      <c r="M582" s="85">
        <v>14138.5</v>
      </c>
      <c r="N582" s="85"/>
      <c r="O582" s="85">
        <v>8016</v>
      </c>
      <c r="P582" s="85"/>
      <c r="Q582" s="85">
        <v>658.7</v>
      </c>
      <c r="R582" s="85"/>
      <c r="S582" s="85">
        <v>12890.57</v>
      </c>
      <c r="T582" s="85"/>
      <c r="U582" s="85">
        <v>0</v>
      </c>
      <c r="V582" s="85"/>
      <c r="W582" s="85">
        <v>0</v>
      </c>
      <c r="X582" s="85"/>
      <c r="Y582" s="85">
        <v>0</v>
      </c>
      <c r="Z582" s="85"/>
      <c r="AA582" s="85">
        <v>0</v>
      </c>
      <c r="AB582" s="85"/>
      <c r="AC582" s="85">
        <v>0</v>
      </c>
      <c r="AD582" s="85"/>
      <c r="AE582" s="85">
        <v>11141.29</v>
      </c>
      <c r="AF582" s="85"/>
      <c r="AG582" s="85">
        <v>0</v>
      </c>
      <c r="AH582" s="85"/>
      <c r="AI582" s="85">
        <f t="shared" si="46"/>
        <v>322008.32</v>
      </c>
      <c r="AJ582" s="24"/>
      <c r="AK582" s="15" t="str">
        <f>'Gen Rev'!A582</f>
        <v>Somerset</v>
      </c>
      <c r="AL582" s="15" t="str">
        <f t="shared" si="44"/>
        <v>Somerset</v>
      </c>
      <c r="AM582" s="15" t="b">
        <f t="shared" si="45"/>
        <v>1</v>
      </c>
    </row>
    <row r="583" spans="1:39" ht="12.75">
      <c r="A583" s="15" t="s">
        <v>955</v>
      </c>
      <c r="C583" s="15" t="s">
        <v>519</v>
      </c>
      <c r="E583" s="36">
        <v>10309.9</v>
      </c>
      <c r="F583" s="36"/>
      <c r="G583" s="36">
        <v>0</v>
      </c>
      <c r="H583" s="36"/>
      <c r="I583" s="36">
        <v>27241.36</v>
      </c>
      <c r="J583" s="36"/>
      <c r="K583" s="36">
        <v>0</v>
      </c>
      <c r="L583" s="36"/>
      <c r="M583" s="36">
        <v>1750</v>
      </c>
      <c r="N583" s="36"/>
      <c r="O583" s="36">
        <v>1509.26</v>
      </c>
      <c r="P583" s="36"/>
      <c r="Q583" s="36">
        <v>209.55</v>
      </c>
      <c r="R583" s="36"/>
      <c r="S583" s="36">
        <v>2471</v>
      </c>
      <c r="T583" s="36"/>
      <c r="U583" s="36">
        <v>0</v>
      </c>
      <c r="V583" s="36"/>
      <c r="W583" s="36">
        <v>0</v>
      </c>
      <c r="X583" s="36"/>
      <c r="Y583" s="36">
        <v>0</v>
      </c>
      <c r="Z583" s="36"/>
      <c r="AA583" s="36">
        <v>0</v>
      </c>
      <c r="AB583" s="36"/>
      <c r="AC583" s="36">
        <v>0</v>
      </c>
      <c r="AD583" s="36"/>
      <c r="AE583" s="36">
        <v>0</v>
      </c>
      <c r="AF583" s="36"/>
      <c r="AG583" s="36">
        <v>0</v>
      </c>
      <c r="AH583" s="36"/>
      <c r="AI583" s="36">
        <f>SUM(E583:AG583)</f>
        <v>43491.07000000001</v>
      </c>
      <c r="AJ583" s="24"/>
      <c r="AK583" s="15" t="str">
        <f>'Gen Rev'!A583</f>
        <v>Somerville</v>
      </c>
      <c r="AL583" s="15" t="str">
        <f t="shared" si="44"/>
        <v>Somerville</v>
      </c>
      <c r="AM583" s="15" t="b">
        <f t="shared" si="45"/>
        <v>1</v>
      </c>
    </row>
    <row r="584" spans="1:39" ht="12.75" hidden="1">
      <c r="A584" s="15" t="s">
        <v>915</v>
      </c>
      <c r="C584" s="15" t="s">
        <v>451</v>
      </c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>
        <f t="shared" si="46"/>
        <v>0</v>
      </c>
      <c r="AJ584" s="24"/>
      <c r="AK584" s="15" t="str">
        <f>'Gen Rev'!A584</f>
        <v>South Amherst</v>
      </c>
      <c r="AL584" s="15" t="str">
        <f t="shared" si="44"/>
        <v>South Amherst</v>
      </c>
      <c r="AM584" s="15" t="b">
        <f t="shared" si="45"/>
        <v>1</v>
      </c>
    </row>
    <row r="585" spans="1:39" ht="12.75">
      <c r="A585" s="15" t="s">
        <v>268</v>
      </c>
      <c r="C585" s="15" t="s">
        <v>804</v>
      </c>
      <c r="E585" s="36">
        <v>70068.31</v>
      </c>
      <c r="F585" s="36"/>
      <c r="G585" s="36">
        <v>244906.44</v>
      </c>
      <c r="H585" s="36"/>
      <c r="I585" s="36">
        <v>205000.53</v>
      </c>
      <c r="J585" s="36"/>
      <c r="K585" s="36">
        <v>3309.3</v>
      </c>
      <c r="L585" s="36"/>
      <c r="M585" s="36">
        <v>145507.66</v>
      </c>
      <c r="N585" s="36"/>
      <c r="O585" s="36">
        <v>90951.6</v>
      </c>
      <c r="P585" s="36"/>
      <c r="Q585" s="36">
        <v>639.1</v>
      </c>
      <c r="R585" s="36"/>
      <c r="S585" s="36">
        <v>7835.22</v>
      </c>
      <c r="T585" s="36"/>
      <c r="U585" s="36">
        <v>0</v>
      </c>
      <c r="V585" s="36"/>
      <c r="W585" s="36">
        <v>0</v>
      </c>
      <c r="X585" s="36"/>
      <c r="Y585" s="36">
        <v>0</v>
      </c>
      <c r="Z585" s="36"/>
      <c r="AA585" s="36">
        <v>0</v>
      </c>
      <c r="AB585" s="36"/>
      <c r="AC585" s="36">
        <v>0</v>
      </c>
      <c r="AD585" s="36"/>
      <c r="AE585" s="36">
        <v>2913.06</v>
      </c>
      <c r="AF585" s="36"/>
      <c r="AG585" s="36">
        <v>0</v>
      </c>
      <c r="AH585" s="36"/>
      <c r="AI585" s="36">
        <f>SUM(E585:AG585)</f>
        <v>771131.22</v>
      </c>
      <c r="AJ585" s="24"/>
      <c r="AK585" s="15" t="str">
        <f>'Gen Rev'!A585</f>
        <v>South Bloomfield</v>
      </c>
      <c r="AL585" s="15" t="str">
        <f t="shared" si="44"/>
        <v>South Bloomfield</v>
      </c>
      <c r="AM585" s="15" t="b">
        <f t="shared" si="45"/>
        <v>1</v>
      </c>
    </row>
    <row r="586" spans="1:39" ht="12.75">
      <c r="A586" s="15" t="s">
        <v>834</v>
      </c>
      <c r="C586" s="15" t="s">
        <v>755</v>
      </c>
      <c r="E586" s="36">
        <v>73343.05</v>
      </c>
      <c r="F586" s="36"/>
      <c r="G586" s="36">
        <v>414303.42</v>
      </c>
      <c r="H586" s="36"/>
      <c r="I586" s="36">
        <v>129880.22</v>
      </c>
      <c r="J586" s="36"/>
      <c r="K586" s="36">
        <v>0</v>
      </c>
      <c r="L586" s="36"/>
      <c r="M586" s="36">
        <v>17527.6</v>
      </c>
      <c r="N586" s="36"/>
      <c r="O586" s="36">
        <v>54594.46</v>
      </c>
      <c r="P586" s="36"/>
      <c r="Q586" s="36">
        <v>703.13</v>
      </c>
      <c r="R586" s="36"/>
      <c r="S586" s="36">
        <v>10978.51</v>
      </c>
      <c r="T586" s="36"/>
      <c r="U586" s="36">
        <v>0</v>
      </c>
      <c r="V586" s="36"/>
      <c r="W586" s="36">
        <v>0</v>
      </c>
      <c r="X586" s="36"/>
      <c r="Y586" s="36">
        <v>4527.87</v>
      </c>
      <c r="Z586" s="36"/>
      <c r="AA586" s="36">
        <v>0</v>
      </c>
      <c r="AB586" s="36"/>
      <c r="AC586" s="36">
        <v>0</v>
      </c>
      <c r="AD586" s="36"/>
      <c r="AE586" s="36">
        <v>0</v>
      </c>
      <c r="AF586" s="36"/>
      <c r="AG586" s="36">
        <v>0</v>
      </c>
      <c r="AH586" s="36"/>
      <c r="AI586" s="36">
        <f>SUM(E586:AG586)</f>
        <v>705858.2599999999</v>
      </c>
      <c r="AJ586" s="24"/>
      <c r="AK586" s="15" t="str">
        <f>'Gen Rev'!A586</f>
        <v>South Charleston</v>
      </c>
      <c r="AL586" s="15" t="str">
        <f t="shared" si="44"/>
        <v>South Charleston</v>
      </c>
      <c r="AM586" s="15" t="b">
        <f t="shared" si="45"/>
        <v>1</v>
      </c>
    </row>
    <row r="587" spans="1:39" ht="12.75">
      <c r="A587" s="15" t="s">
        <v>584</v>
      </c>
      <c r="C587" s="15" t="s">
        <v>583</v>
      </c>
      <c r="E587" s="96">
        <v>151439.91</v>
      </c>
      <c r="F587" s="96"/>
      <c r="G587" s="96">
        <v>1008055.98</v>
      </c>
      <c r="H587" s="96"/>
      <c r="I587" s="96">
        <v>210492.4</v>
      </c>
      <c r="J587" s="96"/>
      <c r="K587" s="96">
        <v>250611.93</v>
      </c>
      <c r="L587" s="96"/>
      <c r="M587" s="96">
        <v>17650</v>
      </c>
      <c r="N587" s="96"/>
      <c r="O587" s="96">
        <v>133409.04</v>
      </c>
      <c r="P587" s="96"/>
      <c r="Q587" s="96">
        <v>2353.21</v>
      </c>
      <c r="R587" s="96"/>
      <c r="S587" s="96">
        <v>107537.03</v>
      </c>
      <c r="T587" s="96"/>
      <c r="U587" s="96">
        <v>0</v>
      </c>
      <c r="V587" s="96"/>
      <c r="W587" s="96">
        <v>0</v>
      </c>
      <c r="X587" s="96"/>
      <c r="Y587" s="96">
        <v>0</v>
      </c>
      <c r="Z587" s="96"/>
      <c r="AA587" s="96">
        <v>0</v>
      </c>
      <c r="AB587" s="96"/>
      <c r="AC587" s="96">
        <v>0</v>
      </c>
      <c r="AD587" s="96"/>
      <c r="AE587" s="96">
        <v>0</v>
      </c>
      <c r="AF587" s="96"/>
      <c r="AG587" s="96">
        <v>0</v>
      </c>
      <c r="AH587" s="96"/>
      <c r="AI587" s="96">
        <f>SUM(E587:AG587)</f>
        <v>1881549.4999999998</v>
      </c>
      <c r="AJ587" s="39"/>
      <c r="AK587" s="15" t="str">
        <f>'Gen Rev'!A587</f>
        <v>South Lebanon</v>
      </c>
      <c r="AL587" s="15" t="str">
        <f t="shared" si="44"/>
        <v>South Lebanon</v>
      </c>
      <c r="AM587" s="15" t="b">
        <f t="shared" si="45"/>
        <v>1</v>
      </c>
    </row>
    <row r="588" spans="1:39" s="31" customFormat="1" ht="12.75">
      <c r="A588" s="15" t="s">
        <v>128</v>
      </c>
      <c r="B588" s="15"/>
      <c r="C588" s="15" t="s">
        <v>784</v>
      </c>
      <c r="D588" s="15"/>
      <c r="E588" s="36">
        <v>262395.73</v>
      </c>
      <c r="F588" s="36"/>
      <c r="G588" s="36">
        <v>0</v>
      </c>
      <c r="H588" s="36"/>
      <c r="I588" s="36">
        <v>731708.77</v>
      </c>
      <c r="J588" s="36"/>
      <c r="K588" s="36">
        <v>2673.6</v>
      </c>
      <c r="L588" s="36"/>
      <c r="M588" s="36">
        <v>4000</v>
      </c>
      <c r="N588" s="36"/>
      <c r="O588" s="36">
        <v>113178.9</v>
      </c>
      <c r="P588" s="36"/>
      <c r="Q588" s="36">
        <v>0</v>
      </c>
      <c r="R588" s="36"/>
      <c r="S588" s="36">
        <v>23755.77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76187.28</v>
      </c>
      <c r="AB588" s="36"/>
      <c r="AC588" s="36">
        <v>0</v>
      </c>
      <c r="AD588" s="36"/>
      <c r="AE588" s="36">
        <v>0</v>
      </c>
      <c r="AF588" s="36"/>
      <c r="AG588" s="36">
        <v>0</v>
      </c>
      <c r="AH588" s="36"/>
      <c r="AI588" s="36">
        <f>SUM(E588:AG588)</f>
        <v>1213900.05</v>
      </c>
      <c r="AJ588" s="24"/>
      <c r="AK588" s="15" t="str">
        <f>'Gen Rev'!A588</f>
        <v>South Point</v>
      </c>
      <c r="AL588" s="15" t="str">
        <f t="shared" si="44"/>
        <v>South Point</v>
      </c>
      <c r="AM588" s="15" t="b">
        <f t="shared" si="45"/>
        <v>1</v>
      </c>
    </row>
    <row r="589" spans="1:39" ht="12.75">
      <c r="A589" s="15" t="s">
        <v>369</v>
      </c>
      <c r="C589" s="15" t="s">
        <v>368</v>
      </c>
      <c r="E589" s="85">
        <v>1008390</v>
      </c>
      <c r="F589" s="85"/>
      <c r="G589" s="85">
        <v>1244343</v>
      </c>
      <c r="H589" s="85"/>
      <c r="I589" s="85">
        <v>602000</v>
      </c>
      <c r="J589" s="85"/>
      <c r="K589" s="85">
        <v>0</v>
      </c>
      <c r="L589" s="85"/>
      <c r="M589" s="85">
        <v>70861</v>
      </c>
      <c r="N589" s="85"/>
      <c r="O589" s="85">
        <v>76195</v>
      </c>
      <c r="P589" s="85"/>
      <c r="Q589" s="85">
        <v>703</v>
      </c>
      <c r="R589" s="85"/>
      <c r="S589" s="85">
        <v>100152</v>
      </c>
      <c r="T589" s="85"/>
      <c r="U589" s="85">
        <v>0</v>
      </c>
      <c r="V589" s="85"/>
      <c r="W589" s="85">
        <v>0</v>
      </c>
      <c r="X589" s="85"/>
      <c r="Y589" s="85">
        <v>0</v>
      </c>
      <c r="Z589" s="85"/>
      <c r="AA589" s="85">
        <v>1163854</v>
      </c>
      <c r="AB589" s="85"/>
      <c r="AC589" s="85">
        <v>0</v>
      </c>
      <c r="AD589" s="85"/>
      <c r="AE589" s="85">
        <v>0</v>
      </c>
      <c r="AF589" s="85"/>
      <c r="AG589" s="85">
        <v>0</v>
      </c>
      <c r="AH589" s="85"/>
      <c r="AI589" s="85">
        <f t="shared" si="46"/>
        <v>4266498</v>
      </c>
      <c r="AJ589" s="24"/>
      <c r="AK589" s="15" t="str">
        <f>'Gen Rev'!A589</f>
        <v>South Russell</v>
      </c>
      <c r="AL589" s="15" t="str">
        <f t="shared" si="44"/>
        <v>South Russell</v>
      </c>
      <c r="AM589" s="15" t="b">
        <f t="shared" si="45"/>
        <v>1</v>
      </c>
    </row>
    <row r="590" spans="1:39" ht="12.75">
      <c r="A590" s="15" t="s">
        <v>524</v>
      </c>
      <c r="C590" s="15" t="s">
        <v>525</v>
      </c>
      <c r="E590" s="95">
        <v>1597.75</v>
      </c>
      <c r="F590" s="95"/>
      <c r="G590" s="95">
        <v>0</v>
      </c>
      <c r="H590" s="95"/>
      <c r="I590" s="95">
        <v>33913.97</v>
      </c>
      <c r="J590" s="95"/>
      <c r="K590" s="95">
        <v>0</v>
      </c>
      <c r="L590" s="95"/>
      <c r="M590" s="95">
        <v>1445</v>
      </c>
      <c r="N590" s="95"/>
      <c r="O590" s="95">
        <v>300</v>
      </c>
      <c r="P590" s="95"/>
      <c r="Q590" s="95">
        <v>826.29</v>
      </c>
      <c r="R590" s="95"/>
      <c r="S590" s="95">
        <v>0</v>
      </c>
      <c r="T590" s="95"/>
      <c r="U590" s="95">
        <v>0</v>
      </c>
      <c r="V590" s="95"/>
      <c r="W590" s="95">
        <v>0</v>
      </c>
      <c r="X590" s="95"/>
      <c r="Y590" s="95">
        <v>0</v>
      </c>
      <c r="Z590" s="95"/>
      <c r="AA590" s="95">
        <v>0</v>
      </c>
      <c r="AB590" s="95"/>
      <c r="AC590" s="95">
        <v>0</v>
      </c>
      <c r="AD590" s="95"/>
      <c r="AE590" s="95">
        <v>0</v>
      </c>
      <c r="AF590" s="95"/>
      <c r="AG590" s="95">
        <v>0</v>
      </c>
      <c r="AH590" s="95"/>
      <c r="AI590" s="95">
        <f aca="true" t="shared" si="48" ref="AI590:AI597">SUM(E590:AG590)</f>
        <v>38083.01</v>
      </c>
      <c r="AJ590" s="24"/>
      <c r="AK590" s="15" t="str">
        <f>'Gen Rev'!A590</f>
        <v>South Salem</v>
      </c>
      <c r="AL590" s="15" t="str">
        <f aca="true" t="shared" si="49" ref="AL590:AL655">A590</f>
        <v>South Salem</v>
      </c>
      <c r="AM590" s="15" t="b">
        <f aca="true" t="shared" si="50" ref="AM590:AM655">AK590=AL590</f>
        <v>1</v>
      </c>
    </row>
    <row r="591" spans="1:39" ht="12.75">
      <c r="A591" s="15" t="s">
        <v>142</v>
      </c>
      <c r="C591" s="15" t="s">
        <v>789</v>
      </c>
      <c r="E591" s="36">
        <v>9680.8</v>
      </c>
      <c r="F591" s="36"/>
      <c r="G591" s="36">
        <v>3491.13</v>
      </c>
      <c r="H591" s="36"/>
      <c r="I591" s="36">
        <v>53732.6</v>
      </c>
      <c r="J591" s="36"/>
      <c r="K591" s="36">
        <v>132876.84</v>
      </c>
      <c r="L591" s="36"/>
      <c r="M591" s="36">
        <v>55</v>
      </c>
      <c r="N591" s="36"/>
      <c r="O591" s="36">
        <v>0</v>
      </c>
      <c r="P591" s="36"/>
      <c r="Q591" s="36">
        <v>107.94</v>
      </c>
      <c r="R591" s="36"/>
      <c r="S591" s="36">
        <v>15789.62</v>
      </c>
      <c r="T591" s="36"/>
      <c r="U591" s="36">
        <v>0</v>
      </c>
      <c r="V591" s="36"/>
      <c r="W591" s="36">
        <v>0</v>
      </c>
      <c r="X591" s="36"/>
      <c r="Y591" s="36">
        <v>0</v>
      </c>
      <c r="Z591" s="36"/>
      <c r="AA591" s="36">
        <v>0</v>
      </c>
      <c r="AB591" s="36"/>
      <c r="AC591" s="36">
        <v>0</v>
      </c>
      <c r="AD591" s="36"/>
      <c r="AE591" s="36">
        <v>0</v>
      </c>
      <c r="AF591" s="36"/>
      <c r="AG591" s="36">
        <v>0</v>
      </c>
      <c r="AH591" s="36"/>
      <c r="AI591" s="36">
        <f t="shared" si="48"/>
        <v>215733.93</v>
      </c>
      <c r="AJ591" s="24"/>
      <c r="AK591" s="15" t="str">
        <f>'Gen Rev'!A591</f>
        <v>South Solon</v>
      </c>
      <c r="AL591" s="15" t="str">
        <f t="shared" si="49"/>
        <v>South Solon</v>
      </c>
      <c r="AM591" s="15" t="b">
        <f t="shared" si="50"/>
        <v>1</v>
      </c>
    </row>
    <row r="592" spans="1:39" ht="12.75">
      <c r="A592" s="15" t="s">
        <v>35</v>
      </c>
      <c r="C592" s="15" t="s">
        <v>755</v>
      </c>
      <c r="E592" s="36">
        <v>35531.81</v>
      </c>
      <c r="F592" s="36"/>
      <c r="G592" s="36">
        <v>0</v>
      </c>
      <c r="H592" s="36"/>
      <c r="I592" s="36">
        <v>32562.33</v>
      </c>
      <c r="J592" s="36"/>
      <c r="K592" s="36">
        <v>0</v>
      </c>
      <c r="L592" s="36"/>
      <c r="M592" s="36">
        <v>3167.4</v>
      </c>
      <c r="N592" s="36"/>
      <c r="O592" s="36">
        <v>15487.82</v>
      </c>
      <c r="P592" s="36"/>
      <c r="Q592" s="36">
        <v>5355.68</v>
      </c>
      <c r="R592" s="36"/>
      <c r="S592" s="36">
        <v>7408.1</v>
      </c>
      <c r="T592" s="36"/>
      <c r="U592" s="36">
        <v>0</v>
      </c>
      <c r="V592" s="36"/>
      <c r="W592" s="36">
        <v>0</v>
      </c>
      <c r="X592" s="36"/>
      <c r="Y592" s="36">
        <v>0</v>
      </c>
      <c r="Z592" s="36"/>
      <c r="AA592" s="36">
        <v>150000</v>
      </c>
      <c r="AB592" s="36"/>
      <c r="AC592" s="36">
        <v>0</v>
      </c>
      <c r="AD592" s="36"/>
      <c r="AE592" s="36">
        <v>0</v>
      </c>
      <c r="AF592" s="36"/>
      <c r="AG592" s="36">
        <v>0</v>
      </c>
      <c r="AH592" s="36"/>
      <c r="AI592" s="36">
        <f t="shared" si="48"/>
        <v>249513.13999999998</v>
      </c>
      <c r="AJ592" s="24"/>
      <c r="AK592" s="15" t="str">
        <f>'Gen Rev'!A592</f>
        <v>South Vienna</v>
      </c>
      <c r="AL592" s="15" t="str">
        <f t="shared" si="49"/>
        <v>South Vienna</v>
      </c>
      <c r="AM592" s="15" t="b">
        <f t="shared" si="50"/>
        <v>1</v>
      </c>
    </row>
    <row r="593" spans="1:39" ht="12.75">
      <c r="A593" s="15" t="s">
        <v>217</v>
      </c>
      <c r="C593" s="15" t="s">
        <v>812</v>
      </c>
      <c r="E593" s="36">
        <v>35795.72</v>
      </c>
      <c r="F593" s="36"/>
      <c r="G593" s="36">
        <v>0</v>
      </c>
      <c r="H593" s="36"/>
      <c r="I593" s="36">
        <v>42472.11</v>
      </c>
      <c r="J593" s="36"/>
      <c r="K593" s="36">
        <v>0</v>
      </c>
      <c r="L593" s="36"/>
      <c r="M593" s="36">
        <v>3300</v>
      </c>
      <c r="N593" s="36"/>
      <c r="O593" s="36">
        <v>662.25</v>
      </c>
      <c r="P593" s="36"/>
      <c r="Q593" s="36">
        <v>296.42</v>
      </c>
      <c r="R593" s="36"/>
      <c r="S593" s="36">
        <v>39.55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v>0</v>
      </c>
      <c r="AF593" s="36"/>
      <c r="AG593" s="36">
        <v>0</v>
      </c>
      <c r="AH593" s="36"/>
      <c r="AI593" s="36">
        <f t="shared" si="48"/>
        <v>82566.05</v>
      </c>
      <c r="AJ593" s="24"/>
      <c r="AK593" s="15" t="str">
        <f>'Gen Rev'!A593</f>
        <v>South Webster</v>
      </c>
      <c r="AL593" s="15" t="str">
        <f t="shared" si="49"/>
        <v>South Webster</v>
      </c>
      <c r="AM593" s="15" t="b">
        <f t="shared" si="50"/>
        <v>1</v>
      </c>
    </row>
    <row r="594" spans="1:39" ht="12.75">
      <c r="A594" s="15" t="s">
        <v>840</v>
      </c>
      <c r="C594" s="15" t="s">
        <v>799</v>
      </c>
      <c r="E594" s="36">
        <v>11402.52</v>
      </c>
      <c r="F594" s="36"/>
      <c r="G594" s="36">
        <v>0</v>
      </c>
      <c r="H594" s="36"/>
      <c r="I594" s="36">
        <v>18386.4</v>
      </c>
      <c r="J594" s="36"/>
      <c r="K594" s="36">
        <v>0</v>
      </c>
      <c r="L594" s="36"/>
      <c r="M594" s="36">
        <v>0</v>
      </c>
      <c r="N594" s="36"/>
      <c r="O594" s="36">
        <v>1301.68</v>
      </c>
      <c r="P594" s="36"/>
      <c r="Q594" s="36">
        <v>78.72</v>
      </c>
      <c r="R594" s="36"/>
      <c r="S594" s="36">
        <v>556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v>0</v>
      </c>
      <c r="AF594" s="36"/>
      <c r="AG594" s="36">
        <v>430</v>
      </c>
      <c r="AH594" s="36"/>
      <c r="AI594" s="36">
        <f t="shared" si="48"/>
        <v>32155.320000000003</v>
      </c>
      <c r="AJ594" s="24"/>
      <c r="AK594" s="15" t="str">
        <f>'Gen Rev'!A594</f>
        <v>Sparta</v>
      </c>
      <c r="AL594" s="15" t="str">
        <f t="shared" si="49"/>
        <v>Sparta</v>
      </c>
      <c r="AM594" s="15" t="b">
        <f t="shared" si="50"/>
        <v>1</v>
      </c>
    </row>
    <row r="595" spans="1:39" ht="12.75">
      <c r="A595" s="15" t="s">
        <v>856</v>
      </c>
      <c r="C595" s="15" t="s">
        <v>792</v>
      </c>
      <c r="E595" s="36">
        <v>105704.72</v>
      </c>
      <c r="F595" s="36"/>
      <c r="G595" s="36">
        <v>0</v>
      </c>
      <c r="H595" s="36"/>
      <c r="I595" s="36">
        <v>185218.27</v>
      </c>
      <c r="J595" s="36"/>
      <c r="K595" s="36">
        <v>553.86</v>
      </c>
      <c r="L595" s="36"/>
      <c r="M595" s="36">
        <v>0</v>
      </c>
      <c r="N595" s="36"/>
      <c r="O595" s="36">
        <v>23140.86</v>
      </c>
      <c r="P595" s="36"/>
      <c r="Q595" s="36">
        <v>2218.65</v>
      </c>
      <c r="R595" s="36"/>
      <c r="S595" s="36">
        <v>304006.01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150000</v>
      </c>
      <c r="AB595" s="36"/>
      <c r="AC595" s="36">
        <v>7231</v>
      </c>
      <c r="AD595" s="36"/>
      <c r="AE595" s="36">
        <v>13791.26</v>
      </c>
      <c r="AF595" s="36"/>
      <c r="AG595" s="36">
        <v>0</v>
      </c>
      <c r="AH595" s="36"/>
      <c r="AI595" s="36">
        <f t="shared" si="48"/>
        <v>791864.63</v>
      </c>
      <c r="AJ595" s="24"/>
      <c r="AK595" s="15" t="str">
        <f>'Gen Rev'!A595</f>
        <v>Spencer</v>
      </c>
      <c r="AL595" s="15" t="str">
        <f t="shared" si="49"/>
        <v>Spencer</v>
      </c>
      <c r="AM595" s="15" t="b">
        <f t="shared" si="50"/>
        <v>1</v>
      </c>
    </row>
    <row r="596" spans="1:39" ht="12.75">
      <c r="A596" s="15" t="s">
        <v>6</v>
      </c>
      <c r="C596" s="15" t="s">
        <v>746</v>
      </c>
      <c r="E596" s="36">
        <v>117997.66</v>
      </c>
      <c r="F596" s="36"/>
      <c r="G596" s="36">
        <v>393051.46</v>
      </c>
      <c r="H596" s="36"/>
      <c r="I596" s="36">
        <v>357413.99</v>
      </c>
      <c r="J596" s="36"/>
      <c r="K596" s="36">
        <v>8019.3</v>
      </c>
      <c r="L596" s="36"/>
      <c r="M596" s="36">
        <v>990</v>
      </c>
      <c r="N596" s="36"/>
      <c r="O596" s="36">
        <v>23359.19</v>
      </c>
      <c r="P596" s="36"/>
      <c r="Q596" s="36">
        <v>958.03</v>
      </c>
      <c r="R596" s="36"/>
      <c r="S596" s="36">
        <v>4947.14</v>
      </c>
      <c r="T596" s="36"/>
      <c r="U596" s="36">
        <v>0</v>
      </c>
      <c r="V596" s="36"/>
      <c r="W596" s="36">
        <v>0</v>
      </c>
      <c r="X596" s="36"/>
      <c r="Y596" s="36">
        <v>0</v>
      </c>
      <c r="Z596" s="36"/>
      <c r="AA596" s="36">
        <v>541782.98</v>
      </c>
      <c r="AB596" s="36"/>
      <c r="AC596" s="36">
        <v>0</v>
      </c>
      <c r="AD596" s="36"/>
      <c r="AE596" s="36">
        <v>0</v>
      </c>
      <c r="AF596" s="36"/>
      <c r="AG596" s="36">
        <v>0</v>
      </c>
      <c r="AH596" s="36"/>
      <c r="AI596" s="36">
        <f t="shared" si="48"/>
        <v>1448519.75</v>
      </c>
      <c r="AJ596" s="24"/>
      <c r="AK596" s="15" t="str">
        <f>'Gen Rev'!A596</f>
        <v>Spencerville</v>
      </c>
      <c r="AL596" s="15" t="str">
        <f t="shared" si="49"/>
        <v>Spencerville</v>
      </c>
      <c r="AM596" s="15" t="b">
        <f t="shared" si="50"/>
        <v>1</v>
      </c>
    </row>
    <row r="597" spans="1:39" s="31" customFormat="1" ht="12.75">
      <c r="A597" s="15" t="s">
        <v>85</v>
      </c>
      <c r="B597" s="15"/>
      <c r="C597" s="15" t="s">
        <v>771</v>
      </c>
      <c r="D597" s="15"/>
      <c r="E597" s="36">
        <v>42551.8</v>
      </c>
      <c r="F597" s="36"/>
      <c r="G597" s="36">
        <v>0</v>
      </c>
      <c r="H597" s="36"/>
      <c r="I597" s="36">
        <v>62183.2</v>
      </c>
      <c r="J597" s="36"/>
      <c r="K597" s="36">
        <v>0</v>
      </c>
      <c r="L597" s="36"/>
      <c r="M597" s="36">
        <v>6240</v>
      </c>
      <c r="N597" s="36"/>
      <c r="O597" s="36">
        <v>16370.46</v>
      </c>
      <c r="P597" s="36"/>
      <c r="Q597" s="36">
        <v>0</v>
      </c>
      <c r="R597" s="36"/>
      <c r="S597" s="36">
        <v>3732.11</v>
      </c>
      <c r="T597" s="36"/>
      <c r="U597" s="36">
        <v>0</v>
      </c>
      <c r="V597" s="36"/>
      <c r="W597" s="36">
        <v>0</v>
      </c>
      <c r="X597" s="36"/>
      <c r="Y597" s="36">
        <v>0</v>
      </c>
      <c r="Z597" s="36"/>
      <c r="AA597" s="36">
        <v>0</v>
      </c>
      <c r="AB597" s="36"/>
      <c r="AC597" s="36">
        <v>0</v>
      </c>
      <c r="AD597" s="36"/>
      <c r="AE597" s="36">
        <v>0</v>
      </c>
      <c r="AF597" s="36"/>
      <c r="AG597" s="36">
        <v>0</v>
      </c>
      <c r="AH597" s="36"/>
      <c r="AI597" s="36">
        <f t="shared" si="48"/>
        <v>131077.56999999998</v>
      </c>
      <c r="AJ597" s="24"/>
      <c r="AK597" s="15" t="str">
        <f>'Gen Rev'!A597</f>
        <v>Spring Valley</v>
      </c>
      <c r="AL597" s="15" t="str">
        <f t="shared" si="49"/>
        <v>Spring Valley</v>
      </c>
      <c r="AM597" s="15" t="b">
        <f t="shared" si="50"/>
        <v>1</v>
      </c>
    </row>
    <row r="598" spans="1:39" s="31" customFormat="1" ht="12.75">
      <c r="A598" s="15" t="s">
        <v>443</v>
      </c>
      <c r="B598" s="15"/>
      <c r="C598" s="15" t="s">
        <v>439</v>
      </c>
      <c r="D598" s="15"/>
      <c r="E598" s="85">
        <v>19876</v>
      </c>
      <c r="F598" s="85"/>
      <c r="G598" s="85">
        <v>0</v>
      </c>
      <c r="H598" s="85"/>
      <c r="I598" s="85">
        <v>44584</v>
      </c>
      <c r="J598" s="85"/>
      <c r="K598" s="85">
        <v>0</v>
      </c>
      <c r="L598" s="85"/>
      <c r="M598" s="85">
        <v>0</v>
      </c>
      <c r="N598" s="85"/>
      <c r="O598" s="85">
        <v>34641</v>
      </c>
      <c r="P598" s="85"/>
      <c r="Q598" s="85">
        <v>0</v>
      </c>
      <c r="R598" s="85"/>
      <c r="S598" s="85">
        <v>9731</v>
      </c>
      <c r="T598" s="85"/>
      <c r="U598" s="85">
        <v>0</v>
      </c>
      <c r="V598" s="85"/>
      <c r="W598" s="85">
        <v>0</v>
      </c>
      <c r="X598" s="85"/>
      <c r="Y598" s="85">
        <v>0</v>
      </c>
      <c r="Z598" s="85"/>
      <c r="AA598" s="85">
        <v>0</v>
      </c>
      <c r="AB598" s="85"/>
      <c r="AC598" s="85">
        <v>0</v>
      </c>
      <c r="AD598" s="85"/>
      <c r="AE598" s="85">
        <v>0</v>
      </c>
      <c r="AF598" s="85"/>
      <c r="AG598" s="85">
        <v>0</v>
      </c>
      <c r="AH598" s="85"/>
      <c r="AI598" s="85">
        <f t="shared" si="46"/>
        <v>108832</v>
      </c>
      <c r="AJ598" s="24"/>
      <c r="AK598" s="15" t="str">
        <f>'Gen Rev'!A598</f>
        <v>St. Louisville</v>
      </c>
      <c r="AL598" s="15" t="str">
        <f t="shared" si="49"/>
        <v>St. Louisville</v>
      </c>
      <c r="AM598" s="15" t="b">
        <f t="shared" si="50"/>
        <v>1</v>
      </c>
    </row>
    <row r="599" spans="1:39" ht="12.75">
      <c r="A599" s="15" t="s">
        <v>33</v>
      </c>
      <c r="C599" s="15" t="s">
        <v>754</v>
      </c>
      <c r="E599" s="36">
        <v>178258.15</v>
      </c>
      <c r="F599" s="36"/>
      <c r="G599" s="36">
        <v>245073.26</v>
      </c>
      <c r="H599" s="36"/>
      <c r="I599" s="36">
        <v>391318.36</v>
      </c>
      <c r="J599" s="36"/>
      <c r="K599" s="36">
        <v>30717.93</v>
      </c>
      <c r="L599" s="36"/>
      <c r="M599" s="36">
        <v>26964</v>
      </c>
      <c r="N599" s="36"/>
      <c r="O599" s="36">
        <v>60975.14</v>
      </c>
      <c r="P599" s="36"/>
      <c r="Q599" s="36">
        <v>3013.55</v>
      </c>
      <c r="R599" s="36"/>
      <c r="S599" s="36">
        <v>131874.32</v>
      </c>
      <c r="T599" s="36"/>
      <c r="U599" s="36">
        <v>0</v>
      </c>
      <c r="V599" s="36"/>
      <c r="W599" s="36">
        <v>0</v>
      </c>
      <c r="X599" s="36"/>
      <c r="Y599" s="36">
        <v>0</v>
      </c>
      <c r="Z599" s="36"/>
      <c r="AA599" s="36">
        <v>0</v>
      </c>
      <c r="AB599" s="36"/>
      <c r="AC599" s="36">
        <v>0</v>
      </c>
      <c r="AD599" s="36"/>
      <c r="AE599" s="36">
        <v>0</v>
      </c>
      <c r="AF599" s="36"/>
      <c r="AG599" s="36">
        <v>0</v>
      </c>
      <c r="AH599" s="36"/>
      <c r="AI599" s="36">
        <f>SUM(E599:AG599)</f>
        <v>1068194.7100000002</v>
      </c>
      <c r="AJ599" s="24"/>
      <c r="AK599" s="15" t="str">
        <f>'Gen Rev'!A599</f>
        <v>St. Paris</v>
      </c>
      <c r="AL599" s="15" t="str">
        <f t="shared" si="49"/>
        <v>St. Paris</v>
      </c>
      <c r="AM599" s="15" t="b">
        <f t="shared" si="50"/>
        <v>1</v>
      </c>
    </row>
    <row r="600" spans="1:39" ht="12.75">
      <c r="A600" s="15" t="s">
        <v>477</v>
      </c>
      <c r="C600" s="15" t="s">
        <v>474</v>
      </c>
      <c r="E600" s="85">
        <v>3259</v>
      </c>
      <c r="F600" s="85"/>
      <c r="G600" s="85">
        <v>0</v>
      </c>
      <c r="H600" s="85"/>
      <c r="I600" s="85">
        <v>7638</v>
      </c>
      <c r="J600" s="85"/>
      <c r="K600" s="85">
        <v>0</v>
      </c>
      <c r="L600" s="85"/>
      <c r="M600" s="85">
        <v>0</v>
      </c>
      <c r="N600" s="85"/>
      <c r="O600" s="85">
        <v>0</v>
      </c>
      <c r="P600" s="85"/>
      <c r="Q600" s="85">
        <v>0</v>
      </c>
      <c r="R600" s="85"/>
      <c r="S600" s="85">
        <v>49</v>
      </c>
      <c r="T600" s="85"/>
      <c r="U600" s="85">
        <v>0</v>
      </c>
      <c r="V600" s="85"/>
      <c r="W600" s="85">
        <v>0</v>
      </c>
      <c r="X600" s="85"/>
      <c r="Y600" s="85">
        <v>0</v>
      </c>
      <c r="Z600" s="85"/>
      <c r="AA600" s="85">
        <v>0</v>
      </c>
      <c r="AB600" s="85"/>
      <c r="AC600" s="85">
        <v>0</v>
      </c>
      <c r="AD600" s="85"/>
      <c r="AE600" s="85">
        <v>0</v>
      </c>
      <c r="AF600" s="85"/>
      <c r="AG600" s="85">
        <v>0</v>
      </c>
      <c r="AH600" s="85"/>
      <c r="AI600" s="85">
        <f t="shared" si="46"/>
        <v>10946</v>
      </c>
      <c r="AJ600" s="24"/>
      <c r="AK600" s="15" t="str">
        <f>'Gen Rev'!A600</f>
        <v>Stafford</v>
      </c>
      <c r="AL600" s="15" t="str">
        <f t="shared" si="49"/>
        <v>Stafford</v>
      </c>
      <c r="AM600" s="15" t="b">
        <f t="shared" si="50"/>
        <v>1</v>
      </c>
    </row>
    <row r="601" spans="1:39" s="31" customFormat="1" ht="12.75">
      <c r="A601" s="15" t="s">
        <v>169</v>
      </c>
      <c r="B601" s="15"/>
      <c r="C601" s="15" t="s">
        <v>798</v>
      </c>
      <c r="D601" s="15"/>
      <c r="E601" s="36">
        <v>27070.2</v>
      </c>
      <c r="F601" s="36"/>
      <c r="G601" s="36">
        <v>0</v>
      </c>
      <c r="H601" s="36"/>
      <c r="I601" s="36">
        <v>41039.45</v>
      </c>
      <c r="J601" s="36"/>
      <c r="K601" s="36">
        <v>0</v>
      </c>
      <c r="L601" s="36"/>
      <c r="M601" s="36">
        <v>4200</v>
      </c>
      <c r="N601" s="36"/>
      <c r="O601" s="36">
        <v>0</v>
      </c>
      <c r="P601" s="36"/>
      <c r="Q601" s="36">
        <v>1325.38</v>
      </c>
      <c r="R601" s="36"/>
      <c r="S601" s="36">
        <v>8340.74</v>
      </c>
      <c r="T601" s="36"/>
      <c r="U601" s="36">
        <v>0</v>
      </c>
      <c r="V601" s="36"/>
      <c r="W601" s="36">
        <v>0</v>
      </c>
      <c r="X601" s="36"/>
      <c r="Y601" s="36">
        <v>0</v>
      </c>
      <c r="Z601" s="36"/>
      <c r="AA601" s="36">
        <v>0</v>
      </c>
      <c r="AB601" s="36"/>
      <c r="AC601" s="36">
        <v>0</v>
      </c>
      <c r="AD601" s="36"/>
      <c r="AE601" s="36">
        <v>0</v>
      </c>
      <c r="AF601" s="36"/>
      <c r="AG601" s="36">
        <v>0</v>
      </c>
      <c r="AH601" s="36"/>
      <c r="AI601" s="36">
        <f>SUM(E601:AG601)</f>
        <v>81975.77</v>
      </c>
      <c r="AJ601" s="24"/>
      <c r="AK601" s="15" t="str">
        <f>'Gen Rev'!A601</f>
        <v>Stockport</v>
      </c>
      <c r="AL601" s="15" t="str">
        <f t="shared" si="49"/>
        <v>Stockport</v>
      </c>
      <c r="AM601" s="15" t="b">
        <f t="shared" si="50"/>
        <v>1</v>
      </c>
    </row>
    <row r="602" spans="1:39" ht="12.75">
      <c r="A602" s="15" t="s">
        <v>568</v>
      </c>
      <c r="C602" s="15" t="s">
        <v>562</v>
      </c>
      <c r="E602" s="36">
        <v>8361.23</v>
      </c>
      <c r="F602" s="36"/>
      <c r="G602" s="36">
        <v>13329.07</v>
      </c>
      <c r="H602" s="36"/>
      <c r="I602" s="36">
        <v>13122.8</v>
      </c>
      <c r="J602" s="36"/>
      <c r="K602" s="36">
        <v>0</v>
      </c>
      <c r="L602" s="36"/>
      <c r="M602" s="36">
        <v>0</v>
      </c>
      <c r="N602" s="36"/>
      <c r="O602" s="36">
        <v>40</v>
      </c>
      <c r="P602" s="36"/>
      <c r="Q602" s="36">
        <v>36.79</v>
      </c>
      <c r="R602" s="36"/>
      <c r="S602" s="36">
        <v>594.24</v>
      </c>
      <c r="T602" s="36"/>
      <c r="U602" s="36">
        <v>0</v>
      </c>
      <c r="V602" s="36"/>
      <c r="W602" s="36">
        <v>0</v>
      </c>
      <c r="X602" s="36"/>
      <c r="Y602" s="36">
        <v>0</v>
      </c>
      <c r="Z602" s="36"/>
      <c r="AA602" s="36">
        <v>0</v>
      </c>
      <c r="AB602" s="36"/>
      <c r="AC602" s="36">
        <v>40</v>
      </c>
      <c r="AD602" s="36"/>
      <c r="AE602" s="36">
        <v>0</v>
      </c>
      <c r="AF602" s="36"/>
      <c r="AG602" s="36">
        <v>0</v>
      </c>
      <c r="AH602" s="36"/>
      <c r="AI602" s="36">
        <f>SUM(E602:AG602)</f>
        <v>35524.13</v>
      </c>
      <c r="AJ602" s="24"/>
      <c r="AK602" s="15" t="str">
        <f>'Gen Rev'!A602</f>
        <v>Stone Creek</v>
      </c>
      <c r="AL602" s="15" t="str">
        <f t="shared" si="49"/>
        <v>Stone Creek</v>
      </c>
      <c r="AM602" s="15" t="b">
        <f t="shared" si="50"/>
        <v>1</v>
      </c>
    </row>
    <row r="603" spans="1:39" ht="12.75">
      <c r="A603" s="15" t="s">
        <v>956</v>
      </c>
      <c r="C603" s="15" t="s">
        <v>350</v>
      </c>
      <c r="E603" s="36">
        <v>37586.06</v>
      </c>
      <c r="F603" s="36"/>
      <c r="G603" s="36">
        <v>0</v>
      </c>
      <c r="H603" s="36"/>
      <c r="I603" s="36">
        <v>44210.34</v>
      </c>
      <c r="J603" s="36"/>
      <c r="K603" s="36">
        <v>0</v>
      </c>
      <c r="L603" s="36"/>
      <c r="M603" s="36">
        <v>0</v>
      </c>
      <c r="N603" s="36"/>
      <c r="O603" s="36">
        <v>3137.84</v>
      </c>
      <c r="P603" s="36"/>
      <c r="Q603" s="36">
        <v>948.54</v>
      </c>
      <c r="R603" s="36"/>
      <c r="S603" s="36">
        <v>4116</v>
      </c>
      <c r="T603" s="36"/>
      <c r="U603" s="36">
        <v>0</v>
      </c>
      <c r="V603" s="36"/>
      <c r="W603" s="36">
        <v>0</v>
      </c>
      <c r="X603" s="36"/>
      <c r="Y603" s="36">
        <v>0</v>
      </c>
      <c r="Z603" s="36"/>
      <c r="AA603" s="36">
        <v>0</v>
      </c>
      <c r="AB603" s="36"/>
      <c r="AC603" s="36">
        <v>0</v>
      </c>
      <c r="AD603" s="36"/>
      <c r="AE603" s="36">
        <v>0</v>
      </c>
      <c r="AF603" s="36"/>
      <c r="AG603" s="36">
        <v>0</v>
      </c>
      <c r="AH603" s="36"/>
      <c r="AI603" s="36">
        <f>SUM(E603:AG603)</f>
        <v>89998.77999999998</v>
      </c>
      <c r="AJ603" s="24"/>
      <c r="AK603" s="15" t="str">
        <f>'Gen Rev'!A603</f>
        <v>Stoutsville</v>
      </c>
      <c r="AL603" s="15" t="str">
        <f t="shared" si="49"/>
        <v>Stoutsville</v>
      </c>
      <c r="AM603" s="15" t="b">
        <f t="shared" si="50"/>
        <v>1</v>
      </c>
    </row>
    <row r="604" spans="1:39" ht="12.75">
      <c r="A604" s="15" t="s">
        <v>569</v>
      </c>
      <c r="C604" s="15" t="s">
        <v>562</v>
      </c>
      <c r="E604" s="85">
        <v>159968.19</v>
      </c>
      <c r="F604" s="85"/>
      <c r="G604" s="85">
        <v>421312.67</v>
      </c>
      <c r="H604" s="85"/>
      <c r="I604" s="85">
        <v>258202.54</v>
      </c>
      <c r="J604" s="85"/>
      <c r="K604" s="85">
        <v>0</v>
      </c>
      <c r="L604" s="85"/>
      <c r="M604" s="85">
        <v>140430.09</v>
      </c>
      <c r="N604" s="85"/>
      <c r="O604" s="85">
        <v>7858.6</v>
      </c>
      <c r="P604" s="85"/>
      <c r="Q604" s="85">
        <v>6686.54</v>
      </c>
      <c r="R604" s="85"/>
      <c r="S604" s="85">
        <v>67357.18</v>
      </c>
      <c r="T604" s="85"/>
      <c r="U604" s="85">
        <v>0</v>
      </c>
      <c r="V604" s="85"/>
      <c r="W604" s="85">
        <v>0</v>
      </c>
      <c r="X604" s="85"/>
      <c r="Y604" s="85">
        <v>0</v>
      </c>
      <c r="Z604" s="85"/>
      <c r="AA604" s="85">
        <v>359669.12</v>
      </c>
      <c r="AB604" s="85"/>
      <c r="AC604" s="85">
        <v>0</v>
      </c>
      <c r="AD604" s="85"/>
      <c r="AE604" s="85">
        <v>0</v>
      </c>
      <c r="AF604" s="85"/>
      <c r="AG604" s="85">
        <v>0</v>
      </c>
      <c r="AH604" s="85"/>
      <c r="AI604" s="85">
        <f t="shared" si="46"/>
        <v>1421484.9300000002</v>
      </c>
      <c r="AJ604" s="24"/>
      <c r="AK604" s="15" t="str">
        <f>'Gen Rev'!A604</f>
        <v>Strasburg</v>
      </c>
      <c r="AL604" s="15" t="str">
        <f t="shared" si="49"/>
        <v>Strasburg</v>
      </c>
      <c r="AM604" s="15" t="b">
        <f t="shared" si="50"/>
        <v>1</v>
      </c>
    </row>
    <row r="605" spans="1:39" s="31" customFormat="1" ht="12.75">
      <c r="A605" s="15" t="s">
        <v>424</v>
      </c>
      <c r="B605" s="15"/>
      <c r="C605" s="15" t="s">
        <v>420</v>
      </c>
      <c r="D605" s="15"/>
      <c r="E605" s="85">
        <v>1395675.44</v>
      </c>
      <c r="F605" s="85"/>
      <c r="G605" s="85">
        <v>0</v>
      </c>
      <c r="H605" s="85"/>
      <c r="I605" s="85">
        <v>428709.38</v>
      </c>
      <c r="J605" s="85"/>
      <c r="K605" s="85">
        <v>0</v>
      </c>
      <c r="L605" s="85"/>
      <c r="M605" s="85">
        <v>29388.4</v>
      </c>
      <c r="N605" s="85"/>
      <c r="O605" s="85">
        <v>640</v>
      </c>
      <c r="P605" s="85"/>
      <c r="Q605" s="85">
        <v>1251.61</v>
      </c>
      <c r="R605" s="85"/>
      <c r="S605" s="85">
        <v>18945</v>
      </c>
      <c r="T605" s="85"/>
      <c r="U605" s="85">
        <v>0</v>
      </c>
      <c r="V605" s="85"/>
      <c r="W605" s="85">
        <v>0</v>
      </c>
      <c r="X605" s="85"/>
      <c r="Y605" s="85">
        <v>0</v>
      </c>
      <c r="Z605" s="85"/>
      <c r="AA605" s="85">
        <v>142867.5</v>
      </c>
      <c r="AB605" s="85"/>
      <c r="AC605" s="85">
        <v>0</v>
      </c>
      <c r="AD605" s="85"/>
      <c r="AE605" s="85">
        <v>28073.35</v>
      </c>
      <c r="AF605" s="85"/>
      <c r="AG605" s="85">
        <v>0</v>
      </c>
      <c r="AH605" s="85"/>
      <c r="AI605" s="85">
        <f t="shared" si="46"/>
        <v>2045550.68</v>
      </c>
      <c r="AJ605" s="24"/>
      <c r="AK605" s="15" t="str">
        <f>'Gen Rev'!A605</f>
        <v>Stratton</v>
      </c>
      <c r="AL605" s="15" t="str">
        <f t="shared" si="49"/>
        <v>Stratton</v>
      </c>
      <c r="AM605" s="15" t="b">
        <f t="shared" si="50"/>
        <v>1</v>
      </c>
    </row>
    <row r="606" spans="1:39" ht="12.75">
      <c r="A606" s="15" t="s">
        <v>600</v>
      </c>
      <c r="C606" s="15" t="s">
        <v>598</v>
      </c>
      <c r="E606" s="85">
        <f>303200.58+6530.01</f>
        <v>309730.59</v>
      </c>
      <c r="F606" s="85"/>
      <c r="G606" s="85">
        <v>167484.24</v>
      </c>
      <c r="H606" s="85"/>
      <c r="I606" s="85">
        <f>84814.84+72805.22</f>
        <v>157620.06</v>
      </c>
      <c r="J606" s="85"/>
      <c r="K606" s="85">
        <v>8</v>
      </c>
      <c r="L606" s="85"/>
      <c r="M606" s="85">
        <v>525</v>
      </c>
      <c r="N606" s="85"/>
      <c r="O606" s="85">
        <f>8528.45+15001.55</f>
        <v>23530</v>
      </c>
      <c r="P606" s="85"/>
      <c r="Q606" s="85">
        <f>1896.91+160.03</f>
        <v>2056.94</v>
      </c>
      <c r="R606" s="85"/>
      <c r="S606" s="85">
        <f>17923.75+21444.7+19.96</f>
        <v>39388.409999999996</v>
      </c>
      <c r="T606" s="85"/>
      <c r="U606" s="85">
        <v>0</v>
      </c>
      <c r="V606" s="85"/>
      <c r="W606" s="85">
        <v>0</v>
      </c>
      <c r="X606" s="85"/>
      <c r="Y606" s="85">
        <v>0</v>
      </c>
      <c r="Z606" s="85"/>
      <c r="AA606" s="85">
        <v>28000</v>
      </c>
      <c r="AB606" s="85"/>
      <c r="AC606" s="85">
        <v>0</v>
      </c>
      <c r="AD606" s="85"/>
      <c r="AE606" s="85">
        <v>0</v>
      </c>
      <c r="AF606" s="85"/>
      <c r="AG606" s="85">
        <v>0</v>
      </c>
      <c r="AH606" s="85"/>
      <c r="AI606" s="85">
        <f aca="true" t="shared" si="51" ref="AI606:AI674">SUM(E606:AG606)</f>
        <v>728343.24</v>
      </c>
      <c r="AJ606" s="24"/>
      <c r="AK606" s="15" t="str">
        <f>'Gen Rev'!A606</f>
        <v>Stryker</v>
      </c>
      <c r="AL606" s="15" t="str">
        <f t="shared" si="49"/>
        <v>Stryker</v>
      </c>
      <c r="AM606" s="15" t="b">
        <f t="shared" si="50"/>
        <v>1</v>
      </c>
    </row>
    <row r="607" spans="1:39" ht="12.75">
      <c r="A607" s="15" t="s">
        <v>196</v>
      </c>
      <c r="C607" s="15" t="s">
        <v>806</v>
      </c>
      <c r="E607" s="95">
        <v>63833.02</v>
      </c>
      <c r="F607" s="95"/>
      <c r="G607" s="95">
        <v>0</v>
      </c>
      <c r="H607" s="95"/>
      <c r="I607" s="95">
        <v>64947.28</v>
      </c>
      <c r="J607" s="95"/>
      <c r="K607" s="95">
        <v>0</v>
      </c>
      <c r="L607" s="95"/>
      <c r="M607" s="95">
        <v>0</v>
      </c>
      <c r="N607" s="95"/>
      <c r="O607" s="95">
        <v>3240.66</v>
      </c>
      <c r="P607" s="95"/>
      <c r="Q607" s="95">
        <v>68.92</v>
      </c>
      <c r="R607" s="95"/>
      <c r="S607" s="95">
        <v>0</v>
      </c>
      <c r="T607" s="95"/>
      <c r="U607" s="95">
        <v>0</v>
      </c>
      <c r="V607" s="95"/>
      <c r="W607" s="95">
        <v>0</v>
      </c>
      <c r="X607" s="95"/>
      <c r="Y607" s="95">
        <v>0</v>
      </c>
      <c r="Z607" s="95"/>
      <c r="AA607" s="95">
        <v>0</v>
      </c>
      <c r="AB607" s="95"/>
      <c r="AC607" s="95">
        <v>0</v>
      </c>
      <c r="AD607" s="95"/>
      <c r="AE607" s="95">
        <v>0</v>
      </c>
      <c r="AF607" s="95"/>
      <c r="AG607" s="95">
        <v>0</v>
      </c>
      <c r="AH607" s="95"/>
      <c r="AI607" s="95">
        <f>SUM(E607:AG607)</f>
        <v>132089.88</v>
      </c>
      <c r="AJ607" s="24"/>
      <c r="AK607" s="15" t="str">
        <f>'Gen Rev'!A607</f>
        <v>Sugar Bush Knolls</v>
      </c>
      <c r="AL607" s="15" t="str">
        <f t="shared" si="49"/>
        <v>Sugar Bush Knolls</v>
      </c>
      <c r="AM607" s="15" t="b">
        <f t="shared" si="50"/>
        <v>1</v>
      </c>
    </row>
    <row r="608" spans="1:42" s="31" customFormat="1" ht="12.75">
      <c r="A608" s="15" t="s">
        <v>66</v>
      </c>
      <c r="B608" s="15"/>
      <c r="C608" s="15" t="s">
        <v>766</v>
      </c>
      <c r="D608" s="15"/>
      <c r="E608" s="36">
        <v>35270.08</v>
      </c>
      <c r="F608" s="36"/>
      <c r="G608" s="36">
        <v>74482.23</v>
      </c>
      <c r="H608" s="36"/>
      <c r="I608" s="36">
        <v>166078.66</v>
      </c>
      <c r="J608" s="36"/>
      <c r="K608" s="36">
        <v>0</v>
      </c>
      <c r="L608" s="36"/>
      <c r="M608" s="36">
        <v>0</v>
      </c>
      <c r="N608" s="36"/>
      <c r="O608" s="36">
        <v>6567.47</v>
      </c>
      <c r="P608" s="36"/>
      <c r="Q608" s="36">
        <v>740.51</v>
      </c>
      <c r="R608" s="36"/>
      <c r="S608" s="36">
        <v>572.32</v>
      </c>
      <c r="T608" s="36"/>
      <c r="U608" s="36">
        <v>0</v>
      </c>
      <c r="V608" s="36"/>
      <c r="W608" s="36">
        <v>36594.59</v>
      </c>
      <c r="X608" s="36"/>
      <c r="Y608" s="36">
        <v>0</v>
      </c>
      <c r="Z608" s="36"/>
      <c r="AA608" s="36">
        <v>9031.47</v>
      </c>
      <c r="AB608" s="36"/>
      <c r="AC608" s="36">
        <v>0</v>
      </c>
      <c r="AD608" s="36"/>
      <c r="AE608" s="36">
        <v>0</v>
      </c>
      <c r="AF608" s="36"/>
      <c r="AG608" s="36">
        <v>0</v>
      </c>
      <c r="AH608" s="36"/>
      <c r="AI608" s="36">
        <f>SUM(E608:AG608)</f>
        <v>329337.32999999996</v>
      </c>
      <c r="AJ608" s="24"/>
      <c r="AK608" s="15" t="str">
        <f>'Gen Rev'!A608</f>
        <v>Sugar Grove</v>
      </c>
      <c r="AL608" s="15" t="str">
        <f t="shared" si="49"/>
        <v>Sugar Grove</v>
      </c>
      <c r="AM608" s="15" t="b">
        <f t="shared" si="50"/>
        <v>1</v>
      </c>
      <c r="AN608" s="32"/>
      <c r="AO608" s="32"/>
      <c r="AP608" s="32"/>
    </row>
    <row r="609" spans="1:39" ht="12.75">
      <c r="A609" s="15" t="s">
        <v>570</v>
      </c>
      <c r="C609" s="15" t="s">
        <v>562</v>
      </c>
      <c r="E609" s="85">
        <v>397812.93</v>
      </c>
      <c r="F609" s="85"/>
      <c r="G609" s="85">
        <v>1133420.53</v>
      </c>
      <c r="H609" s="85"/>
      <c r="I609" s="85">
        <v>471605.52</v>
      </c>
      <c r="J609" s="85"/>
      <c r="K609" s="85">
        <v>200000</v>
      </c>
      <c r="L609" s="85"/>
      <c r="M609" s="85">
        <v>73084</v>
      </c>
      <c r="N609" s="85"/>
      <c r="O609" s="85">
        <v>24574</v>
      </c>
      <c r="P609" s="85"/>
      <c r="Q609" s="85">
        <v>286.98</v>
      </c>
      <c r="R609" s="85"/>
      <c r="S609" s="85">
        <v>13942.06</v>
      </c>
      <c r="T609" s="85"/>
      <c r="U609" s="85">
        <v>0</v>
      </c>
      <c r="V609" s="85"/>
      <c r="W609" s="85">
        <v>193240</v>
      </c>
      <c r="X609" s="85"/>
      <c r="Y609" s="85">
        <v>1000</v>
      </c>
      <c r="Z609" s="85"/>
      <c r="AA609" s="85">
        <v>0</v>
      </c>
      <c r="AB609" s="85"/>
      <c r="AC609" s="85">
        <v>0</v>
      </c>
      <c r="AD609" s="85"/>
      <c r="AE609" s="85">
        <v>3647.18</v>
      </c>
      <c r="AF609" s="85"/>
      <c r="AG609" s="85">
        <v>0</v>
      </c>
      <c r="AH609" s="85"/>
      <c r="AI609" s="85">
        <f t="shared" si="51"/>
        <v>2512613.2</v>
      </c>
      <c r="AJ609" s="24"/>
      <c r="AK609" s="15" t="str">
        <f>'Gen Rev'!A609</f>
        <v>Sugarcreek</v>
      </c>
      <c r="AL609" s="15" t="str">
        <f t="shared" si="49"/>
        <v>Sugarcreek</v>
      </c>
      <c r="AM609" s="15" t="b">
        <f t="shared" si="50"/>
        <v>1</v>
      </c>
    </row>
    <row r="610" spans="1:39" s="31" customFormat="1" ht="12.75">
      <c r="A610" s="15" t="s">
        <v>178</v>
      </c>
      <c r="B610" s="15"/>
      <c r="C610" s="15" t="s">
        <v>801</v>
      </c>
      <c r="D610" s="15"/>
      <c r="E610" s="36">
        <v>17105.81</v>
      </c>
      <c r="F610" s="36"/>
      <c r="G610" s="36">
        <v>0</v>
      </c>
      <c r="H610" s="36"/>
      <c r="I610" s="36">
        <v>17387.07</v>
      </c>
      <c r="J610" s="36"/>
      <c r="K610" s="36">
        <v>0</v>
      </c>
      <c r="L610" s="36"/>
      <c r="M610" s="36">
        <v>886.41</v>
      </c>
      <c r="N610" s="36"/>
      <c r="O610" s="36">
        <v>0</v>
      </c>
      <c r="P610" s="36"/>
      <c r="Q610" s="36">
        <v>35.06</v>
      </c>
      <c r="R610" s="36"/>
      <c r="S610" s="36">
        <v>3500</v>
      </c>
      <c r="T610" s="36"/>
      <c r="U610" s="36">
        <v>0</v>
      </c>
      <c r="V610" s="36"/>
      <c r="W610" s="36">
        <v>0</v>
      </c>
      <c r="X610" s="36"/>
      <c r="Y610" s="36">
        <v>0</v>
      </c>
      <c r="Z610" s="36"/>
      <c r="AA610" s="36">
        <v>0</v>
      </c>
      <c r="AB610" s="36"/>
      <c r="AC610" s="36">
        <v>0</v>
      </c>
      <c r="AD610" s="36"/>
      <c r="AE610" s="36">
        <v>0</v>
      </c>
      <c r="AF610" s="36"/>
      <c r="AG610" s="36">
        <v>0</v>
      </c>
      <c r="AH610" s="36"/>
      <c r="AI610" s="36">
        <f>SUM(E610:AG610)</f>
        <v>38914.350000000006</v>
      </c>
      <c r="AJ610" s="24"/>
      <c r="AK610" s="15" t="str">
        <f>'Gen Rev'!A610</f>
        <v>Summerfield</v>
      </c>
      <c r="AL610" s="15" t="str">
        <f t="shared" si="49"/>
        <v>Summerfield</v>
      </c>
      <c r="AM610" s="15" t="b">
        <f t="shared" si="50"/>
        <v>1</v>
      </c>
    </row>
    <row r="611" spans="1:42" ht="12.6" customHeight="1">
      <c r="A611" s="15" t="s">
        <v>47</v>
      </c>
      <c r="C611" s="15" t="s">
        <v>305</v>
      </c>
      <c r="E611" s="36">
        <v>10960.69</v>
      </c>
      <c r="F611" s="36"/>
      <c r="G611" s="36">
        <v>0</v>
      </c>
      <c r="H611" s="36"/>
      <c r="I611" s="36">
        <v>13355.43</v>
      </c>
      <c r="J611" s="36"/>
      <c r="K611" s="36">
        <v>0</v>
      </c>
      <c r="L611" s="36"/>
      <c r="M611" s="36">
        <v>0</v>
      </c>
      <c r="N611" s="36"/>
      <c r="O611" s="36">
        <v>2262.8</v>
      </c>
      <c r="P611" s="36"/>
      <c r="Q611" s="36">
        <v>0</v>
      </c>
      <c r="R611" s="36"/>
      <c r="S611" s="36">
        <v>3625.15</v>
      </c>
      <c r="T611" s="36"/>
      <c r="U611" s="36">
        <v>0</v>
      </c>
      <c r="V611" s="36"/>
      <c r="W611" s="36">
        <v>0</v>
      </c>
      <c r="X611" s="36"/>
      <c r="Y611" s="36">
        <v>0</v>
      </c>
      <c r="Z611" s="36"/>
      <c r="AA611" s="36">
        <v>0</v>
      </c>
      <c r="AB611" s="36"/>
      <c r="AC611" s="36">
        <v>0</v>
      </c>
      <c r="AD611" s="36"/>
      <c r="AE611" s="36">
        <v>0</v>
      </c>
      <c r="AF611" s="36"/>
      <c r="AG611" s="36">
        <v>0</v>
      </c>
      <c r="AH611" s="36"/>
      <c r="AI611" s="36">
        <f>SUM(E611:AG611)</f>
        <v>30204.070000000003</v>
      </c>
      <c r="AJ611" s="24"/>
      <c r="AK611" s="15" t="str">
        <f>'Gen Rev'!A611</f>
        <v>Summitville</v>
      </c>
      <c r="AL611" s="15" t="str">
        <f t="shared" si="49"/>
        <v>Summitville</v>
      </c>
      <c r="AM611" s="15" t="b">
        <f t="shared" si="50"/>
        <v>1</v>
      </c>
      <c r="AN611" s="30"/>
      <c r="AO611" s="30"/>
      <c r="AP611" s="30"/>
    </row>
    <row r="612" spans="1:42" s="31" customFormat="1" ht="12.6" customHeight="1">
      <c r="A612" s="15" t="s">
        <v>346</v>
      </c>
      <c r="B612" s="15"/>
      <c r="C612" s="15" t="s">
        <v>343</v>
      </c>
      <c r="D612" s="15"/>
      <c r="E612" s="85">
        <v>299890</v>
      </c>
      <c r="F612" s="85"/>
      <c r="G612" s="85">
        <v>2468995</v>
      </c>
      <c r="H612" s="85"/>
      <c r="I612" s="85">
        <v>509143</v>
      </c>
      <c r="J612" s="85"/>
      <c r="K612" s="85">
        <v>0</v>
      </c>
      <c r="L612" s="85"/>
      <c r="M612" s="85">
        <v>36199</v>
      </c>
      <c r="N612" s="85"/>
      <c r="O612" s="85">
        <v>200078</v>
      </c>
      <c r="P612" s="85"/>
      <c r="Q612" s="85">
        <v>14066</v>
      </c>
      <c r="R612" s="85"/>
      <c r="S612" s="85">
        <v>94225</v>
      </c>
      <c r="T612" s="85"/>
      <c r="U612" s="85">
        <v>0</v>
      </c>
      <c r="V612" s="85"/>
      <c r="W612" s="85">
        <v>2500571</v>
      </c>
      <c r="X612" s="85"/>
      <c r="Y612" s="85">
        <v>0</v>
      </c>
      <c r="Z612" s="85"/>
      <c r="AA612" s="85">
        <v>12793</v>
      </c>
      <c r="AB612" s="85"/>
      <c r="AC612" s="85">
        <v>0</v>
      </c>
      <c r="AD612" s="85"/>
      <c r="AE612" s="85">
        <v>0</v>
      </c>
      <c r="AF612" s="85"/>
      <c r="AG612" s="85">
        <v>0</v>
      </c>
      <c r="AH612" s="85"/>
      <c r="AI612" s="85">
        <f t="shared" si="51"/>
        <v>6135960</v>
      </c>
      <c r="AJ612" s="24"/>
      <c r="AK612" s="15" t="str">
        <f>'Gen Rev'!A612</f>
        <v>Sunbury</v>
      </c>
      <c r="AL612" s="15" t="str">
        <f t="shared" si="49"/>
        <v>Sunbury</v>
      </c>
      <c r="AM612" s="15" t="b">
        <f t="shared" si="50"/>
        <v>1</v>
      </c>
      <c r="AN612" s="32"/>
      <c r="AO612" s="32"/>
      <c r="AP612" s="32"/>
    </row>
    <row r="613" spans="1:39" s="31" customFormat="1" ht="12.75">
      <c r="A613" s="15" t="s">
        <v>362</v>
      </c>
      <c r="B613" s="15"/>
      <c r="C613" s="15" t="s">
        <v>358</v>
      </c>
      <c r="D613" s="15"/>
      <c r="E613" s="36">
        <v>250480.58</v>
      </c>
      <c r="F613" s="36"/>
      <c r="G613" s="36">
        <v>1114399.8</v>
      </c>
      <c r="H613" s="36"/>
      <c r="I613" s="36">
        <v>398385.81</v>
      </c>
      <c r="J613" s="36"/>
      <c r="K613" s="36">
        <v>109861.83</v>
      </c>
      <c r="L613" s="36"/>
      <c r="M613" s="36">
        <v>47238.61</v>
      </c>
      <c r="N613" s="36"/>
      <c r="O613" s="36">
        <v>57958.86</v>
      </c>
      <c r="P613" s="36"/>
      <c r="Q613" s="36">
        <v>10683.47</v>
      </c>
      <c r="R613" s="36"/>
      <c r="S613" s="36">
        <v>13261</v>
      </c>
      <c r="T613" s="36"/>
      <c r="U613" s="36">
        <v>0</v>
      </c>
      <c r="V613" s="36"/>
      <c r="W613" s="36">
        <v>45000</v>
      </c>
      <c r="X613" s="36"/>
      <c r="Y613" s="36">
        <v>0</v>
      </c>
      <c r="Z613" s="36"/>
      <c r="AA613" s="36">
        <v>2805477.07</v>
      </c>
      <c r="AB613" s="36"/>
      <c r="AC613" s="36">
        <v>0</v>
      </c>
      <c r="AD613" s="36"/>
      <c r="AE613" s="36">
        <v>0</v>
      </c>
      <c r="AF613" s="36"/>
      <c r="AG613" s="36">
        <v>0</v>
      </c>
      <c r="AH613" s="36"/>
      <c r="AI613" s="36">
        <f aca="true" t="shared" si="52" ref="AI613:AI620">SUM(E613:AG613)</f>
        <v>4852747.03</v>
      </c>
      <c r="AJ613" s="24"/>
      <c r="AK613" s="15" t="str">
        <f>'Gen Rev'!A613</f>
        <v>Swanton</v>
      </c>
      <c r="AL613" s="15" t="str">
        <f t="shared" si="49"/>
        <v>Swanton</v>
      </c>
      <c r="AM613" s="15" t="b">
        <f t="shared" si="50"/>
        <v>1</v>
      </c>
    </row>
    <row r="614" spans="1:39" s="31" customFormat="1" ht="12.75">
      <c r="A614" s="15" t="s">
        <v>266</v>
      </c>
      <c r="B614" s="15"/>
      <c r="C614" s="15" t="s">
        <v>611</v>
      </c>
      <c r="D614" s="15"/>
      <c r="E614" s="36">
        <v>51434.78</v>
      </c>
      <c r="F614" s="36"/>
      <c r="G614" s="36">
        <v>111376.59</v>
      </c>
      <c r="H614" s="36"/>
      <c r="I614" s="36">
        <v>80203.7</v>
      </c>
      <c r="J614" s="36"/>
      <c r="K614" s="36">
        <v>0</v>
      </c>
      <c r="L614" s="36"/>
      <c r="M614" s="36">
        <v>107642.84</v>
      </c>
      <c r="N614" s="36"/>
      <c r="O614" s="36">
        <v>98.76</v>
      </c>
      <c r="P614" s="36"/>
      <c r="Q614" s="36">
        <v>2206.57</v>
      </c>
      <c r="R614" s="36"/>
      <c r="S614" s="36">
        <v>905</v>
      </c>
      <c r="T614" s="36"/>
      <c r="U614" s="36">
        <v>0</v>
      </c>
      <c r="V614" s="36"/>
      <c r="W614" s="36">
        <v>0</v>
      </c>
      <c r="X614" s="36"/>
      <c r="Y614" s="36">
        <v>0</v>
      </c>
      <c r="Z614" s="36"/>
      <c r="AA614" s="36">
        <v>151046.32</v>
      </c>
      <c r="AB614" s="36"/>
      <c r="AC614" s="36">
        <v>0</v>
      </c>
      <c r="AD614" s="36"/>
      <c r="AE614" s="36">
        <v>0</v>
      </c>
      <c r="AF614" s="36"/>
      <c r="AG614" s="36">
        <v>0</v>
      </c>
      <c r="AH614" s="36"/>
      <c r="AI614" s="36">
        <f t="shared" si="52"/>
        <v>504914.56000000006</v>
      </c>
      <c r="AJ614" s="24"/>
      <c r="AK614" s="15" t="str">
        <f>'Gen Rev'!A614</f>
        <v>Sycamore</v>
      </c>
      <c r="AL614" s="15" t="str">
        <f t="shared" si="49"/>
        <v>Sycamore</v>
      </c>
      <c r="AM614" s="15" t="b">
        <f t="shared" si="50"/>
        <v>1</v>
      </c>
    </row>
    <row r="615" spans="1:39" ht="12.75">
      <c r="A615" s="15" t="s">
        <v>159</v>
      </c>
      <c r="C615" s="15" t="s">
        <v>793</v>
      </c>
      <c r="E615" s="36">
        <v>61671.35</v>
      </c>
      <c r="F615" s="36"/>
      <c r="G615" s="36">
        <v>0</v>
      </c>
      <c r="H615" s="36"/>
      <c r="I615" s="36">
        <v>133479.02</v>
      </c>
      <c r="J615" s="36"/>
      <c r="K615" s="36">
        <v>0</v>
      </c>
      <c r="L615" s="36"/>
      <c r="M615" s="36">
        <v>10275.24</v>
      </c>
      <c r="N615" s="36"/>
      <c r="O615" s="36">
        <v>14413.01</v>
      </c>
      <c r="P615" s="36"/>
      <c r="Q615" s="36">
        <v>2938.48</v>
      </c>
      <c r="R615" s="36"/>
      <c r="S615" s="36">
        <v>11307.27</v>
      </c>
      <c r="T615" s="36"/>
      <c r="U615" s="36">
        <v>0</v>
      </c>
      <c r="V615" s="36"/>
      <c r="W615" s="36">
        <v>0</v>
      </c>
      <c r="X615" s="36"/>
      <c r="Y615" s="36">
        <v>0</v>
      </c>
      <c r="Z615" s="36"/>
      <c r="AA615" s="36">
        <v>10000</v>
      </c>
      <c r="AB615" s="36"/>
      <c r="AC615" s="36">
        <v>0</v>
      </c>
      <c r="AD615" s="36"/>
      <c r="AE615" s="36">
        <v>8115.71</v>
      </c>
      <c r="AF615" s="36"/>
      <c r="AG615" s="36">
        <v>0</v>
      </c>
      <c r="AH615" s="36"/>
      <c r="AI615" s="36">
        <f t="shared" si="52"/>
        <v>252200.08</v>
      </c>
      <c r="AJ615" s="24"/>
      <c r="AK615" s="15" t="str">
        <f>'Gen Rev'!A615</f>
        <v>Syracuse</v>
      </c>
      <c r="AL615" s="15" t="str">
        <f t="shared" si="49"/>
        <v>Syracuse</v>
      </c>
      <c r="AM615" s="15" t="b">
        <f t="shared" si="50"/>
        <v>1</v>
      </c>
    </row>
    <row r="616" spans="1:39" ht="12.75">
      <c r="A616" s="15" t="s">
        <v>191</v>
      </c>
      <c r="C616" s="15" t="s">
        <v>804</v>
      </c>
      <c r="E616" s="36">
        <v>8330.5</v>
      </c>
      <c r="F616" s="36"/>
      <c r="G616" s="36">
        <v>0</v>
      </c>
      <c r="H616" s="36"/>
      <c r="I616" s="36">
        <v>33562.79</v>
      </c>
      <c r="J616" s="36"/>
      <c r="K616" s="36">
        <v>0</v>
      </c>
      <c r="L616" s="36"/>
      <c r="M616" s="36">
        <v>1550</v>
      </c>
      <c r="N616" s="36"/>
      <c r="O616" s="36">
        <v>3323.66</v>
      </c>
      <c r="P616" s="36"/>
      <c r="Q616" s="36">
        <v>185.41</v>
      </c>
      <c r="R616" s="36"/>
      <c r="S616" s="36">
        <v>20000</v>
      </c>
      <c r="T616" s="36"/>
      <c r="U616" s="36">
        <v>0</v>
      </c>
      <c r="V616" s="36"/>
      <c r="W616" s="36">
        <v>0</v>
      </c>
      <c r="X616" s="36"/>
      <c r="Y616" s="36">
        <v>0</v>
      </c>
      <c r="Z616" s="36"/>
      <c r="AA616" s="36">
        <v>6232.8</v>
      </c>
      <c r="AB616" s="36"/>
      <c r="AC616" s="36">
        <v>0</v>
      </c>
      <c r="AD616" s="36"/>
      <c r="AE616" s="36">
        <v>0</v>
      </c>
      <c r="AF616" s="36"/>
      <c r="AG616" s="36">
        <v>0</v>
      </c>
      <c r="AH616" s="36"/>
      <c r="AI616" s="36">
        <f t="shared" si="52"/>
        <v>73185.16</v>
      </c>
      <c r="AJ616" s="24"/>
      <c r="AK616" s="15" t="str">
        <f>'Gen Rev'!A616</f>
        <v>Tarlton</v>
      </c>
      <c r="AL616" s="15" t="str">
        <f t="shared" si="49"/>
        <v>Tarlton</v>
      </c>
      <c r="AM616" s="15" t="b">
        <f t="shared" si="50"/>
        <v>1</v>
      </c>
    </row>
    <row r="617" spans="1:39" s="29" customFormat="1" ht="12.75">
      <c r="A617" s="24" t="s">
        <v>385</v>
      </c>
      <c r="B617" s="24"/>
      <c r="C617" s="24" t="s">
        <v>378</v>
      </c>
      <c r="D617" s="24"/>
      <c r="E617" s="95">
        <v>1356749.4</v>
      </c>
      <c r="F617" s="95"/>
      <c r="G617" s="95">
        <v>0</v>
      </c>
      <c r="H617" s="95"/>
      <c r="I617" s="95">
        <v>583875.18</v>
      </c>
      <c r="J617" s="95"/>
      <c r="K617" s="95">
        <v>0</v>
      </c>
      <c r="L617" s="95"/>
      <c r="M617" s="95">
        <v>0</v>
      </c>
      <c r="N617" s="95"/>
      <c r="O617" s="95">
        <v>91641.37</v>
      </c>
      <c r="P617" s="95"/>
      <c r="Q617" s="95">
        <v>2921.5</v>
      </c>
      <c r="R617" s="95"/>
      <c r="S617" s="95">
        <v>40328.17</v>
      </c>
      <c r="T617" s="95"/>
      <c r="U617" s="95">
        <v>0</v>
      </c>
      <c r="V617" s="95"/>
      <c r="W617" s="95">
        <v>0</v>
      </c>
      <c r="X617" s="95"/>
      <c r="Y617" s="95">
        <v>0</v>
      </c>
      <c r="Z617" s="95"/>
      <c r="AA617" s="95">
        <v>0</v>
      </c>
      <c r="AB617" s="95"/>
      <c r="AC617" s="95">
        <v>0</v>
      </c>
      <c r="AD617" s="95"/>
      <c r="AE617" s="95">
        <v>0</v>
      </c>
      <c r="AF617" s="95"/>
      <c r="AG617" s="95">
        <v>0</v>
      </c>
      <c r="AH617" s="95"/>
      <c r="AI617" s="95">
        <f t="shared" si="52"/>
        <v>2075515.62</v>
      </c>
      <c r="AJ617" s="24"/>
      <c r="AK617" s="15" t="str">
        <f>'Gen Rev'!A617</f>
        <v>Terrace Park</v>
      </c>
      <c r="AL617" s="15" t="str">
        <f t="shared" si="49"/>
        <v>Terrace Park</v>
      </c>
      <c r="AM617" s="15" t="b">
        <f t="shared" si="50"/>
        <v>1</v>
      </c>
    </row>
    <row r="618" spans="1:39" ht="12.75">
      <c r="A618" s="15" t="s">
        <v>504</v>
      </c>
      <c r="C618" s="15" t="s">
        <v>501</v>
      </c>
      <c r="E618" s="36">
        <v>133479.53</v>
      </c>
      <c r="F618" s="36"/>
      <c r="G618" s="36">
        <v>0</v>
      </c>
      <c r="H618" s="36"/>
      <c r="I618" s="36">
        <v>114798</v>
      </c>
      <c r="J618" s="36"/>
      <c r="K618" s="36">
        <v>0</v>
      </c>
      <c r="L618" s="36"/>
      <c r="M618" s="36">
        <v>17739.45</v>
      </c>
      <c r="N618" s="36"/>
      <c r="O618" s="36">
        <v>133564.53</v>
      </c>
      <c r="P618" s="36"/>
      <c r="Q618" s="36">
        <v>11039.74</v>
      </c>
      <c r="R618" s="36"/>
      <c r="S618" s="36">
        <v>90101.26</v>
      </c>
      <c r="T618" s="36"/>
      <c r="U618" s="36">
        <v>0</v>
      </c>
      <c r="V618" s="36"/>
      <c r="W618" s="36">
        <v>0</v>
      </c>
      <c r="X618" s="36"/>
      <c r="Y618" s="36">
        <v>0</v>
      </c>
      <c r="Z618" s="36"/>
      <c r="AA618" s="36">
        <v>0</v>
      </c>
      <c r="AB618" s="36"/>
      <c r="AC618" s="36">
        <v>0</v>
      </c>
      <c r="AD618" s="36"/>
      <c r="AE618" s="36">
        <v>0</v>
      </c>
      <c r="AF618" s="36"/>
      <c r="AG618" s="36">
        <v>0</v>
      </c>
      <c r="AH618" s="36"/>
      <c r="AI618" s="36">
        <f t="shared" si="52"/>
        <v>500722.51</v>
      </c>
      <c r="AJ618" s="24"/>
      <c r="AK618" s="15" t="str">
        <f>'Gen Rev'!A618</f>
        <v>Thornville</v>
      </c>
      <c r="AL618" s="15" t="str">
        <f t="shared" si="49"/>
        <v>Thornville</v>
      </c>
      <c r="AM618" s="15" t="b">
        <f t="shared" si="50"/>
        <v>1</v>
      </c>
    </row>
    <row r="619" spans="1:42" s="31" customFormat="1" ht="12.75">
      <c r="A619" s="15" t="s">
        <v>67</v>
      </c>
      <c r="B619" s="15"/>
      <c r="C619" s="15" t="s">
        <v>766</v>
      </c>
      <c r="D619" s="15"/>
      <c r="E619" s="36">
        <v>23951.67</v>
      </c>
      <c r="F619" s="36"/>
      <c r="G619" s="36">
        <v>35591.11</v>
      </c>
      <c r="H619" s="36"/>
      <c r="I619" s="36">
        <v>45214.16</v>
      </c>
      <c r="J619" s="36"/>
      <c r="K619" s="36">
        <v>0</v>
      </c>
      <c r="L619" s="36"/>
      <c r="M619" s="36">
        <v>39285.74</v>
      </c>
      <c r="N619" s="36"/>
      <c r="O619" s="36">
        <v>0</v>
      </c>
      <c r="P619" s="36"/>
      <c r="Q619" s="36">
        <v>3523.11</v>
      </c>
      <c r="R619" s="36"/>
      <c r="S619" s="36">
        <v>45284.6</v>
      </c>
      <c r="T619" s="36"/>
      <c r="U619" s="36">
        <v>0</v>
      </c>
      <c r="V619" s="36"/>
      <c r="W619" s="36">
        <v>0</v>
      </c>
      <c r="X619" s="36"/>
      <c r="Y619" s="36">
        <v>0</v>
      </c>
      <c r="Z619" s="36"/>
      <c r="AA619" s="36">
        <v>563.97</v>
      </c>
      <c r="AB619" s="36"/>
      <c r="AC619" s="36">
        <v>0</v>
      </c>
      <c r="AD619" s="36"/>
      <c r="AE619" s="36">
        <v>0</v>
      </c>
      <c r="AF619" s="36"/>
      <c r="AG619" s="36">
        <v>0</v>
      </c>
      <c r="AH619" s="36"/>
      <c r="AI619" s="36">
        <f t="shared" si="52"/>
        <v>193414.36</v>
      </c>
      <c r="AJ619" s="24"/>
      <c r="AK619" s="15" t="str">
        <f>'Gen Rev'!A619</f>
        <v>Thurston</v>
      </c>
      <c r="AL619" s="15" t="str">
        <f t="shared" si="49"/>
        <v>Thurston</v>
      </c>
      <c r="AM619" s="15" t="b">
        <f t="shared" si="50"/>
        <v>1</v>
      </c>
      <c r="AN619" s="32"/>
      <c r="AO619" s="32"/>
      <c r="AP619" s="32"/>
    </row>
    <row r="620" spans="1:39" s="31" customFormat="1" ht="12.75">
      <c r="A620" s="15" t="s">
        <v>120</v>
      </c>
      <c r="B620" s="15"/>
      <c r="C620" s="15" t="s">
        <v>781</v>
      </c>
      <c r="D620" s="15"/>
      <c r="E620" s="36">
        <v>183008.86</v>
      </c>
      <c r="F620" s="36"/>
      <c r="G620" s="36">
        <v>0</v>
      </c>
      <c r="H620" s="36"/>
      <c r="I620" s="36">
        <v>98342.27</v>
      </c>
      <c r="J620" s="36"/>
      <c r="K620" s="36">
        <v>0</v>
      </c>
      <c r="L620" s="36"/>
      <c r="M620" s="36">
        <v>0</v>
      </c>
      <c r="N620" s="36"/>
      <c r="O620" s="36">
        <v>22623.5</v>
      </c>
      <c r="P620" s="36"/>
      <c r="Q620" s="36">
        <v>409.86</v>
      </c>
      <c r="R620" s="36"/>
      <c r="S620" s="36">
        <v>10983.99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0</v>
      </c>
      <c r="AD620" s="36"/>
      <c r="AE620" s="36">
        <v>0</v>
      </c>
      <c r="AF620" s="36"/>
      <c r="AG620" s="36">
        <v>0</v>
      </c>
      <c r="AH620" s="36"/>
      <c r="AI620" s="36">
        <f t="shared" si="52"/>
        <v>315368.48</v>
      </c>
      <c r="AJ620" s="24"/>
      <c r="AK620" s="15" t="str">
        <f>'Gen Rev'!A620</f>
        <v>Tiltonsville</v>
      </c>
      <c r="AL620" s="15" t="str">
        <f t="shared" si="49"/>
        <v>Tiltonsville</v>
      </c>
      <c r="AM620" s="15" t="b">
        <f t="shared" si="50"/>
        <v>1</v>
      </c>
    </row>
    <row r="621" spans="1:39" s="31" customFormat="1" ht="12.75">
      <c r="A621" s="15" t="s">
        <v>434</v>
      </c>
      <c r="B621" s="15"/>
      <c r="C621" s="15" t="s">
        <v>430</v>
      </c>
      <c r="D621" s="15"/>
      <c r="E621" s="85">
        <v>271707.22</v>
      </c>
      <c r="F621" s="85"/>
      <c r="G621" s="85">
        <v>75531.92</v>
      </c>
      <c r="H621" s="85"/>
      <c r="I621" s="85">
        <f>58277.39+30253.8</f>
        <v>88531.19</v>
      </c>
      <c r="J621" s="85"/>
      <c r="K621" s="85">
        <v>0</v>
      </c>
      <c r="L621" s="85"/>
      <c r="M621" s="85">
        <v>7105</v>
      </c>
      <c r="N621" s="85"/>
      <c r="O621" s="85">
        <v>8377.88</v>
      </c>
      <c r="P621" s="85"/>
      <c r="Q621" s="85">
        <f>271.01+9.34</f>
        <v>280.34999999999997</v>
      </c>
      <c r="R621" s="85"/>
      <c r="S621" s="85">
        <f>65530.31+4832</f>
        <v>70362.31</v>
      </c>
      <c r="T621" s="85"/>
      <c r="U621" s="85">
        <v>0</v>
      </c>
      <c r="V621" s="85"/>
      <c r="W621" s="85">
        <v>0</v>
      </c>
      <c r="X621" s="85"/>
      <c r="Y621" s="85">
        <v>0</v>
      </c>
      <c r="Z621" s="85"/>
      <c r="AA621" s="85">
        <v>37114.75</v>
      </c>
      <c r="AB621" s="85"/>
      <c r="AC621" s="85">
        <v>0</v>
      </c>
      <c r="AD621" s="85"/>
      <c r="AE621" s="85">
        <v>0</v>
      </c>
      <c r="AF621" s="85"/>
      <c r="AG621" s="85">
        <v>0</v>
      </c>
      <c r="AH621" s="85"/>
      <c r="AI621" s="85">
        <f t="shared" si="51"/>
        <v>559010.6199999999</v>
      </c>
      <c r="AJ621" s="24"/>
      <c r="AK621" s="15" t="str">
        <f>'Gen Rev'!A621</f>
        <v>Timberlake</v>
      </c>
      <c r="AL621" s="15" t="str">
        <f t="shared" si="49"/>
        <v>Timberlake</v>
      </c>
      <c r="AM621" s="15" t="b">
        <f t="shared" si="50"/>
        <v>1</v>
      </c>
    </row>
    <row r="622" spans="1:42" s="29" customFormat="1" ht="12.75">
      <c r="A622" s="24" t="s">
        <v>857</v>
      </c>
      <c r="B622" s="24"/>
      <c r="C622" s="24" t="s">
        <v>760</v>
      </c>
      <c r="D622" s="24"/>
      <c r="E622" s="95">
        <v>5007.62</v>
      </c>
      <c r="F622" s="95"/>
      <c r="G622" s="95">
        <v>0</v>
      </c>
      <c r="H622" s="95"/>
      <c r="I622" s="95">
        <v>22664.41</v>
      </c>
      <c r="J622" s="95"/>
      <c r="K622" s="95">
        <v>0</v>
      </c>
      <c r="L622" s="95"/>
      <c r="M622" s="95">
        <v>200</v>
      </c>
      <c r="N622" s="95"/>
      <c r="O622" s="95">
        <v>0</v>
      </c>
      <c r="P622" s="95"/>
      <c r="Q622" s="95">
        <v>14.26</v>
      </c>
      <c r="R622" s="95"/>
      <c r="S622" s="95">
        <v>0</v>
      </c>
      <c r="T622" s="95"/>
      <c r="U622" s="95">
        <v>0</v>
      </c>
      <c r="V622" s="95"/>
      <c r="W622" s="95">
        <v>0</v>
      </c>
      <c r="X622" s="95"/>
      <c r="Y622" s="95">
        <v>0</v>
      </c>
      <c r="Z622" s="95"/>
      <c r="AA622" s="95">
        <v>0</v>
      </c>
      <c r="AB622" s="95"/>
      <c r="AC622" s="95">
        <v>0</v>
      </c>
      <c r="AD622" s="95"/>
      <c r="AE622" s="95">
        <v>0</v>
      </c>
      <c r="AF622" s="95"/>
      <c r="AG622" s="95">
        <v>0</v>
      </c>
      <c r="AH622" s="95"/>
      <c r="AI622" s="95">
        <f>SUM(E622:AG622)</f>
        <v>27886.289999999997</v>
      </c>
      <c r="AJ622" s="24"/>
      <c r="AK622" s="15" t="str">
        <f>'Gen Rev'!A622</f>
        <v>Tiro</v>
      </c>
      <c r="AL622" s="15" t="str">
        <f t="shared" si="49"/>
        <v>Tiro</v>
      </c>
      <c r="AM622" s="15" t="b">
        <f t="shared" si="50"/>
        <v>1</v>
      </c>
      <c r="AN622" s="74"/>
      <c r="AO622" s="74"/>
      <c r="AP622" s="74"/>
    </row>
    <row r="623" spans="1:42" s="29" customFormat="1" ht="12.75">
      <c r="A623" s="24"/>
      <c r="B623" s="24"/>
      <c r="C623" s="24"/>
      <c r="D623" s="24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83" t="s">
        <v>864</v>
      </c>
      <c r="AJ623" s="24"/>
      <c r="AK623" s="15"/>
      <c r="AL623" s="15"/>
      <c r="AM623" s="15"/>
      <c r="AN623" s="74"/>
      <c r="AO623" s="74"/>
      <c r="AP623" s="74"/>
    </row>
    <row r="624" spans="1:39" ht="12.75">
      <c r="A624" s="15" t="s">
        <v>609</v>
      </c>
      <c r="C624" s="15" t="s">
        <v>603</v>
      </c>
      <c r="E624" s="102">
        <v>21885.85</v>
      </c>
      <c r="F624" s="102"/>
      <c r="G624" s="102">
        <v>70933.85</v>
      </c>
      <c r="H624" s="102"/>
      <c r="I624" s="102">
        <v>172586.48</v>
      </c>
      <c r="J624" s="102"/>
      <c r="K624" s="102">
        <v>8527.26</v>
      </c>
      <c r="L624" s="102"/>
      <c r="M624" s="102">
        <v>0</v>
      </c>
      <c r="N624" s="102"/>
      <c r="O624" s="102">
        <v>4047.31</v>
      </c>
      <c r="P624" s="102"/>
      <c r="Q624" s="102">
        <v>448.18</v>
      </c>
      <c r="R624" s="102"/>
      <c r="S624" s="102">
        <v>3681.44</v>
      </c>
      <c r="T624" s="102"/>
      <c r="U624" s="102">
        <v>0</v>
      </c>
      <c r="V624" s="102"/>
      <c r="W624" s="102">
        <v>0</v>
      </c>
      <c r="X624" s="102"/>
      <c r="Y624" s="102">
        <v>0</v>
      </c>
      <c r="Z624" s="102"/>
      <c r="AA624" s="102">
        <v>0</v>
      </c>
      <c r="AB624" s="102"/>
      <c r="AC624" s="102">
        <v>0</v>
      </c>
      <c r="AD624" s="102"/>
      <c r="AE624" s="102">
        <v>0</v>
      </c>
      <c r="AF624" s="102"/>
      <c r="AG624" s="102">
        <v>0</v>
      </c>
      <c r="AH624" s="102"/>
      <c r="AI624" s="102">
        <f>SUM(E624:AG624)</f>
        <v>282110.37000000005</v>
      </c>
      <c r="AJ624" s="24"/>
      <c r="AK624" s="15" t="str">
        <f>'Gen Rev'!A623</f>
        <v>Tontogany</v>
      </c>
      <c r="AL624" s="15" t="str">
        <f t="shared" si="49"/>
        <v>Tontogany</v>
      </c>
      <c r="AM624" s="15" t="b">
        <f t="shared" si="50"/>
        <v>1</v>
      </c>
    </row>
    <row r="625" spans="1:39" ht="12.75">
      <c r="A625" s="15" t="s">
        <v>961</v>
      </c>
      <c r="C625" s="15" t="s">
        <v>271</v>
      </c>
      <c r="E625" s="83">
        <v>30030</v>
      </c>
      <c r="F625" s="83"/>
      <c r="G625" s="83">
        <v>0</v>
      </c>
      <c r="H625" s="83"/>
      <c r="I625" s="83">
        <v>34907.98</v>
      </c>
      <c r="J625" s="83"/>
      <c r="K625" s="83">
        <v>1505.59</v>
      </c>
      <c r="L625" s="83"/>
      <c r="M625" s="83">
        <v>0</v>
      </c>
      <c r="N625" s="83"/>
      <c r="O625" s="83">
        <v>3608</v>
      </c>
      <c r="P625" s="83"/>
      <c r="Q625" s="83">
        <v>0</v>
      </c>
      <c r="R625" s="83"/>
      <c r="S625" s="83">
        <v>16041.57</v>
      </c>
      <c r="T625" s="83"/>
      <c r="U625" s="85">
        <v>0</v>
      </c>
      <c r="V625" s="85"/>
      <c r="W625" s="85">
        <v>0</v>
      </c>
      <c r="X625" s="85"/>
      <c r="Y625" s="85">
        <v>0</v>
      </c>
      <c r="Z625" s="85"/>
      <c r="AA625" s="85">
        <v>0</v>
      </c>
      <c r="AB625" s="85"/>
      <c r="AC625" s="85">
        <v>0</v>
      </c>
      <c r="AD625" s="85"/>
      <c r="AE625" s="85">
        <v>0</v>
      </c>
      <c r="AF625" s="85"/>
      <c r="AG625" s="85">
        <v>0</v>
      </c>
      <c r="AH625" s="85"/>
      <c r="AI625" s="85">
        <f t="shared" si="51"/>
        <v>86093.14000000001</v>
      </c>
      <c r="AJ625" s="24"/>
      <c r="AK625" s="15" t="str">
        <f>'Gen Rev'!A624</f>
        <v>Trimble</v>
      </c>
      <c r="AL625" s="15" t="str">
        <f t="shared" si="49"/>
        <v>Trimble</v>
      </c>
      <c r="AM625" s="15" t="b">
        <f t="shared" si="50"/>
        <v>1</v>
      </c>
    </row>
    <row r="626" spans="1:39" ht="12.75">
      <c r="A626" s="15" t="s">
        <v>562</v>
      </c>
      <c r="C626" s="15" t="s">
        <v>562</v>
      </c>
      <c r="E626" s="36">
        <v>118914.7</v>
      </c>
      <c r="F626" s="36"/>
      <c r="G626" s="36">
        <v>65153.3</v>
      </c>
      <c r="H626" s="36"/>
      <c r="I626" s="36">
        <v>70979.21</v>
      </c>
      <c r="J626" s="36"/>
      <c r="K626" s="36">
        <v>992.46</v>
      </c>
      <c r="L626" s="36"/>
      <c r="M626" s="36">
        <v>57509.38</v>
      </c>
      <c r="N626" s="36"/>
      <c r="O626" s="36">
        <v>1263</v>
      </c>
      <c r="P626" s="36"/>
      <c r="Q626" s="36">
        <v>2975.41</v>
      </c>
      <c r="R626" s="36"/>
      <c r="S626" s="36">
        <v>13849.26</v>
      </c>
      <c r="T626" s="36"/>
      <c r="U626" s="36">
        <v>0</v>
      </c>
      <c r="V626" s="36"/>
      <c r="W626" s="36">
        <v>0</v>
      </c>
      <c r="X626" s="36"/>
      <c r="Y626" s="36">
        <v>0</v>
      </c>
      <c r="Z626" s="36"/>
      <c r="AA626" s="36">
        <v>0</v>
      </c>
      <c r="AB626" s="36"/>
      <c r="AC626" s="36">
        <v>0</v>
      </c>
      <c r="AD626" s="36"/>
      <c r="AE626" s="36">
        <v>25.83</v>
      </c>
      <c r="AF626" s="36"/>
      <c r="AG626" s="36">
        <v>0</v>
      </c>
      <c r="AH626" s="36"/>
      <c r="AI626" s="36">
        <f>SUM(E626:AG626)</f>
        <v>331662.55</v>
      </c>
      <c r="AJ626" s="24"/>
      <c r="AK626" s="15" t="str">
        <f>'Gen Rev'!A625</f>
        <v>Tuscarawas</v>
      </c>
      <c r="AL626" s="15" t="str">
        <f t="shared" si="49"/>
        <v>Tuscarawas</v>
      </c>
      <c r="AM626" s="15" t="b">
        <f t="shared" si="50"/>
        <v>1</v>
      </c>
    </row>
    <row r="627" spans="1:42" ht="12.6" customHeight="1">
      <c r="A627" s="15" t="s">
        <v>337</v>
      </c>
      <c r="C627" s="15" t="s">
        <v>329</v>
      </c>
      <c r="E627" s="85">
        <v>211624</v>
      </c>
      <c r="F627" s="85"/>
      <c r="G627" s="85">
        <v>224776</v>
      </c>
      <c r="H627" s="85"/>
      <c r="I627" s="85">
        <v>147360</v>
      </c>
      <c r="J627" s="85"/>
      <c r="K627" s="85">
        <v>0</v>
      </c>
      <c r="L627" s="85"/>
      <c r="M627" s="85">
        <v>566054</v>
      </c>
      <c r="N627" s="85"/>
      <c r="O627" s="85">
        <v>64538</v>
      </c>
      <c r="P627" s="85"/>
      <c r="Q627" s="85">
        <v>1198</v>
      </c>
      <c r="R627" s="85"/>
      <c r="S627" s="85">
        <v>5172</v>
      </c>
      <c r="T627" s="85"/>
      <c r="U627" s="85">
        <v>0</v>
      </c>
      <c r="V627" s="85"/>
      <c r="W627" s="85">
        <v>0</v>
      </c>
      <c r="X627" s="85"/>
      <c r="Y627" s="85">
        <v>3500</v>
      </c>
      <c r="Z627" s="85"/>
      <c r="AA627" s="85">
        <v>102963</v>
      </c>
      <c r="AB627" s="85"/>
      <c r="AC627" s="85">
        <v>0</v>
      </c>
      <c r="AD627" s="85"/>
      <c r="AE627" s="85">
        <v>0</v>
      </c>
      <c r="AF627" s="85"/>
      <c r="AG627" s="85">
        <v>0</v>
      </c>
      <c r="AH627" s="85"/>
      <c r="AI627" s="85">
        <f t="shared" si="51"/>
        <v>1327185</v>
      </c>
      <c r="AJ627" s="24"/>
      <c r="AK627" s="15" t="str">
        <f>'Gen Rev'!A626</f>
        <v>Union City</v>
      </c>
      <c r="AL627" s="15" t="str">
        <f t="shared" si="49"/>
        <v>Union City</v>
      </c>
      <c r="AM627" s="15" t="b">
        <f t="shared" si="50"/>
        <v>1</v>
      </c>
      <c r="AN627" s="30"/>
      <c r="AO627" s="30"/>
      <c r="AP627" s="30"/>
    </row>
    <row r="628" spans="1:39" ht="12.75">
      <c r="A628" s="15" t="s">
        <v>571</v>
      </c>
      <c r="C628" s="15" t="s">
        <v>572</v>
      </c>
      <c r="E628" s="36">
        <v>7863.32</v>
      </c>
      <c r="F628" s="36"/>
      <c r="G628" s="36">
        <v>0</v>
      </c>
      <c r="H628" s="36"/>
      <c r="I628" s="36">
        <v>20815.09</v>
      </c>
      <c r="J628" s="36"/>
      <c r="K628" s="36">
        <v>0</v>
      </c>
      <c r="L628" s="36"/>
      <c r="M628" s="36">
        <v>720</v>
      </c>
      <c r="N628" s="36"/>
      <c r="O628" s="36">
        <v>2000</v>
      </c>
      <c r="P628" s="36"/>
      <c r="Q628" s="36">
        <v>8.65</v>
      </c>
      <c r="R628" s="36"/>
      <c r="S628" s="36">
        <v>810.99</v>
      </c>
      <c r="T628" s="36"/>
      <c r="U628" s="36">
        <v>0</v>
      </c>
      <c r="V628" s="36"/>
      <c r="W628" s="36">
        <v>0</v>
      </c>
      <c r="X628" s="36"/>
      <c r="Y628" s="36">
        <v>0</v>
      </c>
      <c r="Z628" s="36"/>
      <c r="AA628" s="36">
        <v>1000</v>
      </c>
      <c r="AB628" s="36"/>
      <c r="AC628" s="36">
        <v>0</v>
      </c>
      <c r="AD628" s="36"/>
      <c r="AE628" s="36">
        <v>0</v>
      </c>
      <c r="AF628" s="36"/>
      <c r="AG628" s="36">
        <v>0</v>
      </c>
      <c r="AH628" s="36"/>
      <c r="AI628" s="36">
        <f>SUM(E628:AG628)</f>
        <v>33218.05</v>
      </c>
      <c r="AJ628" s="24"/>
      <c r="AK628" s="15" t="str">
        <f>'Gen Rev'!A627</f>
        <v>Unionville Center</v>
      </c>
      <c r="AL628" s="15" t="str">
        <f t="shared" si="49"/>
        <v>Unionville Center</v>
      </c>
      <c r="AM628" s="15" t="b">
        <f t="shared" si="50"/>
        <v>1</v>
      </c>
    </row>
    <row r="629" spans="1:39" ht="12.75">
      <c r="A629" s="15" t="s">
        <v>13</v>
      </c>
      <c r="C629" s="15" t="s">
        <v>749</v>
      </c>
      <c r="E629" s="36">
        <v>9332.88</v>
      </c>
      <c r="F629" s="36"/>
      <c r="G629" s="36">
        <v>0</v>
      </c>
      <c r="H629" s="36"/>
      <c r="I629" s="36">
        <v>74914.05</v>
      </c>
      <c r="J629" s="36"/>
      <c r="K629" s="36">
        <v>0</v>
      </c>
      <c r="L629" s="36"/>
      <c r="M629" s="36">
        <v>0</v>
      </c>
      <c r="N629" s="36"/>
      <c r="O629" s="36">
        <v>0</v>
      </c>
      <c r="P629" s="36"/>
      <c r="Q629" s="36">
        <v>261.34</v>
      </c>
      <c r="R629" s="36"/>
      <c r="S629" s="36">
        <v>2767.86</v>
      </c>
      <c r="T629" s="36"/>
      <c r="U629" s="36">
        <v>0</v>
      </c>
      <c r="V629" s="36"/>
      <c r="W629" s="36">
        <v>0</v>
      </c>
      <c r="X629" s="36"/>
      <c r="Y629" s="36">
        <v>0</v>
      </c>
      <c r="Z629" s="36"/>
      <c r="AA629" s="36">
        <v>0</v>
      </c>
      <c r="AB629" s="36"/>
      <c r="AC629" s="36">
        <v>0</v>
      </c>
      <c r="AD629" s="36"/>
      <c r="AE629" s="36">
        <v>0</v>
      </c>
      <c r="AF629" s="36"/>
      <c r="AG629" s="36">
        <v>500</v>
      </c>
      <c r="AH629" s="36"/>
      <c r="AI629" s="36">
        <f>SUM(E629:AG629)</f>
        <v>87776.13</v>
      </c>
      <c r="AJ629" s="24"/>
      <c r="AK629" s="15" t="str">
        <f>'Gen Rev'!A628</f>
        <v>Uniopolis</v>
      </c>
      <c r="AL629" s="15" t="str">
        <f t="shared" si="49"/>
        <v>Uniopolis</v>
      </c>
      <c r="AM629" s="15" t="b">
        <f t="shared" si="50"/>
        <v>1</v>
      </c>
    </row>
    <row r="630" spans="1:39" s="31" customFormat="1" ht="12.75">
      <c r="A630" s="15" t="s">
        <v>76</v>
      </c>
      <c r="B630" s="15"/>
      <c r="C630" s="15" t="s">
        <v>768</v>
      </c>
      <c r="D630" s="15"/>
      <c r="E630" s="36">
        <v>16581.66</v>
      </c>
      <c r="F630" s="36"/>
      <c r="G630" s="36">
        <v>833273.99</v>
      </c>
      <c r="H630" s="36"/>
      <c r="I630" s="36">
        <v>275116.73</v>
      </c>
      <c r="J630" s="36"/>
      <c r="K630" s="36">
        <v>0</v>
      </c>
      <c r="L630" s="36"/>
      <c r="M630" s="36">
        <v>0</v>
      </c>
      <c r="N630" s="36"/>
      <c r="O630" s="36">
        <v>2120</v>
      </c>
      <c r="P630" s="36"/>
      <c r="Q630" s="36">
        <v>1071.57</v>
      </c>
      <c r="R630" s="36"/>
      <c r="S630" s="36">
        <v>300</v>
      </c>
      <c r="T630" s="36"/>
      <c r="U630" s="36">
        <v>0</v>
      </c>
      <c r="V630" s="36"/>
      <c r="W630" s="36">
        <v>0</v>
      </c>
      <c r="X630" s="36"/>
      <c r="Y630" s="36">
        <v>0</v>
      </c>
      <c r="Z630" s="36"/>
      <c r="AA630" s="36">
        <v>0</v>
      </c>
      <c r="AB630" s="36"/>
      <c r="AC630" s="36">
        <v>0</v>
      </c>
      <c r="AD630" s="36"/>
      <c r="AE630" s="36">
        <v>0</v>
      </c>
      <c r="AF630" s="36"/>
      <c r="AG630" s="36">
        <v>0</v>
      </c>
      <c r="AH630" s="36"/>
      <c r="AI630" s="36">
        <f>SUM(E630:AG630)</f>
        <v>1128463.95</v>
      </c>
      <c r="AJ630" s="24"/>
      <c r="AK630" s="15" t="str">
        <f>'Gen Rev'!A629</f>
        <v>Urbancrest</v>
      </c>
      <c r="AL630" s="15" t="str">
        <f t="shared" si="49"/>
        <v>Urbancrest</v>
      </c>
      <c r="AM630" s="15" t="b">
        <f t="shared" si="50"/>
        <v>1</v>
      </c>
    </row>
    <row r="631" spans="1:39" s="31" customFormat="1" ht="12.75">
      <c r="A631" s="15" t="s">
        <v>444</v>
      </c>
      <c r="B631" s="15"/>
      <c r="C631" s="15" t="s">
        <v>439</v>
      </c>
      <c r="D631" s="15"/>
      <c r="E631" s="85">
        <v>190680</v>
      </c>
      <c r="F631" s="85"/>
      <c r="G631" s="85">
        <v>461510</v>
      </c>
      <c r="H631" s="85"/>
      <c r="I631" s="85">
        <v>118986</v>
      </c>
      <c r="J631" s="85"/>
      <c r="K631" s="85">
        <v>0</v>
      </c>
      <c r="L631" s="85"/>
      <c r="M631" s="85">
        <v>135547</v>
      </c>
      <c r="N631" s="85"/>
      <c r="O631" s="85">
        <v>43106</v>
      </c>
      <c r="P631" s="85"/>
      <c r="Q631" s="85">
        <v>2426</v>
      </c>
      <c r="R631" s="85"/>
      <c r="S631" s="85">
        <v>15165</v>
      </c>
      <c r="T631" s="85"/>
      <c r="U631" s="85">
        <v>0</v>
      </c>
      <c r="V631" s="85"/>
      <c r="W631" s="85">
        <v>0</v>
      </c>
      <c r="X631" s="85"/>
      <c r="Y631" s="85">
        <v>7000</v>
      </c>
      <c r="Z631" s="85"/>
      <c r="AA631" s="85">
        <v>755516</v>
      </c>
      <c r="AB631" s="85"/>
      <c r="AC631" s="85">
        <v>0</v>
      </c>
      <c r="AD631" s="85"/>
      <c r="AE631" s="85">
        <v>0</v>
      </c>
      <c r="AF631" s="85"/>
      <c r="AG631" s="85">
        <v>0</v>
      </c>
      <c r="AH631" s="85"/>
      <c r="AI631" s="85">
        <f t="shared" si="51"/>
        <v>1729936</v>
      </c>
      <c r="AJ631" s="24"/>
      <c r="AK631" s="15" t="str">
        <f>'Gen Rev'!A630</f>
        <v>Utica</v>
      </c>
      <c r="AL631" s="15" t="str">
        <f t="shared" si="49"/>
        <v>Utica</v>
      </c>
      <c r="AM631" s="15" t="b">
        <f t="shared" si="50"/>
        <v>1</v>
      </c>
    </row>
    <row r="632" spans="1:39" ht="12.75">
      <c r="A632" s="15" t="s">
        <v>448</v>
      </c>
      <c r="C632" s="15" t="s">
        <v>446</v>
      </c>
      <c r="E632" s="85">
        <v>2951</v>
      </c>
      <c r="F632" s="85"/>
      <c r="G632" s="85">
        <v>26015</v>
      </c>
      <c r="H632" s="85"/>
      <c r="I632" s="85">
        <v>10343</v>
      </c>
      <c r="J632" s="85"/>
      <c r="K632" s="85">
        <v>0</v>
      </c>
      <c r="L632" s="85"/>
      <c r="M632" s="85">
        <v>0</v>
      </c>
      <c r="N632" s="85"/>
      <c r="O632" s="85">
        <v>1163</v>
      </c>
      <c r="P632" s="85"/>
      <c r="Q632" s="85">
        <v>271</v>
      </c>
      <c r="R632" s="85"/>
      <c r="S632" s="85">
        <v>0</v>
      </c>
      <c r="T632" s="85"/>
      <c r="U632" s="85">
        <v>0</v>
      </c>
      <c r="V632" s="85"/>
      <c r="W632" s="85">
        <v>0</v>
      </c>
      <c r="X632" s="85"/>
      <c r="Y632" s="85">
        <v>0</v>
      </c>
      <c r="Z632" s="85"/>
      <c r="AA632" s="85">
        <v>0</v>
      </c>
      <c r="AB632" s="85"/>
      <c r="AC632" s="85">
        <v>0</v>
      </c>
      <c r="AD632" s="85"/>
      <c r="AE632" s="85">
        <v>0</v>
      </c>
      <c r="AF632" s="85"/>
      <c r="AG632" s="85">
        <v>0</v>
      </c>
      <c r="AH632" s="85"/>
      <c r="AI632" s="85">
        <f t="shared" si="51"/>
        <v>40743</v>
      </c>
      <c r="AJ632" s="24"/>
      <c r="AK632" s="15" t="str">
        <f>'Gen Rev'!A631</f>
        <v>Valley Hi</v>
      </c>
      <c r="AL632" s="15" t="str">
        <f t="shared" si="49"/>
        <v>Valley Hi</v>
      </c>
      <c r="AM632" s="15" t="b">
        <f t="shared" si="50"/>
        <v>1</v>
      </c>
    </row>
    <row r="633" spans="1:42" ht="12.6" customHeight="1">
      <c r="A633" s="15" t="s">
        <v>326</v>
      </c>
      <c r="C633" s="15" t="s">
        <v>316</v>
      </c>
      <c r="E633" s="85">
        <v>1398183</v>
      </c>
      <c r="F633" s="85"/>
      <c r="G633" s="85">
        <v>10772029</v>
      </c>
      <c r="H633" s="85"/>
      <c r="I633" s="85">
        <v>1044515</v>
      </c>
      <c r="J633" s="85"/>
      <c r="K633" s="85">
        <v>0</v>
      </c>
      <c r="L633" s="85"/>
      <c r="M633" s="85">
        <v>168610</v>
      </c>
      <c r="N633" s="85"/>
      <c r="O633" s="85">
        <v>115171</v>
      </c>
      <c r="P633" s="85"/>
      <c r="Q633" s="85">
        <v>3778</v>
      </c>
      <c r="R633" s="85"/>
      <c r="S633" s="85">
        <v>99950</v>
      </c>
      <c r="T633" s="85"/>
      <c r="U633" s="85">
        <v>0</v>
      </c>
      <c r="V633" s="85"/>
      <c r="W633" s="85">
        <v>0</v>
      </c>
      <c r="X633" s="85"/>
      <c r="Y633" s="85">
        <v>0</v>
      </c>
      <c r="Z633" s="85"/>
      <c r="AA633" s="85">
        <v>887037</v>
      </c>
      <c r="AB633" s="85"/>
      <c r="AC633" s="85">
        <v>91000</v>
      </c>
      <c r="AD633" s="85"/>
      <c r="AE633" s="85">
        <v>-98000</v>
      </c>
      <c r="AF633" s="85"/>
      <c r="AG633" s="85">
        <v>0</v>
      </c>
      <c r="AH633" s="85"/>
      <c r="AI633" s="85">
        <f t="shared" si="51"/>
        <v>14482273</v>
      </c>
      <c r="AJ633" s="24"/>
      <c r="AK633" s="15" t="e">
        <f>#REF!</f>
        <v>#REF!</v>
      </c>
      <c r="AL633" s="15" t="str">
        <f t="shared" si="49"/>
        <v>Valley View</v>
      </c>
      <c r="AM633" s="15" t="e">
        <f t="shared" si="50"/>
        <v>#REF!</v>
      </c>
      <c r="AN633" s="30"/>
      <c r="AO633" s="30"/>
      <c r="AP633" s="30"/>
    </row>
    <row r="634" spans="1:39" s="31" customFormat="1" ht="12.75">
      <c r="A634" s="15" t="s">
        <v>77</v>
      </c>
      <c r="B634" s="15"/>
      <c r="C634" s="15" t="s">
        <v>768</v>
      </c>
      <c r="D634" s="15"/>
      <c r="E634" s="36">
        <v>119451.95</v>
      </c>
      <c r="F634" s="36"/>
      <c r="G634" s="36">
        <v>0</v>
      </c>
      <c r="H634" s="36"/>
      <c r="I634" s="36">
        <v>116733.75</v>
      </c>
      <c r="J634" s="36"/>
      <c r="K634" s="36">
        <v>0</v>
      </c>
      <c r="L634" s="36"/>
      <c r="M634" s="36">
        <v>0</v>
      </c>
      <c r="N634" s="36"/>
      <c r="O634" s="36">
        <v>53816.21</v>
      </c>
      <c r="P634" s="36"/>
      <c r="Q634" s="36">
        <v>67.64</v>
      </c>
      <c r="R634" s="36"/>
      <c r="S634" s="36">
        <v>4623.9</v>
      </c>
      <c r="T634" s="36"/>
      <c r="U634" s="36">
        <v>0</v>
      </c>
      <c r="V634" s="36"/>
      <c r="W634" s="36">
        <v>0</v>
      </c>
      <c r="X634" s="36"/>
      <c r="Y634" s="36">
        <v>0</v>
      </c>
      <c r="Z634" s="36"/>
      <c r="AA634" s="36">
        <v>800</v>
      </c>
      <c r="AB634" s="36"/>
      <c r="AC634" s="36">
        <v>0</v>
      </c>
      <c r="AD634" s="36"/>
      <c r="AE634" s="36">
        <v>0</v>
      </c>
      <c r="AF634" s="36"/>
      <c r="AG634" s="36">
        <v>0</v>
      </c>
      <c r="AH634" s="36"/>
      <c r="AI634" s="36">
        <f>SUM(E634:AG634)</f>
        <v>295493.45000000007</v>
      </c>
      <c r="AJ634" s="39"/>
      <c r="AK634" s="15" t="e">
        <f>#REF!</f>
        <v>#REF!</v>
      </c>
      <c r="AL634" s="15" t="str">
        <f t="shared" si="49"/>
        <v>Valleyview</v>
      </c>
      <c r="AM634" s="15" t="e">
        <f t="shared" si="50"/>
        <v>#REF!</v>
      </c>
    </row>
    <row r="635" spans="1:39" s="31" customFormat="1" ht="12.75">
      <c r="A635" s="15" t="s">
        <v>393</v>
      </c>
      <c r="B635" s="15"/>
      <c r="C635" s="15" t="s">
        <v>388</v>
      </c>
      <c r="D635" s="15"/>
      <c r="E635" s="95">
        <v>25495.65</v>
      </c>
      <c r="F635" s="95"/>
      <c r="G635" s="95">
        <v>0</v>
      </c>
      <c r="H635" s="95"/>
      <c r="I635" s="95">
        <v>93910</v>
      </c>
      <c r="J635" s="95"/>
      <c r="K635" s="95">
        <v>149425.56</v>
      </c>
      <c r="L635" s="95"/>
      <c r="M635" s="95">
        <v>6135</v>
      </c>
      <c r="N635" s="95"/>
      <c r="O635" s="95">
        <v>425</v>
      </c>
      <c r="P635" s="95"/>
      <c r="Q635" s="95">
        <v>279.47</v>
      </c>
      <c r="R635" s="95"/>
      <c r="S635" s="95">
        <v>15021.69</v>
      </c>
      <c r="T635" s="95"/>
      <c r="U635" s="95">
        <v>0</v>
      </c>
      <c r="V635" s="95"/>
      <c r="W635" s="95">
        <v>0</v>
      </c>
      <c r="X635" s="95"/>
      <c r="Y635" s="95">
        <v>0</v>
      </c>
      <c r="Z635" s="95"/>
      <c r="AA635" s="95">
        <v>0</v>
      </c>
      <c r="AB635" s="95"/>
      <c r="AC635" s="95">
        <v>0</v>
      </c>
      <c r="AD635" s="95"/>
      <c r="AE635" s="95">
        <v>0</v>
      </c>
      <c r="AF635" s="95"/>
      <c r="AG635" s="95">
        <v>0</v>
      </c>
      <c r="AH635" s="95"/>
      <c r="AI635" s="95">
        <f>SUM(E635:AG635)</f>
        <v>290692.36999999994</v>
      </c>
      <c r="AJ635" s="24"/>
      <c r="AK635" s="15" t="e">
        <f>#REF!</f>
        <v>#REF!</v>
      </c>
      <c r="AL635" s="15" t="str">
        <f t="shared" si="49"/>
        <v>Van Buren</v>
      </c>
      <c r="AM635" s="15" t="e">
        <f t="shared" si="50"/>
        <v>#REF!</v>
      </c>
    </row>
    <row r="636" spans="1:39" ht="12.75">
      <c r="A636" s="15" t="s">
        <v>394</v>
      </c>
      <c r="C636" s="15" t="s">
        <v>388</v>
      </c>
      <c r="E636" s="95">
        <v>4531.53</v>
      </c>
      <c r="F636" s="95"/>
      <c r="G636" s="95">
        <v>0</v>
      </c>
      <c r="H636" s="95"/>
      <c r="I636" s="95">
        <v>76139.11</v>
      </c>
      <c r="J636" s="95"/>
      <c r="K636" s="95">
        <v>8832.06</v>
      </c>
      <c r="L636" s="95"/>
      <c r="M636" s="95">
        <v>0</v>
      </c>
      <c r="N636" s="95"/>
      <c r="O636" s="95">
        <v>225</v>
      </c>
      <c r="P636" s="95"/>
      <c r="Q636" s="95">
        <v>374.84</v>
      </c>
      <c r="R636" s="95"/>
      <c r="S636" s="95">
        <v>3322.71</v>
      </c>
      <c r="T636" s="95"/>
      <c r="U636" s="95">
        <v>0</v>
      </c>
      <c r="V636" s="95"/>
      <c r="W636" s="95">
        <v>0</v>
      </c>
      <c r="X636" s="95"/>
      <c r="Y636" s="95">
        <v>0</v>
      </c>
      <c r="Z636" s="95"/>
      <c r="AA636" s="95">
        <v>0</v>
      </c>
      <c r="AB636" s="95"/>
      <c r="AC636" s="95">
        <v>0</v>
      </c>
      <c r="AD636" s="95"/>
      <c r="AE636" s="95">
        <v>0</v>
      </c>
      <c r="AF636" s="95"/>
      <c r="AG636" s="95">
        <v>0</v>
      </c>
      <c r="AH636" s="95"/>
      <c r="AI636" s="95">
        <f>SUM(E636:AG636)</f>
        <v>93425.25</v>
      </c>
      <c r="AJ636" s="24"/>
      <c r="AK636" s="15" t="e">
        <f>#REF!</f>
        <v>#REF!</v>
      </c>
      <c r="AL636" s="15" t="str">
        <f t="shared" si="49"/>
        <v>Vanlue</v>
      </c>
      <c r="AM636" s="15" t="e">
        <f t="shared" si="50"/>
        <v>#REF!</v>
      </c>
    </row>
    <row r="637" spans="1:39" ht="12.75">
      <c r="A637" s="15" t="s">
        <v>577</v>
      </c>
      <c r="C637" s="15" t="s">
        <v>574</v>
      </c>
      <c r="E637" s="36">
        <v>5693.35</v>
      </c>
      <c r="F637" s="36"/>
      <c r="G637" s="36">
        <v>0</v>
      </c>
      <c r="H637" s="36"/>
      <c r="I637" s="36">
        <v>20971.17</v>
      </c>
      <c r="J637" s="36"/>
      <c r="K637" s="36">
        <v>0</v>
      </c>
      <c r="L637" s="36"/>
      <c r="M637" s="36">
        <v>0</v>
      </c>
      <c r="N637" s="36"/>
      <c r="O637" s="36">
        <v>0</v>
      </c>
      <c r="P637" s="36"/>
      <c r="Q637" s="36">
        <v>119.45</v>
      </c>
      <c r="R637" s="36"/>
      <c r="S637" s="36">
        <v>319.65</v>
      </c>
      <c r="T637" s="36"/>
      <c r="U637" s="36">
        <v>0</v>
      </c>
      <c r="V637" s="36"/>
      <c r="W637" s="36">
        <v>0</v>
      </c>
      <c r="X637" s="36"/>
      <c r="Y637" s="36">
        <v>0</v>
      </c>
      <c r="Z637" s="36"/>
      <c r="AA637" s="36">
        <v>0</v>
      </c>
      <c r="AB637" s="36"/>
      <c r="AC637" s="36">
        <v>0</v>
      </c>
      <c r="AD637" s="36"/>
      <c r="AE637" s="36">
        <v>0</v>
      </c>
      <c r="AF637" s="36"/>
      <c r="AG637" s="36">
        <v>0</v>
      </c>
      <c r="AH637" s="36"/>
      <c r="AI637" s="36">
        <f>SUM(E637:AG637)</f>
        <v>27103.62</v>
      </c>
      <c r="AJ637" s="24"/>
      <c r="AK637" s="15" t="e">
        <f>#REF!</f>
        <v>#REF!</v>
      </c>
      <c r="AL637" s="15" t="str">
        <f t="shared" si="49"/>
        <v>Venedocia</v>
      </c>
      <c r="AM637" s="15" t="e">
        <f t="shared" si="50"/>
        <v>#REF!</v>
      </c>
    </row>
    <row r="638" spans="1:39" ht="12.75">
      <c r="A638" s="15" t="s">
        <v>512</v>
      </c>
      <c r="C638" s="15" t="s">
        <v>510</v>
      </c>
      <c r="E638" s="85">
        <v>125834.73</v>
      </c>
      <c r="F638" s="85"/>
      <c r="G638" s="85">
        <v>0</v>
      </c>
      <c r="H638" s="85"/>
      <c r="I638" s="85">
        <v>32484.2</v>
      </c>
      <c r="J638" s="85"/>
      <c r="K638" s="85">
        <v>257.3</v>
      </c>
      <c r="L638" s="85"/>
      <c r="M638" s="85">
        <v>471511.01</v>
      </c>
      <c r="N638" s="85"/>
      <c r="O638" s="85">
        <v>2846.25</v>
      </c>
      <c r="P638" s="85"/>
      <c r="Q638" s="85">
        <v>848.56</v>
      </c>
      <c r="R638" s="85"/>
      <c r="S638" s="85">
        <v>100630.98</v>
      </c>
      <c r="T638" s="85"/>
      <c r="U638" s="85">
        <v>0</v>
      </c>
      <c r="V638" s="85"/>
      <c r="W638" s="85">
        <v>0</v>
      </c>
      <c r="X638" s="85"/>
      <c r="Y638" s="85">
        <v>0</v>
      </c>
      <c r="Z638" s="85"/>
      <c r="AA638" s="85">
        <v>91661.89</v>
      </c>
      <c r="AB638" s="85"/>
      <c r="AC638" s="85">
        <v>0</v>
      </c>
      <c r="AD638" s="85"/>
      <c r="AE638" s="85">
        <v>0</v>
      </c>
      <c r="AF638" s="85"/>
      <c r="AG638" s="85">
        <v>0</v>
      </c>
      <c r="AH638" s="85"/>
      <c r="AI638" s="85">
        <f t="shared" si="51"/>
        <v>826074.92</v>
      </c>
      <c r="AJ638" s="24"/>
      <c r="AK638" s="15" t="e">
        <f>#REF!</f>
        <v>#REF!</v>
      </c>
      <c r="AL638" s="15" t="str">
        <f t="shared" si="49"/>
        <v>Verona</v>
      </c>
      <c r="AM638" s="15" t="e">
        <f t="shared" si="50"/>
        <v>#REF!</v>
      </c>
    </row>
    <row r="639" spans="1:42" ht="12.6" customHeight="1">
      <c r="A639" s="15" t="s">
        <v>338</v>
      </c>
      <c r="C639" s="15" t="s">
        <v>329</v>
      </c>
      <c r="E639" s="85">
        <v>156114</v>
      </c>
      <c r="F639" s="85"/>
      <c r="G639" s="85">
        <v>1832410</v>
      </c>
      <c r="H639" s="85"/>
      <c r="I639" s="85">
        <v>1677009</v>
      </c>
      <c r="J639" s="85"/>
      <c r="K639" s="85">
        <v>39538</v>
      </c>
      <c r="L639" s="85"/>
      <c r="M639" s="85">
        <v>596448</v>
      </c>
      <c r="N639" s="85"/>
      <c r="O639" s="85">
        <v>16186</v>
      </c>
      <c r="P639" s="85"/>
      <c r="Q639" s="85">
        <v>39961</v>
      </c>
      <c r="R639" s="85"/>
      <c r="S639" s="85">
        <v>183117</v>
      </c>
      <c r="T639" s="85"/>
      <c r="U639" s="85">
        <v>0</v>
      </c>
      <c r="V639" s="85"/>
      <c r="W639" s="85">
        <v>0</v>
      </c>
      <c r="X639" s="85"/>
      <c r="Y639" s="85">
        <v>0</v>
      </c>
      <c r="Z639" s="85"/>
      <c r="AA639" s="85">
        <v>1061535</v>
      </c>
      <c r="AB639" s="85"/>
      <c r="AC639" s="85">
        <v>0</v>
      </c>
      <c r="AD639" s="85"/>
      <c r="AE639" s="85">
        <v>0</v>
      </c>
      <c r="AF639" s="85"/>
      <c r="AG639" s="85">
        <v>709696</v>
      </c>
      <c r="AH639" s="85"/>
      <c r="AI639" s="85">
        <f t="shared" si="51"/>
        <v>6312014</v>
      </c>
      <c r="AJ639" s="24"/>
      <c r="AK639" s="15" t="e">
        <f>#REF!</f>
        <v>#REF!</v>
      </c>
      <c r="AL639" s="15" t="str">
        <f t="shared" si="49"/>
        <v>Versailles</v>
      </c>
      <c r="AM639" s="15" t="e">
        <f t="shared" si="50"/>
        <v>#REF!</v>
      </c>
      <c r="AN639" s="30"/>
      <c r="AO639" s="30"/>
      <c r="AP639" s="30"/>
    </row>
    <row r="640" spans="1:39" ht="12.75">
      <c r="A640" s="15" t="s">
        <v>82</v>
      </c>
      <c r="C640" s="15" t="s">
        <v>770</v>
      </c>
      <c r="E640" s="36">
        <v>13785.12</v>
      </c>
      <c r="F640" s="36"/>
      <c r="G640" s="36">
        <v>0</v>
      </c>
      <c r="H640" s="36"/>
      <c r="I640" s="36">
        <v>171713.08</v>
      </c>
      <c r="J640" s="36"/>
      <c r="K640" s="36">
        <v>0</v>
      </c>
      <c r="L640" s="36"/>
      <c r="M640" s="36">
        <v>12100</v>
      </c>
      <c r="N640" s="36"/>
      <c r="O640" s="36">
        <v>225</v>
      </c>
      <c r="P640" s="36"/>
      <c r="Q640" s="36">
        <v>0</v>
      </c>
      <c r="R640" s="36"/>
      <c r="S640" s="36">
        <v>22851.78</v>
      </c>
      <c r="T640" s="36"/>
      <c r="U640" s="36">
        <v>0</v>
      </c>
      <c r="V640" s="36"/>
      <c r="W640" s="36">
        <v>0</v>
      </c>
      <c r="X640" s="36"/>
      <c r="Y640" s="36">
        <v>0</v>
      </c>
      <c r="Z640" s="36"/>
      <c r="AA640" s="36">
        <v>5</v>
      </c>
      <c r="AB640" s="36"/>
      <c r="AC640" s="36">
        <v>0</v>
      </c>
      <c r="AD640" s="36"/>
      <c r="AE640" s="36">
        <v>0</v>
      </c>
      <c r="AF640" s="36"/>
      <c r="AG640" s="36">
        <v>0</v>
      </c>
      <c r="AH640" s="36"/>
      <c r="AI640" s="36">
        <f>SUM(E640:AG640)</f>
        <v>220679.97999999998</v>
      </c>
      <c r="AJ640" s="24"/>
      <c r="AK640" s="15" t="e">
        <f>#REF!</f>
        <v>#REF!</v>
      </c>
      <c r="AL640" s="15" t="str">
        <f t="shared" si="49"/>
        <v>Vinton</v>
      </c>
      <c r="AM640" s="15" t="e">
        <f t="shared" si="50"/>
        <v>#REF!</v>
      </c>
    </row>
    <row r="641" spans="1:39" s="31" customFormat="1" ht="12.75">
      <c r="A641" s="15" t="s">
        <v>435</v>
      </c>
      <c r="B641" s="15"/>
      <c r="C641" s="15" t="s">
        <v>430</v>
      </c>
      <c r="D641" s="15"/>
      <c r="E641" s="85">
        <v>618033</v>
      </c>
      <c r="F641" s="85"/>
      <c r="G641" s="85">
        <v>0</v>
      </c>
      <c r="H641" s="85"/>
      <c r="I641" s="85">
        <v>1237534</v>
      </c>
      <c r="J641" s="85"/>
      <c r="K641" s="85">
        <v>0</v>
      </c>
      <c r="L641" s="85"/>
      <c r="M641" s="85">
        <v>0</v>
      </c>
      <c r="N641" s="85"/>
      <c r="O641" s="85">
        <v>4978</v>
      </c>
      <c r="P641" s="85"/>
      <c r="Q641" s="85">
        <v>474129</v>
      </c>
      <c r="R641" s="85"/>
      <c r="S641" s="85">
        <v>82506</v>
      </c>
      <c r="T641" s="85"/>
      <c r="U641" s="85">
        <v>0</v>
      </c>
      <c r="V641" s="85"/>
      <c r="W641" s="85">
        <v>0</v>
      </c>
      <c r="X641" s="85"/>
      <c r="Y641" s="85">
        <v>0</v>
      </c>
      <c r="Z641" s="85"/>
      <c r="AA641" s="85">
        <v>277750</v>
      </c>
      <c r="AB641" s="85"/>
      <c r="AC641" s="85">
        <v>0</v>
      </c>
      <c r="AD641" s="85"/>
      <c r="AE641" s="85">
        <v>0</v>
      </c>
      <c r="AF641" s="85"/>
      <c r="AG641" s="85">
        <v>0</v>
      </c>
      <c r="AH641" s="85"/>
      <c r="AI641" s="85">
        <f t="shared" si="51"/>
        <v>2694930</v>
      </c>
      <c r="AJ641" s="24"/>
      <c r="AK641" s="15" t="e">
        <f>#REF!</f>
        <v>#REF!</v>
      </c>
      <c r="AL641" s="15" t="str">
        <f t="shared" si="49"/>
        <v>Waite Hill</v>
      </c>
      <c r="AM641" s="15" t="e">
        <f t="shared" si="50"/>
        <v>#REF!</v>
      </c>
    </row>
    <row r="642" spans="1:39" ht="12.75">
      <c r="A642" s="15" t="s">
        <v>419</v>
      </c>
      <c r="C642" s="15" t="s">
        <v>416</v>
      </c>
      <c r="E642" s="36">
        <v>75096.92</v>
      </c>
      <c r="F642" s="36"/>
      <c r="G642" s="36">
        <v>147793.88</v>
      </c>
      <c r="H642" s="36"/>
      <c r="I642" s="36">
        <v>232876.59</v>
      </c>
      <c r="J642" s="36"/>
      <c r="K642" s="36">
        <v>3553.24</v>
      </c>
      <c r="L642" s="36"/>
      <c r="M642" s="36">
        <v>0</v>
      </c>
      <c r="N642" s="36"/>
      <c r="O642" s="36">
        <v>57505.49</v>
      </c>
      <c r="P642" s="36"/>
      <c r="Q642" s="36">
        <v>175.79</v>
      </c>
      <c r="R642" s="36"/>
      <c r="S642" s="36">
        <v>2665.4</v>
      </c>
      <c r="T642" s="36"/>
      <c r="U642" s="36">
        <v>0</v>
      </c>
      <c r="V642" s="36"/>
      <c r="W642" s="36">
        <v>0</v>
      </c>
      <c r="X642" s="36"/>
      <c r="Y642" s="36">
        <v>0</v>
      </c>
      <c r="Z642" s="36"/>
      <c r="AA642" s="36">
        <v>63500</v>
      </c>
      <c r="AB642" s="36"/>
      <c r="AC642" s="36">
        <v>0</v>
      </c>
      <c r="AD642" s="36"/>
      <c r="AE642" s="36">
        <v>28421.45</v>
      </c>
      <c r="AF642" s="36"/>
      <c r="AG642" s="36">
        <v>0</v>
      </c>
      <c r="AH642" s="36"/>
      <c r="AI642" s="36">
        <f aca="true" t="shared" si="53" ref="AI642:AI647">SUM(E642:AG642)</f>
        <v>611588.76</v>
      </c>
      <c r="AJ642" s="24"/>
      <c r="AK642" s="15" t="e">
        <f>#REF!</f>
        <v>#REF!</v>
      </c>
      <c r="AL642" s="15" t="str">
        <f t="shared" si="49"/>
        <v>Wakeman</v>
      </c>
      <c r="AM642" s="15" t="e">
        <f t="shared" si="50"/>
        <v>#REF!</v>
      </c>
    </row>
    <row r="643" spans="1:39" ht="12.75">
      <c r="A643" s="15" t="s">
        <v>261</v>
      </c>
      <c r="C643" s="15" t="s">
        <v>825</v>
      </c>
      <c r="E643" s="36">
        <v>84566.1</v>
      </c>
      <c r="F643" s="36"/>
      <c r="G643" s="36">
        <v>780620.39</v>
      </c>
      <c r="H643" s="36"/>
      <c r="I643" s="36">
        <v>319404.47</v>
      </c>
      <c r="J643" s="36"/>
      <c r="K643" s="36">
        <v>29623.68</v>
      </c>
      <c r="L643" s="36"/>
      <c r="M643" s="36">
        <v>25904.98</v>
      </c>
      <c r="N643" s="36"/>
      <c r="O643" s="36">
        <v>50738.53</v>
      </c>
      <c r="P643" s="36"/>
      <c r="Q643" s="36">
        <v>10283.94</v>
      </c>
      <c r="R643" s="36"/>
      <c r="S643" s="36">
        <v>44662.71</v>
      </c>
      <c r="T643" s="36"/>
      <c r="U643" s="36">
        <v>0</v>
      </c>
      <c r="V643" s="36"/>
      <c r="W643" s="36">
        <v>0</v>
      </c>
      <c r="X643" s="36"/>
      <c r="Y643" s="36">
        <v>0</v>
      </c>
      <c r="Z643" s="36"/>
      <c r="AA643" s="36">
        <v>0</v>
      </c>
      <c r="AB643" s="36"/>
      <c r="AC643" s="36">
        <v>0</v>
      </c>
      <c r="AD643" s="36"/>
      <c r="AE643" s="36">
        <v>0</v>
      </c>
      <c r="AF643" s="36"/>
      <c r="AG643" s="36">
        <v>0</v>
      </c>
      <c r="AH643" s="36"/>
      <c r="AI643" s="36">
        <f t="shared" si="53"/>
        <v>1345804.7999999998</v>
      </c>
      <c r="AJ643" s="24"/>
      <c r="AK643" s="15" t="str">
        <f>'Gen Rev'!A643</f>
        <v>Walbridge</v>
      </c>
      <c r="AL643" s="15" t="str">
        <f t="shared" si="49"/>
        <v>Walbridge</v>
      </c>
      <c r="AM643" s="15" t="b">
        <f t="shared" si="50"/>
        <v>1</v>
      </c>
    </row>
    <row r="644" spans="1:39" s="72" customFormat="1" ht="12.75">
      <c r="A644" s="39" t="s">
        <v>151</v>
      </c>
      <c r="B644" s="39"/>
      <c r="C644" s="39" t="s">
        <v>791</v>
      </c>
      <c r="D644" s="39"/>
      <c r="E644" s="36">
        <v>37647.97</v>
      </c>
      <c r="F644" s="36"/>
      <c r="G644" s="36">
        <v>0</v>
      </c>
      <c r="H644" s="36"/>
      <c r="I644" s="36">
        <v>34247.45</v>
      </c>
      <c r="J644" s="36"/>
      <c r="K644" s="36">
        <v>0</v>
      </c>
      <c r="L644" s="36"/>
      <c r="M644" s="36">
        <v>0</v>
      </c>
      <c r="N644" s="36"/>
      <c r="O644" s="36">
        <v>507</v>
      </c>
      <c r="P644" s="36"/>
      <c r="Q644" s="36">
        <v>2633.7</v>
      </c>
      <c r="R644" s="36"/>
      <c r="S644" s="36">
        <f>4236.62+52247.5</f>
        <v>56484.12</v>
      </c>
      <c r="T644" s="36"/>
      <c r="U644" s="36">
        <v>0</v>
      </c>
      <c r="V644" s="36"/>
      <c r="W644" s="36">
        <v>0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v>0</v>
      </c>
      <c r="AF644" s="36"/>
      <c r="AG644" s="36">
        <v>0</v>
      </c>
      <c r="AH644" s="36"/>
      <c r="AI644" s="36">
        <f t="shared" si="53"/>
        <v>131520.24</v>
      </c>
      <c r="AJ644" s="39"/>
      <c r="AK644" s="15" t="str">
        <f>'Gen Rev'!A644</f>
        <v>Waldo</v>
      </c>
      <c r="AL644" s="15" t="str">
        <f t="shared" si="49"/>
        <v>Waldo</v>
      </c>
      <c r="AM644" s="15" t="b">
        <f t="shared" si="50"/>
        <v>1</v>
      </c>
    </row>
    <row r="645" spans="1:42" ht="12.75">
      <c r="A645" s="15" t="s">
        <v>50</v>
      </c>
      <c r="C645" s="15" t="s">
        <v>761</v>
      </c>
      <c r="E645" s="95">
        <v>50379.42</v>
      </c>
      <c r="F645" s="95"/>
      <c r="G645" s="95">
        <v>3377502.79</v>
      </c>
      <c r="H645" s="95"/>
      <c r="I645" s="95">
        <v>576541.34</v>
      </c>
      <c r="J645" s="95"/>
      <c r="K645" s="95">
        <v>202498.64</v>
      </c>
      <c r="L645" s="95"/>
      <c r="M645" s="95">
        <v>483973.35</v>
      </c>
      <c r="N645" s="95"/>
      <c r="O645" s="95">
        <v>227447.47</v>
      </c>
      <c r="P645" s="95"/>
      <c r="Q645" s="95">
        <v>1155.75</v>
      </c>
      <c r="R645" s="95"/>
      <c r="S645" s="95">
        <v>14682.37</v>
      </c>
      <c r="T645" s="95"/>
      <c r="U645" s="95">
        <v>0</v>
      </c>
      <c r="V645" s="95"/>
      <c r="W645" s="95">
        <v>0</v>
      </c>
      <c r="X645" s="95"/>
      <c r="Y645" s="95">
        <v>3386.41</v>
      </c>
      <c r="Z645" s="95"/>
      <c r="AA645" s="95">
        <v>575000</v>
      </c>
      <c r="AB645" s="95"/>
      <c r="AC645" s="95">
        <v>0</v>
      </c>
      <c r="AD645" s="95"/>
      <c r="AE645" s="95">
        <v>0</v>
      </c>
      <c r="AF645" s="95"/>
      <c r="AG645" s="95">
        <v>0</v>
      </c>
      <c r="AH645" s="95"/>
      <c r="AI645" s="95">
        <f t="shared" si="53"/>
        <v>5512567.539999999</v>
      </c>
      <c r="AJ645" s="24"/>
      <c r="AK645" s="15" t="str">
        <f>'Gen Rev'!A645</f>
        <v>Walton Hills</v>
      </c>
      <c r="AL645" s="15" t="str">
        <f t="shared" si="49"/>
        <v>Walton Hills</v>
      </c>
      <c r="AM645" s="15" t="b">
        <f t="shared" si="50"/>
        <v>1</v>
      </c>
      <c r="AN645" s="30"/>
      <c r="AO645" s="30"/>
      <c r="AP645" s="30"/>
    </row>
    <row r="646" spans="1:42" s="31" customFormat="1" ht="12.75">
      <c r="A646" s="15" t="s">
        <v>848</v>
      </c>
      <c r="B646" s="15"/>
      <c r="C646" s="15" t="s">
        <v>759</v>
      </c>
      <c r="D646" s="15"/>
      <c r="E646" s="36">
        <v>58219.63</v>
      </c>
      <c r="F646" s="36"/>
      <c r="G646" s="36">
        <v>0</v>
      </c>
      <c r="H646" s="36"/>
      <c r="I646" s="36">
        <v>73961.18</v>
      </c>
      <c r="J646" s="36"/>
      <c r="K646" s="36">
        <v>0</v>
      </c>
      <c r="L646" s="36"/>
      <c r="M646" s="36">
        <v>101799.11</v>
      </c>
      <c r="N646" s="36"/>
      <c r="O646" s="36">
        <v>4997.07</v>
      </c>
      <c r="P646" s="36"/>
      <c r="Q646" s="36">
        <v>2939.12</v>
      </c>
      <c r="R646" s="36"/>
      <c r="S646" s="36">
        <v>37389.6</v>
      </c>
      <c r="T646" s="36"/>
      <c r="U646" s="36">
        <v>0</v>
      </c>
      <c r="V646" s="36"/>
      <c r="W646" s="36">
        <v>0</v>
      </c>
      <c r="X646" s="36"/>
      <c r="Y646" s="36">
        <v>0</v>
      </c>
      <c r="Z646" s="36"/>
      <c r="AA646" s="36">
        <v>0</v>
      </c>
      <c r="AB646" s="36"/>
      <c r="AC646" s="36">
        <v>0</v>
      </c>
      <c r="AD646" s="36"/>
      <c r="AE646" s="36">
        <v>13574.47</v>
      </c>
      <c r="AF646" s="36"/>
      <c r="AG646" s="36">
        <v>0</v>
      </c>
      <c r="AH646" s="36"/>
      <c r="AI646" s="36">
        <f t="shared" si="53"/>
        <v>292880.17999999993</v>
      </c>
      <c r="AJ646" s="24"/>
      <c r="AK646" s="15" t="str">
        <f>'Gen Rev'!A646</f>
        <v>Warsaw</v>
      </c>
      <c r="AL646" s="15" t="str">
        <f t="shared" si="49"/>
        <v>Warsaw</v>
      </c>
      <c r="AM646" s="15" t="b">
        <f t="shared" si="50"/>
        <v>1</v>
      </c>
      <c r="AN646" s="32"/>
      <c r="AO646" s="32"/>
      <c r="AP646" s="32"/>
    </row>
    <row r="647" spans="1:42" ht="12.75">
      <c r="A647" s="15" t="s">
        <v>48</v>
      </c>
      <c r="C647" s="15" t="s">
        <v>758</v>
      </c>
      <c r="E647" s="36">
        <v>102860.95</v>
      </c>
      <c r="F647" s="36"/>
      <c r="G647" s="36">
        <v>0</v>
      </c>
      <c r="H647" s="36"/>
      <c r="I647" s="36">
        <v>69261.96</v>
      </c>
      <c r="J647" s="36"/>
      <c r="K647" s="36">
        <v>0</v>
      </c>
      <c r="L647" s="36"/>
      <c r="M647" s="36">
        <v>0</v>
      </c>
      <c r="N647" s="36"/>
      <c r="O647" s="36">
        <v>47473.26</v>
      </c>
      <c r="P647" s="36"/>
      <c r="Q647" s="36">
        <v>541.92</v>
      </c>
      <c r="R647" s="36"/>
      <c r="S647" s="36">
        <v>1341.08</v>
      </c>
      <c r="T647" s="36"/>
      <c r="U647" s="36">
        <v>0</v>
      </c>
      <c r="V647" s="36"/>
      <c r="W647" s="36">
        <v>0</v>
      </c>
      <c r="X647" s="36"/>
      <c r="Y647" s="36">
        <v>0</v>
      </c>
      <c r="Z647" s="36"/>
      <c r="AA647" s="36">
        <v>0</v>
      </c>
      <c r="AB647" s="36"/>
      <c r="AC647" s="36">
        <v>0</v>
      </c>
      <c r="AD647" s="36"/>
      <c r="AE647" s="36">
        <v>0</v>
      </c>
      <c r="AF647" s="36"/>
      <c r="AG647" s="36">
        <v>0</v>
      </c>
      <c r="AH647" s="36"/>
      <c r="AI647" s="36">
        <f t="shared" si="53"/>
        <v>221479.17</v>
      </c>
      <c r="AJ647" s="24"/>
      <c r="AK647" s="15" t="str">
        <f>'Gen Rev'!A647</f>
        <v>Washingtonville</v>
      </c>
      <c r="AL647" s="15" t="str">
        <f t="shared" si="49"/>
        <v>Washingtonville</v>
      </c>
      <c r="AM647" s="15" t="b">
        <f t="shared" si="50"/>
        <v>1</v>
      </c>
      <c r="AN647" s="30"/>
      <c r="AO647" s="30"/>
      <c r="AP647" s="30"/>
    </row>
    <row r="648" spans="1:39" s="31" customFormat="1" ht="12.75" hidden="1">
      <c r="A648" s="15" t="s">
        <v>457</v>
      </c>
      <c r="B648" s="15"/>
      <c r="C648" s="15" t="s">
        <v>455</v>
      </c>
      <c r="D648" s="1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>
        <f t="shared" si="51"/>
        <v>0</v>
      </c>
      <c r="AJ648" s="24"/>
      <c r="AK648" s="15" t="str">
        <f>'Gen Rev'!A648</f>
        <v>Waterville</v>
      </c>
      <c r="AL648" s="15" t="str">
        <f t="shared" si="49"/>
        <v>Waterville</v>
      </c>
      <c r="AM648" s="15" t="b">
        <f t="shared" si="50"/>
        <v>1</v>
      </c>
    </row>
    <row r="649" spans="1:42" ht="12.6" customHeight="1">
      <c r="A649" s="15" t="s">
        <v>590</v>
      </c>
      <c r="C649" s="15" t="s">
        <v>603</v>
      </c>
      <c r="E649" s="85">
        <v>104345.69</v>
      </c>
      <c r="F649" s="85"/>
      <c r="G649" s="85">
        <v>0</v>
      </c>
      <c r="H649" s="85"/>
      <c r="I649" s="85">
        <v>71837.09</v>
      </c>
      <c r="J649" s="85"/>
      <c r="K649" s="85">
        <v>14270.98</v>
      </c>
      <c r="L649" s="85"/>
      <c r="M649" s="85">
        <v>59171.1</v>
      </c>
      <c r="N649" s="85"/>
      <c r="O649" s="85">
        <v>23076.85</v>
      </c>
      <c r="P649" s="85"/>
      <c r="Q649" s="85">
        <v>120.82</v>
      </c>
      <c r="R649" s="85"/>
      <c r="S649" s="85">
        <v>13217.7</v>
      </c>
      <c r="T649" s="85"/>
      <c r="U649" s="85">
        <v>0</v>
      </c>
      <c r="V649" s="85"/>
      <c r="W649" s="85">
        <v>0</v>
      </c>
      <c r="X649" s="85"/>
      <c r="Y649" s="85">
        <v>0</v>
      </c>
      <c r="Z649" s="85"/>
      <c r="AA649" s="85">
        <v>0</v>
      </c>
      <c r="AB649" s="85"/>
      <c r="AC649" s="85">
        <v>0</v>
      </c>
      <c r="AD649" s="85"/>
      <c r="AE649" s="85">
        <v>0</v>
      </c>
      <c r="AF649" s="86"/>
      <c r="AG649" s="85">
        <v>0</v>
      </c>
      <c r="AH649" s="86"/>
      <c r="AI649" s="85">
        <f t="shared" si="51"/>
        <v>286040.23000000004</v>
      </c>
      <c r="AJ649" s="24"/>
      <c r="AK649" s="15" t="str">
        <f>'Gen Rev'!A649</f>
        <v>Wayne</v>
      </c>
      <c r="AL649" s="15" t="str">
        <f t="shared" si="49"/>
        <v>Wayne</v>
      </c>
      <c r="AM649" s="15" t="b">
        <f t="shared" si="50"/>
        <v>1</v>
      </c>
      <c r="AN649" s="30"/>
      <c r="AO649" s="30"/>
      <c r="AP649" s="30"/>
    </row>
    <row r="650" spans="1:42" ht="12" customHeight="1" hidden="1">
      <c r="A650" s="15" t="s">
        <v>339</v>
      </c>
      <c r="C650" s="15" t="s">
        <v>329</v>
      </c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6"/>
      <c r="AG650" s="85"/>
      <c r="AH650" s="86"/>
      <c r="AI650" s="85">
        <f t="shared" si="51"/>
        <v>0</v>
      </c>
      <c r="AJ650" s="24"/>
      <c r="AK650" s="15" t="str">
        <f>'Gen Rev'!A650</f>
        <v>Wayne Lakes</v>
      </c>
      <c r="AL650" s="15" t="str">
        <f t="shared" si="49"/>
        <v>Wayne Lakes</v>
      </c>
      <c r="AM650" s="15" t="b">
        <f t="shared" si="50"/>
        <v>1</v>
      </c>
      <c r="AN650" s="30"/>
      <c r="AO650" s="30"/>
      <c r="AP650" s="30"/>
    </row>
    <row r="651" spans="1:39" ht="12.75">
      <c r="A651" s="15" t="s">
        <v>549</v>
      </c>
      <c r="C651" s="15" t="s">
        <v>542</v>
      </c>
      <c r="E651" s="85">
        <v>153797</v>
      </c>
      <c r="F651" s="85"/>
      <c r="G651" s="85">
        <v>0</v>
      </c>
      <c r="H651" s="85"/>
      <c r="I651" s="85">
        <v>94353</v>
      </c>
      <c r="J651" s="85"/>
      <c r="K651" s="85">
        <v>0</v>
      </c>
      <c r="L651" s="85"/>
      <c r="M651" s="85">
        <v>74585</v>
      </c>
      <c r="N651" s="85"/>
      <c r="O651" s="85">
        <v>22083</v>
      </c>
      <c r="P651" s="85"/>
      <c r="Q651" s="85">
        <v>1845</v>
      </c>
      <c r="R651" s="85"/>
      <c r="S651" s="85">
        <v>15510</v>
      </c>
      <c r="T651" s="85"/>
      <c r="U651" s="85">
        <v>0</v>
      </c>
      <c r="V651" s="85"/>
      <c r="W651" s="85">
        <v>0</v>
      </c>
      <c r="X651" s="85"/>
      <c r="Y651" s="85">
        <v>0</v>
      </c>
      <c r="Z651" s="85"/>
      <c r="AA651" s="85">
        <v>0</v>
      </c>
      <c r="AB651" s="85"/>
      <c r="AC651" s="85">
        <v>0</v>
      </c>
      <c r="AD651" s="85"/>
      <c r="AE651" s="85">
        <v>0</v>
      </c>
      <c r="AF651" s="85"/>
      <c r="AG651" s="85">
        <v>0</v>
      </c>
      <c r="AH651" s="85"/>
      <c r="AI651" s="85">
        <f t="shared" si="51"/>
        <v>362173</v>
      </c>
      <c r="AJ651" s="24"/>
      <c r="AK651" s="15" t="str">
        <f>'Gen Rev'!A651</f>
        <v>Waynesburg</v>
      </c>
      <c r="AL651" s="15" t="str">
        <f t="shared" si="49"/>
        <v>Waynesburg</v>
      </c>
      <c r="AM651" s="15" t="b">
        <f t="shared" si="50"/>
        <v>1</v>
      </c>
    </row>
    <row r="652" spans="1:39" ht="12.75">
      <c r="A652" s="15" t="s">
        <v>14</v>
      </c>
      <c r="C652" s="15" t="s">
        <v>749</v>
      </c>
      <c r="E652" s="36">
        <v>46690.87</v>
      </c>
      <c r="F652" s="36"/>
      <c r="G652" s="36">
        <v>120204.77</v>
      </c>
      <c r="H652" s="36"/>
      <c r="I652" s="36">
        <v>107139.95</v>
      </c>
      <c r="J652" s="36"/>
      <c r="K652" s="36">
        <v>99.74</v>
      </c>
      <c r="L652" s="36"/>
      <c r="M652" s="36">
        <v>225</v>
      </c>
      <c r="N652" s="36"/>
      <c r="O652" s="36">
        <v>13776.84</v>
      </c>
      <c r="P652" s="36"/>
      <c r="Q652" s="36">
        <v>362</v>
      </c>
      <c r="R652" s="36"/>
      <c r="S652" s="36">
        <v>8137.33</v>
      </c>
      <c r="T652" s="36"/>
      <c r="U652" s="36">
        <v>0</v>
      </c>
      <c r="V652" s="36"/>
      <c r="W652" s="36">
        <v>0</v>
      </c>
      <c r="X652" s="36"/>
      <c r="Y652" s="36">
        <v>0</v>
      </c>
      <c r="Z652" s="36"/>
      <c r="AA652" s="36">
        <v>0</v>
      </c>
      <c r="AB652" s="36"/>
      <c r="AC652" s="36">
        <v>0</v>
      </c>
      <c r="AD652" s="36"/>
      <c r="AE652" s="36">
        <v>0</v>
      </c>
      <c r="AF652" s="36"/>
      <c r="AG652" s="36">
        <v>0</v>
      </c>
      <c r="AH652" s="36"/>
      <c r="AI652" s="36">
        <f>SUM(E652:AG652)</f>
        <v>296636.50000000006</v>
      </c>
      <c r="AJ652" s="24"/>
      <c r="AK652" s="15" t="str">
        <f>'Gen Rev'!A652</f>
        <v>Waynesfield</v>
      </c>
      <c r="AL652" s="15" t="str">
        <f t="shared" si="49"/>
        <v>Waynesfield</v>
      </c>
      <c r="AM652" s="15" t="b">
        <f t="shared" si="50"/>
        <v>1</v>
      </c>
    </row>
    <row r="653" spans="1:39" ht="12.75">
      <c r="A653" s="15" t="s">
        <v>585</v>
      </c>
      <c r="C653" s="15" t="s">
        <v>583</v>
      </c>
      <c r="E653" s="85">
        <f>466689+2579</f>
        <v>469268</v>
      </c>
      <c r="F653" s="85"/>
      <c r="G653" s="85">
        <v>361181</v>
      </c>
      <c r="H653" s="85"/>
      <c r="I653" s="85">
        <v>349276</v>
      </c>
      <c r="J653" s="85"/>
      <c r="K653" s="85">
        <v>0</v>
      </c>
      <c r="L653" s="85"/>
      <c r="M653" s="85">
        <v>49903</v>
      </c>
      <c r="N653" s="85"/>
      <c r="O653" s="85">
        <v>66823</v>
      </c>
      <c r="P653" s="85"/>
      <c r="Q653" s="85">
        <v>1662</v>
      </c>
      <c r="R653" s="85"/>
      <c r="S653" s="85">
        <v>5594</v>
      </c>
      <c r="T653" s="85"/>
      <c r="U653" s="85">
        <v>0</v>
      </c>
      <c r="V653" s="85"/>
      <c r="W653" s="85">
        <v>0</v>
      </c>
      <c r="X653" s="85"/>
      <c r="Y653" s="85">
        <v>0</v>
      </c>
      <c r="Z653" s="85"/>
      <c r="AA653" s="85">
        <v>39001</v>
      </c>
      <c r="AB653" s="85"/>
      <c r="AC653" s="85">
        <v>0</v>
      </c>
      <c r="AD653" s="85"/>
      <c r="AE653" s="85">
        <v>46494</v>
      </c>
      <c r="AF653" s="85"/>
      <c r="AG653" s="85">
        <v>0</v>
      </c>
      <c r="AH653" s="85"/>
      <c r="AI653" s="85">
        <f t="shared" si="51"/>
        <v>1389202</v>
      </c>
      <c r="AJ653" s="24"/>
      <c r="AK653" s="15" t="str">
        <f>'Gen Rev'!A653</f>
        <v>Waynesville</v>
      </c>
      <c r="AL653" s="15" t="str">
        <f t="shared" si="49"/>
        <v>Waynesville</v>
      </c>
      <c r="AM653" s="15" t="b">
        <f t="shared" si="50"/>
        <v>1</v>
      </c>
    </row>
    <row r="654" spans="1:39" s="31" customFormat="1" ht="12.75">
      <c r="A654" s="15" t="s">
        <v>453</v>
      </c>
      <c r="B654" s="15"/>
      <c r="C654" s="15" t="s">
        <v>451</v>
      </c>
      <c r="D654" s="15"/>
      <c r="E654" s="85">
        <v>651000</v>
      </c>
      <c r="F654" s="85"/>
      <c r="G654" s="85">
        <v>1520855</v>
      </c>
      <c r="H654" s="85"/>
      <c r="I654" s="85">
        <v>527057</v>
      </c>
      <c r="J654" s="85"/>
      <c r="K654" s="85">
        <v>126072</v>
      </c>
      <c r="L654" s="85"/>
      <c r="M654" s="85">
        <v>64713</v>
      </c>
      <c r="N654" s="85"/>
      <c r="O654" s="85">
        <v>40691</v>
      </c>
      <c r="P654" s="85"/>
      <c r="Q654" s="85">
        <v>0</v>
      </c>
      <c r="R654" s="85"/>
      <c r="S654" s="85">
        <f>29956+1045+77241</f>
        <v>108242</v>
      </c>
      <c r="T654" s="85"/>
      <c r="U654" s="85">
        <v>0</v>
      </c>
      <c r="V654" s="85"/>
      <c r="W654" s="85">
        <v>0</v>
      </c>
      <c r="X654" s="85"/>
      <c r="Y654" s="85">
        <v>100000</v>
      </c>
      <c r="Z654" s="85"/>
      <c r="AA654" s="85">
        <v>0</v>
      </c>
      <c r="AB654" s="85"/>
      <c r="AC654" s="85">
        <v>0</v>
      </c>
      <c r="AD654" s="85"/>
      <c r="AE654" s="85">
        <v>0</v>
      </c>
      <c r="AF654" s="86"/>
      <c r="AG654" s="85">
        <v>0</v>
      </c>
      <c r="AH654" s="86"/>
      <c r="AI654" s="85">
        <f t="shared" si="51"/>
        <v>3138630</v>
      </c>
      <c r="AJ654" s="24"/>
      <c r="AK654" s="15" t="str">
        <f>'Gen Rev'!A654</f>
        <v>Wellington</v>
      </c>
      <c r="AL654" s="15" t="str">
        <f t="shared" si="49"/>
        <v>Wellington</v>
      </c>
      <c r="AM654" s="15" t="b">
        <f t="shared" si="50"/>
        <v>1</v>
      </c>
    </row>
    <row r="655" spans="1:42" s="31" customFormat="1" ht="12.6" customHeight="1">
      <c r="A655" s="15" t="s">
        <v>306</v>
      </c>
      <c r="B655" s="15"/>
      <c r="C655" s="15" t="s">
        <v>305</v>
      </c>
      <c r="D655" s="15"/>
      <c r="E655" s="36">
        <v>375101.04</v>
      </c>
      <c r="F655" s="36"/>
      <c r="G655" s="36">
        <v>370850.17</v>
      </c>
      <c r="H655" s="36"/>
      <c r="I655" s="36">
        <v>474398.5</v>
      </c>
      <c r="J655" s="36"/>
      <c r="K655" s="36">
        <v>0</v>
      </c>
      <c r="L655" s="36"/>
      <c r="M655" s="36">
        <v>51335</v>
      </c>
      <c r="N655" s="36"/>
      <c r="O655" s="36">
        <v>107214.25</v>
      </c>
      <c r="P655" s="36"/>
      <c r="Q655" s="36">
        <v>2885.94</v>
      </c>
      <c r="R655" s="36"/>
      <c r="S655" s="36">
        <v>42417.5</v>
      </c>
      <c r="T655" s="36"/>
      <c r="U655" s="36">
        <v>0</v>
      </c>
      <c r="V655" s="36"/>
      <c r="W655" s="36">
        <v>0</v>
      </c>
      <c r="X655" s="36"/>
      <c r="Y655" s="36">
        <v>0</v>
      </c>
      <c r="Z655" s="36"/>
      <c r="AA655" s="36">
        <v>0</v>
      </c>
      <c r="AB655" s="36"/>
      <c r="AC655" s="36">
        <v>0</v>
      </c>
      <c r="AD655" s="36"/>
      <c r="AE655" s="36">
        <v>13492</v>
      </c>
      <c r="AF655" s="36"/>
      <c r="AG655" s="36">
        <v>0</v>
      </c>
      <c r="AH655" s="36"/>
      <c r="AI655" s="36">
        <f>SUM(E655:AG655)</f>
        <v>1437694.4</v>
      </c>
      <c r="AJ655" s="24"/>
      <c r="AK655" s="15" t="str">
        <f>'Gen Rev'!A655</f>
        <v>Wellsville</v>
      </c>
      <c r="AL655" s="15" t="str">
        <f t="shared" si="49"/>
        <v>Wellsville</v>
      </c>
      <c r="AM655" s="15" t="b">
        <f t="shared" si="50"/>
        <v>1</v>
      </c>
      <c r="AN655" s="32"/>
      <c r="AO655" s="32"/>
      <c r="AP655" s="32"/>
    </row>
    <row r="656" spans="1:39" ht="12.75">
      <c r="A656" s="15" t="s">
        <v>513</v>
      </c>
      <c r="C656" s="15" t="s">
        <v>510</v>
      </c>
      <c r="E656" s="85">
        <v>121029.17</v>
      </c>
      <c r="F656" s="85"/>
      <c r="G656" s="85">
        <v>282538.09</v>
      </c>
      <c r="H656" s="85"/>
      <c r="I656" s="85">
        <v>166577.95</v>
      </c>
      <c r="J656" s="85"/>
      <c r="K656" s="85">
        <v>25514.81</v>
      </c>
      <c r="L656" s="85"/>
      <c r="M656" s="85">
        <v>366708.51</v>
      </c>
      <c r="N656" s="85"/>
      <c r="O656" s="85">
        <v>3784.58</v>
      </c>
      <c r="P656" s="85"/>
      <c r="Q656" s="85">
        <v>7266.5</v>
      </c>
      <c r="R656" s="85"/>
      <c r="S656" s="85">
        <v>16114.14</v>
      </c>
      <c r="T656" s="85"/>
      <c r="U656" s="85">
        <v>0</v>
      </c>
      <c r="V656" s="85"/>
      <c r="W656" s="85">
        <v>0</v>
      </c>
      <c r="X656" s="85"/>
      <c r="Y656" s="85">
        <v>0</v>
      </c>
      <c r="Z656" s="85"/>
      <c r="AA656" s="85">
        <v>0</v>
      </c>
      <c r="AB656" s="85"/>
      <c r="AC656" s="85">
        <v>0</v>
      </c>
      <c r="AD656" s="85"/>
      <c r="AE656" s="85">
        <v>242000</v>
      </c>
      <c r="AF656" s="85"/>
      <c r="AG656" s="85">
        <v>0</v>
      </c>
      <c r="AH656" s="85"/>
      <c r="AI656" s="85">
        <f t="shared" si="51"/>
        <v>1231533.75</v>
      </c>
      <c r="AJ656" s="24"/>
      <c r="AK656" s="15" t="str">
        <f>'Gen Rev'!A656</f>
        <v>West Alexandria</v>
      </c>
      <c r="AL656" s="15" t="str">
        <f aca="true" t="shared" si="54" ref="AL656:AL696">A656</f>
        <v>West Alexandria</v>
      </c>
      <c r="AM656" s="15" t="b">
        <f aca="true" t="shared" si="55" ref="AM656:AM696">AK656=AL656</f>
        <v>1</v>
      </c>
    </row>
    <row r="657" spans="1:39" ht="12.75">
      <c r="A657" s="15" t="s">
        <v>957</v>
      </c>
      <c r="C657" s="15" t="s">
        <v>510</v>
      </c>
      <c r="E657" s="36">
        <v>9483.76</v>
      </c>
      <c r="F657" s="36"/>
      <c r="G657" s="36">
        <v>21079.05</v>
      </c>
      <c r="H657" s="36"/>
      <c r="I657" s="36">
        <v>34759.39</v>
      </c>
      <c r="J657" s="36"/>
      <c r="K657" s="36">
        <v>13620.83</v>
      </c>
      <c r="L657" s="36"/>
      <c r="M657" s="36">
        <v>2560</v>
      </c>
      <c r="N657" s="36"/>
      <c r="O657" s="36">
        <v>4346.2</v>
      </c>
      <c r="P657" s="36"/>
      <c r="Q657" s="36">
        <v>335.73</v>
      </c>
      <c r="R657" s="36"/>
      <c r="S657" s="36">
        <v>7828.88</v>
      </c>
      <c r="T657" s="36"/>
      <c r="U657" s="36">
        <v>0</v>
      </c>
      <c r="V657" s="36"/>
      <c r="W657" s="36">
        <v>0</v>
      </c>
      <c r="X657" s="36"/>
      <c r="Y657" s="36">
        <v>0</v>
      </c>
      <c r="Z657" s="36"/>
      <c r="AA657" s="36">
        <v>0</v>
      </c>
      <c r="AB657" s="36"/>
      <c r="AC657" s="36">
        <v>0</v>
      </c>
      <c r="AD657" s="36"/>
      <c r="AE657" s="36">
        <v>0</v>
      </c>
      <c r="AF657" s="36"/>
      <c r="AG657" s="36">
        <v>0</v>
      </c>
      <c r="AH657" s="36"/>
      <c r="AI657" s="36">
        <f>SUM(E657:AG657)</f>
        <v>94013.84</v>
      </c>
      <c r="AJ657" s="24"/>
      <c r="AK657" s="15" t="str">
        <f>'Gen Rev'!A657</f>
        <v>West Elkton</v>
      </c>
      <c r="AL657" s="15" t="str">
        <f t="shared" si="54"/>
        <v>West Elkton</v>
      </c>
      <c r="AM657" s="15" t="b">
        <f t="shared" si="55"/>
        <v>1</v>
      </c>
    </row>
    <row r="658" spans="1:39" ht="12.75">
      <c r="A658" s="15" t="s">
        <v>230</v>
      </c>
      <c r="C658" s="15" t="s">
        <v>817</v>
      </c>
      <c r="E658" s="95">
        <v>42159.17</v>
      </c>
      <c r="F658" s="95"/>
      <c r="G658" s="95">
        <v>4805.87</v>
      </c>
      <c r="H658" s="95"/>
      <c r="I658" s="95">
        <v>49487.11</v>
      </c>
      <c r="J658" s="95"/>
      <c r="K658" s="95">
        <v>3391.29</v>
      </c>
      <c r="L658" s="95"/>
      <c r="M658" s="95">
        <v>0</v>
      </c>
      <c r="N658" s="95"/>
      <c r="O658" s="95">
        <v>49100.83</v>
      </c>
      <c r="P658" s="95"/>
      <c r="Q658" s="95">
        <v>231.73</v>
      </c>
      <c r="R658" s="95"/>
      <c r="S658" s="95">
        <v>1461.44</v>
      </c>
      <c r="T658" s="95"/>
      <c r="U658" s="95">
        <v>0</v>
      </c>
      <c r="V658" s="95"/>
      <c r="W658" s="95">
        <v>0</v>
      </c>
      <c r="X658" s="95"/>
      <c r="Y658" s="95">
        <v>0</v>
      </c>
      <c r="Z658" s="95"/>
      <c r="AA658" s="95">
        <v>41550</v>
      </c>
      <c r="AB658" s="95"/>
      <c r="AC658" s="95">
        <v>0</v>
      </c>
      <c r="AD658" s="95"/>
      <c r="AE658" s="95">
        <v>0</v>
      </c>
      <c r="AF658" s="95"/>
      <c r="AG658" s="95">
        <v>0</v>
      </c>
      <c r="AH658" s="95"/>
      <c r="AI658" s="95">
        <f>SUM(E658:AG658)</f>
        <v>192187.44</v>
      </c>
      <c r="AJ658" s="24"/>
      <c r="AK658" s="15" t="str">
        <f>'Gen Rev'!A658</f>
        <v>West Farmington</v>
      </c>
      <c r="AL658" s="15" t="str">
        <f t="shared" si="54"/>
        <v>West Farmington</v>
      </c>
      <c r="AM658" s="15" t="b">
        <f t="shared" si="55"/>
        <v>1</v>
      </c>
    </row>
    <row r="659" spans="1:39" ht="12.75">
      <c r="A659" s="15" t="s">
        <v>958</v>
      </c>
      <c r="C659" s="15" t="s">
        <v>432</v>
      </c>
      <c r="E659" s="36">
        <v>70303.13</v>
      </c>
      <c r="F659" s="36"/>
      <c r="G659" s="36">
        <v>2109327.75</v>
      </c>
      <c r="H659" s="36"/>
      <c r="I659" s="36">
        <v>1186434.36</v>
      </c>
      <c r="J659" s="36"/>
      <c r="K659" s="36">
        <v>215201.6</v>
      </c>
      <c r="L659" s="36"/>
      <c r="M659" s="36">
        <v>254847.67</v>
      </c>
      <c r="N659" s="36"/>
      <c r="O659" s="36">
        <v>58236.09</v>
      </c>
      <c r="P659" s="36"/>
      <c r="Q659" s="36">
        <v>32968.23</v>
      </c>
      <c r="R659" s="36"/>
      <c r="S659" s="36">
        <v>9886.49</v>
      </c>
      <c r="T659" s="36"/>
      <c r="U659" s="36">
        <v>0</v>
      </c>
      <c r="V659" s="36"/>
      <c r="W659" s="36">
        <v>0</v>
      </c>
      <c r="X659" s="36"/>
      <c r="Y659" s="36">
        <v>7660.04</v>
      </c>
      <c r="Z659" s="36"/>
      <c r="AA659" s="36">
        <v>0</v>
      </c>
      <c r="AB659" s="36"/>
      <c r="AC659" s="36">
        <v>0</v>
      </c>
      <c r="AD659" s="36"/>
      <c r="AE659" s="36">
        <v>0</v>
      </c>
      <c r="AF659" s="36"/>
      <c r="AG659" s="36">
        <v>0</v>
      </c>
      <c r="AH659" s="36"/>
      <c r="AI659" s="36">
        <f>SUM(E659:AG659)</f>
        <v>3944865.3600000003</v>
      </c>
      <c r="AJ659" s="24"/>
      <c r="AK659" s="15" t="str">
        <f>'Gen Rev'!A659</f>
        <v>West Jefferson</v>
      </c>
      <c r="AL659" s="15" t="str">
        <f t="shared" si="54"/>
        <v>West Jefferson</v>
      </c>
      <c r="AM659" s="15" t="b">
        <f t="shared" si="55"/>
        <v>1</v>
      </c>
    </row>
    <row r="660" spans="1:42" s="31" customFormat="1" ht="12.6" customHeight="1">
      <c r="A660" s="15" t="s">
        <v>310</v>
      </c>
      <c r="B660" s="15"/>
      <c r="C660" s="15" t="s">
        <v>308</v>
      </c>
      <c r="D660" s="15"/>
      <c r="E660" s="85">
        <v>163880</v>
      </c>
      <c r="F660" s="85"/>
      <c r="G660" s="85">
        <v>261682</v>
      </c>
      <c r="H660" s="85"/>
      <c r="I660" s="85">
        <v>155429</v>
      </c>
      <c r="J660" s="85"/>
      <c r="K660" s="85">
        <v>0</v>
      </c>
      <c r="L660" s="85"/>
      <c r="M660" s="85">
        <v>85759</v>
      </c>
      <c r="N660" s="85"/>
      <c r="O660" s="85">
        <v>4912</v>
      </c>
      <c r="P660" s="85"/>
      <c r="Q660" s="85">
        <v>3283</v>
      </c>
      <c r="R660" s="85"/>
      <c r="S660" s="85">
        <v>2906</v>
      </c>
      <c r="T660" s="85"/>
      <c r="U660" s="85">
        <v>0</v>
      </c>
      <c r="V660" s="85"/>
      <c r="W660" s="85">
        <v>0</v>
      </c>
      <c r="X660" s="85"/>
      <c r="Y660" s="85">
        <v>1205</v>
      </c>
      <c r="Z660" s="85"/>
      <c r="AA660" s="85">
        <v>0</v>
      </c>
      <c r="AB660" s="85"/>
      <c r="AC660" s="85">
        <v>0</v>
      </c>
      <c r="AD660" s="85"/>
      <c r="AE660" s="85">
        <v>3462</v>
      </c>
      <c r="AF660" s="85"/>
      <c r="AG660" s="85">
        <v>27774</v>
      </c>
      <c r="AH660" s="85"/>
      <c r="AI660" s="85">
        <f t="shared" si="51"/>
        <v>710292</v>
      </c>
      <c r="AJ660" s="24"/>
      <c r="AK660" s="15" t="str">
        <f>'Gen Rev'!A660</f>
        <v>West Lafayette</v>
      </c>
      <c r="AL660" s="15" t="str">
        <f t="shared" si="54"/>
        <v>West Lafayette</v>
      </c>
      <c r="AM660" s="15" t="b">
        <f t="shared" si="55"/>
        <v>1</v>
      </c>
      <c r="AN660" s="32"/>
      <c r="AO660" s="32"/>
      <c r="AP660" s="32"/>
    </row>
    <row r="661" spans="1:39" ht="12.75">
      <c r="A661" s="15" t="s">
        <v>916</v>
      </c>
      <c r="C661" s="15" t="s">
        <v>514</v>
      </c>
      <c r="E661" s="95">
        <v>8487.61</v>
      </c>
      <c r="F661" s="95"/>
      <c r="G661" s="95">
        <v>0</v>
      </c>
      <c r="H661" s="95"/>
      <c r="I661" s="95">
        <v>51727.7</v>
      </c>
      <c r="J661" s="95"/>
      <c r="K661" s="95">
        <v>0</v>
      </c>
      <c r="L661" s="95"/>
      <c r="M661" s="95">
        <v>0</v>
      </c>
      <c r="N661" s="95"/>
      <c r="O661" s="95">
        <v>0</v>
      </c>
      <c r="P661" s="95"/>
      <c r="Q661" s="95">
        <v>415</v>
      </c>
      <c r="R661" s="95"/>
      <c r="S661" s="95">
        <v>1173.28</v>
      </c>
      <c r="T661" s="95"/>
      <c r="U661" s="95">
        <v>0</v>
      </c>
      <c r="V661" s="95"/>
      <c r="W661" s="95">
        <v>0</v>
      </c>
      <c r="X661" s="95"/>
      <c r="Y661" s="95">
        <v>0</v>
      </c>
      <c r="Z661" s="95"/>
      <c r="AA661" s="95">
        <v>0</v>
      </c>
      <c r="AB661" s="95"/>
      <c r="AC661" s="95">
        <v>0</v>
      </c>
      <c r="AD661" s="95"/>
      <c r="AE661" s="95">
        <v>0</v>
      </c>
      <c r="AF661" s="95"/>
      <c r="AG661" s="95">
        <v>0</v>
      </c>
      <c r="AH661" s="95"/>
      <c r="AI661" s="95">
        <f>SUM(E661:AG661)</f>
        <v>61803.59</v>
      </c>
      <c r="AJ661" s="24"/>
      <c r="AK661" s="15" t="str">
        <f>'Gen Rev'!A661</f>
        <v>West Leipsic</v>
      </c>
      <c r="AL661" s="15" t="str">
        <f t="shared" si="54"/>
        <v>West Leipsic</v>
      </c>
      <c r="AM661" s="15" t="b">
        <f t="shared" si="55"/>
        <v>1</v>
      </c>
    </row>
    <row r="662" spans="1:39" s="31" customFormat="1" ht="12.75">
      <c r="A662" s="15" t="s">
        <v>135</v>
      </c>
      <c r="B662" s="15"/>
      <c r="C662" s="15" t="s">
        <v>786</v>
      </c>
      <c r="D662" s="15"/>
      <c r="E662" s="36">
        <v>251627.05</v>
      </c>
      <c r="F662" s="36"/>
      <c r="G662" s="36">
        <v>0</v>
      </c>
      <c r="H662" s="36"/>
      <c r="I662" s="36">
        <v>382392.99</v>
      </c>
      <c r="J662" s="36"/>
      <c r="K662" s="36">
        <v>0</v>
      </c>
      <c r="L662" s="36"/>
      <c r="M662" s="36">
        <v>141627.96</v>
      </c>
      <c r="N662" s="36"/>
      <c r="O662" s="36">
        <v>1813</v>
      </c>
      <c r="P662" s="36"/>
      <c r="Q662" s="36">
        <v>10516.4</v>
      </c>
      <c r="R662" s="36"/>
      <c r="S662" s="36">
        <v>92263.7</v>
      </c>
      <c r="T662" s="36"/>
      <c r="U662" s="36">
        <v>0</v>
      </c>
      <c r="V662" s="36"/>
      <c r="W662" s="36">
        <v>0</v>
      </c>
      <c r="X662" s="36"/>
      <c r="Y662" s="36">
        <v>0</v>
      </c>
      <c r="Z662" s="36"/>
      <c r="AA662" s="36">
        <v>35617.93</v>
      </c>
      <c r="AB662" s="36"/>
      <c r="AC662" s="36">
        <v>0</v>
      </c>
      <c r="AD662" s="36"/>
      <c r="AE662" s="36">
        <v>0</v>
      </c>
      <c r="AF662" s="36"/>
      <c r="AG662" s="36">
        <v>0</v>
      </c>
      <c r="AH662" s="36"/>
      <c r="AI662" s="36">
        <f>SUM(E662:AG662)</f>
        <v>915859.03</v>
      </c>
      <c r="AJ662" s="24"/>
      <c r="AK662" s="15" t="str">
        <f>'Gen Rev'!A662</f>
        <v>West Liberty</v>
      </c>
      <c r="AL662" s="15" t="str">
        <f t="shared" si="54"/>
        <v>West Liberty</v>
      </c>
      <c r="AM662" s="15" t="b">
        <f t="shared" si="55"/>
        <v>1</v>
      </c>
    </row>
    <row r="663" spans="1:39" s="39" customFormat="1" ht="12.75">
      <c r="A663" s="39" t="s">
        <v>917</v>
      </c>
      <c r="C663" s="39" t="s">
        <v>510</v>
      </c>
      <c r="E663" s="85">
        <v>50771.29</v>
      </c>
      <c r="F663" s="85"/>
      <c r="G663" s="85">
        <v>20406.51</v>
      </c>
      <c r="H663" s="85"/>
      <c r="I663" s="85">
        <v>667.83</v>
      </c>
      <c r="J663" s="85"/>
      <c r="K663" s="85">
        <v>60797</v>
      </c>
      <c r="L663" s="85"/>
      <c r="M663" s="85">
        <v>317938.76</v>
      </c>
      <c r="N663" s="85"/>
      <c r="O663" s="85">
        <v>615.7</v>
      </c>
      <c r="P663" s="85"/>
      <c r="Q663" s="85">
        <v>1316.65</v>
      </c>
      <c r="R663" s="85"/>
      <c r="S663" s="85">
        <v>41460.94</v>
      </c>
      <c r="T663" s="85"/>
      <c r="U663" s="85">
        <v>0</v>
      </c>
      <c r="V663" s="85"/>
      <c r="W663" s="85">
        <v>0</v>
      </c>
      <c r="X663" s="85"/>
      <c r="Y663" s="85">
        <v>0</v>
      </c>
      <c r="Z663" s="85"/>
      <c r="AA663" s="85">
        <v>146367.28</v>
      </c>
      <c r="AB663" s="85"/>
      <c r="AC663" s="85">
        <v>4500</v>
      </c>
      <c r="AD663" s="85"/>
      <c r="AE663" s="85">
        <v>0</v>
      </c>
      <c r="AF663" s="85"/>
      <c r="AG663" s="85">
        <v>0</v>
      </c>
      <c r="AH663" s="85"/>
      <c r="AI663" s="85">
        <f t="shared" si="51"/>
        <v>644841.9600000001</v>
      </c>
      <c r="AK663" s="15" t="str">
        <f>'Gen Rev'!A663</f>
        <v>West Manchester</v>
      </c>
      <c r="AL663" s="15" t="str">
        <f t="shared" si="54"/>
        <v>West Manchester</v>
      </c>
      <c r="AM663" s="15" t="b">
        <f t="shared" si="55"/>
        <v>1</v>
      </c>
    </row>
    <row r="664" spans="1:39" s="39" customFormat="1" ht="12.75">
      <c r="A664" s="39" t="s">
        <v>959</v>
      </c>
      <c r="C664" s="39" t="s">
        <v>446</v>
      </c>
      <c r="E664" s="36">
        <v>117825</v>
      </c>
      <c r="F664" s="36"/>
      <c r="G664" s="36">
        <v>0</v>
      </c>
      <c r="H664" s="36"/>
      <c r="I664" s="36">
        <v>141311.59</v>
      </c>
      <c r="J664" s="36"/>
      <c r="K664" s="36">
        <v>0</v>
      </c>
      <c r="L664" s="36"/>
      <c r="M664" s="36">
        <v>0</v>
      </c>
      <c r="N664" s="36"/>
      <c r="O664" s="36">
        <v>7045.47</v>
      </c>
      <c r="P664" s="36"/>
      <c r="Q664" s="36">
        <v>1273.51</v>
      </c>
      <c r="R664" s="36"/>
      <c r="S664" s="36">
        <v>431.43</v>
      </c>
      <c r="T664" s="36"/>
      <c r="U664" s="36">
        <v>0</v>
      </c>
      <c r="V664" s="36"/>
      <c r="W664" s="36">
        <v>31537.05</v>
      </c>
      <c r="X664" s="36"/>
      <c r="Y664" s="36">
        <v>0</v>
      </c>
      <c r="Z664" s="36"/>
      <c r="AA664" s="36">
        <v>79500</v>
      </c>
      <c r="AB664" s="36"/>
      <c r="AC664" s="36">
        <v>0</v>
      </c>
      <c r="AD664" s="36"/>
      <c r="AE664" s="36">
        <v>0</v>
      </c>
      <c r="AF664" s="36"/>
      <c r="AG664" s="36">
        <v>0</v>
      </c>
      <c r="AH664" s="36"/>
      <c r="AI664" s="36">
        <f>SUM(E664:AG664)</f>
        <v>378924.05</v>
      </c>
      <c r="AK664" s="15" t="str">
        <f>'Gen Rev'!A664</f>
        <v>West Mansfield</v>
      </c>
      <c r="AL664" s="15" t="str">
        <f t="shared" si="54"/>
        <v>West Mansfield</v>
      </c>
      <c r="AM664" s="15" t="b">
        <f t="shared" si="55"/>
        <v>1</v>
      </c>
    </row>
    <row r="665" spans="1:39" ht="12.75">
      <c r="A665" s="15" t="s">
        <v>262</v>
      </c>
      <c r="C665" s="15" t="s">
        <v>825</v>
      </c>
      <c r="E665" s="36">
        <v>12026.85</v>
      </c>
      <c r="F665" s="36"/>
      <c r="G665" s="36">
        <v>0</v>
      </c>
      <c r="H665" s="36"/>
      <c r="I665" s="36">
        <v>17258.78</v>
      </c>
      <c r="J665" s="36"/>
      <c r="K665" s="36">
        <v>3947.77</v>
      </c>
      <c r="L665" s="36"/>
      <c r="M665" s="36">
        <v>0</v>
      </c>
      <c r="N665" s="36"/>
      <c r="O665" s="36">
        <v>6726.36</v>
      </c>
      <c r="P665" s="36"/>
      <c r="Q665" s="36">
        <v>65.36</v>
      </c>
      <c r="R665" s="36"/>
      <c r="S665" s="36">
        <v>1111.56</v>
      </c>
      <c r="T665" s="36"/>
      <c r="U665" s="36">
        <v>0</v>
      </c>
      <c r="V665" s="36"/>
      <c r="W665" s="36">
        <v>0</v>
      </c>
      <c r="X665" s="36"/>
      <c r="Y665" s="36">
        <v>0</v>
      </c>
      <c r="Z665" s="36"/>
      <c r="AA665" s="36">
        <v>0</v>
      </c>
      <c r="AB665" s="36"/>
      <c r="AC665" s="36">
        <v>600</v>
      </c>
      <c r="AD665" s="36"/>
      <c r="AE665" s="36">
        <v>0</v>
      </c>
      <c r="AF665" s="36"/>
      <c r="AG665" s="36">
        <v>0</v>
      </c>
      <c r="AH665" s="36"/>
      <c r="AI665" s="36">
        <f>SUM(E665:AG665)</f>
        <v>41736.67999999999</v>
      </c>
      <c r="AJ665" s="24"/>
      <c r="AK665" s="15" t="str">
        <f>'Gen Rev'!A665</f>
        <v>West Millgrove</v>
      </c>
      <c r="AL665" s="15" t="str">
        <f t="shared" si="54"/>
        <v>West Millgrove</v>
      </c>
      <c r="AM665" s="15" t="b">
        <f t="shared" si="55"/>
        <v>1</v>
      </c>
    </row>
    <row r="666" spans="1:39" s="31" customFormat="1" ht="12.75">
      <c r="A666" s="15" t="s">
        <v>472</v>
      </c>
      <c r="B666" s="15"/>
      <c r="C666" s="15" t="s">
        <v>470</v>
      </c>
      <c r="D666" s="15"/>
      <c r="E666" s="96">
        <v>281091</v>
      </c>
      <c r="F666" s="96"/>
      <c r="G666" s="96">
        <v>877060</v>
      </c>
      <c r="H666" s="96"/>
      <c r="I666" s="96">
        <v>469337</v>
      </c>
      <c r="J666" s="96"/>
      <c r="K666" s="96">
        <v>3057</v>
      </c>
      <c r="L666" s="96"/>
      <c r="M666" s="96">
        <v>1050</v>
      </c>
      <c r="N666" s="96"/>
      <c r="O666" s="96">
        <v>72781</v>
      </c>
      <c r="P666" s="96"/>
      <c r="Q666" s="96">
        <v>5060</v>
      </c>
      <c r="R666" s="96"/>
      <c r="S666" s="96">
        <v>13970</v>
      </c>
      <c r="T666" s="96"/>
      <c r="U666" s="96">
        <v>0</v>
      </c>
      <c r="V666" s="96"/>
      <c r="W666" s="96">
        <v>0</v>
      </c>
      <c r="X666" s="96"/>
      <c r="Y666" s="96">
        <v>0</v>
      </c>
      <c r="Z666" s="96"/>
      <c r="AA666" s="96">
        <v>280132</v>
      </c>
      <c r="AB666" s="96"/>
      <c r="AC666" s="96">
        <v>0</v>
      </c>
      <c r="AD666" s="96"/>
      <c r="AE666" s="96">
        <v>14548</v>
      </c>
      <c r="AF666" s="96"/>
      <c r="AG666" s="96">
        <v>0</v>
      </c>
      <c r="AH666" s="96"/>
      <c r="AI666" s="96">
        <f t="shared" si="51"/>
        <v>2018086</v>
      </c>
      <c r="AJ666" s="24"/>
      <c r="AK666" s="15" t="str">
        <f>'Gen Rev'!A666</f>
        <v>West Milton</v>
      </c>
      <c r="AL666" s="15" t="str">
        <f t="shared" si="54"/>
        <v>West Milton</v>
      </c>
      <c r="AM666" s="15" t="b">
        <f t="shared" si="55"/>
        <v>1</v>
      </c>
    </row>
    <row r="667" spans="1:42" ht="12.6" customHeight="1">
      <c r="A667" s="15" t="s">
        <v>351</v>
      </c>
      <c r="C667" s="15" t="s">
        <v>350</v>
      </c>
      <c r="E667" s="85">
        <v>21877</v>
      </c>
      <c r="F667" s="85"/>
      <c r="G667" s="85">
        <v>0</v>
      </c>
      <c r="H667" s="85"/>
      <c r="I667" s="85">
        <v>7345</v>
      </c>
      <c r="J667" s="85"/>
      <c r="K667" s="85">
        <v>0</v>
      </c>
      <c r="L667" s="85"/>
      <c r="M667" s="85">
        <v>0</v>
      </c>
      <c r="N667" s="85"/>
      <c r="O667" s="85">
        <v>1044</v>
      </c>
      <c r="P667" s="85"/>
      <c r="Q667" s="85">
        <v>2</v>
      </c>
      <c r="R667" s="85"/>
      <c r="S667" s="85">
        <v>2377</v>
      </c>
      <c r="T667" s="85"/>
      <c r="U667" s="85">
        <v>0</v>
      </c>
      <c r="V667" s="85"/>
      <c r="W667" s="85">
        <v>0</v>
      </c>
      <c r="X667" s="85"/>
      <c r="Y667" s="85">
        <v>0</v>
      </c>
      <c r="Z667" s="85"/>
      <c r="AA667" s="85">
        <v>0</v>
      </c>
      <c r="AB667" s="85"/>
      <c r="AC667" s="85">
        <v>0</v>
      </c>
      <c r="AD667" s="85"/>
      <c r="AE667" s="85">
        <v>0</v>
      </c>
      <c r="AF667" s="86"/>
      <c r="AG667" s="85">
        <v>0</v>
      </c>
      <c r="AH667" s="86"/>
      <c r="AI667" s="85">
        <f t="shared" si="51"/>
        <v>32645</v>
      </c>
      <c r="AJ667" s="24"/>
      <c r="AK667" s="15" t="str">
        <f>'Gen Rev'!A667</f>
        <v>West Rushville</v>
      </c>
      <c r="AL667" s="15" t="str">
        <f t="shared" si="54"/>
        <v>West Rushville</v>
      </c>
      <c r="AM667" s="15" t="b">
        <f t="shared" si="55"/>
        <v>1</v>
      </c>
      <c r="AN667" s="30"/>
      <c r="AO667" s="30"/>
      <c r="AP667" s="30"/>
    </row>
    <row r="668" spans="1:39" ht="12.75">
      <c r="A668" s="15" t="s">
        <v>250</v>
      </c>
      <c r="C668" s="15" t="s">
        <v>823</v>
      </c>
      <c r="E668" s="36">
        <v>63327.82</v>
      </c>
      <c r="F668" s="36"/>
      <c r="G668" s="36">
        <v>216921.76</v>
      </c>
      <c r="H668" s="36"/>
      <c r="I668" s="36">
        <v>160063.37</v>
      </c>
      <c r="J668" s="36"/>
      <c r="K668" s="36">
        <v>2730.76</v>
      </c>
      <c r="L668" s="36"/>
      <c r="M668" s="36">
        <v>50687.6</v>
      </c>
      <c r="N668" s="36"/>
      <c r="O668" s="36">
        <v>16799</v>
      </c>
      <c r="P668" s="36"/>
      <c r="Q668" s="36">
        <v>2688.99</v>
      </c>
      <c r="R668" s="36"/>
      <c r="S668" s="36">
        <v>14438.54</v>
      </c>
      <c r="T668" s="36"/>
      <c r="U668" s="36">
        <v>31411.19</v>
      </c>
      <c r="V668" s="36"/>
      <c r="W668" s="36">
        <v>0</v>
      </c>
      <c r="X668" s="36"/>
      <c r="Y668" s="36">
        <v>0</v>
      </c>
      <c r="Z668" s="36"/>
      <c r="AA668" s="36">
        <v>105120</v>
      </c>
      <c r="AB668" s="36"/>
      <c r="AC668" s="36">
        <v>590.86</v>
      </c>
      <c r="AD668" s="36"/>
      <c r="AE668" s="36">
        <v>0</v>
      </c>
      <c r="AF668" s="36"/>
      <c r="AG668" s="36">
        <v>0</v>
      </c>
      <c r="AH668" s="36"/>
      <c r="AI668" s="36">
        <f>SUM(E668:AG668)</f>
        <v>664779.8899999999</v>
      </c>
      <c r="AJ668" s="24"/>
      <c r="AK668" s="15" t="str">
        <f>'Gen Rev'!A668</f>
        <v>West Salem</v>
      </c>
      <c r="AL668" s="15" t="str">
        <f t="shared" si="54"/>
        <v>West Salem</v>
      </c>
      <c r="AM668" s="15" t="b">
        <f t="shared" si="55"/>
        <v>1</v>
      </c>
    </row>
    <row r="669" spans="1:39" ht="12.75">
      <c r="A669" s="15" t="s">
        <v>0</v>
      </c>
      <c r="C669" s="15" t="s">
        <v>664</v>
      </c>
      <c r="E669" s="36">
        <v>128505.63</v>
      </c>
      <c r="F669" s="36"/>
      <c r="G669" s="36">
        <v>594602.43</v>
      </c>
      <c r="H669" s="36"/>
      <c r="I669" s="36">
        <v>160355.38</v>
      </c>
      <c r="J669" s="36"/>
      <c r="K669" s="36">
        <v>0</v>
      </c>
      <c r="L669" s="36"/>
      <c r="M669" s="36">
        <v>79315.39</v>
      </c>
      <c r="N669" s="36"/>
      <c r="O669" s="36">
        <v>125080.14</v>
      </c>
      <c r="P669" s="36"/>
      <c r="Q669" s="36">
        <v>2920.7</v>
      </c>
      <c r="R669" s="36"/>
      <c r="S669" s="36">
        <v>29240.27</v>
      </c>
      <c r="T669" s="36"/>
      <c r="U669" s="36">
        <v>0</v>
      </c>
      <c r="V669" s="36"/>
      <c r="W669" s="36">
        <v>0</v>
      </c>
      <c r="X669" s="36"/>
      <c r="Y669" s="36">
        <v>0</v>
      </c>
      <c r="Z669" s="36"/>
      <c r="AA669" s="36">
        <v>0</v>
      </c>
      <c r="AB669" s="36"/>
      <c r="AC669" s="36">
        <v>0</v>
      </c>
      <c r="AD669" s="36"/>
      <c r="AE669" s="36">
        <v>0</v>
      </c>
      <c r="AF669" s="36"/>
      <c r="AG669" s="36">
        <v>0</v>
      </c>
      <c r="AH669" s="36"/>
      <c r="AI669" s="36">
        <f>SUM(E669:AG669)</f>
        <v>1120019.94</v>
      </c>
      <c r="AJ669" s="24"/>
      <c r="AK669" s="15" t="str">
        <f>'Gen Rev'!A669</f>
        <v>West Union</v>
      </c>
      <c r="AL669" s="15" t="str">
        <f t="shared" si="54"/>
        <v>West Union</v>
      </c>
      <c r="AM669" s="15" t="b">
        <f t="shared" si="55"/>
        <v>1</v>
      </c>
    </row>
    <row r="670" spans="1:39" ht="12.75">
      <c r="A670" s="15" t="s">
        <v>601</v>
      </c>
      <c r="C670" s="15" t="s">
        <v>598</v>
      </c>
      <c r="E670" s="36">
        <v>174615.1</v>
      </c>
      <c r="F670" s="36"/>
      <c r="G670" s="36">
        <v>601966.53</v>
      </c>
      <c r="H670" s="36"/>
      <c r="I670" s="36">
        <v>377291.62</v>
      </c>
      <c r="J670" s="36"/>
      <c r="K670" s="36">
        <v>0</v>
      </c>
      <c r="L670" s="36"/>
      <c r="M670" s="36">
        <v>1000</v>
      </c>
      <c r="N670" s="36"/>
      <c r="O670" s="36">
        <v>26805.87</v>
      </c>
      <c r="P670" s="36"/>
      <c r="Q670" s="36">
        <v>6718.16</v>
      </c>
      <c r="R670" s="36"/>
      <c r="S670" s="36">
        <v>30464.81</v>
      </c>
      <c r="T670" s="36"/>
      <c r="U670" s="36">
        <v>0</v>
      </c>
      <c r="V670" s="36"/>
      <c r="W670" s="36">
        <v>0</v>
      </c>
      <c r="X670" s="36"/>
      <c r="Y670" s="36">
        <v>0</v>
      </c>
      <c r="Z670" s="36"/>
      <c r="AA670" s="36">
        <v>0</v>
      </c>
      <c r="AB670" s="36"/>
      <c r="AC670" s="36">
        <v>0</v>
      </c>
      <c r="AD670" s="36"/>
      <c r="AE670" s="36">
        <v>0</v>
      </c>
      <c r="AF670" s="36"/>
      <c r="AG670" s="36">
        <v>0</v>
      </c>
      <c r="AH670" s="36"/>
      <c r="AI670" s="36">
        <f>SUM(E670:AG670)</f>
        <v>1218862.09</v>
      </c>
      <c r="AJ670" s="24"/>
      <c r="AK670" s="15" t="str">
        <f>'Gen Rev'!A670</f>
        <v>West Unity</v>
      </c>
      <c r="AL670" s="15" t="str">
        <f t="shared" si="54"/>
        <v>West Unity</v>
      </c>
      <c r="AM670" s="15" t="b">
        <f t="shared" si="55"/>
        <v>1</v>
      </c>
    </row>
    <row r="671" spans="1:39" ht="12.75">
      <c r="A671" s="15" t="s">
        <v>155</v>
      </c>
      <c r="C671" s="15" t="s">
        <v>792</v>
      </c>
      <c r="E671" s="36">
        <v>123651.46</v>
      </c>
      <c r="F671" s="36"/>
      <c r="G671" s="36">
        <v>1067730.51</v>
      </c>
      <c r="H671" s="36"/>
      <c r="I671" s="36">
        <v>122504.28</v>
      </c>
      <c r="J671" s="36"/>
      <c r="K671" s="36">
        <v>0</v>
      </c>
      <c r="L671" s="36"/>
      <c r="M671" s="36">
        <v>35494.66</v>
      </c>
      <c r="N671" s="36"/>
      <c r="O671" s="36">
        <v>5297</v>
      </c>
      <c r="P671" s="36"/>
      <c r="Q671" s="36">
        <v>0</v>
      </c>
      <c r="R671" s="36"/>
      <c r="S671" s="36">
        <v>52272</v>
      </c>
      <c r="T671" s="36"/>
      <c r="U671" s="36">
        <v>0</v>
      </c>
      <c r="V671" s="36"/>
      <c r="W671" s="36">
        <v>0</v>
      </c>
      <c r="X671" s="36"/>
      <c r="Y671" s="36">
        <v>0</v>
      </c>
      <c r="Z671" s="36"/>
      <c r="AA671" s="36">
        <v>0</v>
      </c>
      <c r="AB671" s="36"/>
      <c r="AC671" s="36">
        <v>0</v>
      </c>
      <c r="AD671" s="36"/>
      <c r="AE671" s="36">
        <v>0</v>
      </c>
      <c r="AF671" s="36"/>
      <c r="AG671" s="36">
        <v>0</v>
      </c>
      <c r="AH671" s="36"/>
      <c r="AI671" s="36">
        <f>SUM(E671:AG671)</f>
        <v>1406949.91</v>
      </c>
      <c r="AJ671" s="24"/>
      <c r="AK671" s="15" t="str">
        <f>'Gen Rev'!A671</f>
        <v>Westfield Cente</v>
      </c>
      <c r="AL671" s="15" t="str">
        <f t="shared" si="54"/>
        <v>Westfield Cente</v>
      </c>
      <c r="AM671" s="15" t="b">
        <f t="shared" si="55"/>
        <v>1</v>
      </c>
    </row>
    <row r="672" spans="1:39" ht="12.75">
      <c r="A672" s="15" t="s">
        <v>263</v>
      </c>
      <c r="C672" s="15" t="s">
        <v>603</v>
      </c>
      <c r="E672" s="36">
        <v>58544.19</v>
      </c>
      <c r="F672" s="36"/>
      <c r="G672" s="36">
        <v>206727.65</v>
      </c>
      <c r="H672" s="36"/>
      <c r="I672" s="36">
        <v>122497.46</v>
      </c>
      <c r="J672" s="36"/>
      <c r="K672" s="36">
        <v>18893.12</v>
      </c>
      <c r="L672" s="36"/>
      <c r="M672" s="36">
        <v>111065.2</v>
      </c>
      <c r="N672" s="36"/>
      <c r="O672" s="36">
        <v>10202.99</v>
      </c>
      <c r="P672" s="36"/>
      <c r="Q672" s="36">
        <v>3014.13</v>
      </c>
      <c r="R672" s="36"/>
      <c r="S672" s="36">
        <v>28232.28</v>
      </c>
      <c r="T672" s="36"/>
      <c r="U672" s="36">
        <v>0</v>
      </c>
      <c r="V672" s="36"/>
      <c r="W672" s="36">
        <v>0</v>
      </c>
      <c r="X672" s="36"/>
      <c r="Y672" s="36">
        <v>4502</v>
      </c>
      <c r="Z672" s="36"/>
      <c r="AA672" s="36">
        <v>22875</v>
      </c>
      <c r="AB672" s="36"/>
      <c r="AC672" s="36">
        <v>0</v>
      </c>
      <c r="AD672" s="36"/>
      <c r="AE672" s="36">
        <v>0</v>
      </c>
      <c r="AF672" s="36"/>
      <c r="AG672" s="36">
        <v>0</v>
      </c>
      <c r="AH672" s="36"/>
      <c r="AI672" s="36">
        <f>SUM(E672:AG672)</f>
        <v>586554.02</v>
      </c>
      <c r="AJ672" s="24"/>
      <c r="AK672" s="15" t="str">
        <f>'Gen Rev'!A672</f>
        <v>Weston</v>
      </c>
      <c r="AL672" s="15" t="str">
        <f t="shared" si="54"/>
        <v>Weston</v>
      </c>
      <c r="AM672" s="15" t="b">
        <f t="shared" si="55"/>
        <v>1</v>
      </c>
    </row>
    <row r="673" spans="1:39" ht="12.75" hidden="1">
      <c r="A673" s="15" t="s">
        <v>918</v>
      </c>
      <c r="C673" s="15" t="s">
        <v>611</v>
      </c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>
        <f t="shared" si="51"/>
        <v>0</v>
      </c>
      <c r="AJ673" s="24"/>
      <c r="AK673" s="15" t="str">
        <f>'Gen Rev'!A673</f>
        <v>Wharton</v>
      </c>
      <c r="AL673" s="15" t="str">
        <f t="shared" si="54"/>
        <v>Wharton</v>
      </c>
      <c r="AM673" s="15" t="b">
        <f t="shared" si="55"/>
        <v>1</v>
      </c>
    </row>
    <row r="674" spans="1:39" ht="12.75">
      <c r="A674" s="15" t="s">
        <v>458</v>
      </c>
      <c r="C674" s="15" t="s">
        <v>455</v>
      </c>
      <c r="E674" s="85">
        <v>2461143</v>
      </c>
      <c r="F674" s="85"/>
      <c r="G674" s="85">
        <v>0</v>
      </c>
      <c r="H674" s="85"/>
      <c r="I674" s="85">
        <v>2229945</v>
      </c>
      <c r="J674" s="85"/>
      <c r="K674" s="85">
        <v>39006</v>
      </c>
      <c r="L674" s="85"/>
      <c r="M674" s="85">
        <v>260773</v>
      </c>
      <c r="N674" s="85"/>
      <c r="O674" s="85">
        <v>80822</v>
      </c>
      <c r="P674" s="85"/>
      <c r="Q674" s="85">
        <v>0</v>
      </c>
      <c r="R674" s="85"/>
      <c r="S674" s="85">
        <v>89297</v>
      </c>
      <c r="T674" s="85"/>
      <c r="U674" s="85">
        <v>0</v>
      </c>
      <c r="V674" s="85"/>
      <c r="W674" s="85">
        <v>0</v>
      </c>
      <c r="X674" s="85"/>
      <c r="Y674" s="85">
        <v>12832</v>
      </c>
      <c r="Z674" s="85"/>
      <c r="AA674" s="85">
        <v>3224316</v>
      </c>
      <c r="AB674" s="85"/>
      <c r="AC674" s="85">
        <v>0</v>
      </c>
      <c r="AD674" s="85"/>
      <c r="AE674" s="85">
        <v>1266863</v>
      </c>
      <c r="AF674" s="85"/>
      <c r="AG674" s="85">
        <v>0</v>
      </c>
      <c r="AH674" s="85"/>
      <c r="AI674" s="85">
        <f t="shared" si="51"/>
        <v>9664997</v>
      </c>
      <c r="AJ674" s="24"/>
      <c r="AK674" s="15" t="str">
        <f>'Gen Rev'!A674</f>
        <v>Whitehouse</v>
      </c>
      <c r="AL674" s="15" t="str">
        <f t="shared" si="54"/>
        <v>Whitehouse</v>
      </c>
      <c r="AM674" s="15" t="b">
        <f t="shared" si="55"/>
        <v>1</v>
      </c>
    </row>
    <row r="675" spans="1:39" ht="12.75">
      <c r="A675" s="15" t="s">
        <v>579</v>
      </c>
      <c r="C675" s="15" t="s">
        <v>82</v>
      </c>
      <c r="E675" s="85">
        <v>14543</v>
      </c>
      <c r="F675" s="85"/>
      <c r="G675" s="85">
        <v>0</v>
      </c>
      <c r="H675" s="85"/>
      <c r="I675" s="85">
        <v>3340</v>
      </c>
      <c r="J675" s="85"/>
      <c r="K675" s="85">
        <v>0</v>
      </c>
      <c r="L675" s="85"/>
      <c r="M675" s="85">
        <v>0</v>
      </c>
      <c r="N675" s="85"/>
      <c r="O675" s="85">
        <v>40</v>
      </c>
      <c r="P675" s="85"/>
      <c r="Q675" s="85">
        <v>69</v>
      </c>
      <c r="R675" s="85"/>
      <c r="S675" s="85">
        <v>245</v>
      </c>
      <c r="T675" s="85"/>
      <c r="U675" s="85">
        <v>0</v>
      </c>
      <c r="V675" s="85"/>
      <c r="W675" s="85">
        <v>0</v>
      </c>
      <c r="X675" s="85"/>
      <c r="Y675" s="85">
        <v>0</v>
      </c>
      <c r="Z675" s="85"/>
      <c r="AA675" s="85">
        <v>0</v>
      </c>
      <c r="AB675" s="85"/>
      <c r="AC675" s="85">
        <v>0</v>
      </c>
      <c r="AD675" s="85"/>
      <c r="AE675" s="85">
        <v>0</v>
      </c>
      <c r="AF675" s="85"/>
      <c r="AG675" s="85">
        <v>0</v>
      </c>
      <c r="AH675" s="85"/>
      <c r="AI675" s="85">
        <f aca="true" t="shared" si="56" ref="AI675:AI695">SUM(E675:AG675)</f>
        <v>18237</v>
      </c>
      <c r="AJ675" s="24"/>
      <c r="AK675" s="15" t="str">
        <f>'Gen Rev'!A675</f>
        <v>Wilkesville</v>
      </c>
      <c r="AL675" s="15" t="str">
        <f t="shared" si="54"/>
        <v>Wilkesville</v>
      </c>
      <c r="AM675" s="15" t="b">
        <f t="shared" si="55"/>
        <v>1</v>
      </c>
    </row>
    <row r="676" spans="1:42" s="31" customFormat="1" ht="12.75">
      <c r="A676" s="15" t="s">
        <v>40</v>
      </c>
      <c r="B676" s="15"/>
      <c r="C676" s="15" t="s">
        <v>756</v>
      </c>
      <c r="D676" s="15"/>
      <c r="E676" s="36">
        <v>169390.07</v>
      </c>
      <c r="F676" s="36"/>
      <c r="G676" s="36">
        <v>449169.99</v>
      </c>
      <c r="H676" s="36"/>
      <c r="I676" s="36">
        <v>151642.96</v>
      </c>
      <c r="J676" s="36"/>
      <c r="K676" s="36">
        <v>0</v>
      </c>
      <c r="L676" s="36"/>
      <c r="M676" s="36">
        <v>95302.73</v>
      </c>
      <c r="N676" s="36"/>
      <c r="O676" s="36">
        <v>35662.16</v>
      </c>
      <c r="P676" s="36"/>
      <c r="Q676" s="36">
        <v>602.21</v>
      </c>
      <c r="R676" s="36"/>
      <c r="S676" s="36">
        <v>13234.66</v>
      </c>
      <c r="T676" s="36"/>
      <c r="U676" s="36">
        <v>0</v>
      </c>
      <c r="V676" s="36"/>
      <c r="W676" s="36">
        <v>0</v>
      </c>
      <c r="X676" s="36"/>
      <c r="Y676" s="36">
        <v>0</v>
      </c>
      <c r="Z676" s="36"/>
      <c r="AA676" s="36">
        <v>25000</v>
      </c>
      <c r="AB676" s="36"/>
      <c r="AC676" s="36">
        <v>0</v>
      </c>
      <c r="AD676" s="36"/>
      <c r="AE676" s="36">
        <v>0</v>
      </c>
      <c r="AF676" s="36"/>
      <c r="AG676" s="36">
        <v>0</v>
      </c>
      <c r="AH676" s="36"/>
      <c r="AI676" s="36">
        <f>SUM(E676:AG676)</f>
        <v>940004.78</v>
      </c>
      <c r="AJ676" s="24"/>
      <c r="AK676" s="15" t="str">
        <f>'Gen Rev'!A676</f>
        <v>Williamsburg</v>
      </c>
      <c r="AL676" s="15" t="str">
        <f t="shared" si="54"/>
        <v>Williamsburg</v>
      </c>
      <c r="AM676" s="15" t="b">
        <f t="shared" si="55"/>
        <v>1</v>
      </c>
      <c r="AN676" s="32"/>
      <c r="AO676" s="32"/>
      <c r="AP676" s="32"/>
    </row>
    <row r="677" spans="1:39" ht="12.75">
      <c r="A677" s="15" t="s">
        <v>192</v>
      </c>
      <c r="C677" s="15" t="s">
        <v>804</v>
      </c>
      <c r="E677" s="95">
        <v>65327.27</v>
      </c>
      <c r="F677" s="95"/>
      <c r="G677" s="95">
        <v>0</v>
      </c>
      <c r="H677" s="95"/>
      <c r="I677" s="95">
        <v>88076.73</v>
      </c>
      <c r="J677" s="95"/>
      <c r="K677" s="95">
        <v>0</v>
      </c>
      <c r="L677" s="95"/>
      <c r="M677" s="95">
        <v>0</v>
      </c>
      <c r="N677" s="95"/>
      <c r="O677" s="95">
        <v>593.33</v>
      </c>
      <c r="P677" s="95"/>
      <c r="Q677" s="95">
        <v>2370.36</v>
      </c>
      <c r="R677" s="95"/>
      <c r="S677" s="95">
        <v>4958.61</v>
      </c>
      <c r="T677" s="95"/>
      <c r="U677" s="95">
        <v>0</v>
      </c>
      <c r="V677" s="95"/>
      <c r="W677" s="95">
        <v>0</v>
      </c>
      <c r="X677" s="95"/>
      <c r="Y677" s="95">
        <v>0</v>
      </c>
      <c r="Z677" s="95"/>
      <c r="AA677" s="95">
        <v>0</v>
      </c>
      <c r="AB677" s="95"/>
      <c r="AC677" s="95">
        <v>0</v>
      </c>
      <c r="AD677" s="95"/>
      <c r="AE677" s="95">
        <v>0</v>
      </c>
      <c r="AF677" s="95"/>
      <c r="AG677" s="95">
        <v>0</v>
      </c>
      <c r="AH677" s="95"/>
      <c r="AI677" s="95">
        <f>SUM(E677:AG677)</f>
        <v>161326.29999999996</v>
      </c>
      <c r="AJ677" s="24"/>
      <c r="AK677" s="15" t="str">
        <f>'Gen Rev'!A677</f>
        <v>Williamsport</v>
      </c>
      <c r="AL677" s="15" t="str">
        <f t="shared" si="54"/>
        <v>Williamsport</v>
      </c>
      <c r="AM677" s="15" t="b">
        <f t="shared" si="55"/>
        <v>1</v>
      </c>
    </row>
    <row r="678" spans="1:39" ht="12.75">
      <c r="A678" s="15" t="s">
        <v>578</v>
      </c>
      <c r="C678" s="15" t="s">
        <v>574</v>
      </c>
      <c r="E678" s="36">
        <v>36576.29</v>
      </c>
      <c r="F678" s="36"/>
      <c r="G678" s="36">
        <v>56729.08</v>
      </c>
      <c r="H678" s="36"/>
      <c r="I678" s="36">
        <v>66137.84</v>
      </c>
      <c r="J678" s="36"/>
      <c r="K678" s="36">
        <v>0</v>
      </c>
      <c r="L678" s="36"/>
      <c r="M678" s="36">
        <v>29170</v>
      </c>
      <c r="N678" s="36"/>
      <c r="O678" s="36">
        <v>2317.21</v>
      </c>
      <c r="P678" s="36"/>
      <c r="Q678" s="36">
        <v>2155.64</v>
      </c>
      <c r="R678" s="36"/>
      <c r="S678" s="36">
        <v>5357.27</v>
      </c>
      <c r="T678" s="36"/>
      <c r="U678" s="36">
        <v>0</v>
      </c>
      <c r="V678" s="36"/>
      <c r="W678" s="36">
        <v>0</v>
      </c>
      <c r="X678" s="36"/>
      <c r="Y678" s="36">
        <v>12500</v>
      </c>
      <c r="Z678" s="36"/>
      <c r="AA678" s="36">
        <v>0</v>
      </c>
      <c r="AB678" s="36"/>
      <c r="AC678" s="36">
        <v>0</v>
      </c>
      <c r="AD678" s="36"/>
      <c r="AE678" s="36">
        <v>0</v>
      </c>
      <c r="AF678" s="36"/>
      <c r="AG678" s="36">
        <v>0</v>
      </c>
      <c r="AH678" s="36"/>
      <c r="AI678" s="36">
        <f>SUM(E678:AG678)</f>
        <v>210943.33</v>
      </c>
      <c r="AJ678" s="24"/>
      <c r="AK678" s="15" t="str">
        <f>'Gen Rev'!A678</f>
        <v>Willshire</v>
      </c>
      <c r="AL678" s="15" t="str">
        <f t="shared" si="54"/>
        <v>Willshire</v>
      </c>
      <c r="AM678" s="15" t="b">
        <f t="shared" si="55"/>
        <v>1</v>
      </c>
    </row>
    <row r="679" spans="1:39" s="31" customFormat="1" ht="12.75">
      <c r="A679" s="15" t="s">
        <v>858</v>
      </c>
      <c r="B679" s="15"/>
      <c r="C679" s="15" t="s">
        <v>815</v>
      </c>
      <c r="D679" s="15"/>
      <c r="E679" s="36">
        <v>11582.93</v>
      </c>
      <c r="F679" s="36"/>
      <c r="G679" s="36">
        <v>99181.89</v>
      </c>
      <c r="H679" s="36"/>
      <c r="I679" s="36">
        <v>20083.34</v>
      </c>
      <c r="J679" s="36"/>
      <c r="K679" s="36">
        <v>0</v>
      </c>
      <c r="L679" s="36"/>
      <c r="M679" s="36">
        <v>0</v>
      </c>
      <c r="N679" s="36"/>
      <c r="O679" s="36">
        <v>2115.87</v>
      </c>
      <c r="P679" s="36"/>
      <c r="Q679" s="36">
        <v>72.43</v>
      </c>
      <c r="R679" s="36"/>
      <c r="S679" s="36">
        <v>2002.57</v>
      </c>
      <c r="T679" s="36"/>
      <c r="U679" s="36">
        <v>0</v>
      </c>
      <c r="V679" s="36"/>
      <c r="W679" s="36">
        <v>0</v>
      </c>
      <c r="X679" s="36"/>
      <c r="Y679" s="36">
        <v>0</v>
      </c>
      <c r="Z679" s="36"/>
      <c r="AA679" s="36">
        <v>0</v>
      </c>
      <c r="AB679" s="36"/>
      <c r="AC679" s="36">
        <v>0</v>
      </c>
      <c r="AD679" s="36"/>
      <c r="AE679" s="36">
        <v>0</v>
      </c>
      <c r="AF679" s="36"/>
      <c r="AG679" s="36">
        <v>0</v>
      </c>
      <c r="AH679" s="36"/>
      <c r="AI679" s="36">
        <f>SUM(E679:AG679)</f>
        <v>135039.03</v>
      </c>
      <c r="AJ679" s="24"/>
      <c r="AK679" s="15" t="str">
        <f>'Gen Rev'!A679</f>
        <v>Wilmot</v>
      </c>
      <c r="AL679" s="15" t="str">
        <f t="shared" si="54"/>
        <v>Wilmot</v>
      </c>
      <c r="AM679" s="15" t="b">
        <f t="shared" si="55"/>
        <v>1</v>
      </c>
    </row>
    <row r="680" spans="1:39" ht="12.75">
      <c r="A680" s="15" t="s">
        <v>478</v>
      </c>
      <c r="C680" s="15" t="s">
        <v>474</v>
      </c>
      <c r="E680" s="85">
        <f>2820+6746</f>
        <v>9566</v>
      </c>
      <c r="F680" s="85"/>
      <c r="G680" s="85">
        <v>0</v>
      </c>
      <c r="H680" s="85"/>
      <c r="I680" s="85">
        <f>5425+5038</f>
        <v>10463</v>
      </c>
      <c r="J680" s="85"/>
      <c r="K680" s="85">
        <v>0</v>
      </c>
      <c r="L680" s="85"/>
      <c r="M680" s="85">
        <v>3000</v>
      </c>
      <c r="N680" s="85"/>
      <c r="O680" s="85">
        <v>105</v>
      </c>
      <c r="P680" s="85"/>
      <c r="Q680" s="85">
        <v>75</v>
      </c>
      <c r="R680" s="85"/>
      <c r="S680" s="85">
        <f>7+76</f>
        <v>83</v>
      </c>
      <c r="T680" s="85"/>
      <c r="U680" s="85">
        <v>0</v>
      </c>
      <c r="V680" s="85"/>
      <c r="W680" s="85">
        <v>0</v>
      </c>
      <c r="X680" s="85"/>
      <c r="Y680" s="85">
        <v>0</v>
      </c>
      <c r="Z680" s="85"/>
      <c r="AA680" s="85">
        <v>0</v>
      </c>
      <c r="AB680" s="85"/>
      <c r="AC680" s="85">
        <v>0</v>
      </c>
      <c r="AD680" s="85"/>
      <c r="AE680" s="85">
        <v>0</v>
      </c>
      <c r="AF680" s="85"/>
      <c r="AG680" s="85">
        <v>0</v>
      </c>
      <c r="AH680" s="85"/>
      <c r="AI680" s="85">
        <f t="shared" si="56"/>
        <v>23292</v>
      </c>
      <c r="AJ680" s="24"/>
      <c r="AK680" s="15" t="str">
        <f>'Gen Rev'!A680</f>
        <v>Wilson</v>
      </c>
      <c r="AL680" s="15" t="str">
        <f t="shared" si="54"/>
        <v>Wilson</v>
      </c>
      <c r="AM680" s="15" t="b">
        <f t="shared" si="55"/>
        <v>1</v>
      </c>
    </row>
    <row r="681" spans="1:39" ht="12.75">
      <c r="A681" s="15" t="s">
        <v>1</v>
      </c>
      <c r="C681" s="15" t="s">
        <v>664</v>
      </c>
      <c r="E681" s="95">
        <v>131022.26</v>
      </c>
      <c r="F681" s="95"/>
      <c r="G681" s="95">
        <v>0</v>
      </c>
      <c r="H681" s="95"/>
      <c r="I681" s="95">
        <v>64405.59</v>
      </c>
      <c r="J681" s="95"/>
      <c r="K681" s="95">
        <v>0</v>
      </c>
      <c r="L681" s="95"/>
      <c r="M681" s="95">
        <v>0</v>
      </c>
      <c r="N681" s="95"/>
      <c r="O681" s="95">
        <v>92676.81</v>
      </c>
      <c r="P681" s="95"/>
      <c r="Q681" s="95">
        <v>1456.6</v>
      </c>
      <c r="R681" s="95"/>
      <c r="S681" s="95">
        <v>31055.76</v>
      </c>
      <c r="T681" s="95"/>
      <c r="U681" s="95">
        <v>0</v>
      </c>
      <c r="V681" s="95"/>
      <c r="W681" s="95">
        <v>0</v>
      </c>
      <c r="X681" s="95"/>
      <c r="Y681" s="95">
        <v>0</v>
      </c>
      <c r="Z681" s="95"/>
      <c r="AA681" s="95">
        <v>0</v>
      </c>
      <c r="AB681" s="95"/>
      <c r="AC681" s="95">
        <v>20000</v>
      </c>
      <c r="AD681" s="95"/>
      <c r="AE681" s="95">
        <v>0</v>
      </c>
      <c r="AF681" s="95"/>
      <c r="AG681" s="95">
        <v>0</v>
      </c>
      <c r="AH681" s="95"/>
      <c r="AI681" s="95">
        <f>SUM(E681:AG681)</f>
        <v>340617.01999999996</v>
      </c>
      <c r="AJ681" s="24"/>
      <c r="AK681" s="15" t="str">
        <f>'Gen Rev'!A681</f>
        <v>Winchester</v>
      </c>
      <c r="AL681" s="15" t="str">
        <f t="shared" si="54"/>
        <v>Winchester</v>
      </c>
      <c r="AM681" s="15" t="b">
        <f t="shared" si="55"/>
        <v>1</v>
      </c>
    </row>
    <row r="682" spans="1:39" ht="12.75">
      <c r="A682" s="15" t="s">
        <v>197</v>
      </c>
      <c r="C682" s="15" t="s">
        <v>806</v>
      </c>
      <c r="E682" s="36">
        <v>73471.2</v>
      </c>
      <c r="F682" s="36"/>
      <c r="G682" s="36">
        <v>504913.62</v>
      </c>
      <c r="H682" s="36"/>
      <c r="I682" s="36">
        <v>373127.64</v>
      </c>
      <c r="J682" s="36"/>
      <c r="K682" s="36">
        <v>0</v>
      </c>
      <c r="L682" s="36"/>
      <c r="M682" s="36">
        <v>138408.08</v>
      </c>
      <c r="N682" s="36"/>
      <c r="O682" s="36">
        <v>109056.29</v>
      </c>
      <c r="P682" s="36"/>
      <c r="Q682" s="36">
        <v>1101.96</v>
      </c>
      <c r="R682" s="36"/>
      <c r="S682" s="36">
        <v>984.9</v>
      </c>
      <c r="T682" s="36"/>
      <c r="U682" s="36">
        <v>0</v>
      </c>
      <c r="V682" s="36"/>
      <c r="W682" s="36">
        <v>0</v>
      </c>
      <c r="X682" s="36"/>
      <c r="Y682" s="36">
        <v>0</v>
      </c>
      <c r="Z682" s="36"/>
      <c r="AA682" s="36">
        <v>19143.19</v>
      </c>
      <c r="AB682" s="36"/>
      <c r="AC682" s="36">
        <v>36822.84</v>
      </c>
      <c r="AD682" s="36"/>
      <c r="AE682" s="36">
        <v>18482.6</v>
      </c>
      <c r="AF682" s="36"/>
      <c r="AG682" s="36">
        <v>0</v>
      </c>
      <c r="AH682" s="36"/>
      <c r="AI682" s="36">
        <f>SUM(E682:AG682)</f>
        <v>1275512.32</v>
      </c>
      <c r="AJ682" s="39"/>
      <c r="AK682" s="15" t="str">
        <f>'Gen Rev'!A682</f>
        <v>Windham</v>
      </c>
      <c r="AL682" s="15" t="str">
        <f t="shared" si="54"/>
        <v>Windham</v>
      </c>
      <c r="AM682" s="15" t="b">
        <f t="shared" si="55"/>
        <v>1</v>
      </c>
    </row>
    <row r="683" spans="1:39" ht="12.75">
      <c r="A683" s="15" t="s">
        <v>859</v>
      </c>
      <c r="C683" s="15" t="s">
        <v>781</v>
      </c>
      <c r="E683" s="36">
        <v>555596.9</v>
      </c>
      <c r="F683" s="36"/>
      <c r="G683" s="36">
        <v>840184.81</v>
      </c>
      <c r="H683" s="36"/>
      <c r="I683" s="36">
        <v>356601.52</v>
      </c>
      <c r="J683" s="36"/>
      <c r="K683" s="36">
        <v>9389.67</v>
      </c>
      <c r="L683" s="36"/>
      <c r="M683" s="36">
        <v>54279.1</v>
      </c>
      <c r="N683" s="36"/>
      <c r="O683" s="36">
        <v>94211.09</v>
      </c>
      <c r="P683" s="36"/>
      <c r="Q683" s="36">
        <v>3022.43</v>
      </c>
      <c r="R683" s="36"/>
      <c r="S683" s="36">
        <v>38167.87</v>
      </c>
      <c r="T683" s="36"/>
      <c r="U683" s="36">
        <v>0</v>
      </c>
      <c r="V683" s="36"/>
      <c r="W683" s="36">
        <v>0</v>
      </c>
      <c r="X683" s="36"/>
      <c r="Y683" s="36">
        <v>0</v>
      </c>
      <c r="Z683" s="36"/>
      <c r="AA683" s="36">
        <v>79400</v>
      </c>
      <c r="AB683" s="36"/>
      <c r="AC683" s="36">
        <v>247658</v>
      </c>
      <c r="AD683" s="36"/>
      <c r="AE683" s="36">
        <v>1952</v>
      </c>
      <c r="AF683" s="36"/>
      <c r="AG683" s="36">
        <v>0</v>
      </c>
      <c r="AH683" s="36"/>
      <c r="AI683" s="36">
        <f>SUM(E683:AG683)</f>
        <v>2280463.39</v>
      </c>
      <c r="AJ683" s="24"/>
      <c r="AK683" s="15" t="str">
        <f>'Gen Rev'!A683</f>
        <v>Wintersville</v>
      </c>
      <c r="AL683" s="15" t="str">
        <f t="shared" si="54"/>
        <v>Wintersville</v>
      </c>
      <c r="AM683" s="15" t="b">
        <f t="shared" si="55"/>
        <v>1</v>
      </c>
    </row>
    <row r="684" spans="1:39" s="31" customFormat="1" ht="12.75" hidden="1">
      <c r="A684" s="15" t="s">
        <v>386</v>
      </c>
      <c r="B684" s="15"/>
      <c r="C684" s="15" t="s">
        <v>378</v>
      </c>
      <c r="D684" s="1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>
        <f t="shared" si="56"/>
        <v>0</v>
      </c>
      <c r="AJ684" s="24"/>
      <c r="AK684" s="15" t="str">
        <f>'Gen Rev'!A684</f>
        <v>Woodlawn</v>
      </c>
      <c r="AL684" s="15" t="str">
        <f t="shared" si="54"/>
        <v>Woodlawn</v>
      </c>
      <c r="AM684" s="15" t="b">
        <f t="shared" si="55"/>
        <v>1</v>
      </c>
    </row>
    <row r="685" spans="1:42" ht="12.6" customHeight="1">
      <c r="A685" s="15" t="s">
        <v>327</v>
      </c>
      <c r="C685" s="15" t="s">
        <v>316</v>
      </c>
      <c r="E685" s="85">
        <v>2446066</v>
      </c>
      <c r="F685" s="85"/>
      <c r="G685" s="85">
        <v>0</v>
      </c>
      <c r="H685" s="85"/>
      <c r="I685" s="85">
        <v>231785</v>
      </c>
      <c r="J685" s="85"/>
      <c r="K685" s="85">
        <v>69855</v>
      </c>
      <c r="L685" s="85"/>
      <c r="M685" s="85">
        <v>51213</v>
      </c>
      <c r="N685" s="85"/>
      <c r="O685" s="85">
        <v>155642</v>
      </c>
      <c r="P685" s="85"/>
      <c r="Q685" s="85">
        <v>0</v>
      </c>
      <c r="R685" s="85"/>
      <c r="S685" s="85">
        <v>11445</v>
      </c>
      <c r="T685" s="85"/>
      <c r="U685" s="85">
        <v>0</v>
      </c>
      <c r="V685" s="85"/>
      <c r="W685" s="85">
        <v>247500</v>
      </c>
      <c r="X685" s="85"/>
      <c r="Y685" s="85">
        <v>0</v>
      </c>
      <c r="Z685" s="85"/>
      <c r="AA685" s="85">
        <v>38900</v>
      </c>
      <c r="AB685" s="85"/>
      <c r="AC685" s="85">
        <v>70650</v>
      </c>
      <c r="AD685" s="85"/>
      <c r="AE685" s="85">
        <v>249803</v>
      </c>
      <c r="AF685" s="85"/>
      <c r="AG685" s="85">
        <v>0</v>
      </c>
      <c r="AH685" s="85"/>
      <c r="AI685" s="85">
        <f t="shared" si="56"/>
        <v>3572859</v>
      </c>
      <c r="AJ685" s="24"/>
      <c r="AK685" s="15" t="str">
        <f>'Gen Rev'!A685</f>
        <v>Woodmere</v>
      </c>
      <c r="AL685" s="15" t="str">
        <f t="shared" si="54"/>
        <v>Woodmere</v>
      </c>
      <c r="AM685" s="15" t="b">
        <f t="shared" si="55"/>
        <v>1</v>
      </c>
      <c r="AN685" s="30"/>
      <c r="AO685" s="30"/>
      <c r="AP685" s="30"/>
    </row>
    <row r="686" spans="1:39" ht="12.75">
      <c r="A686" s="15" t="s">
        <v>166</v>
      </c>
      <c r="C686" s="15" t="s">
        <v>796</v>
      </c>
      <c r="E686" s="36">
        <v>142311.03</v>
      </c>
      <c r="F686" s="36"/>
      <c r="G686" s="36">
        <v>468894.27</v>
      </c>
      <c r="H686" s="36"/>
      <c r="I686" s="36">
        <v>242194.99</v>
      </c>
      <c r="J686" s="36"/>
      <c r="K686" s="36">
        <v>350014.96</v>
      </c>
      <c r="L686" s="36"/>
      <c r="M686" s="36">
        <v>233734.11</v>
      </c>
      <c r="N686" s="36"/>
      <c r="O686" s="36">
        <v>23784.12</v>
      </c>
      <c r="P686" s="36"/>
      <c r="Q686" s="36">
        <v>67658.77</v>
      </c>
      <c r="R686" s="36"/>
      <c r="S686" s="36">
        <v>71578.8</v>
      </c>
      <c r="T686" s="36"/>
      <c r="U686" s="36">
        <v>0</v>
      </c>
      <c r="V686" s="36"/>
      <c r="W686" s="36">
        <v>99947</v>
      </c>
      <c r="X686" s="36"/>
      <c r="Y686" s="36">
        <v>11100</v>
      </c>
      <c r="Z686" s="36"/>
      <c r="AA686" s="36">
        <v>0</v>
      </c>
      <c r="AB686" s="36"/>
      <c r="AC686" s="36">
        <v>0</v>
      </c>
      <c r="AD686" s="36"/>
      <c r="AE686" s="36">
        <v>2446.56</v>
      </c>
      <c r="AF686" s="36"/>
      <c r="AG686" s="36">
        <v>0</v>
      </c>
      <c r="AH686" s="36"/>
      <c r="AI686" s="36">
        <f>SUM(E686:AG686)</f>
        <v>1713664.61</v>
      </c>
      <c r="AJ686" s="24"/>
      <c r="AK686" s="15" t="str">
        <f>'Gen Rev'!A686</f>
        <v>Woodsfield</v>
      </c>
      <c r="AL686" s="15" t="str">
        <f t="shared" si="54"/>
        <v>Woodsfield</v>
      </c>
      <c r="AM686" s="15" t="b">
        <f t="shared" si="55"/>
        <v>1</v>
      </c>
    </row>
    <row r="687" spans="1:39" ht="12.6" customHeight="1">
      <c r="A687" s="15" t="s">
        <v>290</v>
      </c>
      <c r="C687" s="15" t="s">
        <v>287</v>
      </c>
      <c r="E687" s="36">
        <v>4760.37</v>
      </c>
      <c r="F687" s="36"/>
      <c r="G687" s="36">
        <v>34620.56</v>
      </c>
      <c r="H687" s="36"/>
      <c r="I687" s="36">
        <v>28351.91</v>
      </c>
      <c r="J687" s="36"/>
      <c r="K687" s="36">
        <v>0</v>
      </c>
      <c r="L687" s="36"/>
      <c r="M687" s="36">
        <v>0</v>
      </c>
      <c r="N687" s="36"/>
      <c r="O687" s="36">
        <v>105</v>
      </c>
      <c r="P687" s="36"/>
      <c r="Q687" s="36">
        <v>27.23</v>
      </c>
      <c r="R687" s="36"/>
      <c r="S687" s="36">
        <v>1449.05</v>
      </c>
      <c r="T687" s="36"/>
      <c r="U687" s="36">
        <v>0</v>
      </c>
      <c r="V687" s="36"/>
      <c r="W687" s="36">
        <v>0</v>
      </c>
      <c r="X687" s="36"/>
      <c r="Y687" s="36">
        <v>0</v>
      </c>
      <c r="Z687" s="36"/>
      <c r="AA687" s="36">
        <v>7500</v>
      </c>
      <c r="AB687" s="36"/>
      <c r="AC687" s="36">
        <v>0</v>
      </c>
      <c r="AD687" s="36"/>
      <c r="AE687" s="36">
        <v>0</v>
      </c>
      <c r="AF687" s="36"/>
      <c r="AG687" s="36">
        <v>0</v>
      </c>
      <c r="AH687" s="36"/>
      <c r="AI687" s="36">
        <f>SUM(E687:AG687)</f>
        <v>76814.12</v>
      </c>
      <c r="AJ687" s="24"/>
      <c r="AK687" s="15" t="str">
        <f>'Gen Rev'!A687</f>
        <v>Woodstock</v>
      </c>
      <c r="AL687" s="15" t="str">
        <f t="shared" si="54"/>
        <v>Woodstock</v>
      </c>
      <c r="AM687" s="15" t="b">
        <f t="shared" si="55"/>
        <v>1</v>
      </c>
    </row>
    <row r="688" spans="1:39" s="24" customFormat="1" ht="12.75">
      <c r="A688" s="24" t="s">
        <v>529</v>
      </c>
      <c r="C688" s="24" t="s">
        <v>527</v>
      </c>
      <c r="E688" s="85">
        <v>339317</v>
      </c>
      <c r="F688" s="85"/>
      <c r="G688" s="85">
        <v>0</v>
      </c>
      <c r="H688" s="85"/>
      <c r="I688" s="85">
        <v>269538</v>
      </c>
      <c r="J688" s="85"/>
      <c r="K688" s="85">
        <v>0</v>
      </c>
      <c r="L688" s="85"/>
      <c r="M688" s="85">
        <v>51900</v>
      </c>
      <c r="N688" s="85"/>
      <c r="O688" s="85">
        <v>85177</v>
      </c>
      <c r="P688" s="85"/>
      <c r="Q688" s="85">
        <v>2578</v>
      </c>
      <c r="R688" s="85"/>
      <c r="S688" s="85">
        <v>29639</v>
      </c>
      <c r="T688" s="85"/>
      <c r="U688" s="85">
        <v>0</v>
      </c>
      <c r="V688" s="85"/>
      <c r="W688" s="85">
        <v>0</v>
      </c>
      <c r="X688" s="85"/>
      <c r="Y688" s="85">
        <v>0</v>
      </c>
      <c r="Z688" s="85"/>
      <c r="AA688" s="85">
        <v>15000</v>
      </c>
      <c r="AB688" s="85"/>
      <c r="AC688" s="85">
        <v>0</v>
      </c>
      <c r="AD688" s="85"/>
      <c r="AE688" s="85">
        <v>0</v>
      </c>
      <c r="AF688" s="85"/>
      <c r="AG688" s="85">
        <v>0</v>
      </c>
      <c r="AH688" s="85"/>
      <c r="AI688" s="85">
        <f t="shared" si="56"/>
        <v>793149</v>
      </c>
      <c r="AK688" s="15" t="str">
        <f>'Gen Rev'!A688</f>
        <v>Woodville</v>
      </c>
      <c r="AL688" s="15" t="str">
        <f t="shared" si="54"/>
        <v>Woodville</v>
      </c>
      <c r="AM688" s="15" t="b">
        <f t="shared" si="55"/>
        <v>1</v>
      </c>
    </row>
    <row r="689" spans="1:39" ht="12.75">
      <c r="A689" s="15" t="s">
        <v>240</v>
      </c>
      <c r="C689" s="15" t="s">
        <v>820</v>
      </c>
      <c r="E689" s="36">
        <v>16519.94</v>
      </c>
      <c r="F689" s="36"/>
      <c r="G689" s="36">
        <v>0</v>
      </c>
      <c r="H689" s="36"/>
      <c r="I689" s="36">
        <v>34467.9</v>
      </c>
      <c r="J689" s="36"/>
      <c r="K689" s="36">
        <v>4555.65</v>
      </c>
      <c r="L689" s="36"/>
      <c r="M689" s="36">
        <v>70450.12</v>
      </c>
      <c r="N689" s="36"/>
      <c r="O689" s="36">
        <v>0</v>
      </c>
      <c r="P689" s="36"/>
      <c r="Q689" s="36">
        <v>14.19</v>
      </c>
      <c r="R689" s="36"/>
      <c r="S689" s="36">
        <v>12679.17</v>
      </c>
      <c r="T689" s="36"/>
      <c r="U689" s="36">
        <v>0</v>
      </c>
      <c r="V689" s="36"/>
      <c r="W689" s="36">
        <v>0</v>
      </c>
      <c r="X689" s="36"/>
      <c r="Y689" s="36">
        <v>0</v>
      </c>
      <c r="Z689" s="36"/>
      <c r="AA689" s="36">
        <v>0</v>
      </c>
      <c r="AB689" s="36"/>
      <c r="AC689" s="36">
        <v>0</v>
      </c>
      <c r="AD689" s="36"/>
      <c r="AE689" s="36">
        <v>0</v>
      </c>
      <c r="AF689" s="36"/>
      <c r="AG689" s="36">
        <v>0</v>
      </c>
      <c r="AH689" s="36"/>
      <c r="AI689" s="36">
        <f>SUM(E689:AG689)</f>
        <v>138686.97</v>
      </c>
      <c r="AJ689" s="24"/>
      <c r="AK689" s="15" t="str">
        <f>'Gen Rev'!A689</f>
        <v>Wren</v>
      </c>
      <c r="AL689" s="15" t="str">
        <f t="shared" si="54"/>
        <v>Wren</v>
      </c>
      <c r="AM689" s="15" t="b">
        <f t="shared" si="55"/>
        <v>1</v>
      </c>
    </row>
    <row r="690" spans="1:39" s="31" customFormat="1" ht="12.75">
      <c r="A690" s="15" t="s">
        <v>231</v>
      </c>
      <c r="B690" s="15"/>
      <c r="C690" s="15" t="s">
        <v>558</v>
      </c>
      <c r="D690" s="15"/>
      <c r="E690" s="95">
        <v>25583.69</v>
      </c>
      <c r="F690" s="95"/>
      <c r="G690" s="95">
        <v>0</v>
      </c>
      <c r="H690" s="95"/>
      <c r="I690" s="95">
        <v>11488.37</v>
      </c>
      <c r="J690" s="95"/>
      <c r="K690" s="95">
        <v>0</v>
      </c>
      <c r="L690" s="95"/>
      <c r="M690" s="95">
        <v>0</v>
      </c>
      <c r="N690" s="95"/>
      <c r="O690" s="95">
        <v>1192.47</v>
      </c>
      <c r="P690" s="95"/>
      <c r="Q690" s="95">
        <v>17.2</v>
      </c>
      <c r="R690" s="95"/>
      <c r="S690" s="95">
        <v>0</v>
      </c>
      <c r="T690" s="95"/>
      <c r="U690" s="95">
        <v>0</v>
      </c>
      <c r="V690" s="95"/>
      <c r="W690" s="95">
        <v>0</v>
      </c>
      <c r="X690" s="95"/>
      <c r="Y690" s="95">
        <v>0</v>
      </c>
      <c r="Z690" s="95"/>
      <c r="AA690" s="95">
        <v>0</v>
      </c>
      <c r="AB690" s="95"/>
      <c r="AC690" s="95">
        <v>0</v>
      </c>
      <c r="AD690" s="95"/>
      <c r="AE690" s="95">
        <v>0</v>
      </c>
      <c r="AF690" s="95"/>
      <c r="AG690" s="95">
        <v>0</v>
      </c>
      <c r="AH690" s="95"/>
      <c r="AI690" s="95">
        <f>SUM(E690:AG690)</f>
        <v>38281.729999999996</v>
      </c>
      <c r="AJ690" s="24"/>
      <c r="AK690" s="15" t="str">
        <f>'Gen Rev'!A690</f>
        <v>Yankee Lake</v>
      </c>
      <c r="AL690" s="15" t="str">
        <f t="shared" si="54"/>
        <v>Yankee Lake</v>
      </c>
      <c r="AM690" s="15" t="b">
        <f t="shared" si="55"/>
        <v>1</v>
      </c>
    </row>
    <row r="691" spans="1:39" ht="12.75">
      <c r="A691" s="15" t="s">
        <v>374</v>
      </c>
      <c r="C691" s="15" t="s">
        <v>371</v>
      </c>
      <c r="E691" s="85">
        <v>1043727</v>
      </c>
      <c r="F691" s="85"/>
      <c r="G691" s="85">
        <v>1668566</v>
      </c>
      <c r="H691" s="85"/>
      <c r="I691" s="85">
        <v>730739</v>
      </c>
      <c r="J691" s="85"/>
      <c r="K691" s="85">
        <v>0</v>
      </c>
      <c r="L691" s="85"/>
      <c r="M691" s="85">
        <v>58290</v>
      </c>
      <c r="N691" s="85"/>
      <c r="O691" s="85">
        <v>243504</v>
      </c>
      <c r="P691" s="85"/>
      <c r="Q691" s="85">
        <v>0</v>
      </c>
      <c r="R691" s="85"/>
      <c r="S691" s="85">
        <f>1007+52870+54006+16164+137885+58254</f>
        <v>320186</v>
      </c>
      <c r="T691" s="85"/>
      <c r="U691" s="85">
        <v>0</v>
      </c>
      <c r="V691" s="85"/>
      <c r="W691" s="85">
        <v>0</v>
      </c>
      <c r="X691" s="85"/>
      <c r="Y691" s="85">
        <v>3660</v>
      </c>
      <c r="Z691" s="85"/>
      <c r="AA691" s="85">
        <v>1451290</v>
      </c>
      <c r="AB691" s="85"/>
      <c r="AC691" s="85">
        <v>0</v>
      </c>
      <c r="AD691" s="85"/>
      <c r="AE691" s="85">
        <v>0</v>
      </c>
      <c r="AF691" s="85"/>
      <c r="AG691" s="85">
        <v>0</v>
      </c>
      <c r="AH691" s="85"/>
      <c r="AI691" s="85">
        <f t="shared" si="56"/>
        <v>5519962</v>
      </c>
      <c r="AJ691" s="24"/>
      <c r="AK691" s="15" t="str">
        <f>'Gen Rev'!A691</f>
        <v>Yellow Springs</v>
      </c>
      <c r="AL691" s="15" t="str">
        <f t="shared" si="54"/>
        <v>Yellow Springs</v>
      </c>
      <c r="AM691" s="15" t="b">
        <f t="shared" si="55"/>
        <v>1</v>
      </c>
    </row>
    <row r="692" spans="1:42" ht="12.6" customHeight="1">
      <c r="A692" s="15" t="s">
        <v>340</v>
      </c>
      <c r="C692" s="15" t="s">
        <v>329</v>
      </c>
      <c r="E692" s="85">
        <v>1567</v>
      </c>
      <c r="F692" s="85"/>
      <c r="G692" s="85">
        <v>0</v>
      </c>
      <c r="H692" s="85"/>
      <c r="I692" s="85">
        <v>566204</v>
      </c>
      <c r="J692" s="85"/>
      <c r="K692" s="85">
        <v>603</v>
      </c>
      <c r="L692" s="85"/>
      <c r="M692" s="85">
        <v>0</v>
      </c>
      <c r="N692" s="85"/>
      <c r="O692" s="85">
        <v>1682</v>
      </c>
      <c r="P692" s="85"/>
      <c r="Q692" s="85">
        <v>539</v>
      </c>
      <c r="R692" s="85"/>
      <c r="S692" s="85">
        <v>1209</v>
      </c>
      <c r="T692" s="85"/>
      <c r="U692" s="85">
        <v>0</v>
      </c>
      <c r="V692" s="85"/>
      <c r="W692" s="85">
        <v>0</v>
      </c>
      <c r="X692" s="85"/>
      <c r="Y692" s="85">
        <v>0</v>
      </c>
      <c r="Z692" s="85"/>
      <c r="AA692" s="85">
        <v>0</v>
      </c>
      <c r="AB692" s="85"/>
      <c r="AC692" s="85">
        <v>2500</v>
      </c>
      <c r="AD692" s="85"/>
      <c r="AE692" s="85">
        <v>49874</v>
      </c>
      <c r="AF692" s="85"/>
      <c r="AG692" s="85">
        <v>0</v>
      </c>
      <c r="AH692" s="85"/>
      <c r="AI692" s="85">
        <f t="shared" si="56"/>
        <v>624178</v>
      </c>
      <c r="AJ692" s="24"/>
      <c r="AK692" s="15" t="str">
        <f>'Gen Rev'!A692</f>
        <v>Yorkshire</v>
      </c>
      <c r="AL692" s="15" t="str">
        <f t="shared" si="54"/>
        <v>Yorkshire</v>
      </c>
      <c r="AM692" s="15" t="b">
        <f t="shared" si="55"/>
        <v>1</v>
      </c>
      <c r="AN692" s="30"/>
      <c r="AO692" s="30"/>
      <c r="AP692" s="30"/>
    </row>
    <row r="693" spans="1:39" ht="12.75">
      <c r="A693" s="15" t="s">
        <v>425</v>
      </c>
      <c r="C693" s="15" t="s">
        <v>420</v>
      </c>
      <c r="E693" s="85">
        <f>250752+31528+26099</f>
        <v>308379</v>
      </c>
      <c r="F693" s="85"/>
      <c r="G693" s="85">
        <v>0</v>
      </c>
      <c r="H693" s="85"/>
      <c r="I693" s="85">
        <f>17780+102464+4292</f>
        <v>124536</v>
      </c>
      <c r="J693" s="85"/>
      <c r="K693" s="85">
        <v>0</v>
      </c>
      <c r="L693" s="85"/>
      <c r="M693" s="85">
        <v>13411</v>
      </c>
      <c r="N693" s="85"/>
      <c r="O693" s="85">
        <v>8767</v>
      </c>
      <c r="P693" s="85"/>
      <c r="Q693" s="85">
        <v>0</v>
      </c>
      <c r="R693" s="85"/>
      <c r="S693" s="85">
        <f>5844+2271</f>
        <v>8115</v>
      </c>
      <c r="T693" s="85"/>
      <c r="U693" s="85">
        <v>0</v>
      </c>
      <c r="V693" s="85"/>
      <c r="W693" s="85">
        <v>0</v>
      </c>
      <c r="X693" s="85"/>
      <c r="Y693" s="85">
        <v>0</v>
      </c>
      <c r="Z693" s="85"/>
      <c r="AA693" s="85">
        <v>0</v>
      </c>
      <c r="AB693" s="85"/>
      <c r="AC693" s="85">
        <v>0</v>
      </c>
      <c r="AD693" s="85"/>
      <c r="AE693" s="85">
        <v>0</v>
      </c>
      <c r="AF693" s="85"/>
      <c r="AG693" s="85">
        <v>0</v>
      </c>
      <c r="AH693" s="85"/>
      <c r="AI693" s="85">
        <f t="shared" si="56"/>
        <v>463208</v>
      </c>
      <c r="AJ693" s="24"/>
      <c r="AK693" s="15" t="str">
        <f>'Gen Rev'!A693</f>
        <v>Yorkville</v>
      </c>
      <c r="AL693" s="15" t="str">
        <f t="shared" si="54"/>
        <v>Yorkville</v>
      </c>
      <c r="AM693" s="15" t="b">
        <f t="shared" si="55"/>
        <v>1</v>
      </c>
    </row>
    <row r="694" spans="1:39" ht="12.75">
      <c r="A694" s="15" t="s">
        <v>580</v>
      </c>
      <c r="C694" s="15" t="s">
        <v>82</v>
      </c>
      <c r="E694" s="85">
        <v>28737</v>
      </c>
      <c r="F694" s="85"/>
      <c r="G694" s="85">
        <v>0</v>
      </c>
      <c r="H694" s="85"/>
      <c r="I694" s="85">
        <v>31787</v>
      </c>
      <c r="J694" s="85"/>
      <c r="K694" s="85">
        <v>0</v>
      </c>
      <c r="L694" s="85"/>
      <c r="M694" s="85">
        <v>9886</v>
      </c>
      <c r="N694" s="85"/>
      <c r="O694" s="85">
        <v>0</v>
      </c>
      <c r="P694" s="85"/>
      <c r="Q694" s="85">
        <v>253</v>
      </c>
      <c r="R694" s="85"/>
      <c r="S694" s="85">
        <v>1194</v>
      </c>
      <c r="T694" s="85"/>
      <c r="U694" s="85">
        <v>0</v>
      </c>
      <c r="V694" s="85"/>
      <c r="W694" s="85">
        <v>0</v>
      </c>
      <c r="X694" s="85"/>
      <c r="Y694" s="85">
        <v>0</v>
      </c>
      <c r="Z694" s="85"/>
      <c r="AA694" s="85">
        <v>0</v>
      </c>
      <c r="AB694" s="85"/>
      <c r="AC694" s="85">
        <v>0</v>
      </c>
      <c r="AD694" s="85"/>
      <c r="AE694" s="85">
        <v>0</v>
      </c>
      <c r="AF694" s="86"/>
      <c r="AG694" s="85">
        <v>0</v>
      </c>
      <c r="AH694" s="86"/>
      <c r="AI694" s="85">
        <f t="shared" si="56"/>
        <v>71857</v>
      </c>
      <c r="AJ694" s="24"/>
      <c r="AK694" s="15" t="str">
        <f>'Gen Rev'!A694</f>
        <v>Zaleski</v>
      </c>
      <c r="AL694" s="15" t="str">
        <f t="shared" si="54"/>
        <v>Zaleski</v>
      </c>
      <c r="AM694" s="15" t="b">
        <f t="shared" si="55"/>
        <v>1</v>
      </c>
    </row>
    <row r="695" spans="1:39" ht="12.75">
      <c r="A695" s="15" t="s">
        <v>449</v>
      </c>
      <c r="C695" s="15" t="s">
        <v>446</v>
      </c>
      <c r="E695" s="85">
        <v>6921</v>
      </c>
      <c r="F695" s="85"/>
      <c r="G695" s="85">
        <v>0</v>
      </c>
      <c r="H695" s="85"/>
      <c r="I695" s="85">
        <v>22308</v>
      </c>
      <c r="J695" s="85"/>
      <c r="K695" s="85">
        <v>0</v>
      </c>
      <c r="L695" s="85"/>
      <c r="M695" s="85">
        <v>0</v>
      </c>
      <c r="N695" s="85"/>
      <c r="O695" s="85">
        <v>377</v>
      </c>
      <c r="P695" s="85"/>
      <c r="Q695" s="85">
        <v>77</v>
      </c>
      <c r="R695" s="85"/>
      <c r="S695" s="85">
        <v>1318</v>
      </c>
      <c r="T695" s="85"/>
      <c r="U695" s="85">
        <v>0</v>
      </c>
      <c r="V695" s="85"/>
      <c r="W695" s="85">
        <v>0</v>
      </c>
      <c r="X695" s="85"/>
      <c r="Y695" s="85">
        <v>0</v>
      </c>
      <c r="Z695" s="85"/>
      <c r="AA695" s="85">
        <v>0</v>
      </c>
      <c r="AB695" s="85"/>
      <c r="AC695" s="85">
        <v>0</v>
      </c>
      <c r="AD695" s="85"/>
      <c r="AE695" s="85">
        <v>0</v>
      </c>
      <c r="AF695" s="85"/>
      <c r="AG695" s="85">
        <v>0</v>
      </c>
      <c r="AH695" s="85"/>
      <c r="AI695" s="85">
        <f t="shared" si="56"/>
        <v>31001</v>
      </c>
      <c r="AJ695" s="24"/>
      <c r="AK695" s="15" t="str">
        <f>'Gen Rev'!A695</f>
        <v>Zanesfield</v>
      </c>
      <c r="AL695" s="15" t="str">
        <f t="shared" si="54"/>
        <v>Zanesfield</v>
      </c>
      <c r="AM695" s="15" t="b">
        <f t="shared" si="55"/>
        <v>1</v>
      </c>
    </row>
    <row r="696" spans="1:39" ht="12.75">
      <c r="A696" s="15" t="s">
        <v>235</v>
      </c>
      <c r="C696" s="15" t="s">
        <v>818</v>
      </c>
      <c r="E696" s="36">
        <v>42058.75</v>
      </c>
      <c r="F696" s="36"/>
      <c r="G696" s="36">
        <v>0</v>
      </c>
      <c r="H696" s="36"/>
      <c r="I696" s="36">
        <v>27413.58</v>
      </c>
      <c r="J696" s="36"/>
      <c r="K696" s="36">
        <v>0</v>
      </c>
      <c r="L696" s="36"/>
      <c r="M696" s="36">
        <v>1850</v>
      </c>
      <c r="N696" s="36"/>
      <c r="O696" s="36">
        <v>2565.51</v>
      </c>
      <c r="P696" s="36"/>
      <c r="Q696" s="36">
        <v>94.05</v>
      </c>
      <c r="R696" s="36"/>
      <c r="S696" s="36">
        <v>145.62</v>
      </c>
      <c r="T696" s="36"/>
      <c r="U696" s="36">
        <v>0</v>
      </c>
      <c r="V696" s="36"/>
      <c r="W696" s="36">
        <v>0</v>
      </c>
      <c r="X696" s="36"/>
      <c r="Y696" s="36">
        <v>0</v>
      </c>
      <c r="Z696" s="36"/>
      <c r="AA696" s="36">
        <v>0</v>
      </c>
      <c r="AB696" s="36"/>
      <c r="AC696" s="36">
        <v>0</v>
      </c>
      <c r="AD696" s="36"/>
      <c r="AE696" s="36">
        <v>0</v>
      </c>
      <c r="AF696" s="36"/>
      <c r="AG696" s="36">
        <v>0</v>
      </c>
      <c r="AH696" s="36"/>
      <c r="AI696" s="36">
        <f>SUM(E696:AG696)</f>
        <v>74127.51</v>
      </c>
      <c r="AJ696" s="24"/>
      <c r="AK696" s="15" t="str">
        <f>'Gen Rev'!A696</f>
        <v>Zoar</v>
      </c>
      <c r="AL696" s="15" t="str">
        <f t="shared" si="54"/>
        <v>Zoar</v>
      </c>
      <c r="AM696" s="15" t="b">
        <f t="shared" si="55"/>
        <v>1</v>
      </c>
    </row>
    <row r="697" spans="5:36" s="31" customFormat="1" ht="12.75"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15"/>
      <c r="AJ697" s="15"/>
    </row>
    <row r="698" spans="5:36" s="31" customFormat="1" ht="12.75"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15"/>
      <c r="AJ698" s="15"/>
    </row>
    <row r="699" spans="5:36" s="31" customFormat="1" ht="12.75"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15"/>
      <c r="AJ699" s="15"/>
    </row>
    <row r="700" spans="5:36" s="31" customFormat="1" ht="12.75"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15"/>
      <c r="AJ700" s="15"/>
    </row>
    <row r="701" spans="5:36" s="31" customFormat="1" ht="12.75"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15"/>
      <c r="AJ701" s="15"/>
    </row>
    <row r="702" spans="5:36" s="31" customFormat="1" ht="12.75"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15"/>
      <c r="AJ702" s="15"/>
    </row>
    <row r="703" spans="5:36" s="31" customFormat="1" ht="12.75"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15"/>
      <c r="AJ703" s="15"/>
    </row>
    <row r="704" spans="5:36" s="31" customFormat="1" ht="12.75"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15"/>
      <c r="AJ704" s="15"/>
    </row>
    <row r="705" spans="5:36" s="31" customFormat="1" ht="12.75"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15"/>
      <c r="AJ705" s="15"/>
    </row>
    <row r="706" spans="5:36" s="31" customFormat="1" ht="12.75"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15"/>
      <c r="AJ706" s="15"/>
    </row>
    <row r="707" spans="5:36" s="31" customFormat="1" ht="12.75"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15"/>
      <c r="AJ707" s="15"/>
    </row>
    <row r="708" spans="5:36" s="31" customFormat="1" ht="12.75"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15"/>
      <c r="AJ708" s="15"/>
    </row>
    <row r="709" spans="5:36" s="31" customFormat="1" ht="12.75"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15"/>
      <c r="AJ709" s="15"/>
    </row>
    <row r="710" spans="5:36" s="31" customFormat="1" ht="12.75"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15"/>
      <c r="AJ710" s="15"/>
    </row>
    <row r="711" spans="5:36" s="31" customFormat="1" ht="12.75"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15"/>
      <c r="AJ711" s="15"/>
    </row>
    <row r="712" spans="5:36" s="31" customFormat="1" ht="12.75"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15"/>
      <c r="AJ712" s="15"/>
    </row>
    <row r="713" spans="5:36" s="31" customFormat="1" ht="12.75"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15"/>
      <c r="AJ713" s="15"/>
    </row>
    <row r="714" spans="5:36" s="31" customFormat="1" ht="12.75"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15"/>
      <c r="AJ714" s="15"/>
    </row>
    <row r="715" spans="5:36" s="31" customFormat="1" ht="12.75"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15"/>
      <c r="AJ715" s="15"/>
    </row>
    <row r="716" spans="5:36" s="31" customFormat="1" ht="12.75"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15"/>
      <c r="AJ716" s="15"/>
    </row>
    <row r="717" spans="5:36" s="31" customFormat="1" ht="12.75"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15"/>
      <c r="AJ717" s="15"/>
    </row>
    <row r="718" spans="5:36" s="31" customFormat="1" ht="12.75"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15"/>
      <c r="AJ718" s="15"/>
    </row>
    <row r="719" spans="5:36" s="31" customFormat="1" ht="12.75"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15"/>
      <c r="AJ719" s="15"/>
    </row>
    <row r="720" spans="5:36" s="31" customFormat="1" ht="12.75"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15"/>
      <c r="AJ720" s="15"/>
    </row>
    <row r="721" spans="5:36" s="31" customFormat="1" ht="12.75"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15"/>
      <c r="AJ721" s="15"/>
    </row>
    <row r="722" spans="5:36" s="31" customFormat="1" ht="12.75"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15"/>
      <c r="AJ722" s="15"/>
    </row>
    <row r="723" spans="5:36" s="31" customFormat="1" ht="12.75"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15"/>
      <c r="AJ723" s="15"/>
    </row>
    <row r="724" spans="5:36" s="31" customFormat="1" ht="12.75"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15"/>
      <c r="AJ724" s="15"/>
    </row>
    <row r="725" spans="5:36" s="31" customFormat="1" ht="12.75"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15"/>
      <c r="AJ725" s="15"/>
    </row>
    <row r="726" spans="5:36" s="31" customFormat="1" ht="12.75"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15"/>
      <c r="AJ726" s="15"/>
    </row>
    <row r="727" spans="5:36" s="31" customFormat="1" ht="12.75"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15"/>
      <c r="AJ727" s="15"/>
    </row>
    <row r="728" spans="5:36" s="31" customFormat="1" ht="12.75"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15"/>
      <c r="AJ728" s="15"/>
    </row>
    <row r="729" spans="5:36" s="31" customFormat="1" ht="12.75"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15"/>
      <c r="AJ729" s="15"/>
    </row>
    <row r="730" spans="5:36" s="31" customFormat="1" ht="12.75"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15"/>
      <c r="AJ730" s="15"/>
    </row>
    <row r="731" spans="5:36" s="31" customFormat="1" ht="12.75"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15"/>
      <c r="AJ731" s="15"/>
    </row>
    <row r="732" spans="5:36" s="31" customFormat="1" ht="12.75"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15"/>
      <c r="AJ732" s="15"/>
    </row>
    <row r="733" spans="5:36" s="31" customFormat="1" ht="12.75"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15"/>
      <c r="AJ733" s="15"/>
    </row>
    <row r="734" spans="5:36" s="31" customFormat="1" ht="12.75"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15"/>
      <c r="AJ734" s="15"/>
    </row>
    <row r="735" spans="5:36" s="31" customFormat="1" ht="12.75"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15"/>
      <c r="AJ735" s="15"/>
    </row>
    <row r="736" spans="5:36" s="31" customFormat="1" ht="12.75"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15"/>
      <c r="AJ736" s="15"/>
    </row>
    <row r="737" spans="5:36" s="31" customFormat="1" ht="12.75"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15"/>
      <c r="AJ737" s="15"/>
    </row>
    <row r="738" spans="5:36" s="31" customFormat="1" ht="12.75"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15"/>
      <c r="AJ738" s="15"/>
    </row>
    <row r="739" spans="5:36" s="31" customFormat="1" ht="12.75"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15"/>
      <c r="AJ739" s="15"/>
    </row>
    <row r="740" spans="5:36" s="31" customFormat="1" ht="12.75"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15"/>
      <c r="AJ740" s="15"/>
    </row>
    <row r="741" spans="5:36" s="31" customFormat="1" ht="12.75"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15"/>
      <c r="AJ741" s="15"/>
    </row>
    <row r="742" spans="5:36" s="31" customFormat="1" ht="12.75"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15"/>
      <c r="AJ742" s="15"/>
    </row>
    <row r="743" spans="5:36" s="31" customFormat="1" ht="12.75"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15"/>
      <c r="AJ743" s="15"/>
    </row>
    <row r="744" spans="5:36" s="31" customFormat="1" ht="12.75"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15"/>
      <c r="AJ744" s="15"/>
    </row>
    <row r="745" spans="5:36" s="31" customFormat="1" ht="12.75"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15"/>
      <c r="AJ745" s="15"/>
    </row>
    <row r="746" spans="5:36" s="31" customFormat="1" ht="12.75"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15"/>
      <c r="AJ746" s="15"/>
    </row>
    <row r="747" spans="5:36" s="31" customFormat="1" ht="12.75"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15"/>
      <c r="AJ747" s="15"/>
    </row>
    <row r="748" spans="5:36" s="31" customFormat="1" ht="12.75"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15"/>
      <c r="AJ748" s="15"/>
    </row>
    <row r="749" spans="5:36" s="31" customFormat="1" ht="12.75"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15"/>
      <c r="AJ749" s="15"/>
    </row>
    <row r="750" spans="5:36" s="31" customFormat="1" ht="12.75"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15"/>
      <c r="AJ750" s="15"/>
    </row>
    <row r="751" spans="5:36" s="31" customFormat="1" ht="12.75"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15"/>
      <c r="AJ751" s="15"/>
    </row>
    <row r="752" spans="5:36" s="31" customFormat="1" ht="12.75"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15"/>
      <c r="AJ752" s="15"/>
    </row>
    <row r="753" spans="5:36" s="31" customFormat="1" ht="12.75"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15"/>
      <c r="AJ753" s="15"/>
    </row>
    <row r="754" spans="1:34" ht="12.75">
      <c r="A754" s="31"/>
      <c r="B754" s="31"/>
      <c r="C754" s="31"/>
      <c r="D754" s="31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</row>
    <row r="857" spans="1:34" ht="12.75">
      <c r="A857" s="75"/>
      <c r="B857" s="7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</row>
    <row r="858" spans="1:34" ht="12.75">
      <c r="A858" s="75"/>
      <c r="B858" s="7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</row>
  </sheetData>
  <printOptions/>
  <pageMargins left="0.75" right="0.5" top="0.5" bottom="0.5" header="0" footer="0.3"/>
  <pageSetup firstPageNumber="48" useFirstPageNumber="1" fitToHeight="14" fitToWidth="2" horizontalDpi="300" verticalDpi="300" orientation="portrait" pageOrder="overThenDown" scale="76" r:id="rId1"/>
  <headerFooter scaleWithDoc="0" alignWithMargins="0">
    <oddFooter>&amp;C&amp;P</oddFooter>
  </headerFooter>
  <rowBreaks count="8" manualBreakCount="8">
    <brk id="84" max="16383" man="1"/>
    <brk id="162" max="16383" man="1"/>
    <brk id="240" max="16383" man="1"/>
    <brk id="322" max="16383" man="1"/>
    <brk id="397" max="16383" man="1"/>
    <brk id="476" max="16383" man="1"/>
    <brk id="554" max="16383" man="1"/>
    <brk id="6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860"/>
  <sheetViews>
    <sheetView tabSelected="1" view="pageBreakPreview" zoomScale="90" zoomScaleSheetLayoutView="90" workbookViewId="0" topLeftCell="A1">
      <pane xSplit="4" ySplit="7" topLeftCell="E28" activePane="bottomRight" state="frozen"/>
      <selection pane="topRight" activeCell="E1" sqref="E1"/>
      <selection pane="bottomLeft" activeCell="A8" sqref="A8"/>
      <selection pane="bottomRight" activeCell="C5" sqref="C5"/>
    </sheetView>
  </sheetViews>
  <sheetFormatPr defaultColWidth="9.33203125" defaultRowHeight="12.75"/>
  <cols>
    <col min="1" max="1" width="20.83203125" style="15" customWidth="1"/>
    <col min="2" max="2" width="1.83203125" style="15" customWidth="1"/>
    <col min="3" max="3" width="14.33203125" style="15" customWidth="1"/>
    <col min="4" max="4" width="1.83203125" style="15" customWidth="1"/>
    <col min="5" max="5" width="12.66015625" style="24" customWidth="1"/>
    <col min="6" max="6" width="1.83203125" style="24" customWidth="1"/>
    <col min="7" max="7" width="12.66015625" style="24" customWidth="1"/>
    <col min="8" max="8" width="1.83203125" style="24" customWidth="1"/>
    <col min="9" max="9" width="11.83203125" style="24" customWidth="1"/>
    <col min="10" max="10" width="1.83203125" style="24" customWidth="1"/>
    <col min="11" max="11" width="13.16015625" style="24" customWidth="1"/>
    <col min="12" max="12" width="1.83203125" style="24" customWidth="1"/>
    <col min="13" max="13" width="11.83203125" style="24" customWidth="1"/>
    <col min="14" max="14" width="1.83203125" style="24" customWidth="1"/>
    <col min="15" max="15" width="13.5" style="24" customWidth="1"/>
    <col min="16" max="16" width="1.83203125" style="24" hidden="1" customWidth="1"/>
    <col min="17" max="17" width="16" style="24" customWidth="1"/>
    <col min="18" max="18" width="1.83203125" style="24" customWidth="1"/>
    <col min="19" max="19" width="12.16015625" style="24" customWidth="1"/>
    <col min="20" max="20" width="1.83203125" style="24" customWidth="1"/>
    <col min="21" max="21" width="11.83203125" style="24" customWidth="1"/>
    <col min="22" max="22" width="1.83203125" style="24" customWidth="1"/>
    <col min="23" max="23" width="13" style="24" customWidth="1"/>
    <col min="24" max="24" width="1.83203125" style="24" customWidth="1"/>
    <col min="25" max="25" width="14.16015625" style="24" customWidth="1"/>
    <col min="26" max="26" width="1.83203125" style="24" customWidth="1"/>
    <col min="27" max="27" width="14.33203125" style="24" customWidth="1"/>
    <col min="28" max="28" width="1.83203125" style="24" customWidth="1"/>
    <col min="29" max="29" width="12.5" style="24" customWidth="1"/>
    <col min="30" max="30" width="1.83203125" style="24" customWidth="1"/>
    <col min="31" max="31" width="14.5" style="15" customWidth="1"/>
    <col min="32" max="32" width="1.83203125" style="15" customWidth="1"/>
    <col min="33" max="33" width="14" style="54" bestFit="1" customWidth="1"/>
    <col min="34" max="34" width="1.83203125" style="54" customWidth="1"/>
    <col min="35" max="35" width="12.83203125" style="54" bestFit="1" customWidth="1"/>
    <col min="36" max="36" width="1.83203125" style="54" customWidth="1"/>
    <col min="37" max="37" width="12.83203125" style="54" bestFit="1" customWidth="1"/>
    <col min="38" max="38" width="13.5" style="15" bestFit="1" customWidth="1"/>
    <col min="39" max="39" width="15.83203125" style="15" customWidth="1"/>
    <col min="40" max="16384" width="9.33203125" style="15" customWidth="1"/>
  </cols>
  <sheetData>
    <row r="1" spans="1:33" ht="12.75">
      <c r="A1" s="15" t="s">
        <v>617</v>
      </c>
      <c r="AG1" s="54" t="s">
        <v>887</v>
      </c>
    </row>
    <row r="2" spans="1:33" ht="12.75">
      <c r="A2" s="15" t="s">
        <v>872</v>
      </c>
      <c r="AG2" s="54" t="s">
        <v>888</v>
      </c>
    </row>
    <row r="3" spans="1:33" ht="12.75">
      <c r="A3" s="15" t="s">
        <v>960</v>
      </c>
      <c r="AG3" s="54" t="s">
        <v>889</v>
      </c>
    </row>
    <row r="4" spans="1:24" ht="12.75">
      <c r="A4" s="15" t="s">
        <v>864</v>
      </c>
      <c r="E4" s="76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38" s="61" customFormat="1" ht="12.75" customHeight="1">
      <c r="A5" s="57"/>
      <c r="B5" s="57"/>
      <c r="C5" s="57"/>
      <c r="D5" s="57"/>
      <c r="E5" s="62" t="s">
        <v>641</v>
      </c>
      <c r="F5" s="6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2" t="s">
        <v>657</v>
      </c>
      <c r="X5" s="62"/>
      <c r="Y5" s="59"/>
      <c r="Z5" s="59"/>
      <c r="AA5" s="59"/>
      <c r="AB5" s="59"/>
      <c r="AC5" s="58" t="s">
        <v>638</v>
      </c>
      <c r="AD5" s="58"/>
      <c r="AG5" s="45" t="s">
        <v>880</v>
      </c>
      <c r="AH5" s="45"/>
      <c r="AI5" s="45" t="s">
        <v>882</v>
      </c>
      <c r="AJ5" s="45"/>
      <c r="AK5" s="45" t="s">
        <v>885</v>
      </c>
      <c r="AL5" s="60"/>
    </row>
    <row r="6" spans="1:38" s="61" customFormat="1" ht="12.6" customHeight="1">
      <c r="A6" s="57"/>
      <c r="B6" s="57"/>
      <c r="C6" s="57"/>
      <c r="D6" s="57"/>
      <c r="E6" s="62" t="s">
        <v>642</v>
      </c>
      <c r="F6" s="62"/>
      <c r="G6" s="62" t="s">
        <v>644</v>
      </c>
      <c r="H6" s="62"/>
      <c r="I6" s="62" t="s">
        <v>646</v>
      </c>
      <c r="J6" s="62"/>
      <c r="K6" s="62" t="s">
        <v>648</v>
      </c>
      <c r="L6" s="62"/>
      <c r="M6" s="62" t="s">
        <v>650</v>
      </c>
      <c r="N6" s="62"/>
      <c r="O6" s="59"/>
      <c r="P6" s="59"/>
      <c r="Q6" s="62" t="s">
        <v>651</v>
      </c>
      <c r="R6" s="62"/>
      <c r="S6" s="62" t="s">
        <v>653</v>
      </c>
      <c r="T6" s="62"/>
      <c r="U6" s="62" t="s">
        <v>655</v>
      </c>
      <c r="V6" s="62"/>
      <c r="W6" s="62" t="s">
        <v>658</v>
      </c>
      <c r="X6" s="62"/>
      <c r="Y6" s="70"/>
      <c r="Z6" s="70"/>
      <c r="AA6" s="59"/>
      <c r="AB6" s="59"/>
      <c r="AC6" s="58" t="s">
        <v>639</v>
      </c>
      <c r="AD6" s="58"/>
      <c r="AG6" s="45" t="s">
        <v>837</v>
      </c>
      <c r="AH6" s="45"/>
      <c r="AI6" s="45" t="s">
        <v>883</v>
      </c>
      <c r="AJ6" s="45"/>
      <c r="AK6" s="45" t="s">
        <v>886</v>
      </c>
      <c r="AL6" s="60"/>
    </row>
    <row r="7" spans="1:38" s="64" customFormat="1" ht="12.6" customHeight="1">
      <c r="A7" s="63" t="s">
        <v>734</v>
      </c>
      <c r="C7" s="63" t="s">
        <v>735</v>
      </c>
      <c r="E7" s="69" t="s">
        <v>643</v>
      </c>
      <c r="F7" s="70"/>
      <c r="G7" s="69" t="s">
        <v>645</v>
      </c>
      <c r="H7" s="70"/>
      <c r="I7" s="69" t="s">
        <v>647</v>
      </c>
      <c r="J7" s="70"/>
      <c r="K7" s="69" t="s">
        <v>649</v>
      </c>
      <c r="L7" s="70"/>
      <c r="M7" s="69" t="s">
        <v>629</v>
      </c>
      <c r="N7" s="70"/>
      <c r="O7" s="78" t="s">
        <v>614</v>
      </c>
      <c r="P7" s="79"/>
      <c r="Q7" s="69" t="s">
        <v>652</v>
      </c>
      <c r="R7" s="70"/>
      <c r="S7" s="69" t="s">
        <v>654</v>
      </c>
      <c r="T7" s="70"/>
      <c r="U7" s="69" t="s">
        <v>656</v>
      </c>
      <c r="V7" s="70"/>
      <c r="W7" s="69" t="s">
        <v>659</v>
      </c>
      <c r="X7" s="70"/>
      <c r="Y7" s="69" t="s">
        <v>616</v>
      </c>
      <c r="Z7" s="70"/>
      <c r="AA7" s="69" t="s">
        <v>660</v>
      </c>
      <c r="AB7" s="70"/>
      <c r="AC7" s="27" t="s">
        <v>661</v>
      </c>
      <c r="AD7" s="45"/>
      <c r="AE7" s="63" t="s">
        <v>827</v>
      </c>
      <c r="AG7" s="65"/>
      <c r="AH7" s="66"/>
      <c r="AI7" s="65" t="s">
        <v>884</v>
      </c>
      <c r="AJ7" s="66"/>
      <c r="AK7" s="65" t="s">
        <v>879</v>
      </c>
      <c r="AL7" s="63" t="s">
        <v>878</v>
      </c>
    </row>
    <row r="8" spans="1:41" ht="12.6" customHeight="1">
      <c r="A8" s="15" t="s">
        <v>282</v>
      </c>
      <c r="C8" s="15" t="s">
        <v>283</v>
      </c>
      <c r="E8" s="102">
        <v>292575.95</v>
      </c>
      <c r="F8" s="102"/>
      <c r="G8" s="102">
        <v>0</v>
      </c>
      <c r="H8" s="102"/>
      <c r="I8" s="102">
        <v>23367.82</v>
      </c>
      <c r="J8" s="102"/>
      <c r="K8" s="102">
        <v>0</v>
      </c>
      <c r="L8" s="102"/>
      <c r="M8" s="102">
        <v>113823.3</v>
      </c>
      <c r="N8" s="102"/>
      <c r="O8" s="102">
        <v>84768.97</v>
      </c>
      <c r="P8" s="102"/>
      <c r="Q8" s="102">
        <v>158281.54</v>
      </c>
      <c r="R8" s="102"/>
      <c r="S8" s="102">
        <v>44709.24</v>
      </c>
      <c r="T8" s="102"/>
      <c r="U8" s="102">
        <v>0</v>
      </c>
      <c r="V8" s="102"/>
      <c r="W8" s="102">
        <v>172161.38</v>
      </c>
      <c r="X8" s="102"/>
      <c r="Y8" s="102">
        <v>0</v>
      </c>
      <c r="Z8" s="102"/>
      <c r="AA8" s="102">
        <v>0</v>
      </c>
      <c r="AB8" s="102"/>
      <c r="AC8" s="102">
        <v>0</v>
      </c>
      <c r="AD8" s="102"/>
      <c r="AE8" s="102">
        <f>SUM(E8:AC8)</f>
        <v>889688.2000000001</v>
      </c>
      <c r="AF8" s="36"/>
      <c r="AG8" s="36">
        <v>-4752.03</v>
      </c>
      <c r="AH8" s="36"/>
      <c r="AI8" s="36">
        <v>2869461.01</v>
      </c>
      <c r="AJ8" s="36"/>
      <c r="AK8" s="36">
        <v>2864708.98</v>
      </c>
      <c r="AL8" s="39">
        <f>+'Gov Rev'!AI8-'Gov Exp'!AE8+'Gov Exp'!AI8-'Gov Exp'!AK8</f>
        <v>0</v>
      </c>
      <c r="AM8" s="15" t="str">
        <f>'Gov Rev'!A8</f>
        <v>Aberdeen</v>
      </c>
      <c r="AN8" s="15" t="str">
        <f>A8</f>
        <v>Aberdeen</v>
      </c>
      <c r="AO8" s="15" t="b">
        <f>AM8=AN8</f>
        <v>1</v>
      </c>
    </row>
    <row r="9" spans="1:41" s="39" customFormat="1" ht="12.75">
      <c r="A9" s="39" t="s">
        <v>395</v>
      </c>
      <c r="C9" s="39" t="s">
        <v>396</v>
      </c>
      <c r="E9" s="24">
        <v>536111</v>
      </c>
      <c r="F9" s="24"/>
      <c r="G9" s="24">
        <v>22652</v>
      </c>
      <c r="H9" s="24"/>
      <c r="I9" s="24">
        <v>104278</v>
      </c>
      <c r="J9" s="24"/>
      <c r="K9" s="24">
        <v>10526</v>
      </c>
      <c r="L9" s="24"/>
      <c r="M9" s="24">
        <v>0</v>
      </c>
      <c r="N9" s="24"/>
      <c r="O9" s="24">
        <v>483931</v>
      </c>
      <c r="P9" s="24"/>
      <c r="Q9" s="24">
        <v>285949</v>
      </c>
      <c r="R9" s="24"/>
      <c r="S9" s="24">
        <v>708721</v>
      </c>
      <c r="T9" s="24"/>
      <c r="U9" s="24">
        <v>185192</v>
      </c>
      <c r="V9" s="24"/>
      <c r="W9" s="24">
        <v>0</v>
      </c>
      <c r="X9" s="24"/>
      <c r="Y9" s="24">
        <v>0</v>
      </c>
      <c r="Z9" s="24"/>
      <c r="AA9" s="24">
        <v>0</v>
      </c>
      <c r="AB9" s="24"/>
      <c r="AC9" s="24">
        <v>1026490</v>
      </c>
      <c r="AD9" s="24"/>
      <c r="AE9" s="24">
        <f aca="true" t="shared" si="0" ref="AE9:AE71">SUM(E9:AC9)</f>
        <v>3363850</v>
      </c>
      <c r="AF9" s="24"/>
      <c r="AG9" s="24">
        <v>-118191</v>
      </c>
      <c r="AH9" s="24"/>
      <c r="AI9" s="24">
        <v>1395899</v>
      </c>
      <c r="AJ9" s="24"/>
      <c r="AK9" s="24">
        <v>1277709</v>
      </c>
      <c r="AL9" s="39">
        <f>+'Gov Rev'!AI9-'Gov Exp'!AE9+'Gov Exp'!AI9-'Gov Exp'!AK9</f>
        <v>-1</v>
      </c>
      <c r="AM9" s="15" t="str">
        <f>'Gov Rev'!A9</f>
        <v>Ada</v>
      </c>
      <c r="AN9" s="15" t="str">
        <f aca="true" t="shared" si="1" ref="AN9:AN25">A9</f>
        <v>Ada</v>
      </c>
      <c r="AO9" s="15" t="b">
        <f aca="true" t="shared" si="2" ref="AO9:AO25">AM9=AN9</f>
        <v>1</v>
      </c>
    </row>
    <row r="10" spans="1:41" ht="12.75">
      <c r="A10" s="15" t="s">
        <v>484</v>
      </c>
      <c r="C10" s="15" t="s">
        <v>485</v>
      </c>
      <c r="E10" s="24">
        <v>800</v>
      </c>
      <c r="G10" s="24">
        <v>0</v>
      </c>
      <c r="I10" s="24">
        <v>0</v>
      </c>
      <c r="K10" s="24">
        <v>0</v>
      </c>
      <c r="M10" s="24">
        <v>0</v>
      </c>
      <c r="O10" s="24">
        <f>1800+3955</f>
        <v>5755</v>
      </c>
      <c r="Q10" s="24">
        <v>8408</v>
      </c>
      <c r="S10" s="24">
        <v>0</v>
      </c>
      <c r="U10" s="24">
        <v>0</v>
      </c>
      <c r="W10" s="24">
        <v>0</v>
      </c>
      <c r="Y10" s="24">
        <v>0</v>
      </c>
      <c r="AA10" s="24">
        <v>0</v>
      </c>
      <c r="AC10" s="24">
        <v>0</v>
      </c>
      <c r="AE10" s="24">
        <f t="shared" si="0"/>
        <v>14963</v>
      </c>
      <c r="AF10" s="24"/>
      <c r="AG10" s="24">
        <f>3117+2680</f>
        <v>5797</v>
      </c>
      <c r="AH10" s="24"/>
      <c r="AI10" s="24">
        <f>3627+31131</f>
        <v>34758</v>
      </c>
      <c r="AJ10" s="24"/>
      <c r="AK10" s="24">
        <f>6744+33811</f>
        <v>40555</v>
      </c>
      <c r="AL10" s="39">
        <f>+'Gov Rev'!AI10-'Gov Exp'!AE10+'Gov Exp'!AI10-'Gov Exp'!AK10</f>
        <v>0</v>
      </c>
      <c r="AM10" s="15" t="str">
        <f>'Gov Rev'!A10</f>
        <v>Adamsville</v>
      </c>
      <c r="AN10" s="15" t="str">
        <f t="shared" si="1"/>
        <v>Adamsville</v>
      </c>
      <c r="AO10" s="15" t="b">
        <f t="shared" si="2"/>
        <v>1</v>
      </c>
    </row>
    <row r="11" spans="1:41" s="31" customFormat="1" ht="12.75" hidden="1">
      <c r="A11" s="15" t="s">
        <v>890</v>
      </c>
      <c r="B11" s="15"/>
      <c r="C11" s="15" t="s">
        <v>420</v>
      </c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>
        <f t="shared" si="0"/>
        <v>0</v>
      </c>
      <c r="AF11" s="24"/>
      <c r="AG11" s="29"/>
      <c r="AH11" s="29"/>
      <c r="AI11" s="29"/>
      <c r="AJ11" s="29"/>
      <c r="AK11" s="29"/>
      <c r="AL11" s="39">
        <f>+'Gov Rev'!AI11-'Gov Exp'!AE11+'Gov Exp'!AI11-'Gov Exp'!AK11</f>
        <v>0</v>
      </c>
      <c r="AM11" s="15" t="str">
        <f>'Gov Rev'!A11</f>
        <v>Adena</v>
      </c>
      <c r="AN11" s="15" t="str">
        <f t="shared" si="1"/>
        <v>Adena</v>
      </c>
      <c r="AO11" s="15" t="b">
        <f t="shared" si="2"/>
        <v>1</v>
      </c>
    </row>
    <row r="12" spans="1:41" s="31" customFormat="1" ht="12.75">
      <c r="A12" s="15" t="s">
        <v>91</v>
      </c>
      <c r="B12" s="15"/>
      <c r="C12" s="15" t="s">
        <v>773</v>
      </c>
      <c r="D12" s="28"/>
      <c r="E12" s="36">
        <v>306854.43</v>
      </c>
      <c r="F12" s="36"/>
      <c r="G12" s="36">
        <v>0</v>
      </c>
      <c r="H12" s="36"/>
      <c r="I12" s="36">
        <v>38384.37</v>
      </c>
      <c r="J12" s="36"/>
      <c r="K12" s="36">
        <v>19380.91</v>
      </c>
      <c r="L12" s="36"/>
      <c r="M12" s="36">
        <v>24013.23</v>
      </c>
      <c r="N12" s="36"/>
      <c r="O12" s="36">
        <v>172635.72</v>
      </c>
      <c r="P12" s="36"/>
      <c r="Q12" s="36">
        <v>360523.61</v>
      </c>
      <c r="R12" s="36"/>
      <c r="S12" s="36">
        <v>73202.34</v>
      </c>
      <c r="T12" s="36"/>
      <c r="U12" s="36">
        <v>14136.66</v>
      </c>
      <c r="V12" s="36"/>
      <c r="W12" s="36">
        <v>5800</v>
      </c>
      <c r="X12" s="36"/>
      <c r="Y12" s="36">
        <v>0</v>
      </c>
      <c r="Z12" s="36"/>
      <c r="AA12" s="36">
        <v>0</v>
      </c>
      <c r="AB12" s="36"/>
      <c r="AC12" s="36">
        <v>24231.11</v>
      </c>
      <c r="AD12" s="36"/>
      <c r="AE12" s="36">
        <f aca="true" t="shared" si="3" ref="AE12:AE16">SUM(E12:AC12)</f>
        <v>1039162.3799999999</v>
      </c>
      <c r="AF12" s="36"/>
      <c r="AG12" s="36">
        <v>-107167.45</v>
      </c>
      <c r="AH12" s="36"/>
      <c r="AI12" s="36">
        <v>160453.86</v>
      </c>
      <c r="AJ12" s="36"/>
      <c r="AK12" s="36">
        <v>53286.41</v>
      </c>
      <c r="AL12" s="39">
        <f>+'Gov Rev'!AI12-'Gov Exp'!AE12+'Gov Exp'!AI12-'Gov Exp'!AK12</f>
        <v>0</v>
      </c>
      <c r="AM12" s="15" t="str">
        <f>'Gov Rev'!A12</f>
        <v>Addyston</v>
      </c>
      <c r="AN12" s="15" t="str">
        <f t="shared" si="1"/>
        <v>Addyston</v>
      </c>
      <c r="AO12" s="15" t="b">
        <f t="shared" si="2"/>
        <v>1</v>
      </c>
    </row>
    <row r="13" spans="1:41" ht="12.75">
      <c r="A13" s="15" t="s">
        <v>210</v>
      </c>
      <c r="C13" s="15" t="s">
        <v>810</v>
      </c>
      <c r="D13" s="28"/>
      <c r="E13" s="36">
        <v>18463.1</v>
      </c>
      <c r="F13" s="36"/>
      <c r="G13" s="36">
        <v>0</v>
      </c>
      <c r="H13" s="36"/>
      <c r="I13" s="36">
        <v>0</v>
      </c>
      <c r="J13" s="36"/>
      <c r="K13" s="36">
        <v>0</v>
      </c>
      <c r="L13" s="36"/>
      <c r="M13" s="36">
        <v>0</v>
      </c>
      <c r="N13" s="36"/>
      <c r="O13" s="36">
        <v>17782.36</v>
      </c>
      <c r="P13" s="36"/>
      <c r="Q13" s="36">
        <v>59334.11</v>
      </c>
      <c r="R13" s="36"/>
      <c r="S13" s="36">
        <v>0</v>
      </c>
      <c r="T13" s="36"/>
      <c r="U13" s="36">
        <v>0</v>
      </c>
      <c r="V13" s="36"/>
      <c r="W13" s="36">
        <v>0</v>
      </c>
      <c r="X13" s="36"/>
      <c r="Y13" s="36">
        <v>0</v>
      </c>
      <c r="Z13" s="36"/>
      <c r="AA13" s="36">
        <v>0</v>
      </c>
      <c r="AB13" s="36"/>
      <c r="AC13" s="36">
        <v>0</v>
      </c>
      <c r="AD13" s="36"/>
      <c r="AE13" s="36">
        <f t="shared" si="3"/>
        <v>95579.57</v>
      </c>
      <c r="AF13" s="36"/>
      <c r="AG13" s="36">
        <v>-5966.1</v>
      </c>
      <c r="AH13" s="36"/>
      <c r="AI13" s="36">
        <v>34366.68</v>
      </c>
      <c r="AJ13" s="36"/>
      <c r="AK13" s="36">
        <v>28400.58</v>
      </c>
      <c r="AL13" s="39">
        <f>+'Gov Rev'!AI13-'Gov Exp'!AE13+'Gov Exp'!AI13-'Gov Exp'!AK13</f>
        <v>0</v>
      </c>
      <c r="AM13" s="15" t="str">
        <f>'Gov Rev'!A13</f>
        <v>Adelphi</v>
      </c>
      <c r="AN13" s="15" t="str">
        <f t="shared" si="1"/>
        <v>Adelphi</v>
      </c>
      <c r="AO13" s="15" t="b">
        <f t="shared" si="2"/>
        <v>1</v>
      </c>
    </row>
    <row r="14" spans="1:41" ht="12.6" customHeight="1">
      <c r="A14" s="15" t="s">
        <v>270</v>
      </c>
      <c r="C14" s="15" t="s">
        <v>271</v>
      </c>
      <c r="E14" s="36">
        <v>179290.5</v>
      </c>
      <c r="F14" s="36"/>
      <c r="G14" s="36">
        <v>0</v>
      </c>
      <c r="H14" s="36"/>
      <c r="I14" s="36">
        <v>0</v>
      </c>
      <c r="J14" s="36"/>
      <c r="K14" s="36">
        <v>0</v>
      </c>
      <c r="L14" s="36"/>
      <c r="M14" s="36">
        <v>34459.37</v>
      </c>
      <c r="N14" s="36"/>
      <c r="O14" s="36">
        <v>163780.95</v>
      </c>
      <c r="P14" s="36"/>
      <c r="Q14" s="36">
        <v>77281.45</v>
      </c>
      <c r="R14" s="36"/>
      <c r="S14" s="36">
        <v>1413.31</v>
      </c>
      <c r="T14" s="36"/>
      <c r="U14" s="36">
        <v>0</v>
      </c>
      <c r="V14" s="36"/>
      <c r="W14" s="36">
        <v>0</v>
      </c>
      <c r="X14" s="36"/>
      <c r="Y14" s="36">
        <v>9969.9</v>
      </c>
      <c r="Z14" s="36"/>
      <c r="AA14" s="36">
        <v>44000</v>
      </c>
      <c r="AB14" s="36"/>
      <c r="AC14" s="36">
        <v>0</v>
      </c>
      <c r="AD14" s="36"/>
      <c r="AE14" s="36">
        <f t="shared" si="3"/>
        <v>510195.48000000004</v>
      </c>
      <c r="AF14" s="36"/>
      <c r="AG14" s="36">
        <v>2349.03</v>
      </c>
      <c r="AH14" s="36"/>
      <c r="AI14" s="36">
        <v>197413.08</v>
      </c>
      <c r="AJ14" s="36"/>
      <c r="AK14" s="36">
        <v>199762.11</v>
      </c>
      <c r="AL14" s="39">
        <f>+'Gov Rev'!AI14-'Gov Exp'!AE14+'Gov Exp'!AI14-'Gov Exp'!AK14</f>
        <v>0</v>
      </c>
      <c r="AM14" s="15" t="str">
        <f>'Gov Rev'!A14</f>
        <v>Albany</v>
      </c>
      <c r="AN14" s="15" t="str">
        <f t="shared" si="1"/>
        <v>Albany</v>
      </c>
      <c r="AO14" s="15" t="b">
        <f t="shared" si="2"/>
        <v>1</v>
      </c>
    </row>
    <row r="15" spans="1:41" s="31" customFormat="1" ht="12.75">
      <c r="A15" s="15" t="s">
        <v>129</v>
      </c>
      <c r="B15" s="15"/>
      <c r="C15" s="15" t="s">
        <v>785</v>
      </c>
      <c r="D15" s="28"/>
      <c r="E15" s="36">
        <v>14414</v>
      </c>
      <c r="F15" s="36"/>
      <c r="G15" s="36">
        <v>0</v>
      </c>
      <c r="H15" s="36"/>
      <c r="I15" s="36">
        <v>11699.37</v>
      </c>
      <c r="J15" s="36"/>
      <c r="K15" s="36">
        <v>475.15</v>
      </c>
      <c r="L15" s="36"/>
      <c r="M15" s="36">
        <v>0</v>
      </c>
      <c r="N15" s="36"/>
      <c r="O15" s="36">
        <v>17587.26</v>
      </c>
      <c r="P15" s="36"/>
      <c r="Q15" s="36">
        <v>71292.09</v>
      </c>
      <c r="R15" s="36"/>
      <c r="S15" s="36">
        <v>22073.39</v>
      </c>
      <c r="T15" s="36"/>
      <c r="U15" s="36">
        <v>6516.8</v>
      </c>
      <c r="V15" s="36"/>
      <c r="W15" s="36">
        <v>2214.04</v>
      </c>
      <c r="X15" s="36"/>
      <c r="Y15" s="36">
        <v>0</v>
      </c>
      <c r="Z15" s="36"/>
      <c r="AA15" s="36">
        <v>0</v>
      </c>
      <c r="AB15" s="36"/>
      <c r="AC15" s="36">
        <v>136.26</v>
      </c>
      <c r="AD15" s="36"/>
      <c r="AE15" s="36">
        <f t="shared" si="3"/>
        <v>146408.36000000002</v>
      </c>
      <c r="AF15" s="36"/>
      <c r="AG15" s="36">
        <v>12029.26</v>
      </c>
      <c r="AH15" s="36"/>
      <c r="AI15" s="36">
        <v>40072.58</v>
      </c>
      <c r="AJ15" s="36"/>
      <c r="AK15" s="36">
        <v>52101.84</v>
      </c>
      <c r="AL15" s="39">
        <f>+'Gov Rev'!AI15-'Gov Exp'!AE15+'Gov Exp'!AI15-'Gov Exp'!AK15</f>
        <v>0</v>
      </c>
      <c r="AM15" s="15" t="str">
        <f>'Gov Rev'!A15</f>
        <v>Alexandria</v>
      </c>
      <c r="AN15" s="15" t="str">
        <f t="shared" si="1"/>
        <v>Alexandria</v>
      </c>
      <c r="AO15" s="15" t="b">
        <f t="shared" si="2"/>
        <v>1</v>
      </c>
    </row>
    <row r="16" spans="1:41" ht="12.75">
      <c r="A16" s="15" t="s">
        <v>710</v>
      </c>
      <c r="C16" s="15" t="s">
        <v>396</v>
      </c>
      <c r="E16" s="36">
        <v>16703.5</v>
      </c>
      <c r="F16" s="36"/>
      <c r="G16" s="36">
        <v>3135.44</v>
      </c>
      <c r="H16" s="36"/>
      <c r="I16" s="36">
        <v>2717.49</v>
      </c>
      <c r="J16" s="36"/>
      <c r="K16" s="36">
        <v>0</v>
      </c>
      <c r="L16" s="36"/>
      <c r="M16" s="36">
        <v>0</v>
      </c>
      <c r="N16" s="36"/>
      <c r="O16" s="36">
        <v>28010.57</v>
      </c>
      <c r="P16" s="36"/>
      <c r="Q16" s="36">
        <v>71327.57</v>
      </c>
      <c r="R16" s="36"/>
      <c r="S16" s="36">
        <v>483.2</v>
      </c>
      <c r="T16" s="36"/>
      <c r="U16" s="36">
        <v>0</v>
      </c>
      <c r="V16" s="36"/>
      <c r="W16" s="36">
        <v>0</v>
      </c>
      <c r="X16" s="36"/>
      <c r="Y16" s="36">
        <v>0</v>
      </c>
      <c r="Z16" s="36"/>
      <c r="AA16" s="36">
        <v>0</v>
      </c>
      <c r="AB16" s="36"/>
      <c r="AC16" s="36">
        <v>4743.62</v>
      </c>
      <c r="AD16" s="36"/>
      <c r="AE16" s="36">
        <f t="shared" si="3"/>
        <v>127121.39</v>
      </c>
      <c r="AF16" s="36"/>
      <c r="AG16" s="36">
        <v>23165.38</v>
      </c>
      <c r="AH16" s="36"/>
      <c r="AI16" s="36">
        <v>197320.08</v>
      </c>
      <c r="AJ16" s="36"/>
      <c r="AK16" s="36">
        <v>220485.46</v>
      </c>
      <c r="AL16" s="39">
        <f>+'Gov Rev'!AI16-'Gov Exp'!AE16+'Gov Exp'!AI16-'Gov Exp'!AK16</f>
        <v>0</v>
      </c>
      <c r="AM16" s="15" t="str">
        <f>'Gov Rev'!A16</f>
        <v>Alger</v>
      </c>
      <c r="AN16" s="15" t="str">
        <f t="shared" si="1"/>
        <v>Alger</v>
      </c>
      <c r="AO16" s="15" t="b">
        <f t="shared" si="2"/>
        <v>1</v>
      </c>
    </row>
    <row r="17" spans="1:41" ht="12.75" hidden="1">
      <c r="A17" s="15" t="s">
        <v>251</v>
      </c>
      <c r="C17" s="15" t="s">
        <v>824</v>
      </c>
      <c r="D17" s="28"/>
      <c r="AE17" s="24">
        <f t="shared" si="0"/>
        <v>0</v>
      </c>
      <c r="AF17" s="24"/>
      <c r="AG17" s="24"/>
      <c r="AH17" s="24"/>
      <c r="AI17" s="24"/>
      <c r="AJ17" s="24"/>
      <c r="AK17" s="24"/>
      <c r="AL17" s="39">
        <f>+'Gov Rev'!AI17-'Gov Exp'!AE17+'Gov Exp'!AI17-'Gov Exp'!AK17</f>
        <v>0</v>
      </c>
      <c r="AM17" s="15" t="str">
        <f>'Gov Rev'!A17</f>
        <v>Alvordton</v>
      </c>
      <c r="AN17" s="15" t="str">
        <f t="shared" si="1"/>
        <v>Alvordton</v>
      </c>
      <c r="AO17" s="15" t="b">
        <f t="shared" si="2"/>
        <v>1</v>
      </c>
    </row>
    <row r="18" spans="1:41" ht="12.75">
      <c r="A18" s="15" t="s">
        <v>668</v>
      </c>
      <c r="C18" s="15" t="s">
        <v>766</v>
      </c>
      <c r="D18" s="28"/>
      <c r="E18" s="36">
        <v>10780.63</v>
      </c>
      <c r="F18" s="36"/>
      <c r="G18" s="36">
        <v>315.43</v>
      </c>
      <c r="H18" s="36"/>
      <c r="I18" s="36">
        <v>9111.9</v>
      </c>
      <c r="J18" s="36"/>
      <c r="K18" s="36">
        <v>0</v>
      </c>
      <c r="L18" s="36"/>
      <c r="M18" s="36">
        <v>56094</v>
      </c>
      <c r="N18" s="36"/>
      <c r="O18" s="36">
        <v>39674.41</v>
      </c>
      <c r="P18" s="36"/>
      <c r="Q18" s="36">
        <v>53816.12</v>
      </c>
      <c r="R18" s="36"/>
      <c r="S18" s="36">
        <v>0</v>
      </c>
      <c r="T18" s="36"/>
      <c r="U18" s="36">
        <v>0</v>
      </c>
      <c r="V18" s="36"/>
      <c r="W18" s="36">
        <v>0</v>
      </c>
      <c r="X18" s="36"/>
      <c r="Y18" s="36">
        <v>0</v>
      </c>
      <c r="Z18" s="36"/>
      <c r="AA18" s="36">
        <v>0</v>
      </c>
      <c r="AB18" s="36"/>
      <c r="AC18" s="36">
        <v>0</v>
      </c>
      <c r="AD18" s="36"/>
      <c r="AE18" s="36">
        <f aca="true" t="shared" si="4" ref="AE18">SUM(E18:AC18)</f>
        <v>169792.49</v>
      </c>
      <c r="AF18" s="36"/>
      <c r="AG18" s="36">
        <v>34852.67</v>
      </c>
      <c r="AH18" s="36"/>
      <c r="AI18" s="36">
        <v>107702.18</v>
      </c>
      <c r="AJ18" s="36"/>
      <c r="AK18" s="36">
        <v>142554.85</v>
      </c>
      <c r="AL18" s="39">
        <f>+'Gov Rev'!AI18-'Gov Exp'!AE18+'Gov Exp'!AI18-'Gov Exp'!AK18</f>
        <v>0</v>
      </c>
      <c r="AM18" s="15" t="str">
        <f>'Gov Rev'!A18</f>
        <v>Amanda</v>
      </c>
      <c r="AN18" s="15" t="str">
        <f t="shared" si="1"/>
        <v>Amanda</v>
      </c>
      <c r="AO18" s="15" t="b">
        <f t="shared" si="2"/>
        <v>1</v>
      </c>
    </row>
    <row r="19" spans="1:41" ht="12.75">
      <c r="A19" s="15" t="s">
        <v>377</v>
      </c>
      <c r="C19" s="15" t="s">
        <v>378</v>
      </c>
      <c r="E19" s="24">
        <v>2814185</v>
      </c>
      <c r="G19" s="24">
        <v>120470</v>
      </c>
      <c r="I19" s="24">
        <v>4044</v>
      </c>
      <c r="K19" s="24">
        <v>19546</v>
      </c>
      <c r="M19" s="24">
        <v>211397</v>
      </c>
      <c r="O19" s="24">
        <v>787654</v>
      </c>
      <c r="Q19" s="24">
        <v>1131568</v>
      </c>
      <c r="S19" s="24">
        <v>89950</v>
      </c>
      <c r="U19" s="24">
        <v>0</v>
      </c>
      <c r="W19" s="24">
        <v>6305537</v>
      </c>
      <c r="Y19" s="24">
        <v>196000</v>
      </c>
      <c r="AA19" s="24">
        <v>0</v>
      </c>
      <c r="AC19" s="24">
        <v>0</v>
      </c>
      <c r="AE19" s="24">
        <f t="shared" si="0"/>
        <v>11680351</v>
      </c>
      <c r="AF19" s="24"/>
      <c r="AG19" s="24">
        <v>-495480</v>
      </c>
      <c r="AH19" s="24"/>
      <c r="AI19" s="24">
        <v>4836965</v>
      </c>
      <c r="AJ19" s="24"/>
      <c r="AK19" s="24">
        <v>4341485</v>
      </c>
      <c r="AL19" s="39">
        <f>+'Gov Rev'!AI19-'Gov Exp'!AE19+'Gov Exp'!AI19-'Gov Exp'!AK19</f>
        <v>0</v>
      </c>
      <c r="AM19" s="15" t="str">
        <f>'Gov Rev'!A19</f>
        <v>Amberley</v>
      </c>
      <c r="AN19" s="15" t="str">
        <f t="shared" si="1"/>
        <v>Amberley</v>
      </c>
      <c r="AO19" s="15" t="b">
        <f t="shared" si="2"/>
        <v>1</v>
      </c>
    </row>
    <row r="20" spans="1:41" ht="12.6" customHeight="1">
      <c r="A20" s="15" t="s">
        <v>36</v>
      </c>
      <c r="C20" s="15" t="s">
        <v>756</v>
      </c>
      <c r="D20" s="28"/>
      <c r="E20" s="36">
        <v>823691.4</v>
      </c>
      <c r="F20" s="36"/>
      <c r="G20" s="36">
        <v>29545.68</v>
      </c>
      <c r="H20" s="36"/>
      <c r="I20" s="36">
        <v>2267.5</v>
      </c>
      <c r="J20" s="36"/>
      <c r="K20" s="36">
        <v>4909.12</v>
      </c>
      <c r="L20" s="36"/>
      <c r="M20" s="36">
        <v>4467.95</v>
      </c>
      <c r="N20" s="36"/>
      <c r="O20" s="36">
        <v>160193.49</v>
      </c>
      <c r="P20" s="36"/>
      <c r="Q20" s="36">
        <v>330014.77</v>
      </c>
      <c r="R20" s="36"/>
      <c r="S20" s="36">
        <v>2740.34</v>
      </c>
      <c r="T20" s="36"/>
      <c r="U20" s="36">
        <v>23040.77</v>
      </c>
      <c r="V20" s="36"/>
      <c r="W20" s="36">
        <v>2623.43</v>
      </c>
      <c r="X20" s="36"/>
      <c r="Y20" s="36">
        <v>0</v>
      </c>
      <c r="Z20" s="36"/>
      <c r="AA20" s="36">
        <v>0</v>
      </c>
      <c r="AB20" s="36"/>
      <c r="AC20" s="36">
        <v>0</v>
      </c>
      <c r="AD20" s="36"/>
      <c r="AE20" s="36">
        <f aca="true" t="shared" si="5" ref="AE20:AE21">SUM(E20:AC20)</f>
        <v>1383494.4500000002</v>
      </c>
      <c r="AF20" s="36"/>
      <c r="AG20" s="36">
        <v>204472.72</v>
      </c>
      <c r="AH20" s="36"/>
      <c r="AI20" s="36">
        <v>880391.01</v>
      </c>
      <c r="AJ20" s="36"/>
      <c r="AK20" s="36">
        <v>1084863.73</v>
      </c>
      <c r="AL20" s="39">
        <f>+'Gov Rev'!AI20-'Gov Exp'!AE20+'Gov Exp'!AI20-'Gov Exp'!AK20</f>
        <v>0</v>
      </c>
      <c r="AM20" s="15" t="str">
        <f>'Gov Rev'!A20</f>
        <v>Amelia</v>
      </c>
      <c r="AN20" s="15" t="str">
        <f t="shared" si="1"/>
        <v>Amelia</v>
      </c>
      <c r="AO20" s="15" t="b">
        <f t="shared" si="2"/>
        <v>1</v>
      </c>
    </row>
    <row r="21" spans="1:41" ht="12.75">
      <c r="A21" s="15" t="s">
        <v>9</v>
      </c>
      <c r="C21" s="15" t="s">
        <v>748</v>
      </c>
      <c r="D21" s="28"/>
      <c r="E21" s="36">
        <v>13926.12</v>
      </c>
      <c r="F21" s="36"/>
      <c r="G21" s="36">
        <v>0</v>
      </c>
      <c r="H21" s="36"/>
      <c r="I21" s="36">
        <v>8053.14</v>
      </c>
      <c r="J21" s="36"/>
      <c r="K21" s="36">
        <v>0</v>
      </c>
      <c r="L21" s="36"/>
      <c r="M21" s="36">
        <v>0</v>
      </c>
      <c r="N21" s="36"/>
      <c r="O21" s="36">
        <v>4402.22</v>
      </c>
      <c r="P21" s="36"/>
      <c r="Q21" s="36">
        <v>23097.05</v>
      </c>
      <c r="R21" s="36"/>
      <c r="S21" s="36">
        <v>0</v>
      </c>
      <c r="T21" s="36"/>
      <c r="U21" s="36">
        <v>0</v>
      </c>
      <c r="V21" s="36"/>
      <c r="W21" s="36">
        <v>0</v>
      </c>
      <c r="X21" s="36"/>
      <c r="Y21" s="36">
        <v>12100</v>
      </c>
      <c r="Z21" s="36"/>
      <c r="AA21" s="36">
        <v>0</v>
      </c>
      <c r="AB21" s="36"/>
      <c r="AC21" s="36">
        <v>0</v>
      </c>
      <c r="AD21" s="36"/>
      <c r="AE21" s="36">
        <f t="shared" si="5"/>
        <v>61578.53</v>
      </c>
      <c r="AF21" s="36"/>
      <c r="AG21" s="36">
        <v>4712.8</v>
      </c>
      <c r="AH21" s="36"/>
      <c r="AI21" s="36">
        <v>61755.24</v>
      </c>
      <c r="AJ21" s="36"/>
      <c r="AK21" s="36">
        <v>66468.04</v>
      </c>
      <c r="AL21" s="39">
        <f>+'Gov Rev'!AI21-'Gov Exp'!AE21+'Gov Exp'!AI21-'Gov Exp'!AK21</f>
        <v>0</v>
      </c>
      <c r="AM21" s="15" t="str">
        <f>'Gov Rev'!A21</f>
        <v>Amesville</v>
      </c>
      <c r="AN21" s="15" t="str">
        <f t="shared" si="1"/>
        <v>Amesville</v>
      </c>
      <c r="AO21" s="15" t="b">
        <f t="shared" si="2"/>
        <v>1</v>
      </c>
    </row>
    <row r="22" spans="1:41" s="31" customFormat="1" ht="12.75">
      <c r="A22" s="15" t="s">
        <v>421</v>
      </c>
      <c r="B22" s="15"/>
      <c r="C22" s="15" t="s">
        <v>420</v>
      </c>
      <c r="D22" s="15"/>
      <c r="E22" s="24">
        <f>20443+8824</f>
        <v>29267</v>
      </c>
      <c r="F22" s="24"/>
      <c r="G22" s="24">
        <v>507</v>
      </c>
      <c r="H22" s="24"/>
      <c r="I22" s="24">
        <v>4946</v>
      </c>
      <c r="J22" s="24"/>
      <c r="K22" s="24">
        <v>0</v>
      </c>
      <c r="L22" s="24"/>
      <c r="M22" s="24">
        <v>0</v>
      </c>
      <c r="N22" s="24"/>
      <c r="O22" s="24">
        <v>21708</v>
      </c>
      <c r="P22" s="24"/>
      <c r="Q22" s="24">
        <f>26254+7110</f>
        <v>33364</v>
      </c>
      <c r="R22" s="24"/>
      <c r="S22" s="24">
        <v>3323</v>
      </c>
      <c r="T22" s="24"/>
      <c r="U22" s="24">
        <v>0</v>
      </c>
      <c r="V22" s="24"/>
      <c r="W22" s="24">
        <v>0</v>
      </c>
      <c r="X22" s="24"/>
      <c r="Y22" s="24">
        <v>500</v>
      </c>
      <c r="Z22" s="24"/>
      <c r="AA22" s="24">
        <v>0</v>
      </c>
      <c r="AB22" s="24"/>
      <c r="AC22" s="24">
        <f>1819-500</f>
        <v>1319</v>
      </c>
      <c r="AD22" s="24"/>
      <c r="AE22" s="24">
        <f t="shared" si="0"/>
        <v>94934</v>
      </c>
      <c r="AF22" s="24"/>
      <c r="AG22" s="24">
        <f>4997-2561</f>
        <v>2436</v>
      </c>
      <c r="AH22" s="24"/>
      <c r="AI22" s="24">
        <f>69747+26061</f>
        <v>95808</v>
      </c>
      <c r="AJ22" s="24"/>
      <c r="AK22" s="24">
        <f>78539+19705</f>
        <v>98244</v>
      </c>
      <c r="AL22" s="39">
        <f>+'Gov Rev'!AI22-'Gov Exp'!AE22+'Gov Exp'!AI22-'Gov Exp'!AK22</f>
        <v>500</v>
      </c>
      <c r="AM22" s="15" t="str">
        <f>'Gov Rev'!A22</f>
        <v>Amsterdam</v>
      </c>
      <c r="AN22" s="15" t="str">
        <f t="shared" si="1"/>
        <v>Amsterdam</v>
      </c>
      <c r="AO22" s="15" t="b">
        <f t="shared" si="2"/>
        <v>1</v>
      </c>
    </row>
    <row r="23" spans="1:41" s="31" customFormat="1" ht="12.75">
      <c r="A23" s="15" t="s">
        <v>934</v>
      </c>
      <c r="B23" s="15"/>
      <c r="C23" s="15" t="s">
        <v>674</v>
      </c>
      <c r="D23" s="15"/>
      <c r="E23" s="36">
        <v>345245.36</v>
      </c>
      <c r="F23" s="36"/>
      <c r="G23" s="36">
        <v>12413.85</v>
      </c>
      <c r="H23" s="36"/>
      <c r="I23" s="36">
        <v>17123.44</v>
      </c>
      <c r="J23" s="36"/>
      <c r="K23" s="36">
        <v>6412.2</v>
      </c>
      <c r="L23" s="36"/>
      <c r="M23" s="36">
        <v>4800</v>
      </c>
      <c r="N23" s="36"/>
      <c r="O23" s="36">
        <v>115811.97</v>
      </c>
      <c r="P23" s="36"/>
      <c r="Q23" s="36">
        <v>213343.28</v>
      </c>
      <c r="R23" s="36"/>
      <c r="S23" s="36">
        <v>211319.88</v>
      </c>
      <c r="T23" s="36"/>
      <c r="U23" s="36">
        <v>149571.92</v>
      </c>
      <c r="V23" s="36"/>
      <c r="W23" s="36">
        <v>13476.43</v>
      </c>
      <c r="X23" s="36"/>
      <c r="Y23" s="36">
        <v>93.76</v>
      </c>
      <c r="Z23" s="36"/>
      <c r="AA23" s="36">
        <v>9329.41</v>
      </c>
      <c r="AB23" s="36"/>
      <c r="AC23" s="36">
        <v>0</v>
      </c>
      <c r="AD23" s="36"/>
      <c r="AE23" s="36">
        <f aca="true" t="shared" si="6" ref="AE23:AE24">SUM(E23:AC23)</f>
        <v>1098941.4999999998</v>
      </c>
      <c r="AF23" s="36"/>
      <c r="AG23" s="36">
        <v>-3643.81</v>
      </c>
      <c r="AH23" s="36"/>
      <c r="AI23" s="36">
        <v>264334.73</v>
      </c>
      <c r="AJ23" s="36"/>
      <c r="AK23" s="36">
        <v>260690.92</v>
      </c>
      <c r="AL23" s="39">
        <f>+'Gov Rev'!AI23-'Gov Exp'!AE23+'Gov Exp'!AI23-'Gov Exp'!AK23</f>
        <v>3.7834979593753815E-10</v>
      </c>
      <c r="AM23" s="15" t="str">
        <f>'Gov Rev'!A23</f>
        <v>Andover</v>
      </c>
      <c r="AN23" s="15" t="str">
        <f t="shared" si="1"/>
        <v>Andover</v>
      </c>
      <c r="AO23" s="15" t="b">
        <f t="shared" si="2"/>
        <v>1</v>
      </c>
    </row>
    <row r="24" spans="1:41" ht="12.75">
      <c r="A24" s="15" t="s">
        <v>221</v>
      </c>
      <c r="C24" s="15" t="s">
        <v>814</v>
      </c>
      <c r="D24" s="28"/>
      <c r="E24" s="36">
        <v>324203.65</v>
      </c>
      <c r="F24" s="36"/>
      <c r="G24" s="36">
        <v>6314</v>
      </c>
      <c r="H24" s="36"/>
      <c r="I24" s="36">
        <v>12955.85</v>
      </c>
      <c r="J24" s="36"/>
      <c r="K24" s="36">
        <v>1064.48</v>
      </c>
      <c r="L24" s="36"/>
      <c r="M24" s="36">
        <v>0</v>
      </c>
      <c r="N24" s="36"/>
      <c r="O24" s="36">
        <v>181275.5</v>
      </c>
      <c r="P24" s="36"/>
      <c r="Q24" s="36">
        <v>131471.45</v>
      </c>
      <c r="R24" s="36"/>
      <c r="S24" s="36">
        <v>10766.16</v>
      </c>
      <c r="T24" s="36"/>
      <c r="U24" s="36">
        <v>77197.55</v>
      </c>
      <c r="V24" s="36"/>
      <c r="W24" s="36">
        <v>30853.52</v>
      </c>
      <c r="X24" s="36"/>
      <c r="Y24" s="36">
        <v>350343.87</v>
      </c>
      <c r="Z24" s="36"/>
      <c r="AA24" s="36">
        <v>149.78</v>
      </c>
      <c r="AB24" s="36"/>
      <c r="AC24" s="36">
        <v>0</v>
      </c>
      <c r="AD24" s="36"/>
      <c r="AE24" s="36">
        <f t="shared" si="6"/>
        <v>1126595.81</v>
      </c>
      <c r="AF24" s="36"/>
      <c r="AG24" s="36">
        <v>545811.98</v>
      </c>
      <c r="AH24" s="36"/>
      <c r="AI24" s="36">
        <v>531126.67</v>
      </c>
      <c r="AJ24" s="36"/>
      <c r="AK24" s="36">
        <v>1076938.65</v>
      </c>
      <c r="AL24" s="39">
        <f>+'Gov Rev'!AI24-'Gov Exp'!AE24+'Gov Exp'!AI24-'Gov Exp'!AK24</f>
        <v>0</v>
      </c>
      <c r="AM24" s="15" t="str">
        <f>'Gov Rev'!A24</f>
        <v>Anna</v>
      </c>
      <c r="AN24" s="15" t="str">
        <f t="shared" si="1"/>
        <v>Anna</v>
      </c>
      <c r="AO24" s="15" t="b">
        <f t="shared" si="2"/>
        <v>1</v>
      </c>
    </row>
    <row r="25" spans="1:41" ht="12.6" customHeight="1">
      <c r="A25" s="15" t="s">
        <v>328</v>
      </c>
      <c r="C25" s="15" t="s">
        <v>329</v>
      </c>
      <c r="E25" s="24">
        <v>142569.5</v>
      </c>
      <c r="G25" s="24">
        <v>4942.6</v>
      </c>
      <c r="I25" s="24">
        <v>8008.63</v>
      </c>
      <c r="K25" s="24">
        <v>0</v>
      </c>
      <c r="M25" s="24">
        <v>0</v>
      </c>
      <c r="O25" s="24">
        <v>50240.56</v>
      </c>
      <c r="Q25" s="24">
        <v>134277.347</v>
      </c>
      <c r="S25" s="24">
        <v>100850.93</v>
      </c>
      <c r="U25" s="24">
        <v>51600</v>
      </c>
      <c r="W25" s="24">
        <v>12754.21</v>
      </c>
      <c r="Y25" s="24">
        <v>74050.14</v>
      </c>
      <c r="AA25" s="24">
        <v>0</v>
      </c>
      <c r="AC25" s="24">
        <v>0</v>
      </c>
      <c r="AE25" s="24">
        <f t="shared" si="0"/>
        <v>579293.917</v>
      </c>
      <c r="AF25" s="24"/>
      <c r="AG25" s="24">
        <v>11363.78</v>
      </c>
      <c r="AH25" s="24"/>
      <c r="AI25" s="24">
        <v>301695.41</v>
      </c>
      <c r="AJ25" s="24"/>
      <c r="AK25" s="24">
        <v>313059.19</v>
      </c>
      <c r="AL25" s="39">
        <f>+'Gov Rev'!AI25-'Gov Exp'!AE25+'Gov Exp'!AI25-'Gov Exp'!AK25</f>
        <v>-0.0070000000996515155</v>
      </c>
      <c r="AM25" s="15" t="str">
        <f>'Gov Rev'!A25</f>
        <v>Ansonia</v>
      </c>
      <c r="AN25" s="15" t="str">
        <f t="shared" si="1"/>
        <v>Ansonia</v>
      </c>
      <c r="AO25" s="15" t="b">
        <f t="shared" si="2"/>
        <v>1</v>
      </c>
    </row>
    <row r="26" spans="1:41" ht="12.75">
      <c r="A26" s="15" t="s">
        <v>473</v>
      </c>
      <c r="C26" s="15" t="s">
        <v>474</v>
      </c>
      <c r="E26" s="24">
        <v>2108.68</v>
      </c>
      <c r="G26" s="24">
        <v>3527.86</v>
      </c>
      <c r="I26" s="24">
        <v>0</v>
      </c>
      <c r="K26" s="24">
        <v>0</v>
      </c>
      <c r="M26" s="24">
        <v>0</v>
      </c>
      <c r="O26" s="24">
        <v>1528.12</v>
      </c>
      <c r="Q26" s="24">
        <v>7195.17</v>
      </c>
      <c r="S26" s="24">
        <v>0</v>
      </c>
      <c r="U26" s="24">
        <v>0</v>
      </c>
      <c r="W26" s="24">
        <v>0</v>
      </c>
      <c r="Y26" s="24">
        <v>0</v>
      </c>
      <c r="AA26" s="24">
        <v>0</v>
      </c>
      <c r="AC26" s="24">
        <v>0</v>
      </c>
      <c r="AE26" s="24">
        <f t="shared" si="0"/>
        <v>14359.83</v>
      </c>
      <c r="AF26" s="24"/>
      <c r="AG26" s="24">
        <v>-2012.34</v>
      </c>
      <c r="AH26" s="24"/>
      <c r="AI26" s="24">
        <v>33926.28</v>
      </c>
      <c r="AJ26" s="24"/>
      <c r="AK26" s="24">
        <v>31913.94</v>
      </c>
      <c r="AL26" s="39">
        <f>+'Gov Rev'!AI26-'Gov Exp'!AE26+'Gov Exp'!AI26-'Gov Exp'!AK26</f>
        <v>0</v>
      </c>
      <c r="AM26" s="15" t="str">
        <f>'Gov Rev'!A26</f>
        <v>Antioch</v>
      </c>
      <c r="AN26" s="15" t="str">
        <f aca="true" t="shared" si="7" ref="AN26:AN85">A26</f>
        <v>Antioch</v>
      </c>
      <c r="AO26" s="15" t="b">
        <f aca="true" t="shared" si="8" ref="AO26:AO85">AM26=AN26</f>
        <v>1</v>
      </c>
    </row>
    <row r="27" spans="1:41" ht="12.75">
      <c r="A27" s="15" t="s">
        <v>496</v>
      </c>
      <c r="C27" s="15" t="s">
        <v>497</v>
      </c>
      <c r="E27" s="24">
        <v>308535.11</v>
      </c>
      <c r="G27" s="24">
        <v>513.41</v>
      </c>
      <c r="I27" s="24">
        <v>28957.32</v>
      </c>
      <c r="K27" s="24">
        <v>1245.1</v>
      </c>
      <c r="M27" s="24">
        <v>0</v>
      </c>
      <c r="O27" s="24">
        <v>83095.86</v>
      </c>
      <c r="Q27" s="24">
        <v>184163.67</v>
      </c>
      <c r="S27" s="24">
        <v>283468.54</v>
      </c>
      <c r="U27" s="24">
        <v>19729.12</v>
      </c>
      <c r="W27" s="24">
        <v>30447.4</v>
      </c>
      <c r="Y27" s="24">
        <v>178325.13</v>
      </c>
      <c r="AA27" s="24">
        <v>16823.63</v>
      </c>
      <c r="AC27" s="24">
        <v>13969.93</v>
      </c>
      <c r="AE27" s="24">
        <f t="shared" si="0"/>
        <v>1149274.22</v>
      </c>
      <c r="AF27" s="24"/>
      <c r="AG27" s="24">
        <v>61008.07</v>
      </c>
      <c r="AH27" s="24"/>
      <c r="AI27" s="24">
        <v>435685.05</v>
      </c>
      <c r="AJ27" s="24"/>
      <c r="AK27" s="24">
        <v>496693.12</v>
      </c>
      <c r="AL27" s="39">
        <f>+'Gov Rev'!AI27-'Gov Exp'!AE27+'Gov Exp'!AI27-'Gov Exp'!AK27</f>
        <v>0</v>
      </c>
      <c r="AM27" s="15" t="str">
        <f>'Gov Rev'!A27</f>
        <v>Antwerp</v>
      </c>
      <c r="AN27" s="15" t="str">
        <f t="shared" si="7"/>
        <v>Antwerp</v>
      </c>
      <c r="AO27" s="15" t="b">
        <f t="shared" si="8"/>
        <v>1</v>
      </c>
    </row>
    <row r="28" spans="1:41" ht="12.75">
      <c r="A28" s="15" t="s">
        <v>589</v>
      </c>
      <c r="C28" s="15" t="s">
        <v>590</v>
      </c>
      <c r="E28" s="24">
        <v>137232.72</v>
      </c>
      <c r="G28" s="24">
        <v>0</v>
      </c>
      <c r="I28" s="24">
        <v>9051.95</v>
      </c>
      <c r="K28" s="24">
        <v>0</v>
      </c>
      <c r="M28" s="24">
        <v>0</v>
      </c>
      <c r="O28" s="24">
        <v>102699.51</v>
      </c>
      <c r="Q28" s="24">
        <v>108162.87</v>
      </c>
      <c r="S28" s="24">
        <v>74637.79</v>
      </c>
      <c r="U28" s="24">
        <v>0</v>
      </c>
      <c r="W28" s="24">
        <v>0</v>
      </c>
      <c r="Y28" s="24">
        <v>20000</v>
      </c>
      <c r="AA28" s="24">
        <v>0</v>
      </c>
      <c r="AC28" s="24">
        <v>780.8</v>
      </c>
      <c r="AE28" s="24">
        <f t="shared" si="0"/>
        <v>452565.63999999996</v>
      </c>
      <c r="AF28" s="24"/>
      <c r="AG28" s="24">
        <v>-49534.24</v>
      </c>
      <c r="AH28" s="24"/>
      <c r="AI28" s="24">
        <v>618742.4</v>
      </c>
      <c r="AJ28" s="24"/>
      <c r="AK28" s="24">
        <v>569208.16</v>
      </c>
      <c r="AL28" s="39">
        <f>+'Gov Rev'!AI28-'Gov Exp'!AE28+'Gov Exp'!AI28-'Gov Exp'!AK28</f>
        <v>0</v>
      </c>
      <c r="AM28" s="15" t="str">
        <f>'Gov Rev'!A28</f>
        <v>Apple Creek</v>
      </c>
      <c r="AN28" s="15" t="str">
        <f t="shared" si="7"/>
        <v>Apple Creek</v>
      </c>
      <c r="AO28" s="15" t="b">
        <f t="shared" si="8"/>
        <v>1</v>
      </c>
    </row>
    <row r="29" spans="1:41" ht="12.75">
      <c r="A29" s="15" t="s">
        <v>711</v>
      </c>
      <c r="C29" s="15" t="s">
        <v>368</v>
      </c>
      <c r="D29" s="28"/>
      <c r="E29" s="95">
        <v>11366.31</v>
      </c>
      <c r="F29" s="95"/>
      <c r="G29" s="95">
        <v>0</v>
      </c>
      <c r="H29" s="95"/>
      <c r="I29" s="95">
        <v>2162.12</v>
      </c>
      <c r="J29" s="95"/>
      <c r="K29" s="95">
        <v>0</v>
      </c>
      <c r="L29" s="95"/>
      <c r="M29" s="95">
        <v>1121.62</v>
      </c>
      <c r="N29" s="95"/>
      <c r="O29" s="95">
        <v>7600</v>
      </c>
      <c r="P29" s="95"/>
      <c r="Q29" s="95">
        <v>28122.81</v>
      </c>
      <c r="R29" s="95"/>
      <c r="S29" s="95">
        <v>2477</v>
      </c>
      <c r="T29" s="95"/>
      <c r="U29" s="95">
        <v>0</v>
      </c>
      <c r="V29" s="95"/>
      <c r="W29" s="95">
        <v>0</v>
      </c>
      <c r="X29" s="95"/>
      <c r="Y29" s="95">
        <v>0</v>
      </c>
      <c r="Z29" s="95"/>
      <c r="AA29" s="95">
        <v>0</v>
      </c>
      <c r="AB29" s="95"/>
      <c r="AC29" s="95">
        <v>0</v>
      </c>
      <c r="AD29" s="95"/>
      <c r="AE29" s="95">
        <f>SUM(E29:AC29)</f>
        <v>52849.86</v>
      </c>
      <c r="AF29" s="95"/>
      <c r="AG29" s="95">
        <v>6546.34</v>
      </c>
      <c r="AH29" s="95"/>
      <c r="AI29" s="95">
        <v>119471.15</v>
      </c>
      <c r="AJ29" s="95"/>
      <c r="AK29" s="95">
        <v>126017.49</v>
      </c>
      <c r="AL29" s="39">
        <f>+'Gov Rev'!AI29-'Gov Exp'!AE29+'Gov Exp'!AI29-'Gov Exp'!AK29</f>
        <v>0</v>
      </c>
      <c r="AM29" s="15" t="str">
        <f>'Gov Rev'!A29</f>
        <v>Aquilla</v>
      </c>
      <c r="AN29" s="15" t="str">
        <f t="shared" si="7"/>
        <v>Aquilla</v>
      </c>
      <c r="AO29" s="15" t="b">
        <f t="shared" si="8"/>
        <v>1</v>
      </c>
    </row>
    <row r="30" spans="1:41" ht="12.75">
      <c r="A30" s="15" t="s">
        <v>387</v>
      </c>
      <c r="C30" s="15" t="s">
        <v>388</v>
      </c>
      <c r="E30" s="36">
        <v>0</v>
      </c>
      <c r="F30" s="36"/>
      <c r="G30" s="36">
        <v>2888.71</v>
      </c>
      <c r="H30" s="36"/>
      <c r="I30" s="36">
        <v>715.11</v>
      </c>
      <c r="J30" s="36"/>
      <c r="K30" s="36">
        <v>9740.86</v>
      </c>
      <c r="L30" s="36"/>
      <c r="M30" s="36">
        <v>0</v>
      </c>
      <c r="N30" s="36"/>
      <c r="O30" s="36">
        <v>30952.38</v>
      </c>
      <c r="P30" s="36"/>
      <c r="Q30" s="36">
        <v>69372.67</v>
      </c>
      <c r="R30" s="36"/>
      <c r="S30" s="36">
        <v>322.96</v>
      </c>
      <c r="T30" s="36"/>
      <c r="U30" s="36">
        <v>0</v>
      </c>
      <c r="V30" s="36"/>
      <c r="W30" s="36">
        <v>0</v>
      </c>
      <c r="X30" s="36"/>
      <c r="Y30" s="36">
        <v>0</v>
      </c>
      <c r="Z30" s="36"/>
      <c r="AA30" s="36">
        <v>0</v>
      </c>
      <c r="AB30" s="36"/>
      <c r="AC30" s="36">
        <v>0</v>
      </c>
      <c r="AD30" s="36"/>
      <c r="AE30" s="36">
        <f aca="true" t="shared" si="9" ref="AE30">SUM(E30:AC30)</f>
        <v>113992.69</v>
      </c>
      <c r="AF30" s="36"/>
      <c r="AG30" s="36">
        <v>25024.12</v>
      </c>
      <c r="AH30" s="36"/>
      <c r="AI30" s="36">
        <v>443601.28</v>
      </c>
      <c r="AJ30" s="36"/>
      <c r="AK30" s="36">
        <v>468625.4</v>
      </c>
      <c r="AL30" s="39">
        <f>+'Gov Rev'!AI30-'Gov Exp'!AE30+'Gov Exp'!AI30-'Gov Exp'!AK30</f>
        <v>0</v>
      </c>
      <c r="AM30" s="15" t="str">
        <f>'Gov Rev'!A30</f>
        <v>Arcadia</v>
      </c>
      <c r="AN30" s="15" t="str">
        <f t="shared" si="7"/>
        <v>Arcadia</v>
      </c>
      <c r="AO30" s="15" t="b">
        <f t="shared" si="8"/>
        <v>1</v>
      </c>
    </row>
    <row r="31" spans="1:41" ht="12.6" customHeight="1">
      <c r="A31" s="15" t="s">
        <v>330</v>
      </c>
      <c r="C31" s="15" t="s">
        <v>329</v>
      </c>
      <c r="E31" s="24">
        <v>317861</v>
      </c>
      <c r="G31" s="24">
        <v>11156</v>
      </c>
      <c r="I31" s="24">
        <v>40360</v>
      </c>
      <c r="K31" s="24">
        <v>94185</v>
      </c>
      <c r="M31" s="24">
        <v>0</v>
      </c>
      <c r="O31" s="24">
        <v>104445</v>
      </c>
      <c r="Q31" s="24">
        <v>158234</v>
      </c>
      <c r="S31" s="24">
        <v>122842</v>
      </c>
      <c r="U31" s="24">
        <v>49330</v>
      </c>
      <c r="W31" s="24">
        <v>2268</v>
      </c>
      <c r="Y31" s="24">
        <v>80470</v>
      </c>
      <c r="AA31" s="24">
        <v>0</v>
      </c>
      <c r="AC31" s="24">
        <v>0</v>
      </c>
      <c r="AE31" s="24">
        <f t="shared" si="0"/>
        <v>981151</v>
      </c>
      <c r="AF31" s="24"/>
      <c r="AG31" s="24">
        <v>110754</v>
      </c>
      <c r="AH31" s="24"/>
      <c r="AI31" s="24">
        <v>1444192</v>
      </c>
      <c r="AJ31" s="24"/>
      <c r="AK31" s="24">
        <v>1554946</v>
      </c>
      <c r="AL31" s="39">
        <f>+'Gov Rev'!AI31-'Gov Exp'!AE31+'Gov Exp'!AI31-'Gov Exp'!AK31</f>
        <v>0</v>
      </c>
      <c r="AM31" s="15" t="str">
        <f>'Gov Rev'!A31</f>
        <v>Arcanum</v>
      </c>
      <c r="AN31" s="15" t="str">
        <f t="shared" si="7"/>
        <v>Arcanum</v>
      </c>
      <c r="AO31" s="15" t="b">
        <f t="shared" si="8"/>
        <v>1</v>
      </c>
    </row>
    <row r="32" spans="1:41" s="31" customFormat="1" ht="12.75">
      <c r="A32" s="15" t="s">
        <v>357</v>
      </c>
      <c r="B32" s="15"/>
      <c r="C32" s="15" t="s">
        <v>358</v>
      </c>
      <c r="D32" s="15"/>
      <c r="E32" s="24">
        <v>1296755</v>
      </c>
      <c r="F32" s="24"/>
      <c r="G32" s="24">
        <v>84526</v>
      </c>
      <c r="H32" s="24"/>
      <c r="I32" s="24">
        <v>526930</v>
      </c>
      <c r="J32" s="24"/>
      <c r="K32" s="24">
        <v>650424</v>
      </c>
      <c r="L32" s="24"/>
      <c r="M32" s="24">
        <v>297387</v>
      </c>
      <c r="N32" s="24"/>
      <c r="O32" s="24">
        <v>665767</v>
      </c>
      <c r="P32" s="24"/>
      <c r="Q32" s="24">
        <v>809643</v>
      </c>
      <c r="R32" s="24"/>
      <c r="S32" s="24">
        <v>1860435</v>
      </c>
      <c r="T32" s="24"/>
      <c r="U32" s="24">
        <v>335000</v>
      </c>
      <c r="V32" s="24"/>
      <c r="W32" s="24">
        <v>225994</v>
      </c>
      <c r="X32" s="24"/>
      <c r="Y32" s="24">
        <v>2790000</v>
      </c>
      <c r="Z32" s="24"/>
      <c r="AA32" s="24">
        <v>750</v>
      </c>
      <c r="AB32" s="24"/>
      <c r="AC32" s="24">
        <v>101206</v>
      </c>
      <c r="AD32" s="24"/>
      <c r="AE32" s="24">
        <f t="shared" si="0"/>
        <v>9644817</v>
      </c>
      <c r="AF32" s="24"/>
      <c r="AG32" s="24">
        <v>-224</v>
      </c>
      <c r="AH32" s="24"/>
      <c r="AI32" s="24">
        <v>4126448</v>
      </c>
      <c r="AJ32" s="24"/>
      <c r="AK32" s="24">
        <v>4126224</v>
      </c>
      <c r="AL32" s="39">
        <f>+'Gov Rev'!AI32-'Gov Exp'!AE32+'Gov Exp'!AI32-'Gov Exp'!AK32</f>
        <v>0</v>
      </c>
      <c r="AM32" s="15" t="str">
        <f>'Gov Rev'!A32</f>
        <v>Archbold</v>
      </c>
      <c r="AN32" s="15" t="str">
        <f t="shared" si="7"/>
        <v>Archbold</v>
      </c>
      <c r="AO32" s="15" t="b">
        <f t="shared" si="8"/>
        <v>1</v>
      </c>
    </row>
    <row r="33" spans="1:41" ht="12.75">
      <c r="A33" s="15" t="s">
        <v>98</v>
      </c>
      <c r="C33" s="15" t="s">
        <v>774</v>
      </c>
      <c r="D33" s="28"/>
      <c r="E33" s="36">
        <v>129023.99</v>
      </c>
      <c r="F33" s="36"/>
      <c r="G33" s="36">
        <v>8519.4</v>
      </c>
      <c r="H33" s="36"/>
      <c r="I33" s="36">
        <v>298.24</v>
      </c>
      <c r="J33" s="36"/>
      <c r="K33" s="36">
        <v>0</v>
      </c>
      <c r="L33" s="36"/>
      <c r="M33" s="36">
        <v>0</v>
      </c>
      <c r="N33" s="36"/>
      <c r="O33" s="36">
        <v>91437.52</v>
      </c>
      <c r="P33" s="36"/>
      <c r="Q33" s="36">
        <v>111682.71</v>
      </c>
      <c r="R33" s="36"/>
      <c r="S33" s="36">
        <v>18746.5</v>
      </c>
      <c r="T33" s="36"/>
      <c r="U33" s="36">
        <v>70653.16</v>
      </c>
      <c r="V33" s="36"/>
      <c r="W33" s="36">
        <v>11647.97</v>
      </c>
      <c r="X33" s="36"/>
      <c r="Y33" s="36">
        <v>188000</v>
      </c>
      <c r="Z33" s="36"/>
      <c r="AA33" s="36">
        <v>43000</v>
      </c>
      <c r="AB33" s="36"/>
      <c r="AC33" s="36">
        <v>9380.12</v>
      </c>
      <c r="AD33" s="36"/>
      <c r="AE33" s="36">
        <f aca="true" t="shared" si="10" ref="AE33">SUM(E33:AC33)</f>
        <v>682389.61</v>
      </c>
      <c r="AF33" s="36"/>
      <c r="AG33" s="36">
        <v>40758.42</v>
      </c>
      <c r="AH33" s="36"/>
      <c r="AI33" s="36">
        <v>431784.63</v>
      </c>
      <c r="AJ33" s="36"/>
      <c r="AK33" s="36">
        <v>472543.05</v>
      </c>
      <c r="AL33" s="39">
        <f>+'Gov Rev'!AI33-'Gov Exp'!AE33+'Gov Exp'!AI33-'Gov Exp'!AK33</f>
        <v>0</v>
      </c>
      <c r="AM33" s="15" t="str">
        <f>'Gov Rev'!A33</f>
        <v>Arlington</v>
      </c>
      <c r="AN33" s="15" t="str">
        <f t="shared" si="7"/>
        <v>Arlington</v>
      </c>
      <c r="AO33" s="15" t="b">
        <f t="shared" si="8"/>
        <v>1</v>
      </c>
    </row>
    <row r="34" spans="1:41" s="31" customFormat="1" ht="12.75">
      <c r="A34" s="15" t="s">
        <v>379</v>
      </c>
      <c r="B34" s="15"/>
      <c r="C34" s="15" t="s">
        <v>378</v>
      </c>
      <c r="D34" s="15"/>
      <c r="E34" s="24">
        <v>409873</v>
      </c>
      <c r="F34" s="24"/>
      <c r="G34" s="24">
        <v>0</v>
      </c>
      <c r="H34" s="24"/>
      <c r="I34" s="24">
        <v>16000</v>
      </c>
      <c r="J34" s="24"/>
      <c r="K34" s="24">
        <v>0</v>
      </c>
      <c r="L34" s="24"/>
      <c r="M34" s="24">
        <v>90662</v>
      </c>
      <c r="N34" s="24"/>
      <c r="O34" s="24">
        <v>63266</v>
      </c>
      <c r="P34" s="24"/>
      <c r="Q34" s="24">
        <v>532866</v>
      </c>
      <c r="R34" s="24"/>
      <c r="S34" s="24">
        <v>0</v>
      </c>
      <c r="T34" s="24"/>
      <c r="U34" s="24">
        <v>22166</v>
      </c>
      <c r="V34" s="24"/>
      <c r="W34" s="24">
        <v>0</v>
      </c>
      <c r="X34" s="24"/>
      <c r="Y34" s="24">
        <v>0</v>
      </c>
      <c r="Z34" s="24"/>
      <c r="AA34" s="24">
        <v>0</v>
      </c>
      <c r="AB34" s="24"/>
      <c r="AC34" s="24">
        <v>1754</v>
      </c>
      <c r="AD34" s="24"/>
      <c r="AE34" s="24">
        <f t="shared" si="0"/>
        <v>1136587</v>
      </c>
      <c r="AF34" s="24"/>
      <c r="AG34" s="24">
        <v>13320</v>
      </c>
      <c r="AH34" s="24"/>
      <c r="AI34" s="24">
        <v>406701</v>
      </c>
      <c r="AJ34" s="24"/>
      <c r="AK34" s="24">
        <v>424021</v>
      </c>
      <c r="AL34" s="39">
        <f>+'Gov Rev'!AI34-'Gov Exp'!AE34+'Gov Exp'!AI34-'Gov Exp'!AK34</f>
        <v>-9</v>
      </c>
      <c r="AM34" s="15" t="str">
        <f>'Gov Rev'!A34</f>
        <v>Arlington Heights</v>
      </c>
      <c r="AN34" s="15" t="str">
        <f t="shared" si="7"/>
        <v>Arlington Heights</v>
      </c>
      <c r="AO34" s="15" t="b">
        <f t="shared" si="8"/>
        <v>1</v>
      </c>
    </row>
    <row r="35" spans="1:41" s="31" customFormat="1" ht="12.75">
      <c r="A35" s="15" t="s">
        <v>933</v>
      </c>
      <c r="B35" s="15"/>
      <c r="C35" s="15" t="s">
        <v>343</v>
      </c>
      <c r="D35" s="15"/>
      <c r="E35" s="36">
        <v>129506.52</v>
      </c>
      <c r="F35" s="36"/>
      <c r="G35" s="36">
        <v>12267.86</v>
      </c>
      <c r="H35" s="36"/>
      <c r="I35" s="36">
        <v>6816.39</v>
      </c>
      <c r="J35" s="36"/>
      <c r="K35" s="36">
        <v>0</v>
      </c>
      <c r="L35" s="36"/>
      <c r="M35" s="36">
        <v>71695.65</v>
      </c>
      <c r="N35" s="36"/>
      <c r="O35" s="36">
        <v>70101.97</v>
      </c>
      <c r="P35" s="36"/>
      <c r="Q35" s="36">
        <v>150038.59</v>
      </c>
      <c r="R35" s="36"/>
      <c r="S35" s="36">
        <v>0</v>
      </c>
      <c r="T35" s="36"/>
      <c r="U35" s="36">
        <v>0</v>
      </c>
      <c r="V35" s="36"/>
      <c r="W35" s="36">
        <v>0</v>
      </c>
      <c r="X35" s="36"/>
      <c r="Y35" s="36">
        <v>0</v>
      </c>
      <c r="Z35" s="36"/>
      <c r="AA35" s="36">
        <v>0</v>
      </c>
      <c r="AB35" s="36"/>
      <c r="AC35" s="36">
        <v>0</v>
      </c>
      <c r="AD35" s="36"/>
      <c r="AE35" s="36">
        <f aca="true" t="shared" si="11" ref="AE35:AE36">SUM(E35:AC35)</f>
        <v>440426.98</v>
      </c>
      <c r="AF35" s="36"/>
      <c r="AG35" s="36">
        <v>44628.55</v>
      </c>
      <c r="AH35" s="36"/>
      <c r="AI35" s="36">
        <v>148468.9</v>
      </c>
      <c r="AJ35" s="36"/>
      <c r="AK35" s="36">
        <v>193097.45</v>
      </c>
      <c r="AL35" s="39">
        <f>+'Gov Rev'!AI35-'Gov Exp'!AE35+'Gov Exp'!AI35-'Gov Exp'!AK35</f>
        <v>0</v>
      </c>
      <c r="AM35" s="15" t="str">
        <f>'Gov Rev'!A35</f>
        <v>Ashley</v>
      </c>
      <c r="AN35" s="15" t="str">
        <f t="shared" si="7"/>
        <v>Ashley</v>
      </c>
      <c r="AO35" s="15" t="b">
        <f t="shared" si="8"/>
        <v>1</v>
      </c>
    </row>
    <row r="36" spans="1:41" ht="12.75">
      <c r="A36" s="15" t="s">
        <v>849</v>
      </c>
      <c r="C36" s="15" t="s">
        <v>804</v>
      </c>
      <c r="D36" s="28"/>
      <c r="E36" s="36">
        <v>704232.29</v>
      </c>
      <c r="F36" s="36"/>
      <c r="G36" s="36">
        <v>20409.43</v>
      </c>
      <c r="H36" s="36"/>
      <c r="I36" s="36">
        <v>37471.64</v>
      </c>
      <c r="J36" s="36"/>
      <c r="K36" s="36">
        <v>33838.66</v>
      </c>
      <c r="L36" s="36"/>
      <c r="M36" s="36">
        <v>312877</v>
      </c>
      <c r="N36" s="36"/>
      <c r="O36" s="36">
        <v>407086.83</v>
      </c>
      <c r="P36" s="36"/>
      <c r="Q36" s="36">
        <v>427333.11</v>
      </c>
      <c r="R36" s="36"/>
      <c r="S36" s="36">
        <v>37915.04</v>
      </c>
      <c r="T36" s="36"/>
      <c r="U36" s="36">
        <v>23545</v>
      </c>
      <c r="V36" s="36"/>
      <c r="W36" s="36">
        <v>3750</v>
      </c>
      <c r="X36" s="36"/>
      <c r="Y36" s="36">
        <v>105023</v>
      </c>
      <c r="Z36" s="36"/>
      <c r="AA36" s="36">
        <v>0</v>
      </c>
      <c r="AB36" s="36"/>
      <c r="AC36" s="36">
        <v>37362.39</v>
      </c>
      <c r="AD36" s="36"/>
      <c r="AE36" s="36">
        <f t="shared" si="11"/>
        <v>2150844.39</v>
      </c>
      <c r="AF36" s="36"/>
      <c r="AG36" s="36">
        <v>-235836.84</v>
      </c>
      <c r="AH36" s="36"/>
      <c r="AI36" s="36">
        <v>974835.3</v>
      </c>
      <c r="AJ36" s="36"/>
      <c r="AK36" s="36">
        <v>738998.46</v>
      </c>
      <c r="AL36" s="39">
        <f>+'Gov Rev'!AI36-'Gov Exp'!AE36+'Gov Exp'!AI36-'Gov Exp'!AK36</f>
        <v>0</v>
      </c>
      <c r="AM36" s="15" t="str">
        <f>'Gov Rev'!A36</f>
        <v>Ashville</v>
      </c>
      <c r="AN36" s="15" t="str">
        <f t="shared" si="7"/>
        <v>Ashville</v>
      </c>
      <c r="AO36" s="15" t="b">
        <f t="shared" si="8"/>
        <v>1</v>
      </c>
    </row>
    <row r="37" spans="1:41" ht="12.75">
      <c r="A37" s="15" t="s">
        <v>891</v>
      </c>
      <c r="C37" s="15" t="s">
        <v>437</v>
      </c>
      <c r="D37" s="28"/>
      <c r="E37" s="24">
        <v>6899</v>
      </c>
      <c r="G37" s="24">
        <v>0</v>
      </c>
      <c r="I37" s="24">
        <v>0</v>
      </c>
      <c r="K37" s="24">
        <v>511</v>
      </c>
      <c r="M37" s="24">
        <v>7033</v>
      </c>
      <c r="O37" s="24">
        <v>0</v>
      </c>
      <c r="Q37" s="24">
        <v>6555</v>
      </c>
      <c r="S37" s="24">
        <v>0</v>
      </c>
      <c r="U37" s="24">
        <v>0</v>
      </c>
      <c r="W37" s="24">
        <v>0</v>
      </c>
      <c r="Y37" s="24">
        <v>0</v>
      </c>
      <c r="AA37" s="24">
        <v>0</v>
      </c>
      <c r="AC37" s="24">
        <v>1400</v>
      </c>
      <c r="AE37" s="24">
        <f t="shared" si="0"/>
        <v>22398</v>
      </c>
      <c r="AF37" s="24"/>
      <c r="AG37" s="24"/>
      <c r="AH37" s="24"/>
      <c r="AI37" s="24">
        <f>-3822+49427+215</f>
        <v>45820</v>
      </c>
      <c r="AJ37" s="24"/>
      <c r="AK37" s="24">
        <f>-5078+63768+195</f>
        <v>58885</v>
      </c>
      <c r="AL37" s="39">
        <f>+'Gov Rev'!AI37-'Gov Exp'!AE37+'Gov Exp'!AI37-'Gov Exp'!AK37</f>
        <v>205</v>
      </c>
      <c r="AM37" s="15" t="str">
        <f>'Gov Rev'!A37</f>
        <v>Athalia</v>
      </c>
      <c r="AN37" s="15" t="str">
        <f t="shared" si="7"/>
        <v>Athalia</v>
      </c>
      <c r="AO37" s="15" t="b">
        <f t="shared" si="8"/>
        <v>1</v>
      </c>
    </row>
    <row r="38" spans="1:41" ht="12.75">
      <c r="A38" s="15" t="s">
        <v>218</v>
      </c>
      <c r="C38" s="15" t="s">
        <v>813</v>
      </c>
      <c r="D38" s="28"/>
      <c r="E38" s="36">
        <v>105052.99</v>
      </c>
      <c r="F38" s="36"/>
      <c r="G38" s="36">
        <v>1339.5</v>
      </c>
      <c r="H38" s="36"/>
      <c r="I38" s="36">
        <v>20506.36</v>
      </c>
      <c r="J38" s="36"/>
      <c r="K38" s="36">
        <v>0</v>
      </c>
      <c r="L38" s="36"/>
      <c r="M38" s="36">
        <v>0</v>
      </c>
      <c r="N38" s="36"/>
      <c r="O38" s="36">
        <v>34048.55</v>
      </c>
      <c r="P38" s="36"/>
      <c r="Q38" s="36">
        <v>59017.74</v>
      </c>
      <c r="R38" s="36"/>
      <c r="S38" s="36">
        <v>0</v>
      </c>
      <c r="T38" s="36"/>
      <c r="U38" s="36">
        <v>10529.44</v>
      </c>
      <c r="V38" s="36"/>
      <c r="W38" s="36">
        <v>5634.58</v>
      </c>
      <c r="X38" s="36"/>
      <c r="Y38" s="36">
        <v>0</v>
      </c>
      <c r="Z38" s="36"/>
      <c r="AA38" s="36">
        <v>30000</v>
      </c>
      <c r="AB38" s="36"/>
      <c r="AC38" s="36">
        <v>0</v>
      </c>
      <c r="AD38" s="36"/>
      <c r="AE38" s="36">
        <f aca="true" t="shared" si="12" ref="AE38">SUM(E38:AC38)</f>
        <v>266129.16000000003</v>
      </c>
      <c r="AF38" s="36"/>
      <c r="AG38" s="36">
        <v>50830.94</v>
      </c>
      <c r="AH38" s="36"/>
      <c r="AI38" s="36">
        <v>156905.36</v>
      </c>
      <c r="AJ38" s="36"/>
      <c r="AK38" s="36">
        <v>207736.3</v>
      </c>
      <c r="AL38" s="39">
        <f>+'Gov Rev'!AI38-'Gov Exp'!AE38+'Gov Exp'!AI38-'Gov Exp'!AK38</f>
        <v>0</v>
      </c>
      <c r="AM38" s="15" t="str">
        <f>'Gov Rev'!A38</f>
        <v>Attica</v>
      </c>
      <c r="AN38" s="15" t="str">
        <f t="shared" si="7"/>
        <v>Attica</v>
      </c>
      <c r="AO38" s="15" t="b">
        <f t="shared" si="8"/>
        <v>1</v>
      </c>
    </row>
    <row r="39" spans="1:41" ht="12.75">
      <c r="A39" s="15" t="s">
        <v>670</v>
      </c>
      <c r="C39" s="15" t="s">
        <v>669</v>
      </c>
      <c r="D39" s="28"/>
      <c r="E39" s="24">
        <v>3487</v>
      </c>
      <c r="G39" s="24">
        <v>158</v>
      </c>
      <c r="I39" s="24">
        <v>5307</v>
      </c>
      <c r="K39" s="24">
        <v>2874</v>
      </c>
      <c r="M39" s="24">
        <v>0</v>
      </c>
      <c r="O39" s="24">
        <v>41326</v>
      </c>
      <c r="Q39" s="24">
        <v>27534</v>
      </c>
      <c r="S39" s="24">
        <v>0</v>
      </c>
      <c r="U39" s="24">
        <v>0</v>
      </c>
      <c r="W39" s="24">
        <v>0</v>
      </c>
      <c r="Y39" s="24">
        <v>0</v>
      </c>
      <c r="AA39" s="24">
        <v>0</v>
      </c>
      <c r="AC39" s="24">
        <v>0</v>
      </c>
      <c r="AE39" s="24">
        <f t="shared" si="0"/>
        <v>80686</v>
      </c>
      <c r="AF39" s="24"/>
      <c r="AG39" s="24">
        <v>-8393</v>
      </c>
      <c r="AH39" s="24"/>
      <c r="AI39" s="24">
        <v>69736</v>
      </c>
      <c r="AJ39" s="24"/>
      <c r="AK39" s="24">
        <v>61343</v>
      </c>
      <c r="AL39" s="39">
        <f>+'Gov Rev'!AI39-'Gov Exp'!AE39+'Gov Exp'!AI39-'Gov Exp'!AK39</f>
        <v>0</v>
      </c>
      <c r="AM39" s="15" t="str">
        <f>'Gov Rev'!A39</f>
        <v>Bailey Lakes</v>
      </c>
      <c r="AN39" s="15" t="str">
        <f t="shared" si="7"/>
        <v>Bailey Lakes</v>
      </c>
      <c r="AO39" s="15" t="b">
        <f t="shared" si="8"/>
        <v>1</v>
      </c>
    </row>
    <row r="40" spans="1:41" ht="12.75">
      <c r="A40" s="15" t="s">
        <v>850</v>
      </c>
      <c r="C40" s="15" t="s">
        <v>810</v>
      </c>
      <c r="D40" s="28"/>
      <c r="E40" s="36">
        <v>76904.91</v>
      </c>
      <c r="F40" s="36"/>
      <c r="G40" s="36">
        <v>0</v>
      </c>
      <c r="H40" s="36"/>
      <c r="I40" s="36">
        <v>1817.17</v>
      </c>
      <c r="J40" s="36"/>
      <c r="K40" s="36">
        <v>0</v>
      </c>
      <c r="L40" s="36"/>
      <c r="M40" s="36">
        <v>0</v>
      </c>
      <c r="N40" s="36"/>
      <c r="O40" s="36">
        <v>88684.63</v>
      </c>
      <c r="P40" s="36"/>
      <c r="Q40" s="36">
        <v>57636.49</v>
      </c>
      <c r="R40" s="36"/>
      <c r="S40" s="36">
        <v>4727.46</v>
      </c>
      <c r="T40" s="36"/>
      <c r="U40" s="36">
        <v>0</v>
      </c>
      <c r="V40" s="36"/>
      <c r="W40" s="36">
        <v>0</v>
      </c>
      <c r="X40" s="36"/>
      <c r="Y40" s="36">
        <v>0</v>
      </c>
      <c r="Z40" s="36"/>
      <c r="AA40" s="36">
        <v>0</v>
      </c>
      <c r="AB40" s="36"/>
      <c r="AC40" s="36">
        <v>0</v>
      </c>
      <c r="AD40" s="36"/>
      <c r="AE40" s="36">
        <f aca="true" t="shared" si="13" ref="AE40">SUM(E40:AC40)</f>
        <v>229770.66</v>
      </c>
      <c r="AF40" s="36"/>
      <c r="AG40" s="36">
        <v>-8236.24</v>
      </c>
      <c r="AH40" s="36"/>
      <c r="AI40" s="36">
        <v>590555.84</v>
      </c>
      <c r="AJ40" s="36"/>
      <c r="AK40" s="36">
        <v>582319.6</v>
      </c>
      <c r="AL40" s="39">
        <f>+'Gov Rev'!AI40-'Gov Exp'!AE40+'Gov Exp'!AI40-'Gov Exp'!AK40</f>
        <v>0</v>
      </c>
      <c r="AM40" s="15" t="str">
        <f>'Gov Rev'!A40</f>
        <v>Bainbridge</v>
      </c>
      <c r="AN40" s="15" t="str">
        <f t="shared" si="7"/>
        <v>Bainbridge</v>
      </c>
      <c r="AO40" s="15" t="b">
        <f t="shared" si="8"/>
        <v>1</v>
      </c>
    </row>
    <row r="41" spans="1:41" ht="12.75">
      <c r="A41" s="15" t="s">
        <v>602</v>
      </c>
      <c r="C41" s="15" t="s">
        <v>603</v>
      </c>
      <c r="E41" s="95">
        <v>1795.57</v>
      </c>
      <c r="F41" s="95"/>
      <c r="G41" s="95">
        <v>57.74</v>
      </c>
      <c r="H41" s="95"/>
      <c r="I41" s="95">
        <v>592.5</v>
      </c>
      <c r="J41" s="95"/>
      <c r="K41" s="95">
        <v>0</v>
      </c>
      <c r="L41" s="95"/>
      <c r="M41" s="95">
        <v>121.28</v>
      </c>
      <c r="N41" s="95"/>
      <c r="O41" s="95">
        <v>3291.22</v>
      </c>
      <c r="P41" s="95"/>
      <c r="Q41" s="95">
        <v>8617.99</v>
      </c>
      <c r="R41" s="95"/>
      <c r="S41" s="95">
        <v>0</v>
      </c>
      <c r="T41" s="95"/>
      <c r="U41" s="95">
        <v>0</v>
      </c>
      <c r="V41" s="95"/>
      <c r="W41" s="95">
        <v>0</v>
      </c>
      <c r="X41" s="95"/>
      <c r="Y41" s="95">
        <v>0</v>
      </c>
      <c r="Z41" s="95"/>
      <c r="AA41" s="95">
        <v>0</v>
      </c>
      <c r="AB41" s="95"/>
      <c r="AC41" s="95">
        <v>0</v>
      </c>
      <c r="AD41" s="95"/>
      <c r="AE41" s="95">
        <f aca="true" t="shared" si="14" ref="AE41">SUM(E41:AC41)</f>
        <v>14476.3</v>
      </c>
      <c r="AF41" s="95"/>
      <c r="AG41" s="95">
        <v>9475.93</v>
      </c>
      <c r="AH41" s="95"/>
      <c r="AI41" s="95">
        <v>31152.96</v>
      </c>
      <c r="AJ41" s="95"/>
      <c r="AK41" s="95">
        <v>40628.89</v>
      </c>
      <c r="AL41" s="39">
        <f>+'Gov Rev'!AI41-'Gov Exp'!AE41+'Gov Exp'!AI41-'Gov Exp'!AK41</f>
        <v>0</v>
      </c>
      <c r="AM41" s="15" t="str">
        <f>'Gov Rev'!A41</f>
        <v>Bairdstown</v>
      </c>
      <c r="AN41" s="15" t="str">
        <f t="shared" si="7"/>
        <v>Bairdstown</v>
      </c>
      <c r="AO41" s="15" t="b">
        <f t="shared" si="8"/>
        <v>1</v>
      </c>
    </row>
    <row r="42" spans="1:41" ht="12.75">
      <c r="A42" s="15" t="s">
        <v>561</v>
      </c>
      <c r="C42" s="15" t="s">
        <v>562</v>
      </c>
      <c r="E42" s="24">
        <v>132930.52</v>
      </c>
      <c r="G42" s="24">
        <v>10358.4</v>
      </c>
      <c r="I42" s="24">
        <v>10395.24</v>
      </c>
      <c r="K42" s="24">
        <v>814.5</v>
      </c>
      <c r="M42" s="24">
        <v>0</v>
      </c>
      <c r="O42" s="24">
        <v>82156.88</v>
      </c>
      <c r="Q42" s="24">
        <v>128565.1</v>
      </c>
      <c r="S42" s="24">
        <v>161056.92</v>
      </c>
      <c r="U42" s="24">
        <v>12312.96</v>
      </c>
      <c r="W42" s="24">
        <v>26400</v>
      </c>
      <c r="Y42" s="24">
        <v>0</v>
      </c>
      <c r="AA42" s="24">
        <v>0</v>
      </c>
      <c r="AC42" s="24">
        <v>0</v>
      </c>
      <c r="AE42" s="24">
        <f t="shared" si="0"/>
        <v>564990.52</v>
      </c>
      <c r="AF42" s="24"/>
      <c r="AG42" s="24">
        <v>-55064.06</v>
      </c>
      <c r="AH42" s="24"/>
      <c r="AI42" s="24">
        <v>526624</v>
      </c>
      <c r="AJ42" s="24"/>
      <c r="AK42" s="24">
        <v>471559.94</v>
      </c>
      <c r="AL42" s="39">
        <f>+'Gov Rev'!AI42-'Gov Exp'!AE42+'Gov Exp'!AI42-'Gov Exp'!AK42</f>
        <v>0</v>
      </c>
      <c r="AM42" s="15" t="str">
        <f>'Gov Rev'!A42</f>
        <v>Baltic</v>
      </c>
      <c r="AN42" s="15" t="str">
        <f t="shared" si="7"/>
        <v>Baltic</v>
      </c>
      <c r="AO42" s="15" t="b">
        <f t="shared" si="8"/>
        <v>1</v>
      </c>
    </row>
    <row r="43" spans="1:41" s="31" customFormat="1" ht="12.6" customHeight="1">
      <c r="A43" s="15" t="s">
        <v>349</v>
      </c>
      <c r="B43" s="15"/>
      <c r="C43" s="15" t="s">
        <v>350</v>
      </c>
      <c r="D43" s="15"/>
      <c r="E43" s="24">
        <v>386567.24</v>
      </c>
      <c r="F43" s="24"/>
      <c r="G43" s="24">
        <v>17640.95</v>
      </c>
      <c r="H43" s="24"/>
      <c r="I43" s="24">
        <v>38040.16</v>
      </c>
      <c r="J43" s="24"/>
      <c r="K43" s="24">
        <v>25293.37</v>
      </c>
      <c r="L43" s="24"/>
      <c r="M43" s="24">
        <v>12355.71</v>
      </c>
      <c r="N43" s="24"/>
      <c r="O43" s="24">
        <v>320317.64</v>
      </c>
      <c r="P43" s="24"/>
      <c r="Q43" s="24">
        <v>175838.36</v>
      </c>
      <c r="R43" s="24"/>
      <c r="S43" s="24">
        <v>221316.93</v>
      </c>
      <c r="T43" s="24"/>
      <c r="U43" s="24">
        <v>0</v>
      </c>
      <c r="V43" s="24"/>
      <c r="W43" s="24">
        <v>0</v>
      </c>
      <c r="X43" s="24"/>
      <c r="Y43" s="24">
        <v>0</v>
      </c>
      <c r="Z43" s="24"/>
      <c r="AA43" s="24">
        <v>0</v>
      </c>
      <c r="AB43" s="24"/>
      <c r="AC43" s="24">
        <v>0</v>
      </c>
      <c r="AD43" s="24"/>
      <c r="AE43" s="24">
        <f t="shared" si="0"/>
        <v>1197370.36</v>
      </c>
      <c r="AF43" s="24"/>
      <c r="AG43" s="24">
        <v>46768.56</v>
      </c>
      <c r="AH43" s="24"/>
      <c r="AI43" s="24">
        <v>90041.11</v>
      </c>
      <c r="AJ43" s="24"/>
      <c r="AK43" s="24">
        <v>136809.67</v>
      </c>
      <c r="AL43" s="39">
        <f>+'Gov Rev'!AI43-'Gov Exp'!AE43+'Gov Exp'!AI43-'Gov Exp'!AK43</f>
        <v>0</v>
      </c>
      <c r="AM43" s="15" t="str">
        <f>'Gov Rev'!A43</f>
        <v>Baltimore</v>
      </c>
      <c r="AN43" s="15" t="str">
        <f t="shared" si="7"/>
        <v>Baltimore</v>
      </c>
      <c r="AO43" s="15" t="b">
        <f t="shared" si="8"/>
        <v>1</v>
      </c>
    </row>
    <row r="44" spans="1:41" ht="12.6" customHeight="1">
      <c r="A44" s="15" t="s">
        <v>278</v>
      </c>
      <c r="C44" s="15" t="s">
        <v>279</v>
      </c>
      <c r="E44" s="24">
        <v>677935</v>
      </c>
      <c r="G44" s="24">
        <v>82901</v>
      </c>
      <c r="I44" s="24">
        <v>164218</v>
      </c>
      <c r="K44" s="24">
        <v>0</v>
      </c>
      <c r="M44" s="24">
        <v>0</v>
      </c>
      <c r="O44" s="24">
        <v>334412</v>
      </c>
      <c r="Q44" s="24">
        <v>195306</v>
      </c>
      <c r="S44" s="24">
        <v>1395877</v>
      </c>
      <c r="U44" s="24">
        <v>321014</v>
      </c>
      <c r="W44" s="24">
        <v>76457</v>
      </c>
      <c r="Y44" s="24">
        <v>566168</v>
      </c>
      <c r="AA44" s="24">
        <v>0</v>
      </c>
      <c r="AC44" s="24">
        <v>0</v>
      </c>
      <c r="AE44" s="24">
        <f t="shared" si="0"/>
        <v>3814288</v>
      </c>
      <c r="AF44" s="24"/>
      <c r="AG44" s="24">
        <v>116058</v>
      </c>
      <c r="AH44" s="24"/>
      <c r="AI44" s="24">
        <v>1860316</v>
      </c>
      <c r="AJ44" s="24"/>
      <c r="AK44" s="24">
        <v>1976374</v>
      </c>
      <c r="AL44" s="39">
        <f>+'Gov Rev'!AI44-'Gov Exp'!AE44+'Gov Exp'!AI44-'Gov Exp'!AK44</f>
        <v>0</v>
      </c>
      <c r="AM44" s="15" t="str">
        <f>'Gov Rev'!A44</f>
        <v>Barnesville</v>
      </c>
      <c r="AN44" s="15" t="str">
        <f t="shared" si="7"/>
        <v>Barnesville</v>
      </c>
      <c r="AO44" s="15" t="b">
        <f t="shared" si="8"/>
        <v>1</v>
      </c>
    </row>
    <row r="45" spans="1:41" ht="12.75">
      <c r="A45" s="15" t="s">
        <v>563</v>
      </c>
      <c r="C45" s="15" t="s">
        <v>562</v>
      </c>
      <c r="E45" s="36">
        <v>383.6</v>
      </c>
      <c r="F45" s="36"/>
      <c r="G45" s="36">
        <v>96.97</v>
      </c>
      <c r="H45" s="36"/>
      <c r="I45" s="36">
        <v>91.34</v>
      </c>
      <c r="J45" s="36"/>
      <c r="K45" s="36">
        <v>0</v>
      </c>
      <c r="L45" s="36"/>
      <c r="M45" s="36">
        <v>6781.73</v>
      </c>
      <c r="N45" s="36"/>
      <c r="O45" s="36">
        <v>12067.06</v>
      </c>
      <c r="P45" s="36"/>
      <c r="Q45" s="36">
        <v>15188.68</v>
      </c>
      <c r="R45" s="36"/>
      <c r="S45" s="36">
        <v>0</v>
      </c>
      <c r="T45" s="36"/>
      <c r="U45" s="36">
        <v>0</v>
      </c>
      <c r="V45" s="36"/>
      <c r="W45" s="36">
        <v>0</v>
      </c>
      <c r="X45" s="36"/>
      <c r="Y45" s="36">
        <v>0</v>
      </c>
      <c r="Z45" s="36"/>
      <c r="AA45" s="36">
        <v>0</v>
      </c>
      <c r="AB45" s="36"/>
      <c r="AC45" s="36">
        <v>0</v>
      </c>
      <c r="AD45" s="36"/>
      <c r="AE45" s="36">
        <f aca="true" t="shared" si="15" ref="AE45:AE46">SUM(E45:AC45)</f>
        <v>34609.38</v>
      </c>
      <c r="AF45" s="36"/>
      <c r="AG45" s="36">
        <v>10759.94</v>
      </c>
      <c r="AH45" s="36"/>
      <c r="AI45" s="36">
        <v>58673.87</v>
      </c>
      <c r="AJ45" s="36"/>
      <c r="AK45" s="36">
        <v>69433.81</v>
      </c>
      <c r="AL45" s="39">
        <f>+'Gov Rev'!AI45-'Gov Exp'!AE45+'Gov Exp'!AI45-'Gov Exp'!AK45</f>
        <v>0</v>
      </c>
      <c r="AM45" s="15" t="str">
        <f>'Gov Rev'!A45</f>
        <v>Barnhill</v>
      </c>
      <c r="AN45" s="15" t="str">
        <f t="shared" si="7"/>
        <v>Barnhill</v>
      </c>
      <c r="AO45" s="15" t="b">
        <f t="shared" si="8"/>
        <v>1</v>
      </c>
    </row>
    <row r="46" spans="1:41" ht="12.6" customHeight="1">
      <c r="A46" s="15" t="s">
        <v>294</v>
      </c>
      <c r="C46" s="15" t="s">
        <v>295</v>
      </c>
      <c r="E46" s="36">
        <v>269895.07</v>
      </c>
      <c r="F46" s="36"/>
      <c r="G46" s="36">
        <v>6839.3</v>
      </c>
      <c r="H46" s="36"/>
      <c r="I46" s="36">
        <v>0</v>
      </c>
      <c r="J46" s="36"/>
      <c r="K46" s="36">
        <v>786.65</v>
      </c>
      <c r="L46" s="36"/>
      <c r="M46" s="36">
        <v>0</v>
      </c>
      <c r="N46" s="36"/>
      <c r="O46" s="36">
        <v>222231.65</v>
      </c>
      <c r="P46" s="36"/>
      <c r="Q46" s="36">
        <v>139950.66</v>
      </c>
      <c r="R46" s="36"/>
      <c r="S46" s="36">
        <v>150553.51</v>
      </c>
      <c r="T46" s="36"/>
      <c r="U46" s="36">
        <v>0</v>
      </c>
      <c r="V46" s="36"/>
      <c r="W46" s="36">
        <v>20285</v>
      </c>
      <c r="X46" s="36"/>
      <c r="Y46" s="36">
        <v>0</v>
      </c>
      <c r="Z46" s="36"/>
      <c r="AA46" s="36">
        <v>0</v>
      </c>
      <c r="AB46" s="36"/>
      <c r="AC46" s="36">
        <v>0</v>
      </c>
      <c r="AD46" s="36"/>
      <c r="AE46" s="36">
        <f t="shared" si="15"/>
        <v>810541.8400000001</v>
      </c>
      <c r="AF46" s="36"/>
      <c r="AG46" s="36">
        <v>252202.13</v>
      </c>
      <c r="AH46" s="36"/>
      <c r="AI46" s="36">
        <v>1060775.68</v>
      </c>
      <c r="AJ46" s="36"/>
      <c r="AK46" s="36">
        <v>1312977.81</v>
      </c>
      <c r="AL46" s="39">
        <f>+'Gov Rev'!AI46-'Gov Exp'!AE46+'Gov Exp'!AI46-'Gov Exp'!AK46</f>
        <v>0</v>
      </c>
      <c r="AM46" s="15" t="str">
        <f>'Gov Rev'!A46</f>
        <v>Batavia</v>
      </c>
      <c r="AN46" s="15" t="str">
        <f t="shared" si="7"/>
        <v>Batavia</v>
      </c>
      <c r="AO46" s="15" t="b">
        <f t="shared" si="8"/>
        <v>1</v>
      </c>
    </row>
    <row r="47" spans="1:41" ht="12.75">
      <c r="A47" s="15" t="s">
        <v>490</v>
      </c>
      <c r="C47" s="15" t="s">
        <v>491</v>
      </c>
      <c r="E47" s="24">
        <v>400</v>
      </c>
      <c r="G47" s="24">
        <v>0</v>
      </c>
      <c r="I47" s="24">
        <v>0</v>
      </c>
      <c r="K47" s="24">
        <v>645</v>
      </c>
      <c r="M47" s="24">
        <v>0</v>
      </c>
      <c r="O47" s="24">
        <v>0</v>
      </c>
      <c r="Q47" s="24">
        <v>9683</v>
      </c>
      <c r="S47" s="24">
        <v>14814</v>
      </c>
      <c r="U47" s="24">
        <v>0</v>
      </c>
      <c r="W47" s="24">
        <v>0</v>
      </c>
      <c r="Y47" s="24">
        <v>0</v>
      </c>
      <c r="AA47" s="24">
        <v>0</v>
      </c>
      <c r="AC47" s="24">
        <v>0</v>
      </c>
      <c r="AE47" s="24">
        <f t="shared" si="0"/>
        <v>25542</v>
      </c>
      <c r="AF47" s="24"/>
      <c r="AG47" s="24"/>
      <c r="AH47" s="24"/>
      <c r="AI47" s="24">
        <f>-1781+6389</f>
        <v>4608</v>
      </c>
      <c r="AJ47" s="24"/>
      <c r="AK47" s="24">
        <f>6066+2581</f>
        <v>8647</v>
      </c>
      <c r="AL47" s="39">
        <f>+'Gov Rev'!AI47-'Gov Exp'!AE47+'Gov Exp'!AI47-'Gov Exp'!AK47</f>
        <v>0</v>
      </c>
      <c r="AM47" s="15" t="str">
        <f>'Gov Rev'!A47</f>
        <v>Batesville</v>
      </c>
      <c r="AN47" s="15" t="str">
        <f t="shared" si="7"/>
        <v>Batesville</v>
      </c>
      <c r="AO47" s="15" t="b">
        <f t="shared" si="8"/>
        <v>1</v>
      </c>
    </row>
    <row r="48" spans="1:41" s="31" customFormat="1" ht="12.75">
      <c r="A48" s="15" t="s">
        <v>58</v>
      </c>
      <c r="B48" s="15"/>
      <c r="C48" s="15" t="s">
        <v>765</v>
      </c>
      <c r="D48" s="28"/>
      <c r="E48" s="36">
        <v>121599.28</v>
      </c>
      <c r="F48" s="36"/>
      <c r="G48" s="36">
        <v>0</v>
      </c>
      <c r="H48" s="36"/>
      <c r="I48" s="36">
        <v>9393.78</v>
      </c>
      <c r="J48" s="36"/>
      <c r="K48" s="36">
        <v>0</v>
      </c>
      <c r="L48" s="36"/>
      <c r="M48" s="36">
        <v>499.61</v>
      </c>
      <c r="N48" s="36"/>
      <c r="O48" s="36">
        <v>57553.26</v>
      </c>
      <c r="P48" s="36"/>
      <c r="Q48" s="36">
        <v>108976.47</v>
      </c>
      <c r="R48" s="36"/>
      <c r="S48" s="36">
        <v>290.8</v>
      </c>
      <c r="T48" s="36"/>
      <c r="U48" s="36">
        <v>8620</v>
      </c>
      <c r="V48" s="36"/>
      <c r="W48" s="36">
        <v>2600</v>
      </c>
      <c r="X48" s="36"/>
      <c r="Y48" s="36">
        <v>0</v>
      </c>
      <c r="Z48" s="36"/>
      <c r="AA48" s="36">
        <v>0</v>
      </c>
      <c r="AB48" s="36"/>
      <c r="AC48" s="36">
        <v>0</v>
      </c>
      <c r="AD48" s="36"/>
      <c r="AE48" s="36">
        <f aca="true" t="shared" si="16" ref="AE48">SUM(E48:AC48)</f>
        <v>309533.2</v>
      </c>
      <c r="AF48" s="36"/>
      <c r="AG48" s="36">
        <v>-8578.27</v>
      </c>
      <c r="AH48" s="36"/>
      <c r="AI48" s="36">
        <v>108403.32</v>
      </c>
      <c r="AJ48" s="36"/>
      <c r="AK48" s="36">
        <v>99825.05</v>
      </c>
      <c r="AL48" s="39">
        <f>+'Gov Rev'!AI48-'Gov Exp'!AE48+'Gov Exp'!AI48-'Gov Exp'!AK48</f>
        <v>0</v>
      </c>
      <c r="AM48" s="15" t="str">
        <f>'Gov Rev'!A48</f>
        <v>Bay View</v>
      </c>
      <c r="AN48" s="15" t="str">
        <f t="shared" si="7"/>
        <v>Bay View</v>
      </c>
      <c r="AO48" s="15" t="b">
        <f t="shared" si="8"/>
        <v>1</v>
      </c>
    </row>
    <row r="49" spans="1:41" ht="12.75">
      <c r="A49" s="15" t="s">
        <v>541</v>
      </c>
      <c r="C49" s="15" t="s">
        <v>542</v>
      </c>
      <c r="E49" s="24">
        <v>177170.78</v>
      </c>
      <c r="G49" s="24">
        <v>296.38</v>
      </c>
      <c r="I49" s="24">
        <v>16516.05</v>
      </c>
      <c r="K49" s="24">
        <v>0</v>
      </c>
      <c r="M49" s="24">
        <v>0</v>
      </c>
      <c r="O49" s="24">
        <v>78149.68</v>
      </c>
      <c r="Q49" s="24">
        <v>49385.79</v>
      </c>
      <c r="S49" s="24">
        <v>3284</v>
      </c>
      <c r="U49" s="24">
        <v>27260.92</v>
      </c>
      <c r="W49" s="24">
        <v>7179.36</v>
      </c>
      <c r="Y49" s="24">
        <v>0</v>
      </c>
      <c r="AA49" s="24">
        <v>0</v>
      </c>
      <c r="AC49" s="24">
        <v>6906.93</v>
      </c>
      <c r="AE49" s="24">
        <f t="shared" si="0"/>
        <v>366149.88999999996</v>
      </c>
      <c r="AF49" s="24"/>
      <c r="AG49" s="24">
        <v>-3845.97</v>
      </c>
      <c r="AH49" s="24"/>
      <c r="AI49" s="24">
        <v>83001.09</v>
      </c>
      <c r="AJ49" s="24"/>
      <c r="AK49" s="24">
        <v>79155.12</v>
      </c>
      <c r="AL49" s="39">
        <f>+'Gov Rev'!AI49-'Gov Exp'!AE49+'Gov Exp'!AI49-'Gov Exp'!AK49</f>
        <v>0</v>
      </c>
      <c r="AM49" s="15" t="str">
        <f>'Gov Rev'!A49</f>
        <v>Beach</v>
      </c>
      <c r="AN49" s="15" t="str">
        <f t="shared" si="7"/>
        <v>Beach</v>
      </c>
      <c r="AO49" s="15" t="b">
        <f t="shared" si="8"/>
        <v>1</v>
      </c>
    </row>
    <row r="50" spans="1:41" ht="12.75">
      <c r="A50" s="15" t="s">
        <v>164</v>
      </c>
      <c r="C50" s="15" t="s">
        <v>796</v>
      </c>
      <c r="D50" s="28"/>
      <c r="E50" s="36">
        <v>5280</v>
      </c>
      <c r="F50" s="36"/>
      <c r="G50" s="36">
        <v>1863.79</v>
      </c>
      <c r="H50" s="36"/>
      <c r="I50" s="36">
        <v>263.01</v>
      </c>
      <c r="J50" s="36"/>
      <c r="K50" s="36">
        <v>0</v>
      </c>
      <c r="L50" s="36"/>
      <c r="M50" s="36">
        <v>96</v>
      </c>
      <c r="N50" s="36"/>
      <c r="O50" s="36">
        <v>14154.44</v>
      </c>
      <c r="P50" s="36"/>
      <c r="Q50" s="36">
        <v>33170.95</v>
      </c>
      <c r="R50" s="36"/>
      <c r="S50" s="36">
        <v>0</v>
      </c>
      <c r="T50" s="36"/>
      <c r="U50" s="36">
        <v>0</v>
      </c>
      <c r="V50" s="36"/>
      <c r="W50" s="36">
        <v>7315.58</v>
      </c>
      <c r="X50" s="36"/>
      <c r="Y50" s="36">
        <v>0</v>
      </c>
      <c r="Z50" s="36"/>
      <c r="AA50" s="36">
        <v>0</v>
      </c>
      <c r="AB50" s="36"/>
      <c r="AC50" s="36">
        <v>0</v>
      </c>
      <c r="AD50" s="36"/>
      <c r="AE50" s="36">
        <f aca="true" t="shared" si="17" ref="AE50">SUM(E50:AC50)</f>
        <v>62143.770000000004</v>
      </c>
      <c r="AF50" s="36"/>
      <c r="AG50" s="36">
        <v>10391.18</v>
      </c>
      <c r="AH50" s="36"/>
      <c r="AI50" s="36">
        <v>61392.64</v>
      </c>
      <c r="AJ50" s="36"/>
      <c r="AK50" s="36">
        <v>71783.82</v>
      </c>
      <c r="AL50" s="39">
        <f>+'Gov Rev'!AI50-'Gov Exp'!AE50+'Gov Exp'!AI50-'Gov Exp'!AK50</f>
        <v>0</v>
      </c>
      <c r="AM50" s="15" t="str">
        <f>'Gov Rev'!A50</f>
        <v>Beallsville</v>
      </c>
      <c r="AN50" s="15" t="str">
        <f t="shared" si="7"/>
        <v>Beallsville</v>
      </c>
      <c r="AO50" s="15" t="b">
        <f t="shared" si="8"/>
        <v>1</v>
      </c>
    </row>
    <row r="51" spans="1:41" ht="12.75">
      <c r="A51" s="15" t="s">
        <v>193</v>
      </c>
      <c r="C51" s="15" t="s">
        <v>805</v>
      </c>
      <c r="D51" s="28"/>
      <c r="E51" s="95">
        <v>32929.07</v>
      </c>
      <c r="F51" s="95"/>
      <c r="G51" s="95">
        <v>7160.02</v>
      </c>
      <c r="H51" s="95"/>
      <c r="I51" s="95">
        <v>7985.46</v>
      </c>
      <c r="J51" s="95"/>
      <c r="K51" s="95">
        <v>0</v>
      </c>
      <c r="L51" s="95"/>
      <c r="M51" s="95">
        <v>0</v>
      </c>
      <c r="N51" s="95"/>
      <c r="O51" s="95">
        <v>17211.78</v>
      </c>
      <c r="P51" s="95"/>
      <c r="Q51" s="95">
        <v>59177.03</v>
      </c>
      <c r="R51" s="95"/>
      <c r="S51" s="95">
        <v>12217.37</v>
      </c>
      <c r="T51" s="95"/>
      <c r="U51" s="95">
        <v>0</v>
      </c>
      <c r="V51" s="95"/>
      <c r="W51" s="95">
        <v>0</v>
      </c>
      <c r="X51" s="95"/>
      <c r="Y51" s="95">
        <v>3000</v>
      </c>
      <c r="Z51" s="95"/>
      <c r="AA51" s="95">
        <v>17000</v>
      </c>
      <c r="AB51" s="95"/>
      <c r="AC51" s="95">
        <v>0</v>
      </c>
      <c r="AD51" s="95"/>
      <c r="AE51" s="95">
        <f aca="true" t="shared" si="18" ref="AE51">SUM(E51:AC51)</f>
        <v>156680.72999999998</v>
      </c>
      <c r="AF51" s="95"/>
      <c r="AG51" s="95">
        <v>6171.15</v>
      </c>
      <c r="AH51" s="95"/>
      <c r="AI51" s="95">
        <v>113308.71</v>
      </c>
      <c r="AJ51" s="95"/>
      <c r="AK51" s="95">
        <v>119479.86</v>
      </c>
      <c r="AL51" s="39">
        <f>+'Gov Rev'!AI51-'Gov Exp'!AE51+'Gov Exp'!AI51-'Gov Exp'!AK51</f>
        <v>0</v>
      </c>
      <c r="AM51" s="15" t="str">
        <f>'Gov Rev'!A51</f>
        <v>Beaver</v>
      </c>
      <c r="AN51" s="15" t="str">
        <f t="shared" si="7"/>
        <v>Beaver</v>
      </c>
      <c r="AO51" s="15" t="b">
        <f t="shared" si="8"/>
        <v>1</v>
      </c>
    </row>
    <row r="52" spans="1:41" ht="12.75">
      <c r="A52" s="15" t="s">
        <v>2</v>
      </c>
      <c r="C52" s="15" t="s">
        <v>746</v>
      </c>
      <c r="D52" s="28"/>
      <c r="E52" s="36">
        <v>11153.68</v>
      </c>
      <c r="F52" s="36"/>
      <c r="G52" s="36">
        <v>0</v>
      </c>
      <c r="H52" s="36"/>
      <c r="I52" s="36">
        <v>428.48</v>
      </c>
      <c r="J52" s="36"/>
      <c r="K52" s="36">
        <v>0</v>
      </c>
      <c r="L52" s="36"/>
      <c r="M52" s="36">
        <v>0</v>
      </c>
      <c r="N52" s="36"/>
      <c r="O52" s="36">
        <v>24887.16</v>
      </c>
      <c r="P52" s="36"/>
      <c r="Q52" s="36">
        <v>38533.49</v>
      </c>
      <c r="R52" s="36"/>
      <c r="S52" s="36">
        <v>5221.9</v>
      </c>
      <c r="T52" s="36"/>
      <c r="U52" s="36">
        <v>0</v>
      </c>
      <c r="V52" s="36"/>
      <c r="W52" s="36">
        <v>0</v>
      </c>
      <c r="X52" s="36"/>
      <c r="Y52" s="36">
        <v>500</v>
      </c>
      <c r="Z52" s="36"/>
      <c r="AA52" s="36">
        <v>0</v>
      </c>
      <c r="AB52" s="36"/>
      <c r="AC52" s="36">
        <v>145</v>
      </c>
      <c r="AD52" s="36"/>
      <c r="AE52" s="36">
        <f aca="true" t="shared" si="19" ref="AE52">SUM(E52:AC52)</f>
        <v>80869.70999999999</v>
      </c>
      <c r="AF52" s="36"/>
      <c r="AG52" s="36">
        <v>221860.54</v>
      </c>
      <c r="AH52" s="36"/>
      <c r="AI52" s="36">
        <v>140015.92</v>
      </c>
      <c r="AJ52" s="36"/>
      <c r="AK52" s="36">
        <v>361876.46</v>
      </c>
      <c r="AL52" s="39">
        <f>+'Gov Rev'!AI52-'Gov Exp'!AE52+'Gov Exp'!AI52-'Gov Exp'!AK52</f>
        <v>0</v>
      </c>
      <c r="AM52" s="15" t="str">
        <f>'Gov Rev'!A52</f>
        <v>Beaverdam</v>
      </c>
      <c r="AN52" s="15" t="str">
        <f t="shared" si="7"/>
        <v>Beaverdam</v>
      </c>
      <c r="AO52" s="15" t="b">
        <f t="shared" si="8"/>
        <v>1</v>
      </c>
    </row>
    <row r="53" spans="1:41" ht="12.6" customHeight="1">
      <c r="A53" s="15" t="s">
        <v>280</v>
      </c>
      <c r="C53" s="15" t="s">
        <v>279</v>
      </c>
      <c r="E53" s="24">
        <v>760206</v>
      </c>
      <c r="G53" s="24">
        <v>0</v>
      </c>
      <c r="I53" s="24">
        <v>0</v>
      </c>
      <c r="K53" s="24">
        <v>3159</v>
      </c>
      <c r="M53" s="24">
        <v>0</v>
      </c>
      <c r="O53" s="24">
        <v>119001</v>
      </c>
      <c r="Q53" s="24">
        <v>498846</v>
      </c>
      <c r="S53" s="24">
        <v>0</v>
      </c>
      <c r="U53" s="24">
        <v>190398</v>
      </c>
      <c r="W53" s="24">
        <v>34627</v>
      </c>
      <c r="Y53" s="24">
        <v>0</v>
      </c>
      <c r="AA53" s="24">
        <v>0</v>
      </c>
      <c r="AC53" s="24">
        <v>0</v>
      </c>
      <c r="AE53" s="24">
        <f t="shared" si="0"/>
        <v>1606237</v>
      </c>
      <c r="AF53" s="24"/>
      <c r="AG53" s="24">
        <v>212912</v>
      </c>
      <c r="AH53" s="24"/>
      <c r="AI53" s="24">
        <v>839538</v>
      </c>
      <c r="AJ53" s="24"/>
      <c r="AK53" s="24">
        <v>1052450</v>
      </c>
      <c r="AL53" s="39">
        <f>+'Gov Rev'!AI53-'Gov Exp'!AE53+'Gov Exp'!AI53-'Gov Exp'!AK53</f>
        <v>0</v>
      </c>
      <c r="AM53" s="15" t="str">
        <f>'Gov Rev'!A53</f>
        <v>Bellaire</v>
      </c>
      <c r="AN53" s="15" t="str">
        <f t="shared" si="7"/>
        <v>Bellaire</v>
      </c>
      <c r="AO53" s="15" t="b">
        <f t="shared" si="8"/>
        <v>1</v>
      </c>
    </row>
    <row r="54" spans="1:41" ht="12.75">
      <c r="A54" s="15" t="s">
        <v>132</v>
      </c>
      <c r="C54" s="15" t="s">
        <v>786</v>
      </c>
      <c r="D54" s="28"/>
      <c r="E54" s="36">
        <v>14912.29</v>
      </c>
      <c r="F54" s="36"/>
      <c r="G54" s="36">
        <v>5081.83</v>
      </c>
      <c r="H54" s="36"/>
      <c r="I54" s="36">
        <v>8619.2</v>
      </c>
      <c r="J54" s="36"/>
      <c r="K54" s="36">
        <v>40</v>
      </c>
      <c r="L54" s="36"/>
      <c r="M54" s="36">
        <v>0</v>
      </c>
      <c r="N54" s="36"/>
      <c r="O54" s="36">
        <v>105908.93</v>
      </c>
      <c r="P54" s="36"/>
      <c r="Q54" s="36">
        <v>109540.54</v>
      </c>
      <c r="R54" s="36"/>
      <c r="S54" s="36">
        <v>12783.45</v>
      </c>
      <c r="T54" s="36"/>
      <c r="U54" s="36">
        <v>2400</v>
      </c>
      <c r="V54" s="36"/>
      <c r="W54" s="36">
        <v>611.7</v>
      </c>
      <c r="X54" s="36"/>
      <c r="Y54" s="36">
        <v>2091.67</v>
      </c>
      <c r="Z54" s="36"/>
      <c r="AA54" s="36">
        <v>0</v>
      </c>
      <c r="AB54" s="36"/>
      <c r="AC54" s="36">
        <v>0</v>
      </c>
      <c r="AD54" s="36"/>
      <c r="AE54" s="36">
        <f aca="true" t="shared" si="20" ref="AE54">SUM(E54:AC54)</f>
        <v>261989.61000000002</v>
      </c>
      <c r="AF54" s="36"/>
      <c r="AG54" s="36">
        <v>2130.5</v>
      </c>
      <c r="AH54" s="36"/>
      <c r="AI54" s="36">
        <v>131318.12</v>
      </c>
      <c r="AJ54" s="36"/>
      <c r="AK54" s="36">
        <v>133448.62</v>
      </c>
      <c r="AL54" s="39">
        <f>+'Gov Rev'!AI54-'Gov Exp'!AE54+'Gov Exp'!AI54-'Gov Exp'!AK54</f>
        <v>0</v>
      </c>
      <c r="AM54" s="15" t="str">
        <f>'Gov Rev'!A54</f>
        <v>Belle Center</v>
      </c>
      <c r="AN54" s="15" t="str">
        <f t="shared" si="7"/>
        <v>Belle Center</v>
      </c>
      <c r="AO54" s="15" t="b">
        <f t="shared" si="8"/>
        <v>1</v>
      </c>
    </row>
    <row r="55" spans="1:41" ht="12.75">
      <c r="A55" s="15" t="s">
        <v>492</v>
      </c>
      <c r="C55" s="15" t="s">
        <v>491</v>
      </c>
      <c r="E55" s="24">
        <v>5181</v>
      </c>
      <c r="G55" s="24">
        <v>0</v>
      </c>
      <c r="I55" s="24">
        <v>0</v>
      </c>
      <c r="K55" s="24">
        <v>395</v>
      </c>
      <c r="M55" s="24">
        <v>4667</v>
      </c>
      <c r="O55" s="24">
        <v>153</v>
      </c>
      <c r="Q55" s="24">
        <v>9424</v>
      </c>
      <c r="S55" s="24">
        <v>0</v>
      </c>
      <c r="U55" s="24">
        <v>0</v>
      </c>
      <c r="W55" s="24">
        <v>0</v>
      </c>
      <c r="Y55" s="24">
        <v>0</v>
      </c>
      <c r="AA55" s="24">
        <v>0</v>
      </c>
      <c r="AC55" s="24">
        <v>0</v>
      </c>
      <c r="AE55" s="24">
        <f t="shared" si="0"/>
        <v>19820</v>
      </c>
      <c r="AF55" s="24"/>
      <c r="AG55" s="24">
        <v>18127</v>
      </c>
      <c r="AH55" s="24"/>
      <c r="AI55" s="24">
        <v>13979</v>
      </c>
      <c r="AJ55" s="24"/>
      <c r="AK55" s="24">
        <v>24176</v>
      </c>
      <c r="AL55" s="39">
        <f>+'Gov Rev'!AI55-'Gov Exp'!AE55+'Gov Exp'!AI55-'Gov Exp'!AK55</f>
        <v>7929</v>
      </c>
      <c r="AM55" s="15" t="str">
        <f>'Gov Rev'!A55</f>
        <v>Belle Valley</v>
      </c>
      <c r="AN55" s="15" t="str">
        <f t="shared" si="7"/>
        <v>Belle Valley</v>
      </c>
      <c r="AO55" s="15" t="b">
        <f t="shared" si="8"/>
        <v>1</v>
      </c>
    </row>
    <row r="56" spans="1:41" ht="12.75">
      <c r="A56" s="15" t="s">
        <v>208</v>
      </c>
      <c r="C56" s="15" t="s">
        <v>809</v>
      </c>
      <c r="D56" s="28"/>
      <c r="E56" s="36">
        <v>411452.73</v>
      </c>
      <c r="F56" s="36"/>
      <c r="G56" s="36">
        <v>123004.79</v>
      </c>
      <c r="H56" s="36"/>
      <c r="I56" s="36">
        <v>67041.24</v>
      </c>
      <c r="J56" s="36"/>
      <c r="K56" s="36">
        <v>5058.82</v>
      </c>
      <c r="L56" s="36"/>
      <c r="M56" s="36">
        <v>0</v>
      </c>
      <c r="N56" s="36"/>
      <c r="O56" s="36">
        <v>391787.86</v>
      </c>
      <c r="P56" s="36"/>
      <c r="Q56" s="36">
        <v>249039.07</v>
      </c>
      <c r="R56" s="36"/>
      <c r="S56" s="36">
        <v>0</v>
      </c>
      <c r="T56" s="36"/>
      <c r="U56" s="36">
        <v>702908.6</v>
      </c>
      <c r="V56" s="36"/>
      <c r="W56" s="36">
        <v>12878.26</v>
      </c>
      <c r="X56" s="36"/>
      <c r="Y56" s="36">
        <v>496704.76</v>
      </c>
      <c r="Z56" s="36"/>
      <c r="AA56" s="36">
        <v>0</v>
      </c>
      <c r="AB56" s="36"/>
      <c r="AC56" s="36">
        <v>0</v>
      </c>
      <c r="AD56" s="36"/>
      <c r="AE56" s="36">
        <f aca="true" t="shared" si="21" ref="AE56:AE59">SUM(E56:AC56)</f>
        <v>2459876.13</v>
      </c>
      <c r="AF56" s="36"/>
      <c r="AG56" s="36">
        <v>28591.93</v>
      </c>
      <c r="AH56" s="36"/>
      <c r="AI56" s="36">
        <v>439378.98</v>
      </c>
      <c r="AJ56" s="36"/>
      <c r="AK56" s="36">
        <v>467970.91</v>
      </c>
      <c r="AL56" s="39">
        <f>+'Gov Rev'!AI56-'Gov Exp'!AE56+'Gov Exp'!AI56-'Gov Exp'!AK56</f>
        <v>0</v>
      </c>
      <c r="AM56" s="15" t="str">
        <f>'Gov Rev'!A56</f>
        <v>Bellville</v>
      </c>
      <c r="AN56" s="15" t="str">
        <f t="shared" si="7"/>
        <v>Bellville</v>
      </c>
      <c r="AO56" s="15" t="b">
        <f t="shared" si="8"/>
        <v>1</v>
      </c>
    </row>
    <row r="57" spans="1:41" ht="12.6" customHeight="1">
      <c r="A57" s="15" t="s">
        <v>279</v>
      </c>
      <c r="C57" s="15" t="s">
        <v>279</v>
      </c>
      <c r="E57" s="36">
        <v>93566.83</v>
      </c>
      <c r="F57" s="36"/>
      <c r="G57" s="36">
        <v>7440</v>
      </c>
      <c r="H57" s="36"/>
      <c r="I57" s="36">
        <v>19198.03</v>
      </c>
      <c r="J57" s="36"/>
      <c r="K57" s="36">
        <v>0</v>
      </c>
      <c r="L57" s="36"/>
      <c r="M57" s="36">
        <v>1630.43</v>
      </c>
      <c r="N57" s="36"/>
      <c r="O57" s="36">
        <v>45209.39</v>
      </c>
      <c r="P57" s="36"/>
      <c r="Q57" s="36">
        <v>33189.22</v>
      </c>
      <c r="R57" s="36"/>
      <c r="S57" s="36">
        <v>11255.15</v>
      </c>
      <c r="T57" s="36"/>
      <c r="U57" s="36">
        <v>2899.63</v>
      </c>
      <c r="V57" s="36"/>
      <c r="W57" s="36">
        <v>541.34</v>
      </c>
      <c r="X57" s="36"/>
      <c r="Y57" s="36">
        <v>2155.31</v>
      </c>
      <c r="Z57" s="36"/>
      <c r="AA57" s="36">
        <v>0</v>
      </c>
      <c r="AB57" s="36"/>
      <c r="AC57" s="36">
        <v>0</v>
      </c>
      <c r="AD57" s="36"/>
      <c r="AE57" s="36">
        <f t="shared" si="21"/>
        <v>217085.33</v>
      </c>
      <c r="AF57" s="36"/>
      <c r="AG57" s="36">
        <v>-28397.85</v>
      </c>
      <c r="AH57" s="36"/>
      <c r="AI57" s="36">
        <v>192603.46</v>
      </c>
      <c r="AJ57" s="36"/>
      <c r="AK57" s="36">
        <v>164205.61</v>
      </c>
      <c r="AL57" s="39">
        <f>+'Gov Rev'!AI57-'Gov Exp'!AE57+'Gov Exp'!AI57-'Gov Exp'!AK57</f>
        <v>0</v>
      </c>
      <c r="AM57" s="15" t="str">
        <f>'Gov Rev'!A57</f>
        <v>Belmont</v>
      </c>
      <c r="AN57" s="15" t="str">
        <f t="shared" si="7"/>
        <v>Belmont</v>
      </c>
      <c r="AO57" s="15" t="b">
        <f t="shared" si="8"/>
        <v>1</v>
      </c>
    </row>
    <row r="58" spans="1:41" ht="12.6" customHeight="1">
      <c r="A58" s="15" t="s">
        <v>935</v>
      </c>
      <c r="C58" s="15" t="s">
        <v>514</v>
      </c>
      <c r="E58" s="36">
        <v>4373.85</v>
      </c>
      <c r="F58" s="36"/>
      <c r="G58" s="36">
        <v>0</v>
      </c>
      <c r="H58" s="36"/>
      <c r="I58" s="36">
        <v>497.93</v>
      </c>
      <c r="J58" s="36"/>
      <c r="K58" s="36">
        <v>0</v>
      </c>
      <c r="L58" s="36"/>
      <c r="M58" s="36">
        <v>0</v>
      </c>
      <c r="N58" s="36"/>
      <c r="O58" s="36">
        <v>7534.29</v>
      </c>
      <c r="P58" s="36"/>
      <c r="Q58" s="36">
        <v>22666.54</v>
      </c>
      <c r="R58" s="36"/>
      <c r="S58" s="36">
        <v>4777</v>
      </c>
      <c r="T58" s="36"/>
      <c r="U58" s="36">
        <v>0</v>
      </c>
      <c r="V58" s="36"/>
      <c r="W58" s="36">
        <v>0</v>
      </c>
      <c r="X58" s="36"/>
      <c r="Y58" s="36">
        <v>10506.23</v>
      </c>
      <c r="Z58" s="36"/>
      <c r="AA58" s="36">
        <v>0</v>
      </c>
      <c r="AB58" s="36"/>
      <c r="AC58" s="36">
        <v>0</v>
      </c>
      <c r="AD58" s="36"/>
      <c r="AE58" s="36">
        <f t="shared" si="21"/>
        <v>50355.84</v>
      </c>
      <c r="AF58" s="36"/>
      <c r="AG58" s="36">
        <v>2420.86</v>
      </c>
      <c r="AH58" s="36"/>
      <c r="AI58" s="36">
        <v>84337.4</v>
      </c>
      <c r="AJ58" s="36"/>
      <c r="AK58" s="36">
        <v>86758.26</v>
      </c>
      <c r="AL58" s="39">
        <f>+'Gov Rev'!AI58-'Gov Exp'!AE58+'Gov Exp'!AI58-'Gov Exp'!AK58</f>
        <v>0</v>
      </c>
      <c r="AM58" s="15" t="str">
        <f>'Gov Rev'!A58</f>
        <v>Belmore</v>
      </c>
      <c r="AN58" s="15" t="str">
        <f t="shared" si="7"/>
        <v>Belmore</v>
      </c>
      <c r="AO58" s="15" t="b">
        <f t="shared" si="8"/>
        <v>1</v>
      </c>
    </row>
    <row r="59" spans="1:41" s="24" customFormat="1" ht="12.75">
      <c r="A59" s="24" t="s">
        <v>143</v>
      </c>
      <c r="C59" s="24" t="s">
        <v>790</v>
      </c>
      <c r="D59" s="73"/>
      <c r="E59" s="36">
        <v>166072.74</v>
      </c>
      <c r="F59" s="36"/>
      <c r="G59" s="36">
        <v>2433.96</v>
      </c>
      <c r="H59" s="36"/>
      <c r="I59" s="36">
        <v>8398.23</v>
      </c>
      <c r="J59" s="36"/>
      <c r="K59" s="36">
        <v>5000</v>
      </c>
      <c r="L59" s="36"/>
      <c r="M59" s="36">
        <v>0</v>
      </c>
      <c r="N59" s="36"/>
      <c r="O59" s="36">
        <v>16791.85</v>
      </c>
      <c r="P59" s="36"/>
      <c r="Q59" s="36">
        <v>64175.81</v>
      </c>
      <c r="R59" s="36"/>
      <c r="S59" s="36">
        <v>0</v>
      </c>
      <c r="T59" s="36"/>
      <c r="U59" s="36">
        <v>12180</v>
      </c>
      <c r="V59" s="36"/>
      <c r="W59" s="36">
        <v>1800</v>
      </c>
      <c r="X59" s="36"/>
      <c r="Y59" s="36">
        <v>10000</v>
      </c>
      <c r="Z59" s="36"/>
      <c r="AA59" s="36">
        <v>0</v>
      </c>
      <c r="AB59" s="36"/>
      <c r="AC59" s="36">
        <v>0</v>
      </c>
      <c r="AD59" s="36"/>
      <c r="AE59" s="36">
        <f t="shared" si="21"/>
        <v>286852.58999999997</v>
      </c>
      <c r="AF59" s="36"/>
      <c r="AG59" s="36">
        <v>63748.47</v>
      </c>
      <c r="AH59" s="36"/>
      <c r="AI59" s="36">
        <v>483458.96</v>
      </c>
      <c r="AJ59" s="36"/>
      <c r="AK59" s="36">
        <v>547207.43</v>
      </c>
      <c r="AL59" s="39">
        <f>+'Gov Rev'!AI59-'Gov Exp'!AE59+'Gov Exp'!AI59-'Gov Exp'!AK59</f>
        <v>0</v>
      </c>
      <c r="AM59" s="15" t="str">
        <f>'Gov Rev'!A59</f>
        <v>Beloit</v>
      </c>
      <c r="AN59" s="15" t="str">
        <f t="shared" si="7"/>
        <v>Beloit</v>
      </c>
      <c r="AO59" s="15" t="b">
        <f t="shared" si="8"/>
        <v>1</v>
      </c>
    </row>
    <row r="60" spans="1:41" s="31" customFormat="1" ht="12.6" customHeight="1" hidden="1">
      <c r="A60" s="15" t="s">
        <v>315</v>
      </c>
      <c r="B60" s="15"/>
      <c r="C60" s="15" t="s">
        <v>316</v>
      </c>
      <c r="D60" s="1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>
        <f t="shared" si="0"/>
        <v>0</v>
      </c>
      <c r="AF60" s="24"/>
      <c r="AG60" s="24"/>
      <c r="AH60" s="24"/>
      <c r="AI60" s="24"/>
      <c r="AJ60" s="24"/>
      <c r="AK60" s="24"/>
      <c r="AL60" s="39">
        <f>+'Gov Rev'!AI60-'Gov Exp'!AE60+'Gov Exp'!AI60-'Gov Exp'!AK60</f>
        <v>0</v>
      </c>
      <c r="AM60" s="15" t="str">
        <f>'Gov Rev'!A60</f>
        <v>Bentleyville</v>
      </c>
      <c r="AN60" s="15" t="str">
        <f t="shared" si="7"/>
        <v>Bentleyville</v>
      </c>
      <c r="AO60" s="15" t="b">
        <f t="shared" si="8"/>
        <v>1</v>
      </c>
    </row>
    <row r="61" spans="1:41" ht="12.75" hidden="1">
      <c r="A61" s="15" t="s">
        <v>892</v>
      </c>
      <c r="C61" s="15" t="s">
        <v>388</v>
      </c>
      <c r="AE61" s="24">
        <f t="shared" si="0"/>
        <v>0</v>
      </c>
      <c r="AF61" s="24"/>
      <c r="AG61" s="24"/>
      <c r="AH61" s="24"/>
      <c r="AI61" s="24"/>
      <c r="AJ61" s="24"/>
      <c r="AK61" s="24"/>
      <c r="AL61" s="39">
        <f>+'Gov Rev'!AI61-'Gov Exp'!AE61+'Gov Exp'!AI61-'Gov Exp'!AK61</f>
        <v>0</v>
      </c>
      <c r="AM61" s="15" t="str">
        <f>'Gov Rev'!A61</f>
        <v>Benton Ridge</v>
      </c>
      <c r="AN61" s="15" t="str">
        <f t="shared" si="7"/>
        <v>Benton Ridge</v>
      </c>
      <c r="AO61" s="15" t="b">
        <f t="shared" si="8"/>
        <v>1</v>
      </c>
    </row>
    <row r="62" spans="1:41" ht="12.75">
      <c r="A62" s="15" t="s">
        <v>422</v>
      </c>
      <c r="C62" s="15" t="s">
        <v>420</v>
      </c>
      <c r="E62" s="95">
        <v>18989.78</v>
      </c>
      <c r="F62" s="95"/>
      <c r="G62" s="95">
        <v>0</v>
      </c>
      <c r="H62" s="95"/>
      <c r="I62" s="95">
        <v>1655.1</v>
      </c>
      <c r="J62" s="95"/>
      <c r="K62" s="95">
        <v>5240.97</v>
      </c>
      <c r="L62" s="95"/>
      <c r="M62" s="95">
        <v>4086.21</v>
      </c>
      <c r="N62" s="95"/>
      <c r="O62" s="95">
        <v>17462.94</v>
      </c>
      <c r="P62" s="95"/>
      <c r="Q62" s="95">
        <v>27665.48</v>
      </c>
      <c r="R62" s="95"/>
      <c r="S62" s="95">
        <v>0</v>
      </c>
      <c r="T62" s="95"/>
      <c r="U62" s="95">
        <v>0</v>
      </c>
      <c r="V62" s="95"/>
      <c r="W62" s="95">
        <v>0</v>
      </c>
      <c r="X62" s="95"/>
      <c r="Y62" s="95">
        <v>0</v>
      </c>
      <c r="Z62" s="95"/>
      <c r="AA62" s="95">
        <v>0</v>
      </c>
      <c r="AB62" s="95"/>
      <c r="AC62" s="95">
        <v>27370.67</v>
      </c>
      <c r="AD62" s="95"/>
      <c r="AE62" s="95">
        <f aca="true" t="shared" si="22" ref="AE62:AE63">SUM(E62:AC62)</f>
        <v>102471.15</v>
      </c>
      <c r="AF62" s="95"/>
      <c r="AG62" s="95">
        <v>-12382.11</v>
      </c>
      <c r="AH62" s="95"/>
      <c r="AI62" s="95">
        <v>132811.67</v>
      </c>
      <c r="AJ62" s="95"/>
      <c r="AK62" s="95">
        <v>120429.56</v>
      </c>
      <c r="AL62" s="39">
        <f>+'Gov Rev'!AI62-'Gov Exp'!AE62+'Gov Exp'!AI62-'Gov Exp'!AK62</f>
        <v>0</v>
      </c>
      <c r="AM62" s="15" t="str">
        <f>'Gov Rev'!A62</f>
        <v>Bergholz</v>
      </c>
      <c r="AN62" s="15" t="str">
        <f t="shared" si="7"/>
        <v>Bergholz</v>
      </c>
      <c r="AO62" s="15" t="b">
        <f t="shared" si="8"/>
        <v>1</v>
      </c>
    </row>
    <row r="63" spans="1:41" ht="12.75">
      <c r="A63" s="15" t="s">
        <v>139</v>
      </c>
      <c r="C63" s="15" t="s">
        <v>788</v>
      </c>
      <c r="D63" s="28"/>
      <c r="E63" s="95">
        <v>32576.01</v>
      </c>
      <c r="F63" s="95"/>
      <c r="G63" s="95">
        <v>3450</v>
      </c>
      <c r="H63" s="95"/>
      <c r="I63" s="95">
        <v>13292.19</v>
      </c>
      <c r="J63" s="95"/>
      <c r="K63" s="95">
        <v>0</v>
      </c>
      <c r="L63" s="95"/>
      <c r="M63" s="95">
        <v>0</v>
      </c>
      <c r="N63" s="95"/>
      <c r="O63" s="95">
        <v>40826.37</v>
      </c>
      <c r="P63" s="95"/>
      <c r="Q63" s="95">
        <v>37031.91</v>
      </c>
      <c r="R63" s="95"/>
      <c r="S63" s="95">
        <v>9216.89</v>
      </c>
      <c r="T63" s="95"/>
      <c r="U63" s="95">
        <v>0</v>
      </c>
      <c r="V63" s="95"/>
      <c r="W63" s="95">
        <v>0</v>
      </c>
      <c r="X63" s="95"/>
      <c r="Y63" s="95">
        <v>0</v>
      </c>
      <c r="Z63" s="95"/>
      <c r="AA63" s="95">
        <v>0</v>
      </c>
      <c r="AB63" s="95"/>
      <c r="AC63" s="95">
        <v>0</v>
      </c>
      <c r="AD63" s="95"/>
      <c r="AE63" s="95">
        <f t="shared" si="22"/>
        <v>136393.37</v>
      </c>
      <c r="AF63" s="95"/>
      <c r="AG63" s="95">
        <v>24697.88</v>
      </c>
      <c r="AH63" s="95"/>
      <c r="AI63" s="95">
        <v>87680.33</v>
      </c>
      <c r="AJ63" s="95"/>
      <c r="AK63" s="95">
        <v>112378.21</v>
      </c>
      <c r="AL63" s="39">
        <f>+'Gov Rev'!AI63-'Gov Exp'!AE63+'Gov Exp'!AI63-'Gov Exp'!AK63</f>
        <v>0</v>
      </c>
      <c r="AM63" s="15" t="str">
        <f>'Gov Rev'!A63</f>
        <v>Berkey</v>
      </c>
      <c r="AN63" s="15" t="str">
        <f t="shared" si="7"/>
        <v>Berkey</v>
      </c>
      <c r="AO63" s="15" t="b">
        <f t="shared" si="8"/>
        <v>1</v>
      </c>
    </row>
    <row r="64" spans="1:41" s="31" customFormat="1" ht="12.75">
      <c r="A64" s="15" t="s">
        <v>59</v>
      </c>
      <c r="B64" s="15"/>
      <c r="C64" s="15" t="s">
        <v>765</v>
      </c>
      <c r="D64" s="28"/>
      <c r="E64" s="36">
        <v>158864.9</v>
      </c>
      <c r="F64" s="36"/>
      <c r="G64" s="36">
        <v>11160</v>
      </c>
      <c r="H64" s="36"/>
      <c r="I64" s="36">
        <v>4820</v>
      </c>
      <c r="J64" s="36"/>
      <c r="K64" s="36">
        <v>217.41</v>
      </c>
      <c r="L64" s="36"/>
      <c r="M64" s="36">
        <v>364.52</v>
      </c>
      <c r="N64" s="36"/>
      <c r="O64" s="36">
        <v>125040.1</v>
      </c>
      <c r="P64" s="36"/>
      <c r="Q64" s="36">
        <v>77176.77</v>
      </c>
      <c r="R64" s="36"/>
      <c r="S64" s="36">
        <v>99962</v>
      </c>
      <c r="T64" s="36"/>
      <c r="U64" s="36">
        <v>0</v>
      </c>
      <c r="V64" s="36"/>
      <c r="W64" s="36">
        <v>0</v>
      </c>
      <c r="X64" s="36"/>
      <c r="Y64" s="36">
        <v>0</v>
      </c>
      <c r="Z64" s="36"/>
      <c r="AA64" s="36">
        <v>0</v>
      </c>
      <c r="AB64" s="36"/>
      <c r="AC64" s="36">
        <v>0</v>
      </c>
      <c r="AD64" s="36"/>
      <c r="AE64" s="36">
        <f aca="true" t="shared" si="23" ref="AE64:AE67">SUM(E64:AC64)</f>
        <v>477605.7</v>
      </c>
      <c r="AF64" s="36"/>
      <c r="AG64" s="36">
        <v>-96423.82</v>
      </c>
      <c r="AH64" s="36"/>
      <c r="AI64" s="36">
        <v>391024.06</v>
      </c>
      <c r="AJ64" s="36"/>
      <c r="AK64" s="36">
        <v>294600.24</v>
      </c>
      <c r="AL64" s="39">
        <f>+'Gov Rev'!AI64-'Gov Exp'!AE64+'Gov Exp'!AI64-'Gov Exp'!AK64</f>
        <v>0</v>
      </c>
      <c r="AM64" s="15" t="str">
        <f>'Gov Rev'!A64</f>
        <v>Berlin Heights</v>
      </c>
      <c r="AN64" s="15" t="str">
        <f t="shared" si="7"/>
        <v>Berlin Heights</v>
      </c>
      <c r="AO64" s="15" t="b">
        <f t="shared" si="8"/>
        <v>1</v>
      </c>
    </row>
    <row r="65" spans="1:41" ht="12.6" customHeight="1">
      <c r="A65" s="15" t="s">
        <v>296</v>
      </c>
      <c r="C65" s="15" t="s">
        <v>295</v>
      </c>
      <c r="E65" s="36">
        <v>308116.17</v>
      </c>
      <c r="F65" s="36"/>
      <c r="G65" s="36">
        <v>6421.37</v>
      </c>
      <c r="H65" s="36"/>
      <c r="I65" s="36">
        <v>10796.66</v>
      </c>
      <c r="J65" s="36"/>
      <c r="K65" s="36">
        <v>3155.18</v>
      </c>
      <c r="L65" s="36"/>
      <c r="M65" s="36">
        <v>0</v>
      </c>
      <c r="N65" s="36"/>
      <c r="O65" s="36">
        <v>211002.79</v>
      </c>
      <c r="P65" s="36"/>
      <c r="Q65" s="36">
        <v>120006.29</v>
      </c>
      <c r="R65" s="36"/>
      <c r="S65" s="36">
        <v>0</v>
      </c>
      <c r="T65" s="36"/>
      <c r="U65" s="36">
        <v>8614.45</v>
      </c>
      <c r="V65" s="36"/>
      <c r="W65" s="36">
        <v>0</v>
      </c>
      <c r="X65" s="36"/>
      <c r="Y65" s="36">
        <v>16362.01</v>
      </c>
      <c r="Z65" s="36"/>
      <c r="AA65" s="36">
        <v>0</v>
      </c>
      <c r="AB65" s="36"/>
      <c r="AC65" s="36">
        <v>232.6</v>
      </c>
      <c r="AD65" s="36"/>
      <c r="AE65" s="36">
        <f t="shared" si="23"/>
        <v>684707.5199999999</v>
      </c>
      <c r="AF65" s="36"/>
      <c r="AG65" s="36">
        <v>194147.33</v>
      </c>
      <c r="AH65" s="36"/>
      <c r="AI65" s="36">
        <v>94690.58</v>
      </c>
      <c r="AJ65" s="36"/>
      <c r="AK65" s="36">
        <v>288837.91</v>
      </c>
      <c r="AL65" s="39">
        <f>+'Gov Rev'!AI65-'Gov Exp'!AE65+'Gov Exp'!AI65-'Gov Exp'!AK65</f>
        <v>0</v>
      </c>
      <c r="AM65" s="15" t="str">
        <f>'Gov Rev'!A65</f>
        <v>Bethel</v>
      </c>
      <c r="AN65" s="15" t="str">
        <f t="shared" si="7"/>
        <v>Bethel</v>
      </c>
      <c r="AO65" s="15" t="b">
        <f t="shared" si="8"/>
        <v>1</v>
      </c>
    </row>
    <row r="66" spans="1:41" ht="12.75">
      <c r="A66" s="15" t="s">
        <v>15</v>
      </c>
      <c r="C66" s="15" t="s">
        <v>750</v>
      </c>
      <c r="D66" s="28"/>
      <c r="E66" s="36">
        <v>303725.84</v>
      </c>
      <c r="F66" s="36"/>
      <c r="G66" s="36">
        <v>423.36</v>
      </c>
      <c r="H66" s="36"/>
      <c r="I66" s="36">
        <v>0</v>
      </c>
      <c r="J66" s="36"/>
      <c r="K66" s="36">
        <v>0</v>
      </c>
      <c r="L66" s="36"/>
      <c r="M66" s="36">
        <v>2951.57</v>
      </c>
      <c r="N66" s="36"/>
      <c r="O66" s="36">
        <v>54004.8</v>
      </c>
      <c r="P66" s="36"/>
      <c r="Q66" s="36">
        <v>83166.69</v>
      </c>
      <c r="R66" s="36"/>
      <c r="S66" s="36">
        <v>0</v>
      </c>
      <c r="T66" s="36"/>
      <c r="U66" s="36">
        <v>5640</v>
      </c>
      <c r="V66" s="36"/>
      <c r="W66" s="36">
        <v>1664.61</v>
      </c>
      <c r="X66" s="36"/>
      <c r="Y66" s="36">
        <v>12850</v>
      </c>
      <c r="Z66" s="36"/>
      <c r="AA66" s="36">
        <v>16625</v>
      </c>
      <c r="AB66" s="36"/>
      <c r="AC66" s="36">
        <v>0</v>
      </c>
      <c r="AD66" s="36"/>
      <c r="AE66" s="36">
        <f t="shared" si="23"/>
        <v>481051.87</v>
      </c>
      <c r="AF66" s="36"/>
      <c r="AG66" s="36">
        <v>13386.44</v>
      </c>
      <c r="AH66" s="36"/>
      <c r="AI66" s="36">
        <v>361891.07</v>
      </c>
      <c r="AJ66" s="36"/>
      <c r="AK66" s="36">
        <v>375277.51</v>
      </c>
      <c r="AL66" s="39">
        <f>+'Gov Rev'!AI66-'Gov Exp'!AE66+'Gov Exp'!AI66-'Gov Exp'!AK66</f>
        <v>0</v>
      </c>
      <c r="AM66" s="15" t="str">
        <f>'Gov Rev'!A66</f>
        <v>Bethesda</v>
      </c>
      <c r="AN66" s="15" t="str">
        <f t="shared" si="7"/>
        <v>Bethesda</v>
      </c>
      <c r="AO66" s="15" t="b">
        <f t="shared" si="8"/>
        <v>1</v>
      </c>
    </row>
    <row r="67" spans="1:41" ht="12.75">
      <c r="A67" s="15" t="s">
        <v>533</v>
      </c>
      <c r="C67" s="15" t="s">
        <v>534</v>
      </c>
      <c r="E67" s="36">
        <v>103490.06</v>
      </c>
      <c r="F67" s="36"/>
      <c r="G67" s="36">
        <v>1463</v>
      </c>
      <c r="H67" s="36"/>
      <c r="I67" s="36">
        <v>80342.07</v>
      </c>
      <c r="J67" s="36"/>
      <c r="K67" s="36">
        <v>975</v>
      </c>
      <c r="L67" s="36"/>
      <c r="M67" s="36">
        <v>0</v>
      </c>
      <c r="N67" s="36"/>
      <c r="O67" s="36">
        <v>30895.74</v>
      </c>
      <c r="P67" s="36"/>
      <c r="Q67" s="36">
        <v>118153.39</v>
      </c>
      <c r="R67" s="36"/>
      <c r="S67" s="36">
        <v>105151.72</v>
      </c>
      <c r="T67" s="36"/>
      <c r="U67" s="36">
        <v>0</v>
      </c>
      <c r="V67" s="36"/>
      <c r="W67" s="36">
        <v>0</v>
      </c>
      <c r="X67" s="36"/>
      <c r="Y67" s="36">
        <v>8133</v>
      </c>
      <c r="Z67" s="36"/>
      <c r="AA67" s="36">
        <v>23734</v>
      </c>
      <c r="AB67" s="36"/>
      <c r="AC67" s="36">
        <v>7823.04</v>
      </c>
      <c r="AD67" s="36"/>
      <c r="AE67" s="36">
        <f t="shared" si="23"/>
        <v>480161.01999999996</v>
      </c>
      <c r="AF67" s="36"/>
      <c r="AG67" s="36">
        <v>31391.51</v>
      </c>
      <c r="AH67" s="36"/>
      <c r="AI67" s="36">
        <v>447923.25</v>
      </c>
      <c r="AJ67" s="36"/>
      <c r="AK67" s="36">
        <v>479314.76</v>
      </c>
      <c r="AL67" s="39">
        <f>+'Gov Rev'!AI67-'Gov Exp'!AE67+'Gov Exp'!AI67-'Gov Exp'!AK67</f>
        <v>0</v>
      </c>
      <c r="AM67" s="15" t="str">
        <f>'Gov Rev'!A67</f>
        <v>Bettsville</v>
      </c>
      <c r="AN67" s="15" t="str">
        <f t="shared" si="7"/>
        <v>Bettsville</v>
      </c>
      <c r="AO67" s="15" t="b">
        <f t="shared" si="8"/>
        <v>1</v>
      </c>
    </row>
    <row r="68" spans="1:41" ht="12.75">
      <c r="A68" s="15" t="s">
        <v>586</v>
      </c>
      <c r="C68" s="15" t="s">
        <v>587</v>
      </c>
      <c r="E68" s="95">
        <v>199487.15</v>
      </c>
      <c r="F68" s="95"/>
      <c r="G68" s="95">
        <v>17433.94</v>
      </c>
      <c r="H68" s="95"/>
      <c r="I68" s="95">
        <v>50794.93</v>
      </c>
      <c r="J68" s="95"/>
      <c r="K68" s="95">
        <v>4745</v>
      </c>
      <c r="L68" s="95"/>
      <c r="M68" s="95">
        <v>0</v>
      </c>
      <c r="N68" s="95"/>
      <c r="O68" s="95">
        <v>42112.09</v>
      </c>
      <c r="P68" s="95"/>
      <c r="Q68" s="95">
        <v>185436.85</v>
      </c>
      <c r="R68" s="95"/>
      <c r="S68" s="95">
        <v>0</v>
      </c>
      <c r="T68" s="95"/>
      <c r="U68" s="95">
        <v>123777.58</v>
      </c>
      <c r="V68" s="95"/>
      <c r="W68" s="95">
        <v>7016.32</v>
      </c>
      <c r="X68" s="95"/>
      <c r="Y68" s="95">
        <v>49862.65</v>
      </c>
      <c r="Z68" s="95"/>
      <c r="AA68" s="95">
        <v>20000</v>
      </c>
      <c r="AB68" s="95"/>
      <c r="AC68" s="95">
        <v>0</v>
      </c>
      <c r="AD68" s="95"/>
      <c r="AE68" s="95">
        <f aca="true" t="shared" si="24" ref="AE68:AE69">SUM(E68:AC68)</f>
        <v>700666.5099999999</v>
      </c>
      <c r="AF68" s="95"/>
      <c r="AG68" s="95">
        <v>2699.86</v>
      </c>
      <c r="AH68" s="95"/>
      <c r="AI68" s="95">
        <v>379745.91</v>
      </c>
      <c r="AJ68" s="95"/>
      <c r="AK68" s="95">
        <v>382445.77</v>
      </c>
      <c r="AL68" s="39">
        <f>+'Gov Rev'!AI68-'Gov Exp'!AE68+'Gov Exp'!AI68-'Gov Exp'!AK68</f>
        <v>0</v>
      </c>
      <c r="AM68" s="15" t="str">
        <f>'Gov Rev'!A68</f>
        <v>Beverly</v>
      </c>
      <c r="AN68" s="15" t="str">
        <f t="shared" si="7"/>
        <v>Beverly</v>
      </c>
      <c r="AO68" s="15" t="b">
        <f t="shared" si="8"/>
        <v>1</v>
      </c>
    </row>
    <row r="69" spans="1:41" ht="12.75">
      <c r="A69" s="15" t="s">
        <v>252</v>
      </c>
      <c r="C69" s="15" t="s">
        <v>824</v>
      </c>
      <c r="D69" s="28"/>
      <c r="E69" s="95">
        <v>10641.87</v>
      </c>
      <c r="F69" s="95"/>
      <c r="G69" s="95">
        <v>0</v>
      </c>
      <c r="H69" s="95"/>
      <c r="I69" s="95">
        <v>2726.2</v>
      </c>
      <c r="J69" s="95"/>
      <c r="K69" s="95">
        <v>0</v>
      </c>
      <c r="L69" s="95"/>
      <c r="M69" s="95">
        <v>2764.6</v>
      </c>
      <c r="N69" s="95"/>
      <c r="O69" s="95">
        <v>6766.39</v>
      </c>
      <c r="P69" s="95"/>
      <c r="Q69" s="95">
        <v>17335.16</v>
      </c>
      <c r="R69" s="95"/>
      <c r="S69" s="95">
        <v>0</v>
      </c>
      <c r="T69" s="95"/>
      <c r="U69" s="95">
        <v>0</v>
      </c>
      <c r="V69" s="95"/>
      <c r="W69" s="95">
        <v>0</v>
      </c>
      <c r="X69" s="95"/>
      <c r="Y69" s="95">
        <v>0</v>
      </c>
      <c r="Z69" s="95"/>
      <c r="AA69" s="95">
        <v>0</v>
      </c>
      <c r="AB69" s="95"/>
      <c r="AC69" s="95">
        <v>0</v>
      </c>
      <c r="AD69" s="95"/>
      <c r="AE69" s="95">
        <f t="shared" si="24"/>
        <v>40234.22</v>
      </c>
      <c r="AF69" s="95"/>
      <c r="AG69" s="95">
        <v>-14803.28</v>
      </c>
      <c r="AH69" s="95"/>
      <c r="AI69" s="95">
        <v>182462.21</v>
      </c>
      <c r="AJ69" s="95"/>
      <c r="AK69" s="95">
        <v>167658.93</v>
      </c>
      <c r="AL69" s="39">
        <f>+'Gov Rev'!AI69-'Gov Exp'!AE69+'Gov Exp'!AI69-'Gov Exp'!AK69</f>
        <v>0</v>
      </c>
      <c r="AM69" s="15" t="str">
        <f>'Gov Rev'!A69</f>
        <v>Blakeslee</v>
      </c>
      <c r="AN69" s="15" t="str">
        <f t="shared" si="7"/>
        <v>Blakeslee</v>
      </c>
      <c r="AO69" s="15" t="b">
        <f t="shared" si="8"/>
        <v>1</v>
      </c>
    </row>
    <row r="70" spans="1:41" ht="12.75" hidden="1">
      <c r="A70" s="15" t="s">
        <v>928</v>
      </c>
      <c r="C70" s="15" t="s">
        <v>299</v>
      </c>
      <c r="D70" s="28"/>
      <c r="AE70" s="24">
        <f t="shared" si="0"/>
        <v>0</v>
      </c>
      <c r="AF70" s="24"/>
      <c r="AG70" s="24"/>
      <c r="AH70" s="24"/>
      <c r="AI70" s="24"/>
      <c r="AJ70" s="24"/>
      <c r="AK70" s="24"/>
      <c r="AL70" s="39">
        <f>+'Gov Rev'!AI70-'Gov Exp'!AE70+'Gov Exp'!AI70-'Gov Exp'!AK70</f>
        <v>0</v>
      </c>
      <c r="AM70" s="15" t="str">
        <f>'Gov Rev'!A70</f>
        <v>Blanchester</v>
      </c>
      <c r="AN70" s="15" t="str">
        <f t="shared" si="7"/>
        <v>Blanchester</v>
      </c>
      <c r="AO70" s="15" t="b">
        <f t="shared" si="8"/>
        <v>1</v>
      </c>
    </row>
    <row r="71" spans="1:41" s="31" customFormat="1" ht="12.75">
      <c r="A71" s="15" t="s">
        <v>604</v>
      </c>
      <c r="B71" s="15"/>
      <c r="C71" s="15" t="s">
        <v>603</v>
      </c>
      <c r="D71" s="15"/>
      <c r="E71" s="24">
        <v>77935.19</v>
      </c>
      <c r="F71" s="24"/>
      <c r="G71" s="24">
        <v>362</v>
      </c>
      <c r="H71" s="24"/>
      <c r="I71" s="24">
        <v>22080.43</v>
      </c>
      <c r="J71" s="24"/>
      <c r="K71" s="24">
        <v>0</v>
      </c>
      <c r="L71" s="24"/>
      <c r="M71" s="24">
        <v>0</v>
      </c>
      <c r="N71" s="24"/>
      <c r="O71" s="24">
        <v>49421.72</v>
      </c>
      <c r="P71" s="24"/>
      <c r="Q71" s="24">
        <v>80995.53</v>
      </c>
      <c r="R71" s="24"/>
      <c r="S71" s="24">
        <v>78562.15</v>
      </c>
      <c r="T71" s="24"/>
      <c r="U71" s="24">
        <v>0</v>
      </c>
      <c r="V71" s="24"/>
      <c r="W71" s="24">
        <v>0</v>
      </c>
      <c r="X71" s="24"/>
      <c r="Y71" s="24">
        <v>0</v>
      </c>
      <c r="Z71" s="24"/>
      <c r="AA71" s="24">
        <v>41266.21</v>
      </c>
      <c r="AB71" s="24"/>
      <c r="AC71" s="24">
        <v>0</v>
      </c>
      <c r="AD71" s="24"/>
      <c r="AE71" s="24">
        <f t="shared" si="0"/>
        <v>350623.23000000004</v>
      </c>
      <c r="AF71" s="24"/>
      <c r="AG71" s="24">
        <v>-51351.72</v>
      </c>
      <c r="AH71" s="24"/>
      <c r="AI71" s="24">
        <v>155782.76</v>
      </c>
      <c r="AJ71" s="24"/>
      <c r="AK71" s="24">
        <v>104431.04</v>
      </c>
      <c r="AL71" s="39">
        <f>+'Gov Rev'!AI71-'Gov Exp'!AE71+'Gov Exp'!AI71-'Gov Exp'!AK71</f>
        <v>0</v>
      </c>
      <c r="AM71" s="15" t="str">
        <f>'Gov Rev'!A71</f>
        <v>Bloomdale</v>
      </c>
      <c r="AN71" s="15" t="str">
        <f t="shared" si="7"/>
        <v>Bloomdale</v>
      </c>
      <c r="AO71" s="15" t="b">
        <f t="shared" si="8"/>
        <v>1</v>
      </c>
    </row>
    <row r="72" spans="1:41" s="31" customFormat="1" ht="12.6" customHeight="1">
      <c r="A72" s="15" t="s">
        <v>68</v>
      </c>
      <c r="B72" s="15"/>
      <c r="C72" s="15" t="s">
        <v>767</v>
      </c>
      <c r="D72" s="28"/>
      <c r="E72" s="36">
        <v>92901.11</v>
      </c>
      <c r="F72" s="36"/>
      <c r="G72" s="36">
        <v>1968.51</v>
      </c>
      <c r="H72" s="36"/>
      <c r="I72" s="36">
        <v>875.12</v>
      </c>
      <c r="J72" s="36"/>
      <c r="K72" s="36">
        <v>0</v>
      </c>
      <c r="L72" s="36"/>
      <c r="M72" s="36">
        <v>12796.06</v>
      </c>
      <c r="N72" s="36"/>
      <c r="O72" s="36">
        <v>9499.64</v>
      </c>
      <c r="P72" s="36"/>
      <c r="Q72" s="36">
        <v>45005.64</v>
      </c>
      <c r="R72" s="36"/>
      <c r="S72" s="36">
        <v>0</v>
      </c>
      <c r="T72" s="36"/>
      <c r="U72" s="36">
        <v>0</v>
      </c>
      <c r="V72" s="36"/>
      <c r="W72" s="36">
        <v>0</v>
      </c>
      <c r="X72" s="36"/>
      <c r="Y72" s="36">
        <v>0</v>
      </c>
      <c r="Z72" s="36"/>
      <c r="AA72" s="36">
        <v>0</v>
      </c>
      <c r="AB72" s="36"/>
      <c r="AC72" s="36">
        <v>0</v>
      </c>
      <c r="AD72" s="36"/>
      <c r="AE72" s="36">
        <f aca="true" t="shared" si="25" ref="AE72">SUM(E72:AC72)</f>
        <v>163046.08</v>
      </c>
      <c r="AF72" s="36"/>
      <c r="AG72" s="36">
        <v>20775.15</v>
      </c>
      <c r="AH72" s="36"/>
      <c r="AI72" s="36">
        <v>119921.25</v>
      </c>
      <c r="AJ72" s="36"/>
      <c r="AK72" s="36">
        <v>140696.4</v>
      </c>
      <c r="AL72" s="39">
        <f>+'Gov Rev'!AI72-'Gov Exp'!AE72+'Gov Exp'!AI72-'Gov Exp'!AK72</f>
        <v>0</v>
      </c>
      <c r="AM72" s="15" t="str">
        <f>'Gov Rev'!A72</f>
        <v>Bloomingburg</v>
      </c>
      <c r="AN72" s="15" t="str">
        <f t="shared" si="7"/>
        <v>Bloomingburg</v>
      </c>
      <c r="AO72" s="15" t="b">
        <f t="shared" si="8"/>
        <v>1</v>
      </c>
    </row>
    <row r="73" spans="1:41" ht="12" customHeight="1">
      <c r="A73" s="15" t="s">
        <v>115</v>
      </c>
      <c r="C73" s="15" t="s">
        <v>781</v>
      </c>
      <c r="D73" s="28"/>
      <c r="E73" s="92">
        <v>9899.62</v>
      </c>
      <c r="F73" s="92"/>
      <c r="G73" s="92">
        <v>642.74</v>
      </c>
      <c r="H73" s="92"/>
      <c r="I73" s="92">
        <v>9496.58</v>
      </c>
      <c r="J73" s="92"/>
      <c r="K73" s="92">
        <v>0</v>
      </c>
      <c r="L73" s="92"/>
      <c r="M73" s="92">
        <v>600</v>
      </c>
      <c r="N73" s="92"/>
      <c r="O73" s="92">
        <v>17081.28</v>
      </c>
      <c r="P73" s="92"/>
      <c r="Q73" s="92">
        <v>5977.21</v>
      </c>
      <c r="R73" s="92"/>
      <c r="S73" s="92">
        <v>0</v>
      </c>
      <c r="T73" s="92"/>
      <c r="U73" s="92">
        <v>0</v>
      </c>
      <c r="V73" s="92"/>
      <c r="W73" s="92">
        <v>1200</v>
      </c>
      <c r="X73" s="92"/>
      <c r="Y73" s="92">
        <v>0</v>
      </c>
      <c r="Z73" s="92"/>
      <c r="AA73" s="92">
        <v>0</v>
      </c>
      <c r="AB73" s="92"/>
      <c r="AC73" s="92">
        <v>0</v>
      </c>
      <c r="AD73" s="92"/>
      <c r="AE73" s="92">
        <f aca="true" t="shared" si="26" ref="AE73">SUM(E73:AC73)</f>
        <v>44897.43</v>
      </c>
      <c r="AF73" s="95"/>
      <c r="AG73" s="95">
        <v>6007.99</v>
      </c>
      <c r="AH73" s="95"/>
      <c r="AI73" s="95">
        <v>35234.91</v>
      </c>
      <c r="AJ73" s="95"/>
      <c r="AK73" s="95">
        <v>41242.9</v>
      </c>
      <c r="AL73" s="39">
        <f>+'Gov Rev'!AI73-'Gov Exp'!AE73+'Gov Exp'!AI73-'Gov Exp'!AK73</f>
        <v>0</v>
      </c>
      <c r="AM73" s="15" t="str">
        <f>'Gov Rev'!A73</f>
        <v>Bloomingdale</v>
      </c>
      <c r="AN73" s="15" t="str">
        <f t="shared" si="7"/>
        <v>Bloomingdale</v>
      </c>
      <c r="AO73" s="15" t="b">
        <f t="shared" si="8"/>
        <v>1</v>
      </c>
    </row>
    <row r="74" spans="1:41" s="31" customFormat="1" ht="12.75">
      <c r="A74" s="15" t="s">
        <v>535</v>
      </c>
      <c r="B74" s="15"/>
      <c r="C74" s="15" t="s">
        <v>534</v>
      </c>
      <c r="D74" s="15"/>
      <c r="E74" s="92">
        <v>55825</v>
      </c>
      <c r="F74" s="92"/>
      <c r="G74" s="92">
        <v>1653</v>
      </c>
      <c r="H74" s="92"/>
      <c r="I74" s="92">
        <v>26440</v>
      </c>
      <c r="J74" s="92"/>
      <c r="K74" s="92">
        <v>0</v>
      </c>
      <c r="L74" s="92"/>
      <c r="M74" s="92">
        <v>7242</v>
      </c>
      <c r="N74" s="92"/>
      <c r="O74" s="92">
        <v>45765</v>
      </c>
      <c r="P74" s="92"/>
      <c r="Q74" s="92">
        <v>76211</v>
      </c>
      <c r="R74" s="92"/>
      <c r="S74" s="92">
        <v>0</v>
      </c>
      <c r="T74" s="92"/>
      <c r="U74" s="92">
        <v>0</v>
      </c>
      <c r="V74" s="92"/>
      <c r="W74" s="92">
        <v>0</v>
      </c>
      <c r="X74" s="92"/>
      <c r="Y74" s="92">
        <v>56283</v>
      </c>
      <c r="Z74" s="92"/>
      <c r="AA74" s="92">
        <v>0</v>
      </c>
      <c r="AB74" s="92"/>
      <c r="AC74" s="92">
        <v>0</v>
      </c>
      <c r="AD74" s="92"/>
      <c r="AE74" s="92">
        <f aca="true" t="shared" si="27" ref="AE74">SUM(E74:AC74)</f>
        <v>269419</v>
      </c>
      <c r="AF74" s="24"/>
      <c r="AG74" s="24">
        <v>7782</v>
      </c>
      <c r="AH74" s="24"/>
      <c r="AI74" s="24">
        <v>472275</v>
      </c>
      <c r="AJ74" s="24"/>
      <c r="AK74" s="24">
        <v>480057</v>
      </c>
      <c r="AL74" s="39">
        <f>+'Gov Rev'!AI72-'Gov Exp'!AE74+'Gov Exp'!AI74-'Gov Exp'!AK74</f>
        <v>-93379.77000000002</v>
      </c>
      <c r="AM74" s="15" t="str">
        <f>'Gov Rev'!A72</f>
        <v>Bloomingburg</v>
      </c>
      <c r="AN74" s="15" t="str">
        <f t="shared" si="7"/>
        <v>Bloomville</v>
      </c>
      <c r="AO74" s="15" t="b">
        <f t="shared" si="8"/>
        <v>0</v>
      </c>
    </row>
    <row r="75" spans="4:38" ht="12.75">
      <c r="D75" s="2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AE75" s="83" t="s">
        <v>864</v>
      </c>
      <c r="AF75" s="24"/>
      <c r="AG75" s="10"/>
      <c r="AH75" s="10"/>
      <c r="AI75" s="10"/>
      <c r="AJ75" s="10"/>
      <c r="AK75" s="10"/>
      <c r="AL75" s="39"/>
    </row>
    <row r="76" spans="1:41" s="31" customFormat="1" ht="12.6" customHeight="1">
      <c r="A76" s="15" t="s">
        <v>685</v>
      </c>
      <c r="B76" s="15"/>
      <c r="C76" s="15" t="s">
        <v>686</v>
      </c>
      <c r="D76" s="15"/>
      <c r="E76" s="94">
        <v>765377</v>
      </c>
      <c r="F76" s="94"/>
      <c r="G76" s="94">
        <v>42861</v>
      </c>
      <c r="H76" s="94"/>
      <c r="I76" s="94">
        <v>104184</v>
      </c>
      <c r="J76" s="94"/>
      <c r="K76" s="94">
        <v>0</v>
      </c>
      <c r="L76" s="94"/>
      <c r="M76" s="94">
        <v>10750</v>
      </c>
      <c r="N76" s="94"/>
      <c r="O76" s="94">
        <v>320427</v>
      </c>
      <c r="P76" s="94"/>
      <c r="Q76" s="94">
        <v>509143</v>
      </c>
      <c r="R76" s="94"/>
      <c r="S76" s="94">
        <v>424298</v>
      </c>
      <c r="T76" s="94"/>
      <c r="U76" s="94">
        <v>320567</v>
      </c>
      <c r="V76" s="94"/>
      <c r="W76" s="94">
        <v>13943</v>
      </c>
      <c r="X76" s="94"/>
      <c r="Y76" s="94">
        <v>1049750</v>
      </c>
      <c r="Z76" s="94"/>
      <c r="AA76" s="94">
        <v>0</v>
      </c>
      <c r="AB76" s="94"/>
      <c r="AC76" s="94">
        <v>0</v>
      </c>
      <c r="AD76" s="94"/>
      <c r="AE76" s="94">
        <f aca="true" t="shared" si="28" ref="AE76:AE135">SUM(E76:AC76)</f>
        <v>3561300</v>
      </c>
      <c r="AF76" s="24"/>
      <c r="AG76" s="24">
        <v>-536065</v>
      </c>
      <c r="AH76" s="24"/>
      <c r="AI76" s="24">
        <v>2875886</v>
      </c>
      <c r="AJ76" s="24"/>
      <c r="AK76" s="24">
        <v>2339821</v>
      </c>
      <c r="AL76" s="39">
        <f>+'Gov Rev'!AI75-'Gov Exp'!AE76+'Gov Exp'!AI76-'Gov Exp'!AK76</f>
        <v>-2</v>
      </c>
      <c r="AM76" s="15" t="str">
        <f>'Gov Rev'!A75</f>
        <v>Bluffton</v>
      </c>
      <c r="AN76" s="15" t="str">
        <f t="shared" si="7"/>
        <v>Bluffton</v>
      </c>
      <c r="AO76" s="15" t="b">
        <f t="shared" si="8"/>
        <v>1</v>
      </c>
    </row>
    <row r="77" spans="1:41" s="31" customFormat="1" ht="12.75">
      <c r="A77" s="15" t="s">
        <v>564</v>
      </c>
      <c r="B77" s="15"/>
      <c r="C77" s="15" t="s">
        <v>562</v>
      </c>
      <c r="D77" s="15"/>
      <c r="E77" s="24">
        <v>180128</v>
      </c>
      <c r="F77" s="24"/>
      <c r="G77" s="24">
        <v>174</v>
      </c>
      <c r="H77" s="24"/>
      <c r="I77" s="24">
        <v>62395</v>
      </c>
      <c r="J77" s="24"/>
      <c r="K77" s="24">
        <v>3289</v>
      </c>
      <c r="L77" s="24"/>
      <c r="M77" s="24">
        <v>38366</v>
      </c>
      <c r="N77" s="24"/>
      <c r="O77" s="24">
        <v>5361</v>
      </c>
      <c r="P77" s="24"/>
      <c r="Q77" s="24">
        <v>162488</v>
      </c>
      <c r="R77" s="24"/>
      <c r="S77" s="24">
        <v>0</v>
      </c>
      <c r="T77" s="24"/>
      <c r="U77" s="24">
        <v>0</v>
      </c>
      <c r="V77" s="24"/>
      <c r="W77" s="24">
        <v>0</v>
      </c>
      <c r="X77" s="24"/>
      <c r="Y77" s="24">
        <v>128416</v>
      </c>
      <c r="Z77" s="24"/>
      <c r="AA77" s="24">
        <v>0</v>
      </c>
      <c r="AB77" s="24"/>
      <c r="AC77" s="24">
        <v>84916</v>
      </c>
      <c r="AD77" s="24"/>
      <c r="AE77" s="24">
        <f t="shared" si="28"/>
        <v>665533</v>
      </c>
      <c r="AF77" s="24"/>
      <c r="AG77" s="24">
        <v>-25489</v>
      </c>
      <c r="AH77" s="24"/>
      <c r="AI77" s="24">
        <v>500518</v>
      </c>
      <c r="AJ77" s="24"/>
      <c r="AK77" s="24">
        <v>475029</v>
      </c>
      <c r="AL77" s="39">
        <f>+'Gov Rev'!AI76-'Gov Exp'!AE77+'Gov Exp'!AI77-'Gov Exp'!AK77</f>
        <v>0</v>
      </c>
      <c r="AM77" s="15" t="str">
        <f>'Gov Rev'!A76</f>
        <v>Bolivar</v>
      </c>
      <c r="AN77" s="15" t="str">
        <f t="shared" si="7"/>
        <v>Bolivar</v>
      </c>
      <c r="AO77" s="15" t="b">
        <f t="shared" si="8"/>
        <v>1</v>
      </c>
    </row>
    <row r="78" spans="1:41" s="31" customFormat="1" ht="12.75">
      <c r="A78" s="15" t="s">
        <v>550</v>
      </c>
      <c r="B78" s="15"/>
      <c r="C78" s="15" t="s">
        <v>551</v>
      </c>
      <c r="D78" s="15"/>
      <c r="E78" s="24">
        <v>921221.39</v>
      </c>
      <c r="F78" s="24"/>
      <c r="G78" s="24">
        <v>24202.74</v>
      </c>
      <c r="H78" s="24"/>
      <c r="I78" s="24">
        <v>35736.53</v>
      </c>
      <c r="J78" s="24"/>
      <c r="K78" s="24">
        <v>33254.99</v>
      </c>
      <c r="L78" s="24"/>
      <c r="M78" s="24">
        <v>8350.04</v>
      </c>
      <c r="N78" s="24"/>
      <c r="O78" s="24">
        <v>372414.58</v>
      </c>
      <c r="P78" s="24"/>
      <c r="Q78" s="24">
        <v>466300.77</v>
      </c>
      <c r="R78" s="24"/>
      <c r="S78" s="24">
        <v>270164.05</v>
      </c>
      <c r="T78" s="24"/>
      <c r="U78" s="24">
        <v>0</v>
      </c>
      <c r="V78" s="24"/>
      <c r="W78" s="24">
        <v>0</v>
      </c>
      <c r="X78" s="24"/>
      <c r="Y78" s="24">
        <v>15000</v>
      </c>
      <c r="Z78" s="24"/>
      <c r="AA78" s="24">
        <v>0</v>
      </c>
      <c r="AB78" s="24"/>
      <c r="AC78" s="24">
        <v>29005</v>
      </c>
      <c r="AD78" s="24"/>
      <c r="AE78" s="24">
        <f t="shared" si="28"/>
        <v>2175650.09</v>
      </c>
      <c r="AF78" s="24"/>
      <c r="AG78" s="24">
        <v>-121524.48</v>
      </c>
      <c r="AH78" s="24"/>
      <c r="AI78" s="24">
        <v>1745088.91</v>
      </c>
      <c r="AJ78" s="24"/>
      <c r="AK78" s="24">
        <v>1623564.43</v>
      </c>
      <c r="AL78" s="39">
        <f>+'Gov Rev'!AI77-'Gov Exp'!AE78+'Gov Exp'!AI78-'Gov Exp'!AK78</f>
        <v>-0.4999999995343387</v>
      </c>
      <c r="AM78" s="15" t="str">
        <f>'Gov Rev'!A77</f>
        <v>Boston Heights</v>
      </c>
      <c r="AN78" s="15" t="str">
        <f t="shared" si="7"/>
        <v>Boston Heights</v>
      </c>
      <c r="AO78" s="15" t="b">
        <f t="shared" si="8"/>
        <v>1</v>
      </c>
    </row>
    <row r="79" spans="1:41" s="29" customFormat="1" ht="12.75">
      <c r="A79" s="24" t="s">
        <v>537</v>
      </c>
      <c r="B79" s="24"/>
      <c r="C79" s="24" t="s">
        <v>538</v>
      </c>
      <c r="D79" s="24"/>
      <c r="E79" s="24">
        <v>209913</v>
      </c>
      <c r="F79" s="24"/>
      <c r="G79" s="24">
        <v>5797</v>
      </c>
      <c r="H79" s="24"/>
      <c r="I79" s="24">
        <v>37151</v>
      </c>
      <c r="J79" s="24"/>
      <c r="K79" s="24">
        <v>748</v>
      </c>
      <c r="L79" s="24"/>
      <c r="M79" s="24">
        <v>0</v>
      </c>
      <c r="N79" s="24"/>
      <c r="O79" s="24">
        <v>70008</v>
      </c>
      <c r="P79" s="24"/>
      <c r="Q79" s="24">
        <v>286538</v>
      </c>
      <c r="R79" s="24"/>
      <c r="S79" s="24">
        <v>396833</v>
      </c>
      <c r="T79" s="24"/>
      <c r="U79" s="24">
        <v>0</v>
      </c>
      <c r="V79" s="24"/>
      <c r="W79" s="24">
        <v>0</v>
      </c>
      <c r="X79" s="24"/>
      <c r="Y79" s="24">
        <v>99</v>
      </c>
      <c r="Z79" s="24"/>
      <c r="AA79" s="24">
        <v>0</v>
      </c>
      <c r="AB79" s="24"/>
      <c r="AC79" s="24">
        <v>9511</v>
      </c>
      <c r="AD79" s="24"/>
      <c r="AE79" s="24">
        <f t="shared" si="28"/>
        <v>1016598</v>
      </c>
      <c r="AF79" s="24"/>
      <c r="AG79" s="24">
        <v>56190</v>
      </c>
      <c r="AH79" s="24"/>
      <c r="AI79" s="24">
        <v>715437</v>
      </c>
      <c r="AJ79" s="24"/>
      <c r="AK79" s="24">
        <v>771627</v>
      </c>
      <c r="AL79" s="39">
        <f>+'Gov Rev'!AI78-'Gov Exp'!AE79+'Gov Exp'!AI79-'Gov Exp'!AK79</f>
        <v>0</v>
      </c>
      <c r="AM79" s="15" t="str">
        <f>'Gov Rev'!A78</f>
        <v>Botkins</v>
      </c>
      <c r="AN79" s="15" t="str">
        <f t="shared" si="7"/>
        <v>Botkins</v>
      </c>
      <c r="AO79" s="15" t="b">
        <f t="shared" si="8"/>
        <v>1</v>
      </c>
    </row>
    <row r="80" spans="1:41" s="31" customFormat="1" ht="12.75">
      <c r="A80" s="15" t="s">
        <v>402</v>
      </c>
      <c r="B80" s="15"/>
      <c r="C80" s="15" t="s">
        <v>403</v>
      </c>
      <c r="D80" s="15"/>
      <c r="E80" s="36">
        <v>13590.34</v>
      </c>
      <c r="F80" s="36"/>
      <c r="G80" s="36">
        <v>0</v>
      </c>
      <c r="H80" s="36"/>
      <c r="I80" s="36">
        <v>4160.31</v>
      </c>
      <c r="J80" s="36"/>
      <c r="K80" s="36">
        <v>325</v>
      </c>
      <c r="L80" s="36"/>
      <c r="M80" s="36">
        <v>4864.93</v>
      </c>
      <c r="N80" s="36"/>
      <c r="O80" s="36">
        <v>9941.2</v>
      </c>
      <c r="P80" s="36"/>
      <c r="Q80" s="36">
        <v>74860.7</v>
      </c>
      <c r="R80" s="36"/>
      <c r="S80" s="36">
        <v>3357.23</v>
      </c>
      <c r="T80" s="36"/>
      <c r="U80" s="36">
        <v>5000</v>
      </c>
      <c r="V80" s="36"/>
      <c r="W80" s="36">
        <v>0</v>
      </c>
      <c r="X80" s="36"/>
      <c r="Y80" s="36">
        <v>0</v>
      </c>
      <c r="Z80" s="36"/>
      <c r="AA80" s="36">
        <v>0</v>
      </c>
      <c r="AB80" s="36"/>
      <c r="AC80" s="36">
        <v>10384.45</v>
      </c>
      <c r="AD80" s="36"/>
      <c r="AE80" s="36">
        <f aca="true" t="shared" si="29" ref="AE80:AE81">SUM(E80:AC80)</f>
        <v>126484.15999999999</v>
      </c>
      <c r="AF80" s="36"/>
      <c r="AG80" s="36">
        <v>-10857.93</v>
      </c>
      <c r="AH80" s="36"/>
      <c r="AI80" s="36">
        <v>181115.75</v>
      </c>
      <c r="AJ80" s="36"/>
      <c r="AK80" s="36">
        <v>170257.82</v>
      </c>
      <c r="AL80" s="39">
        <f>+'Gov Rev'!AI79-'Gov Exp'!AE80+'Gov Exp'!AI80-'Gov Exp'!AK80</f>
        <v>0</v>
      </c>
      <c r="AM80" s="15" t="str">
        <f>'Gov Rev'!A79</f>
        <v>Bowerston</v>
      </c>
      <c r="AN80" s="15" t="str">
        <f t="shared" si="7"/>
        <v>Bowerston</v>
      </c>
      <c r="AO80" s="15" t="b">
        <f t="shared" si="8"/>
        <v>1</v>
      </c>
    </row>
    <row r="81" spans="1:41" ht="12.75">
      <c r="A81" s="15" t="s">
        <v>83</v>
      </c>
      <c r="C81" s="15" t="s">
        <v>771</v>
      </c>
      <c r="D81" s="28"/>
      <c r="E81" s="36">
        <v>4762.3</v>
      </c>
      <c r="F81" s="36"/>
      <c r="G81" s="36">
        <v>0</v>
      </c>
      <c r="H81" s="36"/>
      <c r="I81" s="36">
        <v>1000</v>
      </c>
      <c r="J81" s="36"/>
      <c r="K81" s="36">
        <v>0</v>
      </c>
      <c r="L81" s="36"/>
      <c r="M81" s="36">
        <v>0</v>
      </c>
      <c r="N81" s="36"/>
      <c r="O81" s="36">
        <v>17618.02</v>
      </c>
      <c r="P81" s="36"/>
      <c r="Q81" s="36">
        <v>29670.68</v>
      </c>
      <c r="R81" s="36"/>
      <c r="S81" s="36">
        <v>0</v>
      </c>
      <c r="T81" s="36"/>
      <c r="U81" s="36">
        <v>0</v>
      </c>
      <c r="V81" s="36"/>
      <c r="W81" s="36">
        <v>0</v>
      </c>
      <c r="X81" s="36"/>
      <c r="Y81" s="36">
        <v>0</v>
      </c>
      <c r="Z81" s="36"/>
      <c r="AA81" s="36">
        <v>0</v>
      </c>
      <c r="AB81" s="36"/>
      <c r="AC81" s="36">
        <v>0</v>
      </c>
      <c r="AD81" s="36"/>
      <c r="AE81" s="36">
        <f t="shared" si="29"/>
        <v>53051</v>
      </c>
      <c r="AF81" s="36"/>
      <c r="AG81" s="36">
        <v>7217.38</v>
      </c>
      <c r="AH81" s="36"/>
      <c r="AI81" s="36">
        <v>79272.03</v>
      </c>
      <c r="AJ81" s="36"/>
      <c r="AK81" s="36">
        <v>86489.41</v>
      </c>
      <c r="AL81" s="39">
        <f>+'Gov Rev'!AI80-'Gov Exp'!AE81+'Gov Exp'!AI81-'Gov Exp'!AK81</f>
        <v>0</v>
      </c>
      <c r="AM81" s="15" t="str">
        <f>'Gov Rev'!A80</f>
        <v>Bowersville</v>
      </c>
      <c r="AN81" s="15" t="str">
        <f t="shared" si="7"/>
        <v>Bowersville</v>
      </c>
      <c r="AO81" s="15" t="b">
        <f t="shared" si="8"/>
        <v>1</v>
      </c>
    </row>
    <row r="82" spans="1:41" s="31" customFormat="1" ht="12.75">
      <c r="A82" s="15" t="s">
        <v>469</v>
      </c>
      <c r="B82" s="15"/>
      <c r="C82" s="15" t="s">
        <v>919</v>
      </c>
      <c r="D82" s="15"/>
      <c r="E82" s="24">
        <f>137664.56+76142.74</f>
        <v>213807.3</v>
      </c>
      <c r="F82" s="24"/>
      <c r="G82" s="24">
        <v>0</v>
      </c>
      <c r="H82" s="24"/>
      <c r="I82" s="24">
        <v>10243.01</v>
      </c>
      <c r="J82" s="24"/>
      <c r="K82" s="24">
        <v>0</v>
      </c>
      <c r="L82" s="24"/>
      <c r="M82" s="24">
        <v>0</v>
      </c>
      <c r="N82" s="24"/>
      <c r="O82" s="24">
        <v>219057.99</v>
      </c>
      <c r="P82" s="24"/>
      <c r="Q82" s="24">
        <v>153906.56</v>
      </c>
      <c r="R82" s="24"/>
      <c r="S82" s="24">
        <v>0</v>
      </c>
      <c r="T82" s="24"/>
      <c r="U82" s="24">
        <v>38162.46</v>
      </c>
      <c r="V82" s="24"/>
      <c r="W82" s="24">
        <v>0</v>
      </c>
      <c r="X82" s="24"/>
      <c r="Y82" s="24">
        <v>0</v>
      </c>
      <c r="Z82" s="24"/>
      <c r="AA82" s="24">
        <v>0</v>
      </c>
      <c r="AB82" s="24"/>
      <c r="AC82" s="24">
        <v>0</v>
      </c>
      <c r="AD82" s="24"/>
      <c r="AE82" s="24">
        <f t="shared" si="28"/>
        <v>635177.32</v>
      </c>
      <c r="AF82" s="24"/>
      <c r="AG82" s="24">
        <v>-20698.34</v>
      </c>
      <c r="AH82" s="24"/>
      <c r="AI82" s="24">
        <f>152267.98+111781.47</f>
        <v>264049.45</v>
      </c>
      <c r="AJ82" s="24"/>
      <c r="AK82" s="24">
        <f>131569.64+105080.4</f>
        <v>236650.04</v>
      </c>
      <c r="AL82" s="39">
        <f>+'Gov Rev'!AI81-'Gov Exp'!AE82+'Gov Exp'!AI82-'Gov Exp'!AK82</f>
        <v>0</v>
      </c>
      <c r="AM82" s="15" t="str">
        <f>'Gov Rev'!A81</f>
        <v>Bradford</v>
      </c>
      <c r="AN82" s="15" t="str">
        <f t="shared" si="7"/>
        <v>Bradford</v>
      </c>
      <c r="AO82" s="15" t="b">
        <f t="shared" si="8"/>
        <v>1</v>
      </c>
    </row>
    <row r="83" spans="1:41" s="31" customFormat="1" ht="12.75" hidden="1">
      <c r="A83" s="15" t="s">
        <v>605</v>
      </c>
      <c r="B83" s="15"/>
      <c r="C83" s="15" t="s">
        <v>603</v>
      </c>
      <c r="D83" s="1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>
        <f t="shared" si="28"/>
        <v>0</v>
      </c>
      <c r="AF83" s="24"/>
      <c r="AG83" s="24"/>
      <c r="AH83" s="24"/>
      <c r="AI83" s="24"/>
      <c r="AJ83" s="24"/>
      <c r="AK83" s="24"/>
      <c r="AL83" s="39">
        <f>+'Gov Rev'!AI82-'Gov Exp'!AE83+'Gov Exp'!AI83-'Gov Exp'!AK83</f>
        <v>0</v>
      </c>
      <c r="AM83" s="15" t="str">
        <f>'Gov Rev'!A82</f>
        <v>Bradner</v>
      </c>
      <c r="AN83" s="15" t="str">
        <f t="shared" si="7"/>
        <v>Bradner</v>
      </c>
      <c r="AO83" s="15" t="b">
        <f t="shared" si="8"/>
        <v>1</v>
      </c>
    </row>
    <row r="84" spans="1:41" ht="12.6" customHeight="1" hidden="1">
      <c r="A84" s="15" t="s">
        <v>895</v>
      </c>
      <c r="C84" s="15" t="s">
        <v>259</v>
      </c>
      <c r="AE84" s="24">
        <f t="shared" si="28"/>
        <v>0</v>
      </c>
      <c r="AF84" s="24"/>
      <c r="AG84" s="24"/>
      <c r="AH84" s="24"/>
      <c r="AI84" s="24"/>
      <c r="AJ84" s="24"/>
      <c r="AK84" s="24"/>
      <c r="AL84" s="39">
        <f>+'Gov Rev'!AI83-'Gov Exp'!AE84+'Gov Exp'!AI84-'Gov Exp'!AK84</f>
        <v>0</v>
      </c>
      <c r="AM84" s="15" t="str">
        <f>'Gov Rev'!A83</f>
        <v>Brady Lake</v>
      </c>
      <c r="AN84" s="15" t="str">
        <f t="shared" si="7"/>
        <v>Brady Lake</v>
      </c>
      <c r="AO84" s="15" t="b">
        <f t="shared" si="8"/>
        <v>1</v>
      </c>
    </row>
    <row r="85" spans="1:41" ht="12.6" customHeight="1">
      <c r="A85" s="15" t="s">
        <v>317</v>
      </c>
      <c r="C85" s="15" t="s">
        <v>316</v>
      </c>
      <c r="E85" s="36">
        <v>1689748.56</v>
      </c>
      <c r="F85" s="36"/>
      <c r="G85" s="36">
        <v>6795.28</v>
      </c>
      <c r="H85" s="36"/>
      <c r="I85" s="36">
        <v>83915.62</v>
      </c>
      <c r="J85" s="36"/>
      <c r="K85" s="36">
        <v>90042.85</v>
      </c>
      <c r="L85" s="36"/>
      <c r="M85" s="36">
        <v>0</v>
      </c>
      <c r="N85" s="36"/>
      <c r="O85" s="36">
        <v>440619.53</v>
      </c>
      <c r="P85" s="36"/>
      <c r="Q85" s="36">
        <v>803745.76</v>
      </c>
      <c r="R85" s="36"/>
      <c r="S85" s="36">
        <v>79300.88</v>
      </c>
      <c r="T85" s="36"/>
      <c r="U85" s="36">
        <v>1007137.58</v>
      </c>
      <c r="V85" s="36"/>
      <c r="W85" s="36">
        <v>46922.89</v>
      </c>
      <c r="X85" s="36"/>
      <c r="Y85" s="36">
        <v>151333.18</v>
      </c>
      <c r="Z85" s="36"/>
      <c r="AA85" s="36">
        <v>0</v>
      </c>
      <c r="AB85" s="36"/>
      <c r="AC85" s="36">
        <v>100</v>
      </c>
      <c r="AD85" s="36"/>
      <c r="AE85" s="36">
        <f aca="true" t="shared" si="30" ref="AE85:AE86">SUM(E85:AC85)</f>
        <v>4399662.129999999</v>
      </c>
      <c r="AF85" s="36"/>
      <c r="AG85" s="36">
        <v>51390.85</v>
      </c>
      <c r="AH85" s="36"/>
      <c r="AI85" s="36">
        <v>1014952.82</v>
      </c>
      <c r="AJ85" s="36"/>
      <c r="AK85" s="36">
        <v>1066343.67</v>
      </c>
      <c r="AL85" s="39">
        <f>+'Gov Rev'!AI84-'Gov Exp'!AE85+'Gov Exp'!AI85-'Gov Exp'!AK85</f>
        <v>0</v>
      </c>
      <c r="AM85" s="15" t="str">
        <f>'Gov Rev'!A84</f>
        <v>Bratenahl</v>
      </c>
      <c r="AN85" s="15" t="str">
        <f t="shared" si="7"/>
        <v>Bratenahl</v>
      </c>
      <c r="AO85" s="15" t="b">
        <f t="shared" si="8"/>
        <v>1</v>
      </c>
    </row>
    <row r="86" spans="1:41" ht="12.6" customHeight="1">
      <c r="A86" s="15" t="s">
        <v>61</v>
      </c>
      <c r="C86" s="15" t="s">
        <v>766</v>
      </c>
      <c r="D86" s="28"/>
      <c r="E86" s="36">
        <v>94053.66</v>
      </c>
      <c r="F86" s="36"/>
      <c r="G86" s="36">
        <v>0</v>
      </c>
      <c r="H86" s="36"/>
      <c r="I86" s="36">
        <v>35850.64</v>
      </c>
      <c r="J86" s="36"/>
      <c r="K86" s="36">
        <v>517.21</v>
      </c>
      <c r="L86" s="36"/>
      <c r="M86" s="36">
        <v>0</v>
      </c>
      <c r="N86" s="36"/>
      <c r="O86" s="36">
        <v>202944.67</v>
      </c>
      <c r="P86" s="36"/>
      <c r="Q86" s="36">
        <v>126720.13</v>
      </c>
      <c r="R86" s="36"/>
      <c r="S86" s="36">
        <v>0</v>
      </c>
      <c r="T86" s="36"/>
      <c r="U86" s="36">
        <v>99155.06</v>
      </c>
      <c r="V86" s="36"/>
      <c r="W86" s="36">
        <v>2580.17</v>
      </c>
      <c r="X86" s="36"/>
      <c r="Y86" s="36">
        <v>98500</v>
      </c>
      <c r="Z86" s="36"/>
      <c r="AA86" s="36">
        <v>0</v>
      </c>
      <c r="AB86" s="36"/>
      <c r="AC86" s="36">
        <v>33.81</v>
      </c>
      <c r="AD86" s="36"/>
      <c r="AE86" s="36">
        <f t="shared" si="30"/>
        <v>660355.3500000002</v>
      </c>
      <c r="AF86" s="36"/>
      <c r="AG86" s="36">
        <v>-77050.95</v>
      </c>
      <c r="AH86" s="36"/>
      <c r="AI86" s="36">
        <v>327071.57</v>
      </c>
      <c r="AJ86" s="36"/>
      <c r="AK86" s="36">
        <v>250020.62</v>
      </c>
      <c r="AL86" s="39">
        <f>+'Gov Rev'!AI85-'Gov Exp'!AE86+'Gov Exp'!AI86-'Gov Exp'!AK86</f>
        <v>0</v>
      </c>
      <c r="AM86" s="15" t="str">
        <f>'Gov Rev'!A85</f>
        <v>Bremen</v>
      </c>
      <c r="AN86" s="15" t="str">
        <f aca="true" t="shared" si="31" ref="AN86:AN151">A86</f>
        <v>Bremen</v>
      </c>
      <c r="AO86" s="15" t="b">
        <f aca="true" t="shared" si="32" ref="AO86:AO151">AM86=AN86</f>
        <v>1</v>
      </c>
    </row>
    <row r="87" spans="1:41" s="31" customFormat="1" ht="12.75">
      <c r="A87" s="15" t="s">
        <v>543</v>
      </c>
      <c r="B87" s="15"/>
      <c r="C87" s="15" t="s">
        <v>542</v>
      </c>
      <c r="D87" s="15"/>
      <c r="E87" s="24">
        <v>680784.88</v>
      </c>
      <c r="F87" s="24"/>
      <c r="G87" s="24">
        <v>8328</v>
      </c>
      <c r="H87" s="24"/>
      <c r="I87" s="24">
        <v>17793.12</v>
      </c>
      <c r="J87" s="24"/>
      <c r="K87" s="24">
        <v>3729.62</v>
      </c>
      <c r="L87" s="24"/>
      <c r="M87" s="24">
        <v>6390</v>
      </c>
      <c r="N87" s="24"/>
      <c r="O87" s="24">
        <v>220046.04</v>
      </c>
      <c r="P87" s="24"/>
      <c r="Q87" s="24">
        <v>178588.82</v>
      </c>
      <c r="R87" s="24"/>
      <c r="S87" s="24">
        <v>142861.13</v>
      </c>
      <c r="T87" s="24"/>
      <c r="U87" s="24">
        <v>18354.26</v>
      </c>
      <c r="V87" s="24"/>
      <c r="W87" s="24">
        <v>6466.5</v>
      </c>
      <c r="X87" s="24"/>
      <c r="Y87" s="24">
        <v>586572.43</v>
      </c>
      <c r="Z87" s="24"/>
      <c r="AA87" s="24">
        <v>0</v>
      </c>
      <c r="AB87" s="24"/>
      <c r="AC87" s="24">
        <v>14411.04</v>
      </c>
      <c r="AD87" s="24"/>
      <c r="AE87" s="24">
        <f t="shared" si="28"/>
        <v>1884325.8399999999</v>
      </c>
      <c r="AF87" s="24"/>
      <c r="AG87" s="24">
        <v>225036.39</v>
      </c>
      <c r="AH87" s="24"/>
      <c r="AI87" s="24">
        <v>1317297.44</v>
      </c>
      <c r="AJ87" s="24"/>
      <c r="AK87" s="24">
        <v>1542333.83</v>
      </c>
      <c r="AL87" s="39">
        <f>+'Gov Rev'!AI87-'Gov Exp'!AE87+'Gov Exp'!AI87-'Gov Exp'!AK87</f>
        <v>0</v>
      </c>
      <c r="AM87" s="15" t="str">
        <f>'Gov Rev'!A87</f>
        <v>Brewster</v>
      </c>
      <c r="AN87" s="15" t="str">
        <f t="shared" si="31"/>
        <v>Brewster</v>
      </c>
      <c r="AO87" s="15" t="b">
        <f t="shared" si="32"/>
        <v>1</v>
      </c>
    </row>
    <row r="88" spans="1:41" s="29" customFormat="1" ht="12.6" customHeight="1">
      <c r="A88" s="24" t="s">
        <v>72</v>
      </c>
      <c r="B88" s="24"/>
      <c r="C88" s="24" t="s">
        <v>768</v>
      </c>
      <c r="D88" s="73"/>
      <c r="E88" s="36">
        <v>33287.86</v>
      </c>
      <c r="F88" s="36"/>
      <c r="G88" s="36">
        <v>0</v>
      </c>
      <c r="H88" s="36"/>
      <c r="I88" s="36">
        <v>0</v>
      </c>
      <c r="J88" s="36"/>
      <c r="K88" s="36">
        <v>0</v>
      </c>
      <c r="L88" s="36"/>
      <c r="M88" s="36">
        <v>865.05</v>
      </c>
      <c r="N88" s="36"/>
      <c r="O88" s="36">
        <v>3161.45</v>
      </c>
      <c r="P88" s="36"/>
      <c r="Q88" s="36">
        <v>50457.25</v>
      </c>
      <c r="R88" s="36"/>
      <c r="S88" s="36">
        <v>0</v>
      </c>
      <c r="T88" s="36"/>
      <c r="U88" s="36">
        <v>1240</v>
      </c>
      <c r="V88" s="36"/>
      <c r="W88" s="36">
        <v>1240.54</v>
      </c>
      <c r="X88" s="36"/>
      <c r="Y88" s="36">
        <v>0</v>
      </c>
      <c r="Z88" s="36"/>
      <c r="AA88" s="36">
        <v>0</v>
      </c>
      <c r="AB88" s="36"/>
      <c r="AC88" s="36">
        <v>0</v>
      </c>
      <c r="AD88" s="36"/>
      <c r="AE88" s="36">
        <f aca="true" t="shared" si="33" ref="AE88:AE89">SUM(E88:AC88)</f>
        <v>90252.15</v>
      </c>
      <c r="AF88" s="36"/>
      <c r="AG88" s="36">
        <v>53603.12</v>
      </c>
      <c r="AH88" s="36"/>
      <c r="AI88" s="36">
        <v>8417.86</v>
      </c>
      <c r="AJ88" s="36"/>
      <c r="AK88" s="36">
        <v>62020.98</v>
      </c>
      <c r="AL88" s="39">
        <f>+'Gov Rev'!AI88-'Gov Exp'!AE88+'Gov Exp'!AI88-'Gov Exp'!AK88</f>
        <v>0</v>
      </c>
      <c r="AM88" s="15" t="str">
        <f>'Gov Rev'!A88</f>
        <v>Brice</v>
      </c>
      <c r="AN88" s="15" t="str">
        <f t="shared" si="31"/>
        <v>Brice</v>
      </c>
      <c r="AO88" s="15" t="b">
        <f t="shared" si="32"/>
        <v>1</v>
      </c>
    </row>
    <row r="89" spans="1:41" ht="12.6" customHeight="1">
      <c r="A89" s="15" t="s">
        <v>281</v>
      </c>
      <c r="C89" s="15" t="s">
        <v>279</v>
      </c>
      <c r="E89" s="36">
        <v>347987.51</v>
      </c>
      <c r="F89" s="36"/>
      <c r="G89" s="36">
        <v>14635.34</v>
      </c>
      <c r="H89" s="36"/>
      <c r="I89" s="36">
        <v>1500</v>
      </c>
      <c r="J89" s="36"/>
      <c r="K89" s="36">
        <v>0</v>
      </c>
      <c r="L89" s="36"/>
      <c r="M89" s="36">
        <v>99140.51</v>
      </c>
      <c r="N89" s="36"/>
      <c r="O89" s="36">
        <v>43098.46</v>
      </c>
      <c r="P89" s="36"/>
      <c r="Q89" s="36">
        <v>143839.35</v>
      </c>
      <c r="R89" s="36"/>
      <c r="S89" s="36">
        <v>105725.94</v>
      </c>
      <c r="T89" s="36"/>
      <c r="U89" s="36">
        <v>33134.2</v>
      </c>
      <c r="V89" s="36"/>
      <c r="W89" s="36">
        <v>5043.13</v>
      </c>
      <c r="X89" s="36"/>
      <c r="Y89" s="36">
        <v>0</v>
      </c>
      <c r="Z89" s="36"/>
      <c r="AA89" s="36">
        <v>40000</v>
      </c>
      <c r="AB89" s="36"/>
      <c r="AC89" s="36">
        <v>0</v>
      </c>
      <c r="AD89" s="36"/>
      <c r="AE89" s="36">
        <f t="shared" si="33"/>
        <v>834104.4400000001</v>
      </c>
      <c r="AF89" s="36"/>
      <c r="AG89" s="36">
        <v>100361.26</v>
      </c>
      <c r="AH89" s="36"/>
      <c r="AI89" s="36">
        <v>261172.26</v>
      </c>
      <c r="AJ89" s="36"/>
      <c r="AK89" s="36">
        <v>361533.52</v>
      </c>
      <c r="AL89" s="39">
        <f>+'Gov Rev'!AI89-'Gov Exp'!AE89+'Gov Exp'!AI89-'Gov Exp'!AK89</f>
        <v>0</v>
      </c>
      <c r="AM89" s="15" t="str">
        <f>'Gov Rev'!A89</f>
        <v>Bridgeport</v>
      </c>
      <c r="AN89" s="15" t="str">
        <f t="shared" si="31"/>
        <v>Bridgeport</v>
      </c>
      <c r="AO89" s="15" t="b">
        <f t="shared" si="32"/>
        <v>1</v>
      </c>
    </row>
    <row r="90" spans="1:41" s="31" customFormat="1" ht="12.6" customHeight="1">
      <c r="A90" s="15" t="s">
        <v>318</v>
      </c>
      <c r="B90" s="15"/>
      <c r="C90" s="15" t="s">
        <v>316</v>
      </c>
      <c r="D90" s="15"/>
      <c r="E90" s="24">
        <v>2739741</v>
      </c>
      <c r="F90" s="24"/>
      <c r="G90" s="24">
        <v>150548</v>
      </c>
      <c r="H90" s="24"/>
      <c r="I90" s="24">
        <v>61218</v>
      </c>
      <c r="J90" s="24"/>
      <c r="K90" s="24">
        <v>80054</v>
      </c>
      <c r="L90" s="24"/>
      <c r="M90" s="24">
        <v>88275</v>
      </c>
      <c r="N90" s="24"/>
      <c r="O90" s="24">
        <v>1041171</v>
      </c>
      <c r="P90" s="24"/>
      <c r="Q90" s="24">
        <v>1350353</v>
      </c>
      <c r="R90" s="24"/>
      <c r="S90" s="24">
        <v>0</v>
      </c>
      <c r="T90" s="24"/>
      <c r="U90" s="24">
        <v>87093</v>
      </c>
      <c r="V90" s="24"/>
      <c r="W90" s="24">
        <v>11550</v>
      </c>
      <c r="X90" s="24"/>
      <c r="Y90" s="24">
        <v>12524</v>
      </c>
      <c r="Z90" s="24"/>
      <c r="AA90" s="24">
        <v>0</v>
      </c>
      <c r="AB90" s="24"/>
      <c r="AC90" s="24">
        <v>0</v>
      </c>
      <c r="AD90" s="24"/>
      <c r="AE90" s="24">
        <f t="shared" si="28"/>
        <v>5622527</v>
      </c>
      <c r="AF90" s="24"/>
      <c r="AG90" s="24">
        <v>-178537</v>
      </c>
      <c r="AH90" s="24"/>
      <c r="AI90" s="24">
        <v>4347133</v>
      </c>
      <c r="AJ90" s="24"/>
      <c r="AK90" s="24">
        <v>4168596</v>
      </c>
      <c r="AL90" s="39">
        <f>+'Gov Rev'!AI90-'Gov Exp'!AE90+'Gov Exp'!AI90-'Gov Exp'!AK90</f>
        <v>-1</v>
      </c>
      <c r="AM90" s="15" t="str">
        <f>'Gov Rev'!A90</f>
        <v>Brooklyn Heights</v>
      </c>
      <c r="AN90" s="15" t="str">
        <f t="shared" si="31"/>
        <v>Brooklyn Heights</v>
      </c>
      <c r="AO90" s="15" t="b">
        <f t="shared" si="32"/>
        <v>1</v>
      </c>
    </row>
    <row r="91" spans="1:41" ht="12.75">
      <c r="A91" s="15" t="s">
        <v>16</v>
      </c>
      <c r="C91" s="15" t="s">
        <v>750</v>
      </c>
      <c r="D91" s="28"/>
      <c r="E91" s="95">
        <v>63114.85</v>
      </c>
      <c r="F91" s="95"/>
      <c r="G91" s="95">
        <v>3736.11</v>
      </c>
      <c r="H91" s="95"/>
      <c r="I91" s="95">
        <v>3033.11</v>
      </c>
      <c r="J91" s="95"/>
      <c r="K91" s="95">
        <v>0</v>
      </c>
      <c r="L91" s="95"/>
      <c r="M91" s="95">
        <v>2469.47</v>
      </c>
      <c r="N91" s="95"/>
      <c r="O91" s="95">
        <v>41097.3</v>
      </c>
      <c r="P91" s="95"/>
      <c r="Q91" s="95">
        <v>50149.41</v>
      </c>
      <c r="R91" s="95"/>
      <c r="S91" s="95">
        <v>124952.32</v>
      </c>
      <c r="T91" s="95"/>
      <c r="U91" s="95">
        <v>0</v>
      </c>
      <c r="V91" s="95"/>
      <c r="W91" s="95">
        <v>4058.33</v>
      </c>
      <c r="X91" s="95"/>
      <c r="Y91" s="95">
        <v>56538.78</v>
      </c>
      <c r="Z91" s="95"/>
      <c r="AA91" s="95">
        <v>0</v>
      </c>
      <c r="AB91" s="95"/>
      <c r="AC91" s="95">
        <v>0</v>
      </c>
      <c r="AD91" s="95"/>
      <c r="AE91" s="95">
        <f aca="true" t="shared" si="34" ref="AE91">SUM(E91:AC91)</f>
        <v>349149.68000000005</v>
      </c>
      <c r="AF91" s="95"/>
      <c r="AG91" s="95">
        <v>-87265.23</v>
      </c>
      <c r="AH91" s="95"/>
      <c r="AI91" s="95">
        <v>207666.92</v>
      </c>
      <c r="AJ91" s="95"/>
      <c r="AK91" s="95">
        <v>120401.69</v>
      </c>
      <c r="AL91" s="39">
        <f>+'Gov Rev'!AI91-'Gov Exp'!AE91+'Gov Exp'!AI91-'Gov Exp'!AK91</f>
        <v>0</v>
      </c>
      <c r="AM91" s="15" t="str">
        <f>'Gov Rev'!A91</f>
        <v>Brookside</v>
      </c>
      <c r="AN91" s="15" t="str">
        <f t="shared" si="31"/>
        <v>Brookside</v>
      </c>
      <c r="AO91" s="15" t="b">
        <f t="shared" si="32"/>
        <v>1</v>
      </c>
    </row>
    <row r="92" spans="1:41" s="31" customFormat="1" ht="12.75">
      <c r="A92" s="15" t="s">
        <v>498</v>
      </c>
      <c r="B92" s="15"/>
      <c r="C92" s="15" t="s">
        <v>497</v>
      </c>
      <c r="D92" s="15"/>
      <c r="E92" s="36">
        <v>900.62</v>
      </c>
      <c r="F92" s="36"/>
      <c r="G92" s="36">
        <v>18.4</v>
      </c>
      <c r="H92" s="36"/>
      <c r="I92" s="36">
        <v>0</v>
      </c>
      <c r="J92" s="36"/>
      <c r="K92" s="36">
        <v>0</v>
      </c>
      <c r="L92" s="36"/>
      <c r="M92" s="36">
        <v>703.66</v>
      </c>
      <c r="N92" s="36"/>
      <c r="O92" s="36">
        <v>1432.21</v>
      </c>
      <c r="P92" s="36"/>
      <c r="Q92" s="36">
        <v>5348.48</v>
      </c>
      <c r="R92" s="36"/>
      <c r="S92" s="36">
        <v>0</v>
      </c>
      <c r="T92" s="36"/>
      <c r="U92" s="36">
        <v>1598.26</v>
      </c>
      <c r="V92" s="36"/>
      <c r="W92" s="36">
        <v>0</v>
      </c>
      <c r="X92" s="36"/>
      <c r="Y92" s="36">
        <v>0</v>
      </c>
      <c r="Z92" s="36"/>
      <c r="AA92" s="36">
        <v>0</v>
      </c>
      <c r="AB92" s="36"/>
      <c r="AC92" s="36">
        <v>40</v>
      </c>
      <c r="AD92" s="36"/>
      <c r="AE92" s="36">
        <f aca="true" t="shared" si="35" ref="AE92">SUM(E92:AC92)</f>
        <v>10041.63</v>
      </c>
      <c r="AF92" s="36"/>
      <c r="AG92" s="36">
        <v>9565.88</v>
      </c>
      <c r="AH92" s="36"/>
      <c r="AI92" s="36">
        <v>76105.71</v>
      </c>
      <c r="AJ92" s="36"/>
      <c r="AK92" s="36">
        <v>85671.59</v>
      </c>
      <c r="AL92" s="39">
        <f>+'Gov Rev'!AI92-'Gov Exp'!AE92+'Gov Exp'!AI92-'Gov Exp'!AK92</f>
        <v>0</v>
      </c>
      <c r="AM92" s="15" t="str">
        <f>'Gov Rev'!A92</f>
        <v>Broughton</v>
      </c>
      <c r="AN92" s="15" t="str">
        <f t="shared" si="31"/>
        <v>Broughton</v>
      </c>
      <c r="AO92" s="15" t="b">
        <f t="shared" si="32"/>
        <v>1</v>
      </c>
    </row>
    <row r="93" spans="1:41" ht="12.6" customHeight="1">
      <c r="A93" s="15" t="s">
        <v>272</v>
      </c>
      <c r="C93" s="15" t="s">
        <v>271</v>
      </c>
      <c r="E93" s="24">
        <v>48813.61</v>
      </c>
      <c r="G93" s="24">
        <v>0</v>
      </c>
      <c r="I93" s="24">
        <v>8385.51</v>
      </c>
      <c r="K93" s="24">
        <v>0</v>
      </c>
      <c r="M93" s="24">
        <v>6888.72</v>
      </c>
      <c r="O93" s="24">
        <v>6177.05</v>
      </c>
      <c r="Q93" s="24">
        <v>66460.96</v>
      </c>
      <c r="S93" s="24">
        <v>18500</v>
      </c>
      <c r="U93" s="24">
        <v>0</v>
      </c>
      <c r="W93" s="24">
        <v>0</v>
      </c>
      <c r="Y93" s="24">
        <v>0</v>
      </c>
      <c r="AA93" s="24">
        <v>0</v>
      </c>
      <c r="AC93" s="24">
        <v>0</v>
      </c>
      <c r="AE93" s="24">
        <f t="shared" si="28"/>
        <v>155225.85</v>
      </c>
      <c r="AF93" s="24"/>
      <c r="AG93" s="24">
        <v>-28137.03</v>
      </c>
      <c r="AH93" s="24"/>
      <c r="AI93" s="24">
        <v>117229.02</v>
      </c>
      <c r="AJ93" s="24"/>
      <c r="AK93" s="24">
        <v>89091.99</v>
      </c>
      <c r="AL93" s="39">
        <f>+'Gov Rev'!AI93-'Gov Exp'!AE93+'Gov Exp'!AI93-'Gov Exp'!AK93</f>
        <v>0</v>
      </c>
      <c r="AM93" s="15" t="str">
        <f>'Gov Rev'!A93</f>
        <v>Buchtel</v>
      </c>
      <c r="AN93" s="15" t="str">
        <f t="shared" si="31"/>
        <v>Buchtel</v>
      </c>
      <c r="AO93" s="15" t="b">
        <f t="shared" si="32"/>
        <v>1</v>
      </c>
    </row>
    <row r="94" spans="1:41" ht="12.75">
      <c r="A94" s="15" t="s">
        <v>130</v>
      </c>
      <c r="C94" s="15" t="s">
        <v>785</v>
      </c>
      <c r="D94" s="28"/>
      <c r="E94" s="36">
        <v>428708.66</v>
      </c>
      <c r="F94" s="36"/>
      <c r="G94" s="36">
        <v>8553.42</v>
      </c>
      <c r="H94" s="36"/>
      <c r="I94" s="36">
        <v>5644.92</v>
      </c>
      <c r="J94" s="36"/>
      <c r="K94" s="36">
        <v>37632.9</v>
      </c>
      <c r="L94" s="36"/>
      <c r="M94" s="36">
        <v>783.22</v>
      </c>
      <c r="N94" s="36"/>
      <c r="O94" s="36">
        <v>175070.29</v>
      </c>
      <c r="P94" s="36"/>
      <c r="Q94" s="36">
        <v>119364.76</v>
      </c>
      <c r="R94" s="36"/>
      <c r="S94" s="36">
        <v>25372.82</v>
      </c>
      <c r="T94" s="36"/>
      <c r="U94" s="36">
        <v>42612.46</v>
      </c>
      <c r="V94" s="36"/>
      <c r="W94" s="36">
        <v>6550.45</v>
      </c>
      <c r="X94" s="36"/>
      <c r="Y94" s="36">
        <v>91000</v>
      </c>
      <c r="Z94" s="36"/>
      <c r="AA94" s="36">
        <v>0</v>
      </c>
      <c r="AB94" s="36"/>
      <c r="AC94" s="36">
        <v>0</v>
      </c>
      <c r="AD94" s="36"/>
      <c r="AE94" s="36">
        <f aca="true" t="shared" si="36" ref="AE94:AE97">SUM(E94:AC94)</f>
        <v>941293.8999999998</v>
      </c>
      <c r="AF94" s="36"/>
      <c r="AG94" s="36">
        <v>-30774.56</v>
      </c>
      <c r="AH94" s="36"/>
      <c r="AI94" s="36">
        <v>759668.35</v>
      </c>
      <c r="AJ94" s="36"/>
      <c r="AK94" s="36">
        <v>728893.79</v>
      </c>
      <c r="AL94" s="39">
        <f>+'Gov Rev'!AI94-'Gov Exp'!AE94+'Gov Exp'!AI94-'Gov Exp'!AK94</f>
        <v>0</v>
      </c>
      <c r="AM94" s="15" t="str">
        <f>'Gov Rev'!A94</f>
        <v>Buckeye Lake</v>
      </c>
      <c r="AN94" s="15" t="str">
        <f t="shared" si="31"/>
        <v>Buckeye Lake</v>
      </c>
      <c r="AO94" s="15" t="b">
        <f t="shared" si="32"/>
        <v>1</v>
      </c>
    </row>
    <row r="95" spans="1:41" ht="12.75">
      <c r="A95" s="15" t="s">
        <v>11</v>
      </c>
      <c r="C95" s="15" t="s">
        <v>749</v>
      </c>
      <c r="D95" s="28"/>
      <c r="E95" s="36">
        <v>48284.61</v>
      </c>
      <c r="F95" s="36"/>
      <c r="G95" s="36">
        <v>0</v>
      </c>
      <c r="H95" s="36"/>
      <c r="I95" s="36">
        <v>4725.05</v>
      </c>
      <c r="J95" s="36"/>
      <c r="K95" s="36">
        <v>0</v>
      </c>
      <c r="L95" s="36"/>
      <c r="M95" s="36">
        <v>0</v>
      </c>
      <c r="N95" s="36"/>
      <c r="O95" s="36">
        <v>7139.99</v>
      </c>
      <c r="P95" s="36"/>
      <c r="Q95" s="36">
        <v>38152.67</v>
      </c>
      <c r="R95" s="36"/>
      <c r="S95" s="36">
        <v>0</v>
      </c>
      <c r="T95" s="36"/>
      <c r="U95" s="36">
        <v>0</v>
      </c>
      <c r="V95" s="36"/>
      <c r="W95" s="36">
        <v>0</v>
      </c>
      <c r="X95" s="36"/>
      <c r="Y95" s="36">
        <v>27332.14</v>
      </c>
      <c r="Z95" s="36"/>
      <c r="AA95" s="36">
        <v>0</v>
      </c>
      <c r="AB95" s="36"/>
      <c r="AC95" s="36">
        <v>0</v>
      </c>
      <c r="AD95" s="36"/>
      <c r="AE95" s="36">
        <f t="shared" si="36"/>
        <v>125634.46</v>
      </c>
      <c r="AF95" s="36"/>
      <c r="AG95" s="36">
        <v>-11055.38</v>
      </c>
      <c r="AH95" s="36"/>
      <c r="AI95" s="36">
        <v>127486.92</v>
      </c>
      <c r="AJ95" s="36"/>
      <c r="AK95" s="36">
        <v>116431.54</v>
      </c>
      <c r="AL95" s="39">
        <f>+'Gov Rev'!AI95-'Gov Exp'!AE95+'Gov Exp'!AI95-'Gov Exp'!AK95</f>
        <v>0</v>
      </c>
      <c r="AM95" s="15" t="str">
        <f>'Gov Rev'!A95</f>
        <v>Buckland</v>
      </c>
      <c r="AN95" s="15" t="str">
        <f t="shared" si="31"/>
        <v>Buckland</v>
      </c>
      <c r="AO95" s="15" t="b">
        <f t="shared" si="32"/>
        <v>1</v>
      </c>
    </row>
    <row r="96" spans="1:41" ht="12.75">
      <c r="A96" s="15" t="s">
        <v>248</v>
      </c>
      <c r="C96" s="15" t="s">
        <v>823</v>
      </c>
      <c r="D96" s="28"/>
      <c r="E96" s="36">
        <v>0</v>
      </c>
      <c r="F96" s="36"/>
      <c r="G96" s="36">
        <v>0</v>
      </c>
      <c r="H96" s="36"/>
      <c r="I96" s="36">
        <v>6471.26</v>
      </c>
      <c r="J96" s="36"/>
      <c r="K96" s="36">
        <v>988.96</v>
      </c>
      <c r="L96" s="36"/>
      <c r="M96" s="36">
        <v>5230.8</v>
      </c>
      <c r="N96" s="36"/>
      <c r="O96" s="36">
        <v>20754.75</v>
      </c>
      <c r="P96" s="36"/>
      <c r="Q96" s="36">
        <v>18971.51</v>
      </c>
      <c r="R96" s="36"/>
      <c r="S96" s="36">
        <v>0</v>
      </c>
      <c r="T96" s="36"/>
      <c r="U96" s="36">
        <v>15000</v>
      </c>
      <c r="V96" s="36"/>
      <c r="W96" s="36">
        <v>0</v>
      </c>
      <c r="X96" s="36"/>
      <c r="Y96" s="36">
        <v>0</v>
      </c>
      <c r="Z96" s="36"/>
      <c r="AA96" s="36">
        <v>0</v>
      </c>
      <c r="AB96" s="36"/>
      <c r="AC96" s="36">
        <v>48</v>
      </c>
      <c r="AD96" s="36"/>
      <c r="AE96" s="36">
        <f t="shared" si="36"/>
        <v>67465.28</v>
      </c>
      <c r="AF96" s="36"/>
      <c r="AG96" s="36">
        <v>14958.81</v>
      </c>
      <c r="AH96" s="36"/>
      <c r="AI96" s="36">
        <v>203892.7</v>
      </c>
      <c r="AJ96" s="36"/>
      <c r="AK96" s="36">
        <v>218851.51</v>
      </c>
      <c r="AL96" s="39">
        <f>+'Gov Rev'!AI96-'Gov Exp'!AE96+'Gov Exp'!AI96-'Gov Exp'!AK96</f>
        <v>0</v>
      </c>
      <c r="AM96" s="15" t="str">
        <f>'Gov Rev'!A96</f>
        <v>Burbank</v>
      </c>
      <c r="AN96" s="15" t="str">
        <f t="shared" si="31"/>
        <v>Burbank</v>
      </c>
      <c r="AO96" s="15" t="b">
        <f t="shared" si="32"/>
        <v>1</v>
      </c>
    </row>
    <row r="97" spans="1:41" s="31" customFormat="1" ht="12.75">
      <c r="A97" s="15" t="s">
        <v>526</v>
      </c>
      <c r="B97" s="15"/>
      <c r="C97" s="15" t="s">
        <v>527</v>
      </c>
      <c r="D97" s="15"/>
      <c r="E97" s="36">
        <v>3424.04</v>
      </c>
      <c r="F97" s="36"/>
      <c r="G97" s="36">
        <v>0</v>
      </c>
      <c r="H97" s="36"/>
      <c r="I97" s="36">
        <v>9358.9</v>
      </c>
      <c r="J97" s="36"/>
      <c r="K97" s="36">
        <v>0</v>
      </c>
      <c r="L97" s="36"/>
      <c r="M97" s="36">
        <v>6000</v>
      </c>
      <c r="N97" s="36"/>
      <c r="O97" s="36">
        <v>1725.44</v>
      </c>
      <c r="P97" s="36"/>
      <c r="Q97" s="36">
        <v>21934.41</v>
      </c>
      <c r="R97" s="36"/>
      <c r="S97" s="36">
        <v>0</v>
      </c>
      <c r="T97" s="36"/>
      <c r="U97" s="36">
        <v>0</v>
      </c>
      <c r="V97" s="36"/>
      <c r="W97" s="36">
        <v>0</v>
      </c>
      <c r="X97" s="36"/>
      <c r="Y97" s="36">
        <v>0</v>
      </c>
      <c r="Z97" s="36"/>
      <c r="AA97" s="36">
        <v>0</v>
      </c>
      <c r="AB97" s="36"/>
      <c r="AC97" s="36">
        <v>12.66</v>
      </c>
      <c r="AD97" s="36"/>
      <c r="AE97" s="36">
        <f t="shared" si="36"/>
        <v>42455.45</v>
      </c>
      <c r="AF97" s="36"/>
      <c r="AG97" s="36">
        <v>6189.57</v>
      </c>
      <c r="AH97" s="36"/>
      <c r="AI97" s="36">
        <v>101542.77</v>
      </c>
      <c r="AJ97" s="36"/>
      <c r="AK97" s="36">
        <v>107732.34</v>
      </c>
      <c r="AL97" s="39">
        <f>+'Gov Rev'!AI97-'Gov Exp'!AE97+'Gov Exp'!AI97-'Gov Exp'!AK97</f>
        <v>0</v>
      </c>
      <c r="AM97" s="15" t="str">
        <f>'Gov Rev'!A97</f>
        <v>Burgoon</v>
      </c>
      <c r="AN97" s="15" t="str">
        <f t="shared" si="31"/>
        <v>Burgoon</v>
      </c>
      <c r="AO97" s="15" t="b">
        <f t="shared" si="32"/>
        <v>1</v>
      </c>
    </row>
    <row r="98" spans="1:41" s="31" customFormat="1" ht="12.75">
      <c r="A98" s="15" t="s">
        <v>465</v>
      </c>
      <c r="B98" s="15"/>
      <c r="C98" s="15" t="s">
        <v>705</v>
      </c>
      <c r="D98" s="15"/>
      <c r="E98" s="24">
        <v>15923</v>
      </c>
      <c r="F98" s="24"/>
      <c r="G98" s="24">
        <v>1478</v>
      </c>
      <c r="H98" s="24"/>
      <c r="I98" s="24">
        <v>14543</v>
      </c>
      <c r="J98" s="24"/>
      <c r="K98" s="24">
        <v>0</v>
      </c>
      <c r="L98" s="24"/>
      <c r="M98" s="24">
        <v>6222</v>
      </c>
      <c r="N98" s="24"/>
      <c r="O98" s="24">
        <v>7053</v>
      </c>
      <c r="P98" s="24"/>
      <c r="Q98" s="24">
        <v>14025</v>
      </c>
      <c r="R98" s="24"/>
      <c r="S98" s="24">
        <v>0</v>
      </c>
      <c r="T98" s="24"/>
      <c r="U98" s="24">
        <v>26414</v>
      </c>
      <c r="V98" s="24"/>
      <c r="W98" s="24">
        <v>0</v>
      </c>
      <c r="X98" s="24"/>
      <c r="Y98" s="24">
        <v>0</v>
      </c>
      <c r="Z98" s="24"/>
      <c r="AA98" s="24">
        <v>0</v>
      </c>
      <c r="AB98" s="24"/>
      <c r="AC98" s="24">
        <v>0</v>
      </c>
      <c r="AD98" s="24"/>
      <c r="AE98" s="24">
        <f t="shared" si="28"/>
        <v>85658</v>
      </c>
      <c r="AF98" s="24"/>
      <c r="AG98" s="24">
        <v>18788</v>
      </c>
      <c r="AH98" s="24"/>
      <c r="AI98" s="24">
        <v>56527</v>
      </c>
      <c r="AJ98" s="24"/>
      <c r="AK98" s="24">
        <v>75315</v>
      </c>
      <c r="AL98" s="39">
        <f>+'Gov Rev'!AI98-'Gov Exp'!AE98+'Gov Exp'!AI98-'Gov Exp'!AK98</f>
        <v>0</v>
      </c>
      <c r="AM98" s="15" t="str">
        <f>'Gov Rev'!A98</f>
        <v>Burkettsville</v>
      </c>
      <c r="AN98" s="15" t="str">
        <f t="shared" si="31"/>
        <v>Burkettsville</v>
      </c>
      <c r="AO98" s="15" t="b">
        <f t="shared" si="32"/>
        <v>1</v>
      </c>
    </row>
    <row r="99" spans="1:41" s="31" customFormat="1" ht="12.6" customHeight="1">
      <c r="A99" s="15" t="s">
        <v>687</v>
      </c>
      <c r="B99" s="15"/>
      <c r="C99" s="15" t="s">
        <v>366</v>
      </c>
      <c r="D99" s="15"/>
      <c r="E99" s="24">
        <v>374352</v>
      </c>
      <c r="F99" s="24"/>
      <c r="G99" s="24">
        <v>30164</v>
      </c>
      <c r="H99" s="24"/>
      <c r="I99" s="24">
        <v>37771</v>
      </c>
      <c r="J99" s="24"/>
      <c r="K99" s="24">
        <v>40845</v>
      </c>
      <c r="L99" s="24"/>
      <c r="M99" s="24">
        <v>0</v>
      </c>
      <c r="N99" s="24"/>
      <c r="O99" s="24">
        <v>196426</v>
      </c>
      <c r="P99" s="24"/>
      <c r="Q99" s="24">
        <v>171842</v>
      </c>
      <c r="R99" s="24"/>
      <c r="S99" s="24">
        <v>81958</v>
      </c>
      <c r="T99" s="24"/>
      <c r="U99" s="24">
        <v>10230</v>
      </c>
      <c r="V99" s="24"/>
      <c r="W99" s="24">
        <v>0</v>
      </c>
      <c r="X99" s="24"/>
      <c r="Y99" s="24">
        <v>308980</v>
      </c>
      <c r="Z99" s="24"/>
      <c r="AA99" s="24">
        <v>66500</v>
      </c>
      <c r="AB99" s="24"/>
      <c r="AC99" s="24">
        <v>15923</v>
      </c>
      <c r="AD99" s="24"/>
      <c r="AE99" s="24">
        <f t="shared" si="28"/>
        <v>1334991</v>
      </c>
      <c r="AF99" s="24"/>
      <c r="AG99" s="24">
        <v>881161</v>
      </c>
      <c r="AH99" s="24"/>
      <c r="AI99" s="24">
        <v>776875</v>
      </c>
      <c r="AJ99" s="24"/>
      <c r="AK99" s="24">
        <v>1658036</v>
      </c>
      <c r="AL99" s="39">
        <f>+'Gov Rev'!AI99-'Gov Exp'!AE99+'Gov Exp'!AI99-'Gov Exp'!AK99</f>
        <v>1</v>
      </c>
      <c r="AM99" s="15" t="str">
        <f>'Gov Rev'!A99</f>
        <v>Burton</v>
      </c>
      <c r="AN99" s="15" t="str">
        <f t="shared" si="31"/>
        <v>Burton</v>
      </c>
      <c r="AO99" s="15" t="b">
        <f t="shared" si="32"/>
        <v>1</v>
      </c>
    </row>
    <row r="100" spans="1:41" s="31" customFormat="1" ht="12.75" hidden="1">
      <c r="A100" s="15" t="s">
        <v>519</v>
      </c>
      <c r="B100" s="15"/>
      <c r="C100" s="15" t="s">
        <v>520</v>
      </c>
      <c r="D100" s="15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>
        <f t="shared" si="28"/>
        <v>0</v>
      </c>
      <c r="AF100" s="24"/>
      <c r="AG100" s="24"/>
      <c r="AH100" s="24"/>
      <c r="AI100" s="24"/>
      <c r="AJ100" s="24"/>
      <c r="AK100" s="24"/>
      <c r="AL100" s="39">
        <f>+'Gov Rev'!AI100-'Gov Exp'!AE100+'Gov Exp'!AI100-'Gov Exp'!AK100</f>
        <v>0</v>
      </c>
      <c r="AM100" s="15" t="str">
        <f>'Gov Rev'!A100</f>
        <v>Butler</v>
      </c>
      <c r="AN100" s="15" t="str">
        <f t="shared" si="31"/>
        <v>Butler</v>
      </c>
      <c r="AO100" s="15" t="b">
        <f t="shared" si="32"/>
        <v>1</v>
      </c>
    </row>
    <row r="101" spans="1:41" ht="12.75">
      <c r="A101" s="15" t="s">
        <v>241</v>
      </c>
      <c r="C101" s="15" t="s">
        <v>821</v>
      </c>
      <c r="D101" s="28"/>
      <c r="E101" s="36">
        <v>4231.31</v>
      </c>
      <c r="F101" s="36"/>
      <c r="G101" s="36">
        <v>0</v>
      </c>
      <c r="H101" s="36"/>
      <c r="I101" s="36">
        <v>0</v>
      </c>
      <c r="J101" s="36"/>
      <c r="K101" s="36">
        <v>0</v>
      </c>
      <c r="L101" s="36"/>
      <c r="M101" s="36">
        <v>0</v>
      </c>
      <c r="N101" s="36"/>
      <c r="O101" s="36">
        <v>2440</v>
      </c>
      <c r="P101" s="36"/>
      <c r="Q101" s="36">
        <v>5584.05</v>
      </c>
      <c r="R101" s="36"/>
      <c r="S101" s="36">
        <v>0</v>
      </c>
      <c r="T101" s="36"/>
      <c r="U101" s="36">
        <v>0</v>
      </c>
      <c r="V101" s="36"/>
      <c r="W101" s="36">
        <v>0</v>
      </c>
      <c r="X101" s="36"/>
      <c r="Y101" s="36">
        <v>0</v>
      </c>
      <c r="Z101" s="36"/>
      <c r="AA101" s="36">
        <v>0</v>
      </c>
      <c r="AB101" s="36"/>
      <c r="AC101" s="36">
        <v>0</v>
      </c>
      <c r="AD101" s="36"/>
      <c r="AE101" s="36">
        <f aca="true" t="shared" si="37" ref="AE101:AE107">SUM(E101:AC101)</f>
        <v>12255.36</v>
      </c>
      <c r="AF101" s="36"/>
      <c r="AG101" s="36">
        <v>9371.73</v>
      </c>
      <c r="AH101" s="36"/>
      <c r="AI101" s="36">
        <v>45548.99</v>
      </c>
      <c r="AJ101" s="36"/>
      <c r="AK101" s="36">
        <v>54920.72</v>
      </c>
      <c r="AL101" s="39">
        <f>+'Gov Rev'!AI101-'Gov Exp'!AE101+'Gov Exp'!AI101-'Gov Exp'!AK101</f>
        <v>0</v>
      </c>
      <c r="AM101" s="15" t="str">
        <f>'Gov Rev'!A101</f>
        <v>Butlerville</v>
      </c>
      <c r="AN101" s="15" t="str">
        <f t="shared" si="31"/>
        <v>Butlerville</v>
      </c>
      <c r="AO101" s="15" t="b">
        <f t="shared" si="32"/>
        <v>1</v>
      </c>
    </row>
    <row r="102" spans="1:41" ht="12.75">
      <c r="A102" s="15" t="s">
        <v>86</v>
      </c>
      <c r="C102" s="15" t="s">
        <v>772</v>
      </c>
      <c r="D102" s="28"/>
      <c r="E102" s="36">
        <v>135710.84</v>
      </c>
      <c r="F102" s="36"/>
      <c r="G102" s="36">
        <v>0</v>
      </c>
      <c r="H102" s="36"/>
      <c r="I102" s="36">
        <v>21353.08</v>
      </c>
      <c r="J102" s="36"/>
      <c r="K102" s="36">
        <v>0</v>
      </c>
      <c r="L102" s="36"/>
      <c r="M102" s="36">
        <v>56671.28</v>
      </c>
      <c r="N102" s="36"/>
      <c r="O102" s="36">
        <v>86914.79</v>
      </c>
      <c r="P102" s="36"/>
      <c r="Q102" s="36">
        <v>202556.88</v>
      </c>
      <c r="R102" s="36"/>
      <c r="S102" s="36">
        <v>147717.01</v>
      </c>
      <c r="T102" s="36"/>
      <c r="U102" s="36">
        <v>120000</v>
      </c>
      <c r="V102" s="36"/>
      <c r="W102" s="36">
        <v>7295.34</v>
      </c>
      <c r="X102" s="36"/>
      <c r="Y102" s="36">
        <v>177295.34</v>
      </c>
      <c r="Z102" s="36"/>
      <c r="AA102" s="36">
        <v>0</v>
      </c>
      <c r="AB102" s="36"/>
      <c r="AC102" s="36">
        <v>0</v>
      </c>
      <c r="AD102" s="36"/>
      <c r="AE102" s="36">
        <f t="shared" si="37"/>
        <v>955514.5599999999</v>
      </c>
      <c r="AF102" s="36"/>
      <c r="AG102" s="36">
        <v>75504.9</v>
      </c>
      <c r="AH102" s="36"/>
      <c r="AI102" s="36">
        <v>159494.53</v>
      </c>
      <c r="AJ102" s="36"/>
      <c r="AK102" s="36">
        <v>234999.43</v>
      </c>
      <c r="AL102" s="39">
        <f>+'Gov Rev'!AI102-'Gov Exp'!AE102+'Gov Exp'!AI102-'Gov Exp'!AK102</f>
        <v>0</v>
      </c>
      <c r="AM102" s="15" t="str">
        <f>'Gov Rev'!A102</f>
        <v>Byesville</v>
      </c>
      <c r="AN102" s="15" t="str">
        <f t="shared" si="31"/>
        <v>Byesville</v>
      </c>
      <c r="AO102" s="15" t="b">
        <f t="shared" si="32"/>
        <v>1</v>
      </c>
    </row>
    <row r="103" spans="1:41" s="31" customFormat="1" ht="12.75">
      <c r="A103" s="15" t="s">
        <v>100</v>
      </c>
      <c r="B103" s="15"/>
      <c r="C103" s="15" t="s">
        <v>403</v>
      </c>
      <c r="D103" s="15"/>
      <c r="E103" s="36">
        <v>430002.87</v>
      </c>
      <c r="F103" s="36"/>
      <c r="G103" s="36">
        <v>19777.72</v>
      </c>
      <c r="H103" s="36"/>
      <c r="I103" s="36">
        <v>258479.66</v>
      </c>
      <c r="J103" s="36"/>
      <c r="K103" s="36">
        <v>1439.81</v>
      </c>
      <c r="L103" s="36"/>
      <c r="M103" s="36">
        <v>0</v>
      </c>
      <c r="N103" s="36"/>
      <c r="O103" s="36">
        <v>335733.33</v>
      </c>
      <c r="P103" s="36"/>
      <c r="Q103" s="36">
        <v>329771.96</v>
      </c>
      <c r="R103" s="36"/>
      <c r="S103" s="36">
        <v>22657.68</v>
      </c>
      <c r="T103" s="36"/>
      <c r="U103" s="36">
        <v>41389.64</v>
      </c>
      <c r="V103" s="36"/>
      <c r="W103" s="36">
        <v>15878.01</v>
      </c>
      <c r="X103" s="36"/>
      <c r="Y103" s="36">
        <v>0</v>
      </c>
      <c r="Z103" s="36"/>
      <c r="AA103" s="36">
        <v>0</v>
      </c>
      <c r="AB103" s="36"/>
      <c r="AC103" s="36">
        <v>0</v>
      </c>
      <c r="AD103" s="36"/>
      <c r="AE103" s="36">
        <f t="shared" si="37"/>
        <v>1455130.68</v>
      </c>
      <c r="AF103" s="36"/>
      <c r="AG103" s="36">
        <v>-149519.93</v>
      </c>
      <c r="AH103" s="36"/>
      <c r="AI103" s="36">
        <v>695506.82</v>
      </c>
      <c r="AJ103" s="36"/>
      <c r="AK103" s="36">
        <v>545986.89</v>
      </c>
      <c r="AL103" s="39">
        <f>+'Gov Rev'!AI103-'Gov Exp'!AE103+'Gov Exp'!AI103-'Gov Exp'!AK103</f>
        <v>0</v>
      </c>
      <c r="AM103" s="15" t="str">
        <f>'Gov Rev'!A103</f>
        <v>Cadiz</v>
      </c>
      <c r="AN103" s="15" t="str">
        <f t="shared" si="31"/>
        <v>Cadiz</v>
      </c>
      <c r="AO103" s="15" t="b">
        <f t="shared" si="32"/>
        <v>1</v>
      </c>
    </row>
    <row r="104" spans="1:41" s="31" customFormat="1" ht="12.6" customHeight="1">
      <c r="A104" s="15" t="s">
        <v>708</v>
      </c>
      <c r="B104" s="15"/>
      <c r="C104" s="15" t="s">
        <v>709</v>
      </c>
      <c r="D104" s="15"/>
      <c r="E104" s="36">
        <v>14760.11</v>
      </c>
      <c r="F104" s="36"/>
      <c r="G104" s="36">
        <v>1454.13</v>
      </c>
      <c r="H104" s="36"/>
      <c r="I104" s="36">
        <v>9888.5</v>
      </c>
      <c r="J104" s="36"/>
      <c r="K104" s="36">
        <v>731.6</v>
      </c>
      <c r="L104" s="36"/>
      <c r="M104" s="36">
        <v>0</v>
      </c>
      <c r="N104" s="36"/>
      <c r="O104" s="36">
        <v>24429.71</v>
      </c>
      <c r="P104" s="36"/>
      <c r="Q104" s="36">
        <v>60628.74</v>
      </c>
      <c r="R104" s="36"/>
      <c r="S104" s="36">
        <v>9969.15</v>
      </c>
      <c r="T104" s="36"/>
      <c r="U104" s="36">
        <v>22700</v>
      </c>
      <c r="V104" s="36"/>
      <c r="W104" s="36">
        <v>27908.1</v>
      </c>
      <c r="X104" s="36"/>
      <c r="Y104" s="36">
        <v>0</v>
      </c>
      <c r="Z104" s="36"/>
      <c r="AA104" s="36">
        <v>0</v>
      </c>
      <c r="AB104" s="36"/>
      <c r="AC104" s="36">
        <v>0</v>
      </c>
      <c r="AD104" s="36"/>
      <c r="AE104" s="36">
        <f t="shared" si="37"/>
        <v>172470.04</v>
      </c>
      <c r="AF104" s="36"/>
      <c r="AG104" s="36">
        <v>11041.94</v>
      </c>
      <c r="AH104" s="36"/>
      <c r="AI104" s="36">
        <v>192205.49</v>
      </c>
      <c r="AJ104" s="36"/>
      <c r="AK104" s="36">
        <v>203247.43</v>
      </c>
      <c r="AL104" s="39">
        <f>+'Gov Rev'!AI104-'Gov Exp'!AE104+'Gov Exp'!AI104-'Gov Exp'!AK104</f>
        <v>0</v>
      </c>
      <c r="AM104" s="15" t="str">
        <f>'Gov Rev'!A104</f>
        <v>Cairo</v>
      </c>
      <c r="AN104" s="15" t="str">
        <f t="shared" si="31"/>
        <v>Cairo</v>
      </c>
      <c r="AO104" s="15" t="b">
        <f t="shared" si="32"/>
        <v>1</v>
      </c>
    </row>
    <row r="105" spans="1:41" ht="12.75">
      <c r="A105" s="15" t="s">
        <v>177</v>
      </c>
      <c r="C105" s="15" t="s">
        <v>801</v>
      </c>
      <c r="D105" s="28"/>
      <c r="E105" s="36">
        <v>128504.13</v>
      </c>
      <c r="F105" s="36"/>
      <c r="G105" s="36">
        <v>3276.37</v>
      </c>
      <c r="H105" s="36"/>
      <c r="I105" s="36">
        <v>704</v>
      </c>
      <c r="J105" s="36"/>
      <c r="K105" s="36">
        <v>7664.69</v>
      </c>
      <c r="L105" s="36"/>
      <c r="M105" s="36">
        <v>0</v>
      </c>
      <c r="N105" s="36"/>
      <c r="O105" s="36">
        <v>210321.53</v>
      </c>
      <c r="P105" s="36"/>
      <c r="Q105" s="36">
        <v>80550.48</v>
      </c>
      <c r="R105" s="36"/>
      <c r="S105" s="36">
        <v>650024.81</v>
      </c>
      <c r="T105" s="36"/>
      <c r="U105" s="36">
        <v>0</v>
      </c>
      <c r="V105" s="36"/>
      <c r="W105" s="36">
        <v>0</v>
      </c>
      <c r="X105" s="36"/>
      <c r="Y105" s="36">
        <v>0</v>
      </c>
      <c r="Z105" s="36"/>
      <c r="AA105" s="36">
        <v>0</v>
      </c>
      <c r="AB105" s="36"/>
      <c r="AC105" s="36">
        <v>0</v>
      </c>
      <c r="AD105" s="36"/>
      <c r="AE105" s="36">
        <f t="shared" si="37"/>
        <v>1081046.01</v>
      </c>
      <c r="AF105" s="36"/>
      <c r="AG105" s="36">
        <v>-44626.78</v>
      </c>
      <c r="AH105" s="36"/>
      <c r="AI105" s="36">
        <v>1955865.4</v>
      </c>
      <c r="AJ105" s="36"/>
      <c r="AK105" s="36">
        <v>1911238.62</v>
      </c>
      <c r="AL105" s="39">
        <f>+'Gov Rev'!AI105-'Gov Exp'!AE105+'Gov Exp'!AI105-'Gov Exp'!AK105</f>
        <v>0</v>
      </c>
      <c r="AM105" s="15" t="str">
        <f>'Gov Rev'!A105</f>
        <v>Caldwell</v>
      </c>
      <c r="AN105" s="15" t="str">
        <f t="shared" si="31"/>
        <v>Caldwell</v>
      </c>
      <c r="AO105" s="15" t="b">
        <f t="shared" si="32"/>
        <v>1</v>
      </c>
    </row>
    <row r="106" spans="1:41" ht="12.75">
      <c r="A106" s="15" t="s">
        <v>147</v>
      </c>
      <c r="C106" s="15" t="s">
        <v>791</v>
      </c>
      <c r="D106" s="28"/>
      <c r="E106" s="36">
        <v>27480.45</v>
      </c>
      <c r="F106" s="36"/>
      <c r="G106" s="36">
        <v>1807.5</v>
      </c>
      <c r="H106" s="36"/>
      <c r="I106" s="36">
        <v>4299.91</v>
      </c>
      <c r="J106" s="36"/>
      <c r="K106" s="36">
        <v>2695.87</v>
      </c>
      <c r="L106" s="36"/>
      <c r="M106" s="36">
        <v>2134.26</v>
      </c>
      <c r="N106" s="36"/>
      <c r="O106" s="36">
        <v>37326.28</v>
      </c>
      <c r="P106" s="36"/>
      <c r="Q106" s="36">
        <v>40507.53</v>
      </c>
      <c r="R106" s="36"/>
      <c r="S106" s="36">
        <v>76520.91</v>
      </c>
      <c r="T106" s="36"/>
      <c r="U106" s="36">
        <v>417.34</v>
      </c>
      <c r="V106" s="36"/>
      <c r="W106" s="36">
        <v>0</v>
      </c>
      <c r="X106" s="36"/>
      <c r="Y106" s="36">
        <v>253.92</v>
      </c>
      <c r="Z106" s="36"/>
      <c r="AA106" s="36">
        <v>0</v>
      </c>
      <c r="AB106" s="36"/>
      <c r="AC106" s="36">
        <v>0</v>
      </c>
      <c r="AD106" s="36"/>
      <c r="AE106" s="36">
        <f t="shared" si="37"/>
        <v>193443.97000000003</v>
      </c>
      <c r="AF106" s="36"/>
      <c r="AG106" s="36">
        <v>8000.31</v>
      </c>
      <c r="AH106" s="36"/>
      <c r="AI106" s="36">
        <v>214579.44</v>
      </c>
      <c r="AJ106" s="36"/>
      <c r="AK106" s="36">
        <v>222579.75</v>
      </c>
      <c r="AL106" s="39">
        <f>+'Gov Rev'!AI106-'Gov Exp'!AE106+'Gov Exp'!AI106-'Gov Exp'!AK106</f>
        <v>0</v>
      </c>
      <c r="AM106" s="15" t="str">
        <f>'Gov Rev'!A106</f>
        <v>Caledonia</v>
      </c>
      <c r="AN106" s="15" t="str">
        <f t="shared" si="31"/>
        <v>Caledonia</v>
      </c>
      <c r="AO106" s="15" t="b">
        <f t="shared" si="32"/>
        <v>1</v>
      </c>
    </row>
    <row r="107" spans="1:41" ht="12.75">
      <c r="A107" s="15" t="s">
        <v>198</v>
      </c>
      <c r="C107" s="15" t="s">
        <v>807</v>
      </c>
      <c r="D107" s="28"/>
      <c r="E107" s="36">
        <v>180264.43</v>
      </c>
      <c r="F107" s="36"/>
      <c r="G107" s="36">
        <v>0</v>
      </c>
      <c r="H107" s="36"/>
      <c r="I107" s="36">
        <v>0</v>
      </c>
      <c r="J107" s="36"/>
      <c r="K107" s="36">
        <v>0</v>
      </c>
      <c r="L107" s="36"/>
      <c r="M107" s="36">
        <v>14850.26</v>
      </c>
      <c r="N107" s="36"/>
      <c r="O107" s="36">
        <v>81291.36</v>
      </c>
      <c r="P107" s="36"/>
      <c r="Q107" s="36">
        <v>161229.37</v>
      </c>
      <c r="R107" s="36"/>
      <c r="S107" s="36">
        <v>0</v>
      </c>
      <c r="T107" s="36"/>
      <c r="U107" s="36">
        <v>0</v>
      </c>
      <c r="V107" s="36"/>
      <c r="W107" s="36">
        <v>0</v>
      </c>
      <c r="X107" s="36"/>
      <c r="Y107" s="36">
        <v>16196.52</v>
      </c>
      <c r="Z107" s="36"/>
      <c r="AA107" s="36">
        <v>0</v>
      </c>
      <c r="AB107" s="36"/>
      <c r="AC107" s="36">
        <v>0</v>
      </c>
      <c r="AD107" s="36"/>
      <c r="AE107" s="36">
        <f t="shared" si="37"/>
        <v>453831.94</v>
      </c>
      <c r="AF107" s="36"/>
      <c r="AG107" s="36">
        <v>-10424.56</v>
      </c>
      <c r="AH107" s="36"/>
      <c r="AI107" s="36">
        <v>280797.57</v>
      </c>
      <c r="AJ107" s="36"/>
      <c r="AK107" s="36">
        <v>270373.01</v>
      </c>
      <c r="AL107" s="39">
        <f>+'Gov Rev'!AI107-'Gov Exp'!AE107+'Gov Exp'!AI107-'Gov Exp'!AK107</f>
        <v>0</v>
      </c>
      <c r="AM107" s="15" t="str">
        <f>'Gov Rev'!A107</f>
        <v>Camden</v>
      </c>
      <c r="AN107" s="15" t="str">
        <f t="shared" si="31"/>
        <v>Camden</v>
      </c>
      <c r="AO107" s="15" t="b">
        <f t="shared" si="32"/>
        <v>1</v>
      </c>
    </row>
    <row r="108" spans="1:41" ht="12.6" customHeight="1" hidden="1">
      <c r="A108" s="15" t="s">
        <v>352</v>
      </c>
      <c r="C108" s="15" t="s">
        <v>353</v>
      </c>
      <c r="AE108" s="24">
        <f t="shared" si="28"/>
        <v>0</v>
      </c>
      <c r="AF108" s="24"/>
      <c r="AG108" s="24"/>
      <c r="AH108" s="24"/>
      <c r="AI108" s="24"/>
      <c r="AJ108" s="24"/>
      <c r="AK108" s="24"/>
      <c r="AL108" s="39">
        <f>+'Gov Rev'!AI108-'Gov Exp'!AE108+'Gov Exp'!AI108-'Gov Exp'!AK108</f>
        <v>0</v>
      </c>
      <c r="AM108" s="15" t="str">
        <f>'Gov Rev'!A108</f>
        <v>Canal Winchester</v>
      </c>
      <c r="AN108" s="15" t="str">
        <f t="shared" si="31"/>
        <v>Canal Winchester</v>
      </c>
      <c r="AO108" s="15" t="b">
        <f t="shared" si="32"/>
        <v>1</v>
      </c>
    </row>
    <row r="109" spans="1:41" ht="12.75">
      <c r="A109" s="15" t="s">
        <v>170</v>
      </c>
      <c r="C109" s="15" t="s">
        <v>799</v>
      </c>
      <c r="D109" s="28"/>
      <c r="E109" s="24">
        <v>446382</v>
      </c>
      <c r="G109" s="24">
        <v>1417</v>
      </c>
      <c r="I109" s="24">
        <v>13028</v>
      </c>
      <c r="K109" s="24">
        <v>6427</v>
      </c>
      <c r="M109" s="24">
        <v>10472</v>
      </c>
      <c r="O109" s="24">
        <v>197652</v>
      </c>
      <c r="Q109" s="24">
        <v>399209</v>
      </c>
      <c r="S109" s="24">
        <v>67464</v>
      </c>
      <c r="U109" s="24">
        <v>29685</v>
      </c>
      <c r="W109" s="24">
        <v>15390</v>
      </c>
      <c r="Y109" s="24">
        <v>478183</v>
      </c>
      <c r="AA109" s="24">
        <v>0</v>
      </c>
      <c r="AC109" s="24">
        <v>0</v>
      </c>
      <c r="AE109" s="24">
        <f t="shared" si="28"/>
        <v>1665309</v>
      </c>
      <c r="AF109" s="24"/>
      <c r="AG109" s="24">
        <v>395</v>
      </c>
      <c r="AH109" s="24"/>
      <c r="AI109" s="24">
        <v>745050</v>
      </c>
      <c r="AJ109" s="24"/>
      <c r="AK109" s="24">
        <v>745445</v>
      </c>
      <c r="AL109" s="39">
        <f>+'Gov Rev'!AI109-'Gov Exp'!AE109+'Gov Exp'!AI109-'Gov Exp'!AK109</f>
        <v>-1</v>
      </c>
      <c r="AM109" s="15" t="str">
        <f>'Gov Rev'!A109</f>
        <v>Cardington</v>
      </c>
      <c r="AN109" s="15" t="str">
        <f t="shared" si="31"/>
        <v>Cardington</v>
      </c>
      <c r="AO109" s="15" t="b">
        <f t="shared" si="32"/>
        <v>1</v>
      </c>
    </row>
    <row r="110" spans="1:41" ht="12.75">
      <c r="A110" s="15" t="s">
        <v>610</v>
      </c>
      <c r="C110" s="15" t="s">
        <v>611</v>
      </c>
      <c r="E110" s="24">
        <v>803946</v>
      </c>
      <c r="G110" s="24">
        <v>30716</v>
      </c>
      <c r="I110" s="24">
        <v>66897</v>
      </c>
      <c r="K110" s="24">
        <v>6624</v>
      </c>
      <c r="M110" s="24">
        <v>2940</v>
      </c>
      <c r="O110" s="24">
        <v>211279</v>
      </c>
      <c r="Q110" s="24">
        <v>218743</v>
      </c>
      <c r="S110" s="24">
        <v>252172</v>
      </c>
      <c r="U110" s="24">
        <v>50000</v>
      </c>
      <c r="W110" s="24">
        <v>14731</v>
      </c>
      <c r="Y110" s="24">
        <v>0</v>
      </c>
      <c r="AA110" s="24">
        <v>0</v>
      </c>
      <c r="AC110" s="24">
        <v>0</v>
      </c>
      <c r="AE110" s="24">
        <f t="shared" si="28"/>
        <v>1658048</v>
      </c>
      <c r="AF110" s="24"/>
      <c r="AG110" s="24">
        <v>142445</v>
      </c>
      <c r="AH110" s="24"/>
      <c r="AI110" s="24">
        <v>1125834</v>
      </c>
      <c r="AJ110" s="24"/>
      <c r="AK110" s="24">
        <v>1268279</v>
      </c>
      <c r="AL110" s="39">
        <f>+'Gov Rev'!AI110-'Gov Exp'!AE110+'Gov Exp'!AI110-'Gov Exp'!AK110</f>
        <v>0</v>
      </c>
      <c r="AM110" s="15" t="str">
        <f>'Gov Rev'!A110</f>
        <v>Carey</v>
      </c>
      <c r="AN110" s="15" t="str">
        <f t="shared" si="31"/>
        <v>Carey</v>
      </c>
      <c r="AO110" s="15" t="b">
        <f t="shared" si="32"/>
        <v>1</v>
      </c>
    </row>
    <row r="111" spans="1:41" ht="12.75">
      <c r="A111" s="15" t="s">
        <v>963</v>
      </c>
      <c r="C111" s="15" t="s">
        <v>821</v>
      </c>
      <c r="E111" s="24">
        <v>721972</v>
      </c>
      <c r="G111" s="24">
        <v>0</v>
      </c>
      <c r="I111" s="24">
        <v>6608</v>
      </c>
      <c r="K111" s="24">
        <v>126653</v>
      </c>
      <c r="M111" s="24">
        <v>0</v>
      </c>
      <c r="O111" s="24">
        <v>279508</v>
      </c>
      <c r="Q111" s="24">
        <v>595891</v>
      </c>
      <c r="S111" s="24">
        <v>109222</v>
      </c>
      <c r="U111" s="24">
        <v>2287151</v>
      </c>
      <c r="W111" s="24">
        <v>81103</v>
      </c>
      <c r="Y111" s="24">
        <v>251500</v>
      </c>
      <c r="AA111" s="24">
        <v>0</v>
      </c>
      <c r="AC111" s="24">
        <v>0</v>
      </c>
      <c r="AE111" s="24">
        <f t="shared" si="28"/>
        <v>4459608</v>
      </c>
      <c r="AF111" s="24"/>
      <c r="AG111" s="24">
        <v>427868</v>
      </c>
      <c r="AH111" s="24"/>
      <c r="AI111" s="24">
        <v>1387861</v>
      </c>
      <c r="AJ111" s="24"/>
      <c r="AK111" s="24">
        <v>1815729</v>
      </c>
      <c r="AL111" s="39">
        <f>+'Gov Rev'!AI111-'Gov Exp'!AE111+'Gov Exp'!AI111-'Gov Exp'!AK111</f>
        <v>-256590</v>
      </c>
      <c r="AM111" s="15" t="str">
        <f>'Gov Rev'!A111</f>
        <v>Carlisle</v>
      </c>
      <c r="AN111" s="15" t="str">
        <f t="shared" si="31"/>
        <v>Carlisle</v>
      </c>
      <c r="AO111" s="15" t="b">
        <f t="shared" si="32"/>
        <v>1</v>
      </c>
    </row>
    <row r="112" spans="1:41" ht="12.6" customHeight="1">
      <c r="A112" s="15" t="s">
        <v>62</v>
      </c>
      <c r="C112" s="15" t="s">
        <v>766</v>
      </c>
      <c r="D112" s="28"/>
      <c r="E112" s="36">
        <v>85713.86</v>
      </c>
      <c r="F112" s="36"/>
      <c r="G112" s="36">
        <v>1989.2</v>
      </c>
      <c r="H112" s="36"/>
      <c r="I112" s="36">
        <v>5264.31</v>
      </c>
      <c r="J112" s="36"/>
      <c r="K112" s="36">
        <v>7972.86</v>
      </c>
      <c r="L112" s="36"/>
      <c r="M112" s="36">
        <v>0</v>
      </c>
      <c r="N112" s="36"/>
      <c r="O112" s="36">
        <v>80769.87</v>
      </c>
      <c r="P112" s="36"/>
      <c r="Q112" s="36">
        <v>75166.78</v>
      </c>
      <c r="R112" s="36"/>
      <c r="S112" s="36">
        <v>142043.09</v>
      </c>
      <c r="T112" s="36"/>
      <c r="U112" s="36">
        <v>7798.85</v>
      </c>
      <c r="V112" s="36"/>
      <c r="W112" s="36">
        <v>164.2</v>
      </c>
      <c r="X112" s="36"/>
      <c r="Y112" s="36">
        <v>500</v>
      </c>
      <c r="Z112" s="36"/>
      <c r="AA112" s="36">
        <v>0</v>
      </c>
      <c r="AB112" s="36"/>
      <c r="AC112" s="36">
        <v>0</v>
      </c>
      <c r="AD112" s="36"/>
      <c r="AE112" s="36">
        <f aca="true" t="shared" si="38" ref="AE112">SUM(E112:AC112)</f>
        <v>407383.01999999996</v>
      </c>
      <c r="AF112" s="36"/>
      <c r="AG112" s="36">
        <v>-1838.08</v>
      </c>
      <c r="AH112" s="36"/>
      <c r="AI112" s="36">
        <v>217756.43</v>
      </c>
      <c r="AJ112" s="36"/>
      <c r="AK112" s="36">
        <v>215918.35</v>
      </c>
      <c r="AL112" s="39">
        <f>+'Gov Rev'!AI112-'Gov Exp'!AE112+'Gov Exp'!AI112-'Gov Exp'!AK112</f>
        <v>0</v>
      </c>
      <c r="AM112" s="15" t="str">
        <f>'Gov Rev'!A112</f>
        <v>Carroll</v>
      </c>
      <c r="AN112" s="15" t="str">
        <f t="shared" si="31"/>
        <v>Carroll</v>
      </c>
      <c r="AO112" s="15" t="b">
        <f t="shared" si="32"/>
        <v>1</v>
      </c>
    </row>
    <row r="113" spans="1:41" ht="12.6" customHeight="1">
      <c r="A113" s="15" t="s">
        <v>285</v>
      </c>
      <c r="C113" s="15" t="s">
        <v>62</v>
      </c>
      <c r="E113" s="24">
        <v>602813</v>
      </c>
      <c r="G113" s="24">
        <v>21952</v>
      </c>
      <c r="I113" s="24">
        <v>2388</v>
      </c>
      <c r="K113" s="24">
        <f>4867+12898</f>
        <v>17765</v>
      </c>
      <c r="M113" s="24">
        <v>0</v>
      </c>
      <c r="O113" s="24">
        <v>277630</v>
      </c>
      <c r="Q113" s="24">
        <v>311237</v>
      </c>
      <c r="S113" s="24">
        <v>359577</v>
      </c>
      <c r="U113" s="24">
        <v>114675</v>
      </c>
      <c r="W113" s="24">
        <v>9565</v>
      </c>
      <c r="Y113" s="24">
        <v>809200</v>
      </c>
      <c r="AA113" s="24">
        <v>0</v>
      </c>
      <c r="AC113" s="24">
        <v>14161</v>
      </c>
      <c r="AE113" s="24">
        <f t="shared" si="28"/>
        <v>2540963</v>
      </c>
      <c r="AF113" s="24"/>
      <c r="AG113" s="24">
        <v>27995</v>
      </c>
      <c r="AH113" s="24"/>
      <c r="AI113" s="24">
        <v>837726</v>
      </c>
      <c r="AJ113" s="24"/>
      <c r="AK113" s="24">
        <v>865721</v>
      </c>
      <c r="AL113" s="39">
        <f>+'Gov Rev'!AI113-'Gov Exp'!AE113+'Gov Exp'!AI113-'Gov Exp'!AK113</f>
        <v>0</v>
      </c>
      <c r="AM113" s="15" t="str">
        <f>'Gov Rev'!A113</f>
        <v>Carrollton</v>
      </c>
      <c r="AN113" s="15" t="str">
        <f t="shared" si="31"/>
        <v>Carrollton</v>
      </c>
      <c r="AO113" s="15" t="b">
        <f t="shared" si="32"/>
        <v>1</v>
      </c>
    </row>
    <row r="114" spans="1:41" ht="12.6" customHeight="1">
      <c r="A114" s="15" t="s">
        <v>936</v>
      </c>
      <c r="C114" s="15" t="s">
        <v>795</v>
      </c>
      <c r="E114" s="36">
        <v>17955.94</v>
      </c>
      <c r="F114" s="36"/>
      <c r="G114" s="36">
        <v>41528.51</v>
      </c>
      <c r="H114" s="36"/>
      <c r="I114" s="36">
        <v>543.46</v>
      </c>
      <c r="J114" s="36"/>
      <c r="K114" s="36">
        <v>0</v>
      </c>
      <c r="L114" s="36"/>
      <c r="M114" s="36">
        <v>0</v>
      </c>
      <c r="N114" s="36"/>
      <c r="O114" s="36">
        <v>23616.47</v>
      </c>
      <c r="P114" s="36"/>
      <c r="Q114" s="36">
        <v>16740.33</v>
      </c>
      <c r="R114" s="36"/>
      <c r="S114" s="36">
        <v>1337482.48</v>
      </c>
      <c r="T114" s="36"/>
      <c r="U114" s="36">
        <v>0</v>
      </c>
      <c r="V114" s="36"/>
      <c r="W114" s="36">
        <v>0</v>
      </c>
      <c r="X114" s="36"/>
      <c r="Y114" s="36">
        <v>0</v>
      </c>
      <c r="Z114" s="36"/>
      <c r="AA114" s="36">
        <v>0</v>
      </c>
      <c r="AB114" s="36"/>
      <c r="AC114" s="36">
        <v>4655</v>
      </c>
      <c r="AD114" s="36"/>
      <c r="AE114" s="36">
        <f aca="true" t="shared" si="39" ref="AE114:AE115">SUM(E114:AC114)</f>
        <v>1442522.19</v>
      </c>
      <c r="AF114" s="36"/>
      <c r="AG114" s="36">
        <v>6968.99</v>
      </c>
      <c r="AH114" s="36"/>
      <c r="AI114" s="36">
        <v>501452.53</v>
      </c>
      <c r="AJ114" s="36"/>
      <c r="AK114" s="36">
        <v>508421.52</v>
      </c>
      <c r="AL114" s="39">
        <f>+'Gov Rev'!AI114-'Gov Exp'!AE114+'Gov Exp'!AI114-'Gov Exp'!AK114</f>
        <v>0</v>
      </c>
      <c r="AM114" s="15" t="str">
        <f>'Gov Rev'!A114</f>
        <v>Casstown</v>
      </c>
      <c r="AN114" s="15" t="str">
        <f t="shared" si="31"/>
        <v>Casstown</v>
      </c>
      <c r="AO114" s="15" t="b">
        <f t="shared" si="32"/>
        <v>1</v>
      </c>
    </row>
    <row r="115" spans="1:41" ht="12.75">
      <c r="A115" s="15" t="s">
        <v>60</v>
      </c>
      <c r="C115" s="15" t="s">
        <v>765</v>
      </c>
      <c r="D115" s="28"/>
      <c r="E115" s="36">
        <v>180227.29</v>
      </c>
      <c r="F115" s="36"/>
      <c r="G115" s="36">
        <v>720</v>
      </c>
      <c r="H115" s="36"/>
      <c r="I115" s="36">
        <v>4978.91</v>
      </c>
      <c r="J115" s="36"/>
      <c r="K115" s="36">
        <v>686.2</v>
      </c>
      <c r="L115" s="36"/>
      <c r="M115" s="36">
        <v>1217.02</v>
      </c>
      <c r="N115" s="36"/>
      <c r="O115" s="36">
        <v>80991.03</v>
      </c>
      <c r="P115" s="36"/>
      <c r="Q115" s="36">
        <v>77599.83</v>
      </c>
      <c r="R115" s="36"/>
      <c r="S115" s="36">
        <v>24769.15</v>
      </c>
      <c r="T115" s="36"/>
      <c r="U115" s="36">
        <v>0</v>
      </c>
      <c r="V115" s="36"/>
      <c r="W115" s="36">
        <v>0</v>
      </c>
      <c r="X115" s="36"/>
      <c r="Y115" s="36">
        <v>0</v>
      </c>
      <c r="Z115" s="36"/>
      <c r="AA115" s="36">
        <v>0</v>
      </c>
      <c r="AB115" s="36"/>
      <c r="AC115" s="36">
        <v>0</v>
      </c>
      <c r="AD115" s="36"/>
      <c r="AE115" s="36">
        <f t="shared" si="39"/>
        <v>371189.43000000005</v>
      </c>
      <c r="AF115" s="36"/>
      <c r="AG115" s="36">
        <v>190527.1</v>
      </c>
      <c r="AH115" s="36"/>
      <c r="AI115" s="36">
        <v>280804.54</v>
      </c>
      <c r="AJ115" s="36"/>
      <c r="AK115" s="36">
        <v>471331.64</v>
      </c>
      <c r="AL115" s="39">
        <f>+'Gov Rev'!AI115-'Gov Exp'!AE115+'Gov Exp'!AI115-'Gov Exp'!AK115</f>
        <v>0</v>
      </c>
      <c r="AM115" s="15" t="str">
        <f>'Gov Rev'!A115</f>
        <v>Castalia</v>
      </c>
      <c r="AN115" s="15" t="str">
        <f t="shared" si="31"/>
        <v>Castalia</v>
      </c>
      <c r="AO115" s="15" t="b">
        <f t="shared" si="32"/>
        <v>1</v>
      </c>
    </row>
    <row r="116" spans="1:41" ht="12.75">
      <c r="A116" s="15" t="s">
        <v>51</v>
      </c>
      <c r="C116" s="15" t="s">
        <v>762</v>
      </c>
      <c r="D116" s="28"/>
      <c r="E116" s="95">
        <v>2000</v>
      </c>
      <c r="F116" s="95"/>
      <c r="G116" s="95">
        <v>0</v>
      </c>
      <c r="H116" s="95"/>
      <c r="I116" s="95">
        <v>2812</v>
      </c>
      <c r="J116" s="95"/>
      <c r="K116" s="95">
        <v>2273.8</v>
      </c>
      <c r="L116" s="95"/>
      <c r="M116" s="95">
        <v>13855.21</v>
      </c>
      <c r="N116" s="95"/>
      <c r="O116" s="95">
        <v>734.06</v>
      </c>
      <c r="P116" s="95"/>
      <c r="Q116" s="95">
        <v>12939.6</v>
      </c>
      <c r="R116" s="95"/>
      <c r="S116" s="95">
        <v>0</v>
      </c>
      <c r="T116" s="95"/>
      <c r="U116" s="95">
        <v>0</v>
      </c>
      <c r="V116" s="95"/>
      <c r="W116" s="95">
        <v>0</v>
      </c>
      <c r="X116" s="95"/>
      <c r="Y116" s="95">
        <v>0</v>
      </c>
      <c r="Z116" s="95"/>
      <c r="AA116" s="95">
        <v>0</v>
      </c>
      <c r="AB116" s="95"/>
      <c r="AC116" s="95">
        <v>0</v>
      </c>
      <c r="AD116" s="95"/>
      <c r="AE116" s="95">
        <f aca="true" t="shared" si="40" ref="AE116:AE117">SUM(E116:AC116)</f>
        <v>34614.67</v>
      </c>
      <c r="AF116" s="95"/>
      <c r="AG116" s="95">
        <v>-4594.29</v>
      </c>
      <c r="AH116" s="95"/>
      <c r="AI116" s="95">
        <v>96057.23</v>
      </c>
      <c r="AJ116" s="95"/>
      <c r="AK116" s="95">
        <v>91462.94</v>
      </c>
      <c r="AL116" s="39">
        <f>+'Gov Rev'!AI116-'Gov Exp'!AE116+'Gov Exp'!AI116-'Gov Exp'!AK116</f>
        <v>0</v>
      </c>
      <c r="AM116" s="15" t="str">
        <f>'Gov Rev'!A116</f>
        <v>Castine</v>
      </c>
      <c r="AN116" s="15" t="str">
        <f t="shared" si="31"/>
        <v>Castine</v>
      </c>
      <c r="AO116" s="15" t="b">
        <f t="shared" si="32"/>
        <v>1</v>
      </c>
    </row>
    <row r="117" spans="1:41" ht="12.75">
      <c r="A117" s="15" t="s">
        <v>34</v>
      </c>
      <c r="C117" s="15" t="s">
        <v>755</v>
      </c>
      <c r="D117" s="28"/>
      <c r="E117" s="95">
        <v>16572.8</v>
      </c>
      <c r="F117" s="95"/>
      <c r="G117" s="95">
        <v>0</v>
      </c>
      <c r="H117" s="95"/>
      <c r="I117" s="95">
        <v>150</v>
      </c>
      <c r="J117" s="95"/>
      <c r="K117" s="95">
        <v>0</v>
      </c>
      <c r="L117" s="95"/>
      <c r="M117" s="95">
        <v>0</v>
      </c>
      <c r="N117" s="95"/>
      <c r="O117" s="95">
        <v>7414.99</v>
      </c>
      <c r="P117" s="95"/>
      <c r="Q117" s="95">
        <v>28637.15</v>
      </c>
      <c r="R117" s="95"/>
      <c r="S117" s="95">
        <v>0</v>
      </c>
      <c r="T117" s="95"/>
      <c r="U117" s="95">
        <v>0</v>
      </c>
      <c r="V117" s="95"/>
      <c r="W117" s="95">
        <v>0</v>
      </c>
      <c r="X117" s="95"/>
      <c r="Y117" s="95">
        <v>0</v>
      </c>
      <c r="Z117" s="95"/>
      <c r="AA117" s="95">
        <v>0</v>
      </c>
      <c r="AB117" s="95"/>
      <c r="AC117" s="95">
        <v>9529.87</v>
      </c>
      <c r="AD117" s="95"/>
      <c r="AE117" s="95">
        <f t="shared" si="40"/>
        <v>62304.810000000005</v>
      </c>
      <c r="AF117" s="95"/>
      <c r="AG117" s="95">
        <v>7427.21</v>
      </c>
      <c r="AH117" s="95"/>
      <c r="AI117" s="95">
        <v>75431.74</v>
      </c>
      <c r="AJ117" s="95"/>
      <c r="AK117" s="95">
        <v>82858.95</v>
      </c>
      <c r="AL117" s="39">
        <f>+'Gov Rev'!AI117-'Gov Exp'!AE117+'Gov Exp'!AI117-'Gov Exp'!AK117</f>
        <v>0</v>
      </c>
      <c r="AM117" s="15" t="str">
        <f>'Gov Rev'!A117</f>
        <v>Catawba</v>
      </c>
      <c r="AN117" s="15" t="str">
        <f t="shared" si="31"/>
        <v>Catawba</v>
      </c>
      <c r="AO117" s="15" t="b">
        <f t="shared" si="32"/>
        <v>1</v>
      </c>
    </row>
    <row r="118" spans="1:41" s="24" customFormat="1" ht="12.75">
      <c r="A118" s="24" t="s">
        <v>182</v>
      </c>
      <c r="C118" s="24" t="s">
        <v>803</v>
      </c>
      <c r="D118" s="73"/>
      <c r="E118" s="36">
        <v>1396.46</v>
      </c>
      <c r="F118" s="36"/>
      <c r="G118" s="36">
        <v>69</v>
      </c>
      <c r="H118" s="36"/>
      <c r="I118" s="36">
        <v>331.18</v>
      </c>
      <c r="J118" s="36"/>
      <c r="K118" s="36">
        <v>0</v>
      </c>
      <c r="L118" s="36"/>
      <c r="M118" s="36">
        <v>0</v>
      </c>
      <c r="N118" s="36"/>
      <c r="O118" s="36">
        <v>6857.47</v>
      </c>
      <c r="P118" s="36"/>
      <c r="Q118" s="36">
        <v>19719.55</v>
      </c>
      <c r="R118" s="36"/>
      <c r="S118" s="36">
        <v>0</v>
      </c>
      <c r="T118" s="36"/>
      <c r="U118" s="36">
        <v>4986.09</v>
      </c>
      <c r="V118" s="36"/>
      <c r="W118" s="36">
        <v>2212.51</v>
      </c>
      <c r="X118" s="36"/>
      <c r="Y118" s="36">
        <v>0</v>
      </c>
      <c r="Z118" s="36"/>
      <c r="AA118" s="36">
        <v>0</v>
      </c>
      <c r="AB118" s="36"/>
      <c r="AC118" s="36">
        <v>0</v>
      </c>
      <c r="AD118" s="36"/>
      <c r="AE118" s="36">
        <f aca="true" t="shared" si="41" ref="AE118">SUM(E118:AC118)</f>
        <v>35572.26</v>
      </c>
      <c r="AF118" s="36"/>
      <c r="AG118" s="36">
        <v>3756.35</v>
      </c>
      <c r="AH118" s="36"/>
      <c r="AI118" s="36">
        <v>59366.08</v>
      </c>
      <c r="AJ118" s="36"/>
      <c r="AK118" s="36">
        <v>63122.43</v>
      </c>
      <c r="AL118" s="39">
        <f>+'Gov Rev'!AI118-'Gov Exp'!AE118+'Gov Exp'!AI118-'Gov Exp'!AK118</f>
        <v>0</v>
      </c>
      <c r="AM118" s="15" t="str">
        <f>'Gov Rev'!A118</f>
        <v>Cecil</v>
      </c>
      <c r="AN118" s="15" t="str">
        <f t="shared" si="31"/>
        <v>Cecil</v>
      </c>
      <c r="AO118" s="15" t="b">
        <f t="shared" si="32"/>
        <v>1</v>
      </c>
    </row>
    <row r="119" spans="1:41" ht="12.75">
      <c r="A119" s="15" t="s">
        <v>370</v>
      </c>
      <c r="C119" s="15" t="s">
        <v>371</v>
      </c>
      <c r="E119" s="24">
        <v>367761</v>
      </c>
      <c r="G119" s="24">
        <v>2647</v>
      </c>
      <c r="I119" s="24">
        <v>22285</v>
      </c>
      <c r="K119" s="24">
        <v>8011</v>
      </c>
      <c r="M119" s="24">
        <v>322</v>
      </c>
      <c r="O119" s="24">
        <v>146859</v>
      </c>
      <c r="Q119" s="24">
        <v>339742</v>
      </c>
      <c r="S119" s="24">
        <v>7054</v>
      </c>
      <c r="U119" s="24">
        <v>0</v>
      </c>
      <c r="W119" s="24">
        <v>0</v>
      </c>
      <c r="Y119" s="24">
        <v>355000</v>
      </c>
      <c r="AA119" s="24">
        <v>0</v>
      </c>
      <c r="AC119" s="24">
        <v>0</v>
      </c>
      <c r="AE119" s="24">
        <f t="shared" si="28"/>
        <v>1249681</v>
      </c>
      <c r="AF119" s="24"/>
      <c r="AG119" s="24">
        <v>96020</v>
      </c>
      <c r="AH119" s="24"/>
      <c r="AI119" s="24">
        <v>394268</v>
      </c>
      <c r="AJ119" s="24"/>
      <c r="AK119" s="24">
        <v>490288</v>
      </c>
      <c r="AL119" s="39">
        <f>+'Gov Rev'!AI119-'Gov Exp'!AE119+'Gov Exp'!AI119-'Gov Exp'!AK119</f>
        <v>-149809</v>
      </c>
      <c r="AM119" s="15" t="str">
        <f>'Gov Rev'!A119</f>
        <v>Cedarville</v>
      </c>
      <c r="AN119" s="15" t="str">
        <f t="shared" si="31"/>
        <v>Cedarville</v>
      </c>
      <c r="AO119" s="15" t="b">
        <f t="shared" si="32"/>
        <v>1</v>
      </c>
    </row>
    <row r="120" spans="1:41" ht="12.75">
      <c r="A120" s="15" t="s">
        <v>121</v>
      </c>
      <c r="C120" s="15" t="s">
        <v>782</v>
      </c>
      <c r="D120" s="28"/>
      <c r="E120" s="36">
        <v>207127.86</v>
      </c>
      <c r="F120" s="36"/>
      <c r="G120" s="36">
        <v>0.86</v>
      </c>
      <c r="H120" s="36"/>
      <c r="I120" s="36">
        <v>0</v>
      </c>
      <c r="J120" s="36"/>
      <c r="K120" s="36">
        <v>19935</v>
      </c>
      <c r="L120" s="36"/>
      <c r="M120" s="36">
        <v>0</v>
      </c>
      <c r="N120" s="36"/>
      <c r="O120" s="36">
        <v>210778.92</v>
      </c>
      <c r="P120" s="36"/>
      <c r="Q120" s="36">
        <v>238158.44</v>
      </c>
      <c r="R120" s="36"/>
      <c r="S120" s="36">
        <v>21116</v>
      </c>
      <c r="T120" s="36"/>
      <c r="U120" s="36">
        <v>11595.31</v>
      </c>
      <c r="V120" s="36"/>
      <c r="W120" s="36">
        <v>1787.88</v>
      </c>
      <c r="X120" s="36"/>
      <c r="Y120" s="36">
        <v>669.25</v>
      </c>
      <c r="Z120" s="36"/>
      <c r="AA120" s="36">
        <v>0</v>
      </c>
      <c r="AB120" s="36"/>
      <c r="AC120" s="36">
        <v>0</v>
      </c>
      <c r="AD120" s="36"/>
      <c r="AE120" s="36">
        <f aca="true" t="shared" si="42" ref="AE120:AE121">SUM(E120:AC120)</f>
        <v>711169.5200000001</v>
      </c>
      <c r="AF120" s="36"/>
      <c r="AG120" s="36">
        <v>-41926.8</v>
      </c>
      <c r="AH120" s="36"/>
      <c r="AI120" s="36">
        <v>479013.76</v>
      </c>
      <c r="AJ120" s="36"/>
      <c r="AK120" s="36">
        <v>437086.96</v>
      </c>
      <c r="AL120" s="39">
        <f>+'Gov Rev'!AI120-'Gov Exp'!AE120+'Gov Exp'!AI120-'Gov Exp'!AK120</f>
        <v>0</v>
      </c>
      <c r="AM120" s="15" t="str">
        <f>'Gov Rev'!A120</f>
        <v>Centerburg</v>
      </c>
      <c r="AN120" s="15" t="str">
        <f t="shared" si="31"/>
        <v>Centerburg</v>
      </c>
      <c r="AO120" s="15" t="b">
        <f t="shared" si="32"/>
        <v>1</v>
      </c>
    </row>
    <row r="121" spans="1:41" ht="12.75">
      <c r="A121" s="15" t="s">
        <v>839</v>
      </c>
      <c r="C121" s="15" t="s">
        <v>770</v>
      </c>
      <c r="D121" s="28"/>
      <c r="E121" s="36">
        <v>29630.4</v>
      </c>
      <c r="F121" s="36"/>
      <c r="G121" s="36">
        <v>0</v>
      </c>
      <c r="H121" s="36"/>
      <c r="I121" s="36">
        <v>0</v>
      </c>
      <c r="J121" s="36"/>
      <c r="K121" s="36">
        <v>9000</v>
      </c>
      <c r="L121" s="36"/>
      <c r="M121" s="36">
        <v>0</v>
      </c>
      <c r="N121" s="36"/>
      <c r="O121" s="36">
        <v>7750</v>
      </c>
      <c r="P121" s="36"/>
      <c r="Q121" s="36">
        <v>33427.98</v>
      </c>
      <c r="R121" s="36"/>
      <c r="S121" s="36">
        <v>0</v>
      </c>
      <c r="T121" s="36"/>
      <c r="U121" s="36">
        <v>4040.85</v>
      </c>
      <c r="V121" s="36"/>
      <c r="W121" s="36">
        <v>1711.73</v>
      </c>
      <c r="X121" s="36"/>
      <c r="Y121" s="36">
        <v>0</v>
      </c>
      <c r="Z121" s="36"/>
      <c r="AA121" s="36">
        <v>6000</v>
      </c>
      <c r="AB121" s="36"/>
      <c r="AC121" s="36">
        <v>0</v>
      </c>
      <c r="AD121" s="36"/>
      <c r="AE121" s="36">
        <f t="shared" si="42"/>
        <v>91560.96</v>
      </c>
      <c r="AF121" s="36"/>
      <c r="AG121" s="36">
        <v>5939.4</v>
      </c>
      <c r="AH121" s="36"/>
      <c r="AI121" s="36">
        <v>13061.46</v>
      </c>
      <c r="AJ121" s="36"/>
      <c r="AK121" s="36">
        <v>19000.86</v>
      </c>
      <c r="AL121" s="39">
        <f>+'Gov Rev'!AI121-'Gov Exp'!AE121+'Gov Exp'!AI121-'Gov Exp'!AK121</f>
        <v>0</v>
      </c>
      <c r="AM121" s="15" t="str">
        <f>'Gov Rev'!A121</f>
        <v>Centerville</v>
      </c>
      <c r="AN121" s="15" t="str">
        <f t="shared" si="31"/>
        <v>Centerville</v>
      </c>
      <c r="AO121" s="15" t="b">
        <f t="shared" si="32"/>
        <v>1</v>
      </c>
    </row>
    <row r="122" spans="1:41" ht="12.6" customHeight="1">
      <c r="A122" s="15" t="s">
        <v>319</v>
      </c>
      <c r="C122" s="15" t="s">
        <v>316</v>
      </c>
      <c r="E122" s="24">
        <v>2517446</v>
      </c>
      <c r="G122" s="24">
        <v>423327</v>
      </c>
      <c r="I122" s="24">
        <v>70858</v>
      </c>
      <c r="K122" s="24">
        <v>199241</v>
      </c>
      <c r="M122" s="24">
        <v>369701</v>
      </c>
      <c r="O122" s="24">
        <v>880358</v>
      </c>
      <c r="Q122" s="24">
        <v>1231535</v>
      </c>
      <c r="S122" s="24">
        <v>414541</v>
      </c>
      <c r="U122" s="24">
        <v>517339</v>
      </c>
      <c r="W122" s="24">
        <v>106678</v>
      </c>
      <c r="Y122" s="24">
        <v>893658</v>
      </c>
      <c r="AA122" s="24">
        <v>75000</v>
      </c>
      <c r="AC122" s="24">
        <v>3900</v>
      </c>
      <c r="AE122" s="24">
        <f t="shared" si="28"/>
        <v>7703582</v>
      </c>
      <c r="AF122" s="24"/>
      <c r="AG122" s="24">
        <v>238848</v>
      </c>
      <c r="AH122" s="24"/>
      <c r="AI122" s="24">
        <v>3181078</v>
      </c>
      <c r="AJ122" s="24"/>
      <c r="AK122" s="24">
        <v>3419926</v>
      </c>
      <c r="AL122" s="39">
        <f>+'Gov Rev'!AI122-'Gov Exp'!AE122+'Gov Exp'!AI122-'Gov Exp'!AK122</f>
        <v>0</v>
      </c>
      <c r="AM122" s="15" t="str">
        <f>'Gov Rev'!A122</f>
        <v>Chagrin Falls</v>
      </c>
      <c r="AN122" s="15" t="str">
        <f t="shared" si="31"/>
        <v>Chagrin Falls</v>
      </c>
      <c r="AO122" s="15" t="b">
        <f t="shared" si="32"/>
        <v>1</v>
      </c>
    </row>
    <row r="123" spans="1:41" s="31" customFormat="1" ht="12.6" customHeight="1">
      <c r="A123" s="15" t="s">
        <v>311</v>
      </c>
      <c r="B123" s="15"/>
      <c r="C123" s="15" t="s">
        <v>312</v>
      </c>
      <c r="D123" s="15"/>
      <c r="E123" s="24">
        <v>4421</v>
      </c>
      <c r="F123" s="24"/>
      <c r="G123" s="24">
        <v>705</v>
      </c>
      <c r="H123" s="24"/>
      <c r="I123" s="24">
        <v>0</v>
      </c>
      <c r="J123" s="24"/>
      <c r="K123" s="24">
        <v>0</v>
      </c>
      <c r="L123" s="24"/>
      <c r="M123" s="24">
        <v>2975</v>
      </c>
      <c r="N123" s="24"/>
      <c r="O123" s="24">
        <v>3363</v>
      </c>
      <c r="P123" s="24"/>
      <c r="Q123" s="24">
        <v>11415</v>
      </c>
      <c r="R123" s="24"/>
      <c r="S123" s="24">
        <v>0</v>
      </c>
      <c r="T123" s="24"/>
      <c r="U123" s="24">
        <v>0</v>
      </c>
      <c r="V123" s="24"/>
      <c r="W123" s="24">
        <v>0</v>
      </c>
      <c r="X123" s="24"/>
      <c r="Y123" s="24">
        <v>0</v>
      </c>
      <c r="Z123" s="24"/>
      <c r="AA123" s="24">
        <v>0</v>
      </c>
      <c r="AB123" s="24"/>
      <c r="AC123" s="24">
        <v>0</v>
      </c>
      <c r="AD123" s="24"/>
      <c r="AE123" s="24">
        <f t="shared" si="28"/>
        <v>22879</v>
      </c>
      <c r="AF123" s="24"/>
      <c r="AG123" s="24"/>
      <c r="AH123" s="24"/>
      <c r="AI123" s="24">
        <f>28255+45470</f>
        <v>73725</v>
      </c>
      <c r="AJ123" s="24"/>
      <c r="AK123" s="24">
        <f>26196+45961</f>
        <v>72157</v>
      </c>
      <c r="AL123" s="39">
        <f>+'Gov Rev'!AI123-'Gov Exp'!AE123+'Gov Exp'!AI123-'Gov Exp'!AK123</f>
        <v>0</v>
      </c>
      <c r="AM123" s="15" t="str">
        <f>'Gov Rev'!A123</f>
        <v>Chatfield</v>
      </c>
      <c r="AN123" s="15" t="str">
        <f t="shared" si="31"/>
        <v>Chatfield</v>
      </c>
      <c r="AO123" s="15" t="b">
        <f t="shared" si="32"/>
        <v>1</v>
      </c>
    </row>
    <row r="124" spans="1:41" ht="12.6" customHeight="1">
      <c r="A124" s="15" t="s">
        <v>273</v>
      </c>
      <c r="C124" s="15" t="s">
        <v>271</v>
      </c>
      <c r="E124" s="36">
        <v>8281.65</v>
      </c>
      <c r="F124" s="36"/>
      <c r="G124" s="36">
        <v>0</v>
      </c>
      <c r="H124" s="36"/>
      <c r="I124" s="36">
        <v>0</v>
      </c>
      <c r="J124" s="36"/>
      <c r="K124" s="36">
        <v>0</v>
      </c>
      <c r="L124" s="36"/>
      <c r="M124" s="36">
        <v>0</v>
      </c>
      <c r="N124" s="36"/>
      <c r="O124" s="36">
        <v>99662.28</v>
      </c>
      <c r="P124" s="36"/>
      <c r="Q124" s="36">
        <v>78261.5</v>
      </c>
      <c r="R124" s="36"/>
      <c r="S124" s="36">
        <v>132247</v>
      </c>
      <c r="T124" s="36"/>
      <c r="U124" s="36">
        <v>0</v>
      </c>
      <c r="V124" s="36"/>
      <c r="W124" s="36">
        <v>0</v>
      </c>
      <c r="X124" s="36"/>
      <c r="Y124" s="36">
        <v>0</v>
      </c>
      <c r="Z124" s="36"/>
      <c r="AA124" s="36">
        <v>0</v>
      </c>
      <c r="AB124" s="36"/>
      <c r="AC124" s="36">
        <v>0</v>
      </c>
      <c r="AD124" s="36"/>
      <c r="AE124" s="36">
        <f aca="true" t="shared" si="43" ref="AE124">SUM(E124:AC124)</f>
        <v>318452.43</v>
      </c>
      <c r="AF124" s="36"/>
      <c r="AG124" s="36">
        <v>-45364.45</v>
      </c>
      <c r="AH124" s="36"/>
      <c r="AI124" s="36">
        <v>97157.68</v>
      </c>
      <c r="AJ124" s="36"/>
      <c r="AK124" s="36">
        <v>51793.23</v>
      </c>
      <c r="AL124" s="39">
        <f>+'Gov Rev'!AI124-'Gov Exp'!AE124+'Gov Exp'!AI124-'Gov Exp'!AK124</f>
        <v>0</v>
      </c>
      <c r="AM124" s="15" t="str">
        <f>'Gov Rev'!A124</f>
        <v>Chauncey</v>
      </c>
      <c r="AN124" s="15" t="str">
        <f t="shared" si="31"/>
        <v>Chauncey</v>
      </c>
      <c r="AO124" s="15" t="b">
        <f t="shared" si="32"/>
        <v>1</v>
      </c>
    </row>
    <row r="125" spans="1:41" s="31" customFormat="1" ht="12.75">
      <c r="A125" s="15" t="s">
        <v>663</v>
      </c>
      <c r="B125" s="15"/>
      <c r="C125" s="15" t="s">
        <v>664</v>
      </c>
      <c r="D125" s="28"/>
      <c r="E125" s="24">
        <v>1456</v>
      </c>
      <c r="F125" s="24"/>
      <c r="G125" s="24">
        <v>0</v>
      </c>
      <c r="H125" s="24"/>
      <c r="I125" s="24">
        <v>0</v>
      </c>
      <c r="J125" s="24"/>
      <c r="K125" s="24">
        <v>400</v>
      </c>
      <c r="L125" s="24"/>
      <c r="M125" s="24">
        <f>2583+2136</f>
        <v>4719</v>
      </c>
      <c r="N125" s="24"/>
      <c r="O125" s="24">
        <v>0</v>
      </c>
      <c r="P125" s="24"/>
      <c r="Q125" s="24">
        <f>20472+4204</f>
        <v>24676</v>
      </c>
      <c r="R125" s="24"/>
      <c r="S125" s="24">
        <v>0</v>
      </c>
      <c r="T125" s="24"/>
      <c r="U125" s="24">
        <v>0</v>
      </c>
      <c r="V125" s="24"/>
      <c r="W125" s="24">
        <v>0</v>
      </c>
      <c r="X125" s="24"/>
      <c r="Y125" s="24">
        <v>0</v>
      </c>
      <c r="Z125" s="24"/>
      <c r="AA125" s="24">
        <v>0</v>
      </c>
      <c r="AB125" s="24"/>
      <c r="AC125" s="24">
        <v>0</v>
      </c>
      <c r="AD125" s="80"/>
      <c r="AE125" s="24">
        <f t="shared" si="28"/>
        <v>31251</v>
      </c>
      <c r="AF125" s="24"/>
      <c r="AG125" s="24"/>
      <c r="AH125" s="24"/>
      <c r="AI125" s="24">
        <f>22494+11289</f>
        <v>33783</v>
      </c>
      <c r="AJ125" s="24"/>
      <c r="AK125" s="24">
        <f>5664+14389</f>
        <v>20053</v>
      </c>
      <c r="AL125" s="39">
        <f>+'Gov Rev'!AI125-'Gov Exp'!AE125+'Gov Exp'!AI125-'Gov Exp'!AK125</f>
        <v>-3387</v>
      </c>
      <c r="AM125" s="15" t="str">
        <f>'Gov Rev'!A125</f>
        <v>Cherry Fork</v>
      </c>
      <c r="AN125" s="15" t="str">
        <f t="shared" si="31"/>
        <v>Cherry Fork</v>
      </c>
      <c r="AO125" s="15" t="b">
        <f t="shared" si="32"/>
        <v>1</v>
      </c>
    </row>
    <row r="126" spans="1:41" s="31" customFormat="1" ht="12.75">
      <c r="A126" s="15" t="s">
        <v>436</v>
      </c>
      <c r="B126" s="15"/>
      <c r="C126" s="15" t="s">
        <v>437</v>
      </c>
      <c r="D126" s="15"/>
      <c r="E126" s="36">
        <v>140202.58</v>
      </c>
      <c r="F126" s="36"/>
      <c r="G126" s="36">
        <v>0</v>
      </c>
      <c r="H126" s="36"/>
      <c r="I126" s="36">
        <v>1751.07</v>
      </c>
      <c r="J126" s="36"/>
      <c r="K126" s="36">
        <v>0</v>
      </c>
      <c r="L126" s="36"/>
      <c r="M126" s="36">
        <v>0</v>
      </c>
      <c r="N126" s="36"/>
      <c r="O126" s="36">
        <v>69542.75</v>
      </c>
      <c r="P126" s="36"/>
      <c r="Q126" s="36">
        <v>94447.07</v>
      </c>
      <c r="R126" s="36"/>
      <c r="S126" s="36">
        <v>169648.57</v>
      </c>
      <c r="T126" s="36"/>
      <c r="U126" s="36">
        <v>17130.81</v>
      </c>
      <c r="V126" s="36"/>
      <c r="W126" s="36">
        <v>3939.15</v>
      </c>
      <c r="X126" s="36"/>
      <c r="Y126" s="36">
        <v>10000</v>
      </c>
      <c r="Z126" s="36"/>
      <c r="AA126" s="36">
        <v>0</v>
      </c>
      <c r="AB126" s="36"/>
      <c r="AC126" s="36">
        <v>5979.55</v>
      </c>
      <c r="AD126" s="36"/>
      <c r="AE126" s="36">
        <f aca="true" t="shared" si="44" ref="AE126:AE127">SUM(E126:AC126)</f>
        <v>512641.55</v>
      </c>
      <c r="AF126" s="36"/>
      <c r="AG126" s="36">
        <v>-16609.04</v>
      </c>
      <c r="AH126" s="36"/>
      <c r="AI126" s="36">
        <v>130478.31</v>
      </c>
      <c r="AJ126" s="36"/>
      <c r="AK126" s="36">
        <v>113869.27</v>
      </c>
      <c r="AL126" s="39">
        <f>+'Gov Rev'!AI126-'Gov Exp'!AE126+'Gov Exp'!AI126-'Gov Exp'!AK126</f>
        <v>0</v>
      </c>
      <c r="AM126" s="15" t="str">
        <f>'Gov Rev'!A126</f>
        <v>Chesapeake</v>
      </c>
      <c r="AN126" s="15" t="str">
        <f t="shared" si="31"/>
        <v>Chesapeake</v>
      </c>
      <c r="AO126" s="15" t="b">
        <f t="shared" si="32"/>
        <v>1</v>
      </c>
    </row>
    <row r="127" spans="1:41" s="31" customFormat="1" ht="12.75">
      <c r="A127" s="15" t="s">
        <v>79</v>
      </c>
      <c r="B127" s="15"/>
      <c r="C127" s="15" t="s">
        <v>770</v>
      </c>
      <c r="D127" s="28"/>
      <c r="E127" s="36">
        <v>12873.6</v>
      </c>
      <c r="F127" s="36"/>
      <c r="G127" s="36">
        <v>0</v>
      </c>
      <c r="H127" s="36"/>
      <c r="I127" s="36">
        <v>8800</v>
      </c>
      <c r="J127" s="36"/>
      <c r="K127" s="36">
        <v>400</v>
      </c>
      <c r="L127" s="36"/>
      <c r="M127" s="36">
        <v>0</v>
      </c>
      <c r="N127" s="36"/>
      <c r="O127" s="36">
        <v>5736.54</v>
      </c>
      <c r="P127" s="36"/>
      <c r="Q127" s="36">
        <v>63453.94</v>
      </c>
      <c r="R127" s="36"/>
      <c r="S127" s="36">
        <v>39293.57</v>
      </c>
      <c r="T127" s="36"/>
      <c r="U127" s="36">
        <v>0</v>
      </c>
      <c r="V127" s="36"/>
      <c r="W127" s="36">
        <v>0</v>
      </c>
      <c r="X127" s="36"/>
      <c r="Y127" s="36">
        <v>0</v>
      </c>
      <c r="Z127" s="36"/>
      <c r="AA127" s="36">
        <v>0</v>
      </c>
      <c r="AB127" s="36"/>
      <c r="AC127" s="36">
        <v>0</v>
      </c>
      <c r="AD127" s="36"/>
      <c r="AE127" s="36">
        <f t="shared" si="44"/>
        <v>130557.65</v>
      </c>
      <c r="AF127" s="36"/>
      <c r="AG127" s="36">
        <v>9383.15</v>
      </c>
      <c r="AH127" s="36"/>
      <c r="AI127" s="36">
        <v>106728.31</v>
      </c>
      <c r="AJ127" s="36"/>
      <c r="AK127" s="36">
        <v>116111.46</v>
      </c>
      <c r="AL127" s="39">
        <f>+'Gov Rev'!AI127-'Gov Exp'!AE127+'Gov Exp'!AI127-'Gov Exp'!AK127</f>
        <v>0</v>
      </c>
      <c r="AM127" s="15" t="str">
        <f>'Gov Rev'!A127</f>
        <v>Cheshire</v>
      </c>
      <c r="AN127" s="15" t="str">
        <f t="shared" si="31"/>
        <v>Cheshire</v>
      </c>
      <c r="AO127" s="15" t="b">
        <f t="shared" si="32"/>
        <v>1</v>
      </c>
    </row>
    <row r="128" spans="1:41" ht="12.75" hidden="1">
      <c r="A128" s="15" t="s">
        <v>896</v>
      </c>
      <c r="C128" s="15" t="s">
        <v>897</v>
      </c>
      <c r="D128" s="28"/>
      <c r="AE128" s="24">
        <f t="shared" si="28"/>
        <v>0</v>
      </c>
      <c r="AF128" s="24"/>
      <c r="AG128" s="24"/>
      <c r="AH128" s="24"/>
      <c r="AI128" s="24"/>
      <c r="AJ128" s="24"/>
      <c r="AK128" s="24"/>
      <c r="AL128" s="39">
        <f>+'Gov Rev'!AI128-'Gov Exp'!AE128+'Gov Exp'!AI128-'Gov Exp'!AK128</f>
        <v>0</v>
      </c>
      <c r="AM128" s="15" t="str">
        <f>'Gov Rev'!A128</f>
        <v>Chesterhill</v>
      </c>
      <c r="AN128" s="15" t="str">
        <f t="shared" si="31"/>
        <v>Chesterhill</v>
      </c>
      <c r="AO128" s="15" t="b">
        <f t="shared" si="32"/>
        <v>1</v>
      </c>
    </row>
    <row r="129" spans="1:41" ht="12.75">
      <c r="A129" s="15" t="s">
        <v>171</v>
      </c>
      <c r="C129" s="15" t="s">
        <v>799</v>
      </c>
      <c r="D129" s="28"/>
      <c r="E129" s="95">
        <v>8204.35</v>
      </c>
      <c r="F129" s="95"/>
      <c r="G129" s="95">
        <v>794.87</v>
      </c>
      <c r="H129" s="95"/>
      <c r="I129" s="95">
        <v>320.4</v>
      </c>
      <c r="J129" s="95"/>
      <c r="K129" s="95">
        <v>2322.8</v>
      </c>
      <c r="L129" s="95"/>
      <c r="M129" s="95">
        <v>0</v>
      </c>
      <c r="N129" s="95"/>
      <c r="O129" s="95">
        <v>3869.52</v>
      </c>
      <c r="P129" s="95"/>
      <c r="Q129" s="95">
        <v>36914.78</v>
      </c>
      <c r="R129" s="95"/>
      <c r="S129" s="95">
        <v>4996.99</v>
      </c>
      <c r="T129" s="95"/>
      <c r="U129" s="95">
        <v>0</v>
      </c>
      <c r="V129" s="95"/>
      <c r="W129" s="95">
        <v>0</v>
      </c>
      <c r="X129" s="95"/>
      <c r="Y129" s="95">
        <v>8000</v>
      </c>
      <c r="Z129" s="95"/>
      <c r="AA129" s="95">
        <v>0</v>
      </c>
      <c r="AB129" s="95"/>
      <c r="AC129" s="95">
        <v>344</v>
      </c>
      <c r="AD129" s="95"/>
      <c r="AE129" s="95">
        <f aca="true" t="shared" si="45" ref="AE129">SUM(E129:AC129)</f>
        <v>65767.70999999999</v>
      </c>
      <c r="AF129" s="95"/>
      <c r="AG129" s="95">
        <v>-6259.58</v>
      </c>
      <c r="AH129" s="95"/>
      <c r="AI129" s="95">
        <v>48162.04</v>
      </c>
      <c r="AJ129" s="95"/>
      <c r="AK129" s="95">
        <v>41902.46</v>
      </c>
      <c r="AL129" s="39">
        <f>+'Gov Rev'!AI129-'Gov Exp'!AE129+'Gov Exp'!AI129-'Gov Exp'!AK129</f>
        <v>0</v>
      </c>
      <c r="AM129" s="15" t="str">
        <f>'Gov Rev'!A129</f>
        <v>Chesterville</v>
      </c>
      <c r="AN129" s="15" t="str">
        <f t="shared" si="31"/>
        <v>Chesterville</v>
      </c>
      <c r="AO129" s="15" t="b">
        <f t="shared" si="32"/>
        <v>1</v>
      </c>
    </row>
    <row r="130" spans="1:41" ht="12.75">
      <c r="A130" s="15" t="s">
        <v>851</v>
      </c>
      <c r="C130" s="15" t="s">
        <v>794</v>
      </c>
      <c r="D130" s="28"/>
      <c r="E130" s="36">
        <v>7738.32</v>
      </c>
      <c r="F130" s="36"/>
      <c r="G130" s="36">
        <v>2741.54</v>
      </c>
      <c r="H130" s="36"/>
      <c r="I130" s="36">
        <v>1527.04</v>
      </c>
      <c r="J130" s="36"/>
      <c r="K130" s="36">
        <v>516.4</v>
      </c>
      <c r="L130" s="36"/>
      <c r="M130" s="36">
        <v>4683.42</v>
      </c>
      <c r="N130" s="36"/>
      <c r="O130" s="36">
        <v>8899.91</v>
      </c>
      <c r="P130" s="36"/>
      <c r="Q130" s="36">
        <v>30465.3</v>
      </c>
      <c r="R130" s="36"/>
      <c r="S130" s="36">
        <v>464166.59</v>
      </c>
      <c r="T130" s="36"/>
      <c r="U130" s="36">
        <v>6612.26</v>
      </c>
      <c r="V130" s="36"/>
      <c r="W130" s="36">
        <v>0</v>
      </c>
      <c r="X130" s="36"/>
      <c r="Y130" s="36">
        <v>0</v>
      </c>
      <c r="Z130" s="36"/>
      <c r="AA130" s="36">
        <v>0</v>
      </c>
      <c r="AB130" s="36"/>
      <c r="AC130" s="36">
        <v>24</v>
      </c>
      <c r="AD130" s="36"/>
      <c r="AE130" s="36">
        <f aca="true" t="shared" si="46" ref="AE130">SUM(E130:AC130)</f>
        <v>527374.78</v>
      </c>
      <c r="AF130" s="36"/>
      <c r="AG130" s="36">
        <v>32528.06</v>
      </c>
      <c r="AH130" s="36"/>
      <c r="AI130" s="36">
        <v>74236.13</v>
      </c>
      <c r="AJ130" s="36"/>
      <c r="AK130" s="36">
        <v>106764.19</v>
      </c>
      <c r="AL130" s="39">
        <f>+'Gov Rev'!AI130-'Gov Exp'!AE130+'Gov Exp'!AI130-'Gov Exp'!AK130</f>
        <v>0</v>
      </c>
      <c r="AM130" s="15" t="str">
        <f>'Gov Rev'!A130</f>
        <v>Chickasaw</v>
      </c>
      <c r="AN130" s="15" t="str">
        <f t="shared" si="31"/>
        <v>Chickasaw</v>
      </c>
      <c r="AO130" s="15" t="b">
        <f t="shared" si="32"/>
        <v>1</v>
      </c>
    </row>
    <row r="131" spans="1:41" ht="12.75">
      <c r="A131" s="15" t="s">
        <v>898</v>
      </c>
      <c r="C131" s="15" t="s">
        <v>295</v>
      </c>
      <c r="D131" s="28"/>
      <c r="E131" s="24">
        <v>4663</v>
      </c>
      <c r="G131" s="24">
        <v>0</v>
      </c>
      <c r="I131" s="24">
        <v>1520</v>
      </c>
      <c r="K131" s="24">
        <v>0</v>
      </c>
      <c r="M131" s="24">
        <v>3743</v>
      </c>
      <c r="O131" s="24">
        <v>137</v>
      </c>
      <c r="Q131" s="24">
        <v>8465</v>
      </c>
      <c r="S131" s="24">
        <v>0</v>
      </c>
      <c r="U131" s="24">
        <v>0</v>
      </c>
      <c r="W131" s="24">
        <v>0</v>
      </c>
      <c r="Y131" s="24">
        <v>0</v>
      </c>
      <c r="AA131" s="24">
        <v>0</v>
      </c>
      <c r="AC131" s="24">
        <v>0</v>
      </c>
      <c r="AE131" s="24">
        <f t="shared" si="28"/>
        <v>18528</v>
      </c>
      <c r="AF131" s="24"/>
      <c r="AG131" s="24"/>
      <c r="AH131" s="24"/>
      <c r="AI131" s="24">
        <f>6822+18111</f>
        <v>24933</v>
      </c>
      <c r="AJ131" s="24"/>
      <c r="AK131" s="24">
        <f>11189+22689</f>
        <v>33878</v>
      </c>
      <c r="AL131" s="39">
        <f>+'Gov Rev'!AI131-'Gov Exp'!AE131+'Gov Exp'!AI131-'Gov Exp'!AK131</f>
        <v>0</v>
      </c>
      <c r="AM131" s="15" t="str">
        <f>'Gov Rev'!A131</f>
        <v>Chilo</v>
      </c>
      <c r="AN131" s="15" t="str">
        <f t="shared" si="31"/>
        <v>Chilo</v>
      </c>
      <c r="AO131" s="15" t="b">
        <f t="shared" si="32"/>
        <v>1</v>
      </c>
    </row>
    <row r="132" spans="1:41" ht="12.75">
      <c r="A132" s="15" t="s">
        <v>152</v>
      </c>
      <c r="C132" s="15" t="s">
        <v>792</v>
      </c>
      <c r="D132" s="28"/>
      <c r="E132" s="95">
        <v>41740.67</v>
      </c>
      <c r="F132" s="95"/>
      <c r="G132" s="95">
        <v>0</v>
      </c>
      <c r="H132" s="95"/>
      <c r="I132" s="95">
        <v>25804.41</v>
      </c>
      <c r="J132" s="95"/>
      <c r="K132" s="95">
        <v>18688.93</v>
      </c>
      <c r="L132" s="95"/>
      <c r="M132" s="95">
        <v>20305</v>
      </c>
      <c r="N132" s="95"/>
      <c r="O132" s="95">
        <v>36396.1</v>
      </c>
      <c r="P132" s="95"/>
      <c r="Q132" s="95">
        <v>62255.49</v>
      </c>
      <c r="R132" s="95"/>
      <c r="S132" s="95">
        <v>0</v>
      </c>
      <c r="T132" s="95"/>
      <c r="U132" s="95">
        <v>0</v>
      </c>
      <c r="V132" s="95"/>
      <c r="W132" s="95">
        <v>0</v>
      </c>
      <c r="X132" s="95"/>
      <c r="Y132" s="95">
        <v>0</v>
      </c>
      <c r="Z132" s="95"/>
      <c r="AA132" s="95">
        <v>0</v>
      </c>
      <c r="AB132" s="95"/>
      <c r="AC132" s="95">
        <v>0</v>
      </c>
      <c r="AD132" s="95"/>
      <c r="AE132" s="95">
        <f aca="true" t="shared" si="47" ref="AE132:AE133">SUM(E132:AC132)</f>
        <v>205190.6</v>
      </c>
      <c r="AF132" s="95"/>
      <c r="AG132" s="95">
        <v>25416.44</v>
      </c>
      <c r="AH132" s="95"/>
      <c r="AI132" s="95">
        <v>157122.42</v>
      </c>
      <c r="AJ132" s="95"/>
      <c r="AK132" s="95">
        <v>182538.86</v>
      </c>
      <c r="AL132" s="39">
        <f>+'Gov Rev'!AI132-'Gov Exp'!AE132+'Gov Exp'!AI132-'Gov Exp'!AK132</f>
        <v>0</v>
      </c>
      <c r="AM132" s="15" t="str">
        <f>'Gov Rev'!A132</f>
        <v>Chippewa Lake</v>
      </c>
      <c r="AN132" s="15" t="str">
        <f t="shared" si="31"/>
        <v>Chippewa Lake</v>
      </c>
      <c r="AO132" s="15" t="b">
        <f t="shared" si="32"/>
        <v>1</v>
      </c>
    </row>
    <row r="133" spans="1:41" ht="12.75">
      <c r="A133" s="15" t="s">
        <v>32</v>
      </c>
      <c r="C133" s="15" t="s">
        <v>754</v>
      </c>
      <c r="D133" s="28"/>
      <c r="E133" s="95">
        <v>29202.96</v>
      </c>
      <c r="F133" s="95"/>
      <c r="G133" s="95">
        <v>0</v>
      </c>
      <c r="H133" s="95"/>
      <c r="I133" s="95">
        <v>13732.2</v>
      </c>
      <c r="J133" s="95"/>
      <c r="K133" s="95">
        <v>0</v>
      </c>
      <c r="L133" s="95"/>
      <c r="M133" s="95">
        <v>0</v>
      </c>
      <c r="N133" s="95"/>
      <c r="O133" s="95">
        <v>41243.13</v>
      </c>
      <c r="P133" s="95"/>
      <c r="Q133" s="95">
        <v>37083.09</v>
      </c>
      <c r="R133" s="95"/>
      <c r="S133" s="95">
        <v>0</v>
      </c>
      <c r="T133" s="95"/>
      <c r="U133" s="95">
        <v>0</v>
      </c>
      <c r="V133" s="95"/>
      <c r="W133" s="95">
        <v>0</v>
      </c>
      <c r="X133" s="95"/>
      <c r="Y133" s="95">
        <v>0</v>
      </c>
      <c r="Z133" s="95"/>
      <c r="AA133" s="95">
        <v>0</v>
      </c>
      <c r="AB133" s="95"/>
      <c r="AC133" s="95">
        <v>503.82</v>
      </c>
      <c r="AD133" s="95"/>
      <c r="AE133" s="95">
        <f t="shared" si="47"/>
        <v>121765.20000000001</v>
      </c>
      <c r="AF133" s="95"/>
      <c r="AG133" s="95">
        <v>-6161.22</v>
      </c>
      <c r="AH133" s="95"/>
      <c r="AI133" s="95">
        <v>262613.66</v>
      </c>
      <c r="AJ133" s="95"/>
      <c r="AK133" s="95">
        <v>256452.44</v>
      </c>
      <c r="AL133" s="39">
        <f>+'Gov Rev'!AI133-'Gov Exp'!AE133+'Gov Exp'!AI133-'Gov Exp'!AK133</f>
        <v>0</v>
      </c>
      <c r="AM133" s="15" t="str">
        <f>'Gov Rev'!A133</f>
        <v>Christiansburg</v>
      </c>
      <c r="AN133" s="15" t="str">
        <f t="shared" si="31"/>
        <v>Christiansburg</v>
      </c>
      <c r="AO133" s="15" t="b">
        <f t="shared" si="32"/>
        <v>1</v>
      </c>
    </row>
    <row r="134" spans="1:41" ht="12.75">
      <c r="A134" s="15" t="s">
        <v>211</v>
      </c>
      <c r="C134" s="15" t="s">
        <v>810</v>
      </c>
      <c r="D134" s="28"/>
      <c r="E134" s="36">
        <v>4744</v>
      </c>
      <c r="F134" s="36"/>
      <c r="G134" s="36">
        <v>0</v>
      </c>
      <c r="H134" s="36"/>
      <c r="I134" s="36">
        <v>1343.41</v>
      </c>
      <c r="J134" s="36"/>
      <c r="K134" s="36">
        <v>0</v>
      </c>
      <c r="L134" s="36"/>
      <c r="M134" s="36">
        <v>0</v>
      </c>
      <c r="N134" s="36"/>
      <c r="O134" s="36">
        <v>19899.39</v>
      </c>
      <c r="P134" s="36"/>
      <c r="Q134" s="36">
        <v>61578.87</v>
      </c>
      <c r="R134" s="36"/>
      <c r="S134" s="36">
        <v>31569.33</v>
      </c>
      <c r="T134" s="36"/>
      <c r="U134" s="36">
        <v>0</v>
      </c>
      <c r="V134" s="36"/>
      <c r="W134" s="36">
        <v>0</v>
      </c>
      <c r="X134" s="36"/>
      <c r="Y134" s="36">
        <v>0</v>
      </c>
      <c r="Z134" s="36"/>
      <c r="AA134" s="36">
        <v>0</v>
      </c>
      <c r="AB134" s="36"/>
      <c r="AC134" s="36">
        <v>0</v>
      </c>
      <c r="AD134" s="36"/>
      <c r="AE134" s="36">
        <f aca="true" t="shared" si="48" ref="AE134">SUM(E134:AC134)</f>
        <v>119135</v>
      </c>
      <c r="AF134" s="36"/>
      <c r="AG134" s="36">
        <v>-8941.12</v>
      </c>
      <c r="AH134" s="36"/>
      <c r="AI134" s="36">
        <v>125481.16</v>
      </c>
      <c r="AJ134" s="36"/>
      <c r="AK134" s="36">
        <v>116540.04</v>
      </c>
      <c r="AL134" s="39">
        <f>+'Gov Rev'!AI134-'Gov Exp'!AE134+'Gov Exp'!AI134-'Gov Exp'!AK134</f>
        <v>0</v>
      </c>
      <c r="AM134" s="15" t="str">
        <f>'Gov Rev'!A134</f>
        <v>Clarksburg</v>
      </c>
      <c r="AN134" s="15" t="str">
        <f t="shared" si="31"/>
        <v>Clarksburg</v>
      </c>
      <c r="AO134" s="15" t="b">
        <f t="shared" si="32"/>
        <v>1</v>
      </c>
    </row>
    <row r="135" spans="1:41" s="31" customFormat="1" ht="12.6" customHeight="1" hidden="1">
      <c r="A135" s="15" t="s">
        <v>300</v>
      </c>
      <c r="B135" s="15"/>
      <c r="C135" s="15" t="s">
        <v>299</v>
      </c>
      <c r="D135" s="15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24"/>
      <c r="Y135" s="24"/>
      <c r="Z135" s="24"/>
      <c r="AA135" s="24"/>
      <c r="AB135" s="24"/>
      <c r="AC135" s="24"/>
      <c r="AD135" s="24"/>
      <c r="AE135" s="24">
        <f t="shared" si="28"/>
        <v>0</v>
      </c>
      <c r="AF135" s="24"/>
      <c r="AG135" s="10"/>
      <c r="AH135" s="10"/>
      <c r="AI135" s="10"/>
      <c r="AJ135" s="10"/>
      <c r="AK135" s="10"/>
      <c r="AL135" s="39">
        <f>+'Gov Rev'!AI135-'Gov Exp'!AE135+'Gov Exp'!AI135-'Gov Exp'!AK135</f>
        <v>0</v>
      </c>
      <c r="AM135" s="15" t="str">
        <f>'Gov Rev'!A135</f>
        <v>Clarksville</v>
      </c>
      <c r="AN135" s="15" t="str">
        <f t="shared" si="31"/>
        <v>Clarksville</v>
      </c>
      <c r="AO135" s="15" t="b">
        <f t="shared" si="32"/>
        <v>1</v>
      </c>
    </row>
    <row r="136" spans="1:41" ht="12.75">
      <c r="A136" s="15" t="s">
        <v>179</v>
      </c>
      <c r="C136" s="15" t="s">
        <v>802</v>
      </c>
      <c r="D136" s="28"/>
      <c r="E136" s="36">
        <v>11774.43</v>
      </c>
      <c r="F136" s="36"/>
      <c r="G136" s="36">
        <v>0</v>
      </c>
      <c r="H136" s="36"/>
      <c r="I136" s="36">
        <v>8023.17</v>
      </c>
      <c r="J136" s="36"/>
      <c r="K136" s="36">
        <v>0</v>
      </c>
      <c r="L136" s="36"/>
      <c r="M136" s="36">
        <v>22150.58</v>
      </c>
      <c r="N136" s="36"/>
      <c r="O136" s="36">
        <v>20393.6</v>
      </c>
      <c r="P136" s="36"/>
      <c r="Q136" s="36">
        <v>42094.02</v>
      </c>
      <c r="R136" s="36"/>
      <c r="S136" s="36">
        <v>0</v>
      </c>
      <c r="T136" s="36"/>
      <c r="U136" s="36">
        <v>20570.25</v>
      </c>
      <c r="V136" s="36"/>
      <c r="W136" s="36">
        <v>680.09</v>
      </c>
      <c r="X136" s="36"/>
      <c r="Y136" s="36">
        <v>60000</v>
      </c>
      <c r="Z136" s="36"/>
      <c r="AA136" s="36">
        <v>0</v>
      </c>
      <c r="AB136" s="36"/>
      <c r="AC136" s="36">
        <v>0</v>
      </c>
      <c r="AD136" s="36"/>
      <c r="AE136" s="36">
        <f aca="true" t="shared" si="49" ref="AE136">SUM(E136:AC136)</f>
        <v>185686.13999999998</v>
      </c>
      <c r="AF136" s="36"/>
      <c r="AG136" s="36">
        <v>20583.86</v>
      </c>
      <c r="AH136" s="36"/>
      <c r="AI136" s="36">
        <v>272306.47</v>
      </c>
      <c r="AJ136" s="36"/>
      <c r="AK136" s="36">
        <v>292890.33</v>
      </c>
      <c r="AL136" s="39">
        <f>+'Gov Rev'!AI136-'Gov Exp'!AE136+'Gov Exp'!AI136-'Gov Exp'!AK136</f>
        <v>0</v>
      </c>
      <c r="AM136" s="15" t="str">
        <f>'Gov Rev'!A136</f>
        <v>Clay Center</v>
      </c>
      <c r="AN136" s="15" t="str">
        <f t="shared" si="31"/>
        <v>Clay Center</v>
      </c>
      <c r="AO136" s="15" t="b">
        <f t="shared" si="32"/>
        <v>1</v>
      </c>
    </row>
    <row r="137" spans="1:41" ht="12.75">
      <c r="A137" s="15" t="s">
        <v>852</v>
      </c>
      <c r="C137" s="15" t="s">
        <v>773</v>
      </c>
      <c r="D137" s="28"/>
      <c r="E137" s="95">
        <v>525231.07</v>
      </c>
      <c r="F137" s="95"/>
      <c r="G137" s="95">
        <v>2909.44</v>
      </c>
      <c r="H137" s="95"/>
      <c r="I137" s="95">
        <v>43469.72</v>
      </c>
      <c r="J137" s="95"/>
      <c r="K137" s="95">
        <v>17509.59</v>
      </c>
      <c r="L137" s="95"/>
      <c r="M137" s="95">
        <v>0</v>
      </c>
      <c r="N137" s="95"/>
      <c r="O137" s="95">
        <v>381256.41</v>
      </c>
      <c r="P137" s="95"/>
      <c r="Q137" s="95">
        <v>258418.32</v>
      </c>
      <c r="R137" s="95"/>
      <c r="S137" s="95">
        <v>763032.39</v>
      </c>
      <c r="T137" s="95"/>
      <c r="U137" s="95">
        <v>71223.4</v>
      </c>
      <c r="V137" s="95"/>
      <c r="W137" s="95">
        <v>14804.48</v>
      </c>
      <c r="X137" s="95"/>
      <c r="Y137" s="95">
        <v>6000</v>
      </c>
      <c r="Z137" s="95"/>
      <c r="AA137" s="95">
        <v>0</v>
      </c>
      <c r="AB137" s="95"/>
      <c r="AC137" s="95">
        <v>0</v>
      </c>
      <c r="AD137" s="95"/>
      <c r="AE137" s="95">
        <f aca="true" t="shared" si="50" ref="AE137">SUM(E137:AC137)</f>
        <v>2083854.8199999998</v>
      </c>
      <c r="AF137" s="95"/>
      <c r="AG137" s="95">
        <v>-278666.76</v>
      </c>
      <c r="AH137" s="95"/>
      <c r="AI137" s="95">
        <v>987553.12</v>
      </c>
      <c r="AJ137" s="95"/>
      <c r="AK137" s="95">
        <v>708886.36</v>
      </c>
      <c r="AL137" s="39">
        <f>+'Gov Rev'!AI137-'Gov Exp'!AE137+'Gov Exp'!AI137-'Gov Exp'!AK137</f>
        <v>0</v>
      </c>
      <c r="AM137" s="15" t="str">
        <f>'Gov Rev'!A137</f>
        <v>Cleves</v>
      </c>
      <c r="AN137" s="15" t="str">
        <f t="shared" si="31"/>
        <v>Cleves</v>
      </c>
      <c r="AO137" s="15" t="b">
        <f t="shared" si="32"/>
        <v>1</v>
      </c>
    </row>
    <row r="138" spans="1:41" s="31" customFormat="1" ht="12.75">
      <c r="A138" s="15" t="s">
        <v>372</v>
      </c>
      <c r="B138" s="15"/>
      <c r="C138" s="15" t="s">
        <v>373</v>
      </c>
      <c r="D138" s="15"/>
      <c r="E138" s="24">
        <v>3901</v>
      </c>
      <c r="F138" s="24"/>
      <c r="G138" s="24">
        <v>171</v>
      </c>
      <c r="H138" s="24"/>
      <c r="I138" s="24">
        <v>10837</v>
      </c>
      <c r="J138" s="24"/>
      <c r="K138" s="24">
        <v>25</v>
      </c>
      <c r="L138" s="24"/>
      <c r="M138" s="24">
        <v>0</v>
      </c>
      <c r="N138" s="24"/>
      <c r="O138" s="24">
        <v>10844</v>
      </c>
      <c r="P138" s="24"/>
      <c r="Q138" s="24">
        <v>23057</v>
      </c>
      <c r="R138" s="24"/>
      <c r="S138" s="24">
        <v>17342</v>
      </c>
      <c r="T138" s="24"/>
      <c r="U138" s="24">
        <v>0</v>
      </c>
      <c r="V138" s="24"/>
      <c r="W138" s="24">
        <v>0</v>
      </c>
      <c r="X138" s="24"/>
      <c r="Y138" s="24">
        <v>0</v>
      </c>
      <c r="Z138" s="24"/>
      <c r="AA138" s="24">
        <v>0</v>
      </c>
      <c r="AB138" s="24"/>
      <c r="AC138" s="24">
        <v>0</v>
      </c>
      <c r="AD138" s="24"/>
      <c r="AE138" s="24">
        <f aca="true" t="shared" si="51" ref="AE138:AE202">SUM(E138:AC138)</f>
        <v>66177</v>
      </c>
      <c r="AF138" s="24"/>
      <c r="AG138" s="24">
        <v>-8865</v>
      </c>
      <c r="AH138" s="24"/>
      <c r="AI138" s="24">
        <v>59344</v>
      </c>
      <c r="AJ138" s="24"/>
      <c r="AK138" s="24">
        <v>50480</v>
      </c>
      <c r="AL138" s="39">
        <f>+'Gov Rev'!AI138-'Gov Exp'!AE138+'Gov Exp'!AI138-'Gov Exp'!AK138</f>
        <v>-2</v>
      </c>
      <c r="AM138" s="15" t="str">
        <f>'Gov Rev'!A138</f>
        <v>Clifton</v>
      </c>
      <c r="AN138" s="15" t="str">
        <f t="shared" si="31"/>
        <v>Clifton</v>
      </c>
      <c r="AO138" s="15" t="b">
        <f t="shared" si="32"/>
        <v>1</v>
      </c>
    </row>
    <row r="139" spans="1:41" ht="12.75">
      <c r="A139" s="15" t="s">
        <v>299</v>
      </c>
      <c r="C139" s="15" t="s">
        <v>551</v>
      </c>
      <c r="E139" s="36">
        <v>346134.61</v>
      </c>
      <c r="F139" s="36"/>
      <c r="G139" s="36">
        <v>9520.18</v>
      </c>
      <c r="H139" s="36"/>
      <c r="I139" s="36">
        <v>787</v>
      </c>
      <c r="J139" s="36"/>
      <c r="K139" s="36">
        <v>9979.28</v>
      </c>
      <c r="L139" s="36"/>
      <c r="M139" s="36">
        <v>0</v>
      </c>
      <c r="N139" s="36"/>
      <c r="O139" s="36">
        <v>111170.41</v>
      </c>
      <c r="P139" s="36"/>
      <c r="Q139" s="36">
        <v>49127.29</v>
      </c>
      <c r="R139" s="36"/>
      <c r="S139" s="36">
        <v>27199.92</v>
      </c>
      <c r="T139" s="36"/>
      <c r="U139" s="36">
        <v>0</v>
      </c>
      <c r="V139" s="36"/>
      <c r="W139" s="36">
        <v>0</v>
      </c>
      <c r="X139" s="36"/>
      <c r="Y139" s="36">
        <v>0</v>
      </c>
      <c r="Z139" s="36"/>
      <c r="AA139" s="36">
        <v>0</v>
      </c>
      <c r="AB139" s="36"/>
      <c r="AC139" s="36">
        <v>15</v>
      </c>
      <c r="AD139" s="36"/>
      <c r="AE139" s="36">
        <f aca="true" t="shared" si="52" ref="AE139">SUM(E139:AC139)</f>
        <v>553933.6900000001</v>
      </c>
      <c r="AF139" s="36"/>
      <c r="AG139" s="36">
        <v>73137.35</v>
      </c>
      <c r="AH139" s="36"/>
      <c r="AI139" s="36">
        <v>142011.69</v>
      </c>
      <c r="AJ139" s="36"/>
      <c r="AK139" s="36">
        <v>215149.04</v>
      </c>
      <c r="AL139" s="39">
        <f>+'Gov Rev'!AI139-'Gov Exp'!AE139+'Gov Exp'!AI139-'Gov Exp'!AK139</f>
        <v>0</v>
      </c>
      <c r="AM139" s="15" t="str">
        <f>'Gov Rev'!A139</f>
        <v>Clinton</v>
      </c>
      <c r="AN139" s="15" t="str">
        <f t="shared" si="31"/>
        <v>Clinton</v>
      </c>
      <c r="AO139" s="15" t="b">
        <f t="shared" si="32"/>
        <v>1</v>
      </c>
    </row>
    <row r="140" spans="1:41" ht="12.75">
      <c r="A140" s="15" t="s">
        <v>665</v>
      </c>
      <c r="C140" s="15" t="s">
        <v>514</v>
      </c>
      <c r="E140" s="24">
        <v>4273</v>
      </c>
      <c r="G140" s="24">
        <v>0</v>
      </c>
      <c r="I140" s="24">
        <v>3571</v>
      </c>
      <c r="K140" s="24">
        <v>0</v>
      </c>
      <c r="M140" s="24">
        <v>2769</v>
      </c>
      <c r="O140" s="24">
        <v>15672</v>
      </c>
      <c r="Q140" s="24">
        <v>38662</v>
      </c>
      <c r="S140" s="24">
        <v>0</v>
      </c>
      <c r="U140" s="24">
        <v>0</v>
      </c>
      <c r="W140" s="24">
        <v>0</v>
      </c>
      <c r="Y140" s="24">
        <v>0</v>
      </c>
      <c r="AA140" s="24">
        <v>0</v>
      </c>
      <c r="AC140" s="24">
        <v>0</v>
      </c>
      <c r="AE140" s="24">
        <f t="shared" si="51"/>
        <v>64947</v>
      </c>
      <c r="AF140" s="24"/>
      <c r="AG140" s="24">
        <v>68870</v>
      </c>
      <c r="AH140" s="24"/>
      <c r="AI140" s="24">
        <v>0</v>
      </c>
      <c r="AJ140" s="24"/>
      <c r="AK140" s="24">
        <v>68870</v>
      </c>
      <c r="AL140" s="39">
        <f>+'Gov Rev'!AI140-'Gov Exp'!AE140+'Gov Exp'!AI140-'Gov Exp'!AK140</f>
        <v>2433</v>
      </c>
      <c r="AM140" s="15" t="str">
        <f>'Gov Rev'!A140</f>
        <v>Cloverdale</v>
      </c>
      <c r="AN140" s="15" t="str">
        <f t="shared" si="31"/>
        <v>Cloverdale</v>
      </c>
      <c r="AO140" s="15" t="b">
        <f t="shared" si="32"/>
        <v>1</v>
      </c>
    </row>
    <row r="141" spans="1:41" ht="12.75">
      <c r="A141" s="15" t="s">
        <v>125</v>
      </c>
      <c r="C141" s="15" t="s">
        <v>784</v>
      </c>
      <c r="D141" s="28"/>
      <c r="E141" s="36">
        <v>284465.21</v>
      </c>
      <c r="F141" s="36"/>
      <c r="G141" s="36">
        <v>0</v>
      </c>
      <c r="H141" s="36"/>
      <c r="I141" s="36">
        <v>14543.55</v>
      </c>
      <c r="J141" s="36"/>
      <c r="K141" s="36">
        <v>545.35</v>
      </c>
      <c r="L141" s="36"/>
      <c r="M141" s="36">
        <v>386402.59</v>
      </c>
      <c r="N141" s="36"/>
      <c r="O141" s="36">
        <v>116103.13</v>
      </c>
      <c r="P141" s="36"/>
      <c r="Q141" s="36">
        <v>271218.47</v>
      </c>
      <c r="R141" s="36"/>
      <c r="S141" s="36">
        <v>22177.74</v>
      </c>
      <c r="T141" s="36"/>
      <c r="U141" s="36">
        <v>0</v>
      </c>
      <c r="V141" s="36"/>
      <c r="W141" s="36">
        <v>0</v>
      </c>
      <c r="X141" s="36"/>
      <c r="Y141" s="36">
        <v>2272.99</v>
      </c>
      <c r="Z141" s="36"/>
      <c r="AA141" s="36">
        <v>7517.59</v>
      </c>
      <c r="AB141" s="36"/>
      <c r="AC141" s="36">
        <v>51348.13</v>
      </c>
      <c r="AD141" s="36"/>
      <c r="AE141" s="36">
        <f aca="true" t="shared" si="53" ref="AE141">SUM(E141:AC141)</f>
        <v>1156594.7499999998</v>
      </c>
      <c r="AF141" s="36"/>
      <c r="AG141" s="36">
        <v>40747.93</v>
      </c>
      <c r="AH141" s="36"/>
      <c r="AI141" s="36">
        <v>83189.4</v>
      </c>
      <c r="AJ141" s="36"/>
      <c r="AK141" s="36">
        <v>123937.33</v>
      </c>
      <c r="AL141" s="39">
        <f>+'Gov Rev'!AI141-'Gov Exp'!AE141+'Gov Exp'!AI141-'Gov Exp'!AK141</f>
        <v>3.92901711165905E-10</v>
      </c>
      <c r="AM141" s="15" t="str">
        <f>'Gov Rev'!A141</f>
        <v>Coal Grove</v>
      </c>
      <c r="AN141" s="15" t="str">
        <f t="shared" si="31"/>
        <v>Coal Grove</v>
      </c>
      <c r="AO141" s="15" t="b">
        <f t="shared" si="32"/>
        <v>1</v>
      </c>
    </row>
    <row r="142" spans="1:41" s="31" customFormat="1" ht="12.75">
      <c r="A142" s="15" t="s">
        <v>667</v>
      </c>
      <c r="B142" s="15"/>
      <c r="C142" s="15" t="s">
        <v>666</v>
      </c>
      <c r="D142" s="28"/>
      <c r="E142" s="92">
        <v>85824.77</v>
      </c>
      <c r="F142" s="92"/>
      <c r="G142" s="92">
        <v>331.9</v>
      </c>
      <c r="H142" s="92"/>
      <c r="I142" s="92">
        <v>0</v>
      </c>
      <c r="J142" s="92"/>
      <c r="K142" s="92">
        <v>0</v>
      </c>
      <c r="L142" s="92"/>
      <c r="M142" s="92">
        <v>0</v>
      </c>
      <c r="N142" s="92"/>
      <c r="O142" s="92">
        <v>12798.16</v>
      </c>
      <c r="P142" s="92"/>
      <c r="Q142" s="92">
        <v>44634.43</v>
      </c>
      <c r="R142" s="92"/>
      <c r="S142" s="92">
        <v>13735.58</v>
      </c>
      <c r="T142" s="92"/>
      <c r="U142" s="92">
        <v>6199.09</v>
      </c>
      <c r="V142" s="92"/>
      <c r="W142" s="92">
        <v>1267.85</v>
      </c>
      <c r="X142" s="92"/>
      <c r="Y142" s="92">
        <v>0</v>
      </c>
      <c r="Z142" s="92"/>
      <c r="AA142" s="92">
        <v>0</v>
      </c>
      <c r="AB142" s="92"/>
      <c r="AC142" s="92">
        <v>0</v>
      </c>
      <c r="AD142" s="92"/>
      <c r="AE142" s="92">
        <f aca="true" t="shared" si="54" ref="AE142">SUM(E142:AC142)</f>
        <v>164791.78</v>
      </c>
      <c r="AF142" s="36"/>
      <c r="AG142" s="36">
        <v>17933.09</v>
      </c>
      <c r="AH142" s="36"/>
      <c r="AI142" s="36">
        <v>230417.33</v>
      </c>
      <c r="AJ142" s="36"/>
      <c r="AK142" s="36">
        <v>248350.42</v>
      </c>
      <c r="AL142" s="39">
        <f>+'Gov Rev'!AI142-'Gov Exp'!AE142+'Gov Exp'!AI142-'Gov Exp'!AK142</f>
        <v>-2.000000000029104</v>
      </c>
      <c r="AM142" s="15" t="str">
        <f>'Gov Rev'!A142</f>
        <v>Coalton</v>
      </c>
      <c r="AN142" s="15" t="str">
        <f t="shared" si="31"/>
        <v>Coalton</v>
      </c>
      <c r="AO142" s="15" t="b">
        <f t="shared" si="32"/>
        <v>1</v>
      </c>
    </row>
    <row r="143" spans="1:41" ht="12.75">
      <c r="A143" s="15" t="s">
        <v>899</v>
      </c>
      <c r="C143" s="15" t="s">
        <v>466</v>
      </c>
      <c r="D143" s="28"/>
      <c r="E143" s="24">
        <v>844802</v>
      </c>
      <c r="G143" s="24">
        <v>22206</v>
      </c>
      <c r="I143" s="24">
        <v>5000</v>
      </c>
      <c r="K143" s="24">
        <v>14832</v>
      </c>
      <c r="M143" s="24">
        <v>0</v>
      </c>
      <c r="O143" s="24">
        <v>627788</v>
      </c>
      <c r="Q143" s="24">
        <v>629987</v>
      </c>
      <c r="S143" s="24">
        <v>131669</v>
      </c>
      <c r="U143" s="24">
        <v>514239</v>
      </c>
      <c r="W143" s="24">
        <v>0</v>
      </c>
      <c r="Y143" s="24">
        <v>0</v>
      </c>
      <c r="AA143" s="24">
        <v>0</v>
      </c>
      <c r="AC143" s="24">
        <v>856800</v>
      </c>
      <c r="AE143" s="24">
        <f aca="true" t="shared" si="55" ref="AE143">SUM(E143:AC143)</f>
        <v>3647323</v>
      </c>
      <c r="AF143" s="24"/>
      <c r="AG143" s="24">
        <v>165044</v>
      </c>
      <c r="AH143" s="24"/>
      <c r="AI143" s="24">
        <v>600950</v>
      </c>
      <c r="AJ143" s="24"/>
      <c r="AK143" s="24">
        <v>765989</v>
      </c>
      <c r="AL143" s="39">
        <f>+'Gov Rev'!AI143-'Gov Exp'!AE143+'Gov Exp'!AI143-'Gov Exp'!AK143</f>
        <v>5</v>
      </c>
      <c r="AM143" s="15" t="str">
        <f>'Gov Rev'!A143</f>
        <v>Coldwater</v>
      </c>
      <c r="AN143" s="15" t="str">
        <f aca="true" t="shared" si="56" ref="AN143">A143</f>
        <v>Coldwater</v>
      </c>
      <c r="AO143" s="15" t="b">
        <f aca="true" t="shared" si="57" ref="AO143">AM143=AN143</f>
        <v>1</v>
      </c>
    </row>
    <row r="144" spans="4:38" ht="12.75">
      <c r="D144" s="28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AE144" s="83" t="s">
        <v>864</v>
      </c>
      <c r="AF144" s="24"/>
      <c r="AG144" s="10"/>
      <c r="AH144" s="10"/>
      <c r="AI144" s="10"/>
      <c r="AJ144" s="10"/>
      <c r="AK144" s="10"/>
      <c r="AL144" s="39"/>
    </row>
    <row r="145" spans="1:41" ht="12.75">
      <c r="A145" s="15" t="s">
        <v>199</v>
      </c>
      <c r="C145" s="15" t="s">
        <v>807</v>
      </c>
      <c r="D145" s="28"/>
      <c r="E145" s="94">
        <v>41725.7</v>
      </c>
      <c r="F145" s="94"/>
      <c r="G145" s="94">
        <v>0</v>
      </c>
      <c r="H145" s="94"/>
      <c r="I145" s="94">
        <v>0</v>
      </c>
      <c r="J145" s="94"/>
      <c r="K145" s="94">
        <v>0</v>
      </c>
      <c r="L145" s="94"/>
      <c r="M145" s="94">
        <v>0</v>
      </c>
      <c r="N145" s="94"/>
      <c r="O145" s="94">
        <v>7558.36</v>
      </c>
      <c r="P145" s="94"/>
      <c r="Q145" s="94">
        <v>24367.4</v>
      </c>
      <c r="R145" s="94"/>
      <c r="S145" s="94">
        <v>0</v>
      </c>
      <c r="T145" s="94"/>
      <c r="U145" s="94">
        <v>0</v>
      </c>
      <c r="V145" s="94"/>
      <c r="W145" s="94">
        <v>0</v>
      </c>
      <c r="X145" s="94"/>
      <c r="Y145" s="94">
        <v>0</v>
      </c>
      <c r="Z145" s="94"/>
      <c r="AA145" s="94">
        <v>0</v>
      </c>
      <c r="AB145" s="94"/>
      <c r="AC145" s="94">
        <v>1074.5</v>
      </c>
      <c r="AD145" s="94"/>
      <c r="AE145" s="94">
        <f aca="true" t="shared" si="58" ref="AE145">SUM(E145:AC145)</f>
        <v>74725.95999999999</v>
      </c>
      <c r="AF145" s="36"/>
      <c r="AG145" s="36">
        <v>64164.51</v>
      </c>
      <c r="AH145" s="36"/>
      <c r="AI145" s="36">
        <v>114783.91</v>
      </c>
      <c r="AJ145" s="36"/>
      <c r="AK145" s="36">
        <v>178948.42</v>
      </c>
      <c r="AL145" s="39">
        <f>+'Gov Rev'!AI144-'Gov Exp'!AE145+'Gov Exp'!AI145-'Gov Exp'!AK145</f>
        <v>0</v>
      </c>
      <c r="AM145" s="15" t="str">
        <f>'Gov Rev'!A144</f>
        <v>College Corner</v>
      </c>
      <c r="AN145" s="15" t="str">
        <f t="shared" si="31"/>
        <v>College Corner</v>
      </c>
      <c r="AO145" s="15" t="b">
        <f t="shared" si="32"/>
        <v>1</v>
      </c>
    </row>
    <row r="146" spans="1:41" ht="12.75">
      <c r="A146" s="15" t="s">
        <v>515</v>
      </c>
      <c r="C146" s="15" t="s">
        <v>514</v>
      </c>
      <c r="E146" s="24">
        <f>173036+178515</f>
        <v>351551</v>
      </c>
      <c r="G146" s="24">
        <v>0</v>
      </c>
      <c r="I146" s="24">
        <f>123136+26315</f>
        <v>149451</v>
      </c>
      <c r="K146" s="24">
        <v>0</v>
      </c>
      <c r="M146" s="24">
        <f>1832+8665+95329</f>
        <v>105826</v>
      </c>
      <c r="O146" s="24">
        <f>5381+126771</f>
        <v>132152</v>
      </c>
      <c r="Q146" s="24">
        <f>165068+18306+2555+3640</f>
        <v>189569</v>
      </c>
      <c r="S146" s="24">
        <v>24784</v>
      </c>
      <c r="U146" s="24">
        <f>58182+102961</f>
        <v>161143</v>
      </c>
      <c r="W146" s="24">
        <f>3420+10190</f>
        <v>13610</v>
      </c>
      <c r="Y146" s="24">
        <v>165488</v>
      </c>
      <c r="AA146" s="24">
        <v>0</v>
      </c>
      <c r="AC146" s="24">
        <v>0</v>
      </c>
      <c r="AE146" s="24">
        <f t="shared" si="51"/>
        <v>1293574</v>
      </c>
      <c r="AF146" s="24"/>
      <c r="AG146" s="24">
        <f>70646-44677+8149+53296</f>
        <v>87414</v>
      </c>
      <c r="AH146" s="24"/>
      <c r="AI146" s="24">
        <f>106712+264131+7474+153526</f>
        <v>531843</v>
      </c>
      <c r="AJ146" s="24"/>
      <c r="AK146" s="24">
        <f>177358+219454+15623+206822</f>
        <v>619257</v>
      </c>
      <c r="AL146" s="39">
        <f>+'Gov Rev'!AI145-'Gov Exp'!AE146+'Gov Exp'!AI146-'Gov Exp'!AK146</f>
        <v>-418</v>
      </c>
      <c r="AM146" s="15" t="str">
        <f>'Gov Rev'!A145</f>
        <v>Columbus Grove</v>
      </c>
      <c r="AN146" s="15" t="str">
        <f t="shared" si="31"/>
        <v>Columbus Grove</v>
      </c>
      <c r="AO146" s="15" t="b">
        <f t="shared" si="32"/>
        <v>1</v>
      </c>
    </row>
    <row r="147" spans="1:41" ht="12.75">
      <c r="A147" s="15" t="s">
        <v>188</v>
      </c>
      <c r="C147" s="15" t="s">
        <v>804</v>
      </c>
      <c r="D147" s="28"/>
      <c r="E147" s="36">
        <v>108782.24</v>
      </c>
      <c r="F147" s="36"/>
      <c r="G147" s="36">
        <v>12162.66</v>
      </c>
      <c r="H147" s="36"/>
      <c r="I147" s="36">
        <v>0</v>
      </c>
      <c r="J147" s="36"/>
      <c r="K147" s="36">
        <v>61489.43</v>
      </c>
      <c r="L147" s="36"/>
      <c r="M147" s="36">
        <v>0</v>
      </c>
      <c r="N147" s="36"/>
      <c r="O147" s="36">
        <v>273034.63</v>
      </c>
      <c r="P147" s="36"/>
      <c r="Q147" s="36">
        <v>272035.62</v>
      </c>
      <c r="R147" s="36"/>
      <c r="S147" s="36">
        <v>0</v>
      </c>
      <c r="T147" s="36"/>
      <c r="U147" s="36">
        <v>0</v>
      </c>
      <c r="V147" s="36"/>
      <c r="W147" s="36">
        <v>0</v>
      </c>
      <c r="X147" s="36"/>
      <c r="Y147" s="36">
        <v>88.24</v>
      </c>
      <c r="Z147" s="36"/>
      <c r="AA147" s="36">
        <v>0</v>
      </c>
      <c r="AB147" s="36"/>
      <c r="AC147" s="36">
        <v>0</v>
      </c>
      <c r="AD147" s="36"/>
      <c r="AE147" s="36">
        <f aca="true" t="shared" si="59" ref="AE147">SUM(E147:AC147)</f>
        <v>727592.8200000001</v>
      </c>
      <c r="AF147" s="36"/>
      <c r="AG147" s="36">
        <v>-43338.94</v>
      </c>
      <c r="AH147" s="36"/>
      <c r="AI147" s="36">
        <v>763942.32</v>
      </c>
      <c r="AJ147" s="36"/>
      <c r="AK147" s="36">
        <v>720603.38</v>
      </c>
      <c r="AL147" s="39">
        <f>+'Gov Rev'!AI146-'Gov Exp'!AE147+'Gov Exp'!AI147-'Gov Exp'!AK147</f>
        <v>0</v>
      </c>
      <c r="AM147" s="15" t="str">
        <f>'Gov Rev'!A146</f>
        <v>Commercial Poin</v>
      </c>
      <c r="AN147" s="15" t="str">
        <f t="shared" si="31"/>
        <v>Commercial Poin</v>
      </c>
      <c r="AO147" s="15" t="b">
        <f t="shared" si="32"/>
        <v>1</v>
      </c>
    </row>
    <row r="148" spans="1:41" ht="12.6" customHeight="1" hidden="1">
      <c r="A148" s="15" t="s">
        <v>307</v>
      </c>
      <c r="C148" s="15" t="s">
        <v>308</v>
      </c>
      <c r="AE148" s="24">
        <f t="shared" si="51"/>
        <v>0</v>
      </c>
      <c r="AF148" s="24"/>
      <c r="AG148" s="24"/>
      <c r="AH148" s="24"/>
      <c r="AI148" s="24"/>
      <c r="AJ148" s="24"/>
      <c r="AK148" s="24"/>
      <c r="AL148" s="39">
        <f>+'Gov Rev'!AI147-'Gov Exp'!AE148+'Gov Exp'!AI148-'Gov Exp'!AK148</f>
        <v>0</v>
      </c>
      <c r="AM148" s="15" t="str">
        <f>'Gov Rev'!A147</f>
        <v>Conesville</v>
      </c>
      <c r="AN148" s="15" t="str">
        <f t="shared" si="31"/>
        <v>Conesville</v>
      </c>
      <c r="AO148" s="15" t="b">
        <f t="shared" si="32"/>
        <v>1</v>
      </c>
    </row>
    <row r="149" spans="1:41" ht="12.6" customHeight="1">
      <c r="A149" s="15" t="s">
        <v>937</v>
      </c>
      <c r="C149" s="15" t="s">
        <v>590</v>
      </c>
      <c r="E149" s="95">
        <v>5115</v>
      </c>
      <c r="F149" s="95"/>
      <c r="G149" s="95">
        <v>1710.89</v>
      </c>
      <c r="H149" s="95"/>
      <c r="I149" s="95">
        <v>0</v>
      </c>
      <c r="J149" s="95"/>
      <c r="K149" s="95">
        <v>0</v>
      </c>
      <c r="L149" s="95"/>
      <c r="M149" s="95">
        <v>5848.11</v>
      </c>
      <c r="N149" s="95"/>
      <c r="O149" s="95">
        <v>3883.73</v>
      </c>
      <c r="P149" s="95"/>
      <c r="Q149" s="95">
        <v>14032.73</v>
      </c>
      <c r="R149" s="95"/>
      <c r="S149" s="95">
        <v>0</v>
      </c>
      <c r="T149" s="95"/>
      <c r="U149" s="95">
        <v>0</v>
      </c>
      <c r="V149" s="95"/>
      <c r="W149" s="95">
        <v>0</v>
      </c>
      <c r="X149" s="95"/>
      <c r="Y149" s="95">
        <v>3303.78</v>
      </c>
      <c r="Z149" s="95"/>
      <c r="AA149" s="95">
        <v>0</v>
      </c>
      <c r="AB149" s="95"/>
      <c r="AC149" s="95">
        <v>0</v>
      </c>
      <c r="AD149" s="95"/>
      <c r="AE149" s="95">
        <f aca="true" t="shared" si="60" ref="AE149">SUM(E149:AC149)</f>
        <v>33894.24</v>
      </c>
      <c r="AF149" s="95"/>
      <c r="AG149" s="95">
        <v>9719.01</v>
      </c>
      <c r="AH149" s="95"/>
      <c r="AI149" s="95">
        <v>8859.08</v>
      </c>
      <c r="AJ149" s="95"/>
      <c r="AK149" s="95">
        <v>18578.09</v>
      </c>
      <c r="AL149" s="39">
        <f>+'Gov Rev'!AI148-'Gov Exp'!AE149+'Gov Exp'!AI149-'Gov Exp'!AK149</f>
        <v>0</v>
      </c>
      <c r="AM149" s="15" t="str">
        <f>'Gov Rev'!A148</f>
        <v>Congress</v>
      </c>
      <c r="AN149" s="15" t="str">
        <f t="shared" si="31"/>
        <v>Congress</v>
      </c>
      <c r="AO149" s="15" t="b">
        <f t="shared" si="32"/>
        <v>1</v>
      </c>
    </row>
    <row r="150" spans="1:41" s="39" customFormat="1" ht="12.75">
      <c r="A150" s="39" t="s">
        <v>202</v>
      </c>
      <c r="C150" s="39" t="s">
        <v>808</v>
      </c>
      <c r="D150" s="71"/>
      <c r="E150" s="36">
        <v>231675.8</v>
      </c>
      <c r="F150" s="36"/>
      <c r="G150" s="36">
        <v>0</v>
      </c>
      <c r="H150" s="36"/>
      <c r="I150" s="36">
        <v>0</v>
      </c>
      <c r="J150" s="36"/>
      <c r="K150" s="36">
        <v>0</v>
      </c>
      <c r="L150" s="36"/>
      <c r="M150" s="36">
        <v>8190.73</v>
      </c>
      <c r="N150" s="36"/>
      <c r="O150" s="36">
        <v>68633.75</v>
      </c>
      <c r="P150" s="36"/>
      <c r="Q150" s="36">
        <v>87702.26</v>
      </c>
      <c r="R150" s="36"/>
      <c r="S150" s="36">
        <v>304749.45</v>
      </c>
      <c r="T150" s="36"/>
      <c r="U150" s="36">
        <v>24645.87</v>
      </c>
      <c r="V150" s="36"/>
      <c r="W150" s="36">
        <v>24630.45</v>
      </c>
      <c r="X150" s="36"/>
      <c r="Y150" s="36">
        <v>17000</v>
      </c>
      <c r="Z150" s="36"/>
      <c r="AA150" s="36">
        <v>0</v>
      </c>
      <c r="AB150" s="36"/>
      <c r="AC150" s="36">
        <v>171.36</v>
      </c>
      <c r="AD150" s="36"/>
      <c r="AE150" s="36">
        <f aca="true" t="shared" si="61" ref="AE150:AE154">SUM(E150:AC150)</f>
        <v>767399.6699999999</v>
      </c>
      <c r="AF150" s="36"/>
      <c r="AG150" s="36">
        <v>81907.57</v>
      </c>
      <c r="AH150" s="36"/>
      <c r="AI150" s="36">
        <v>259981.08</v>
      </c>
      <c r="AJ150" s="36"/>
      <c r="AK150" s="36">
        <v>341888.65</v>
      </c>
      <c r="AL150" s="39">
        <f>+'Gov Rev'!AI149-'Gov Exp'!AE150+'Gov Exp'!AI150-'Gov Exp'!AK150</f>
        <v>0</v>
      </c>
      <c r="AM150" s="15" t="str">
        <f>'Gov Rev'!A149</f>
        <v>Continental</v>
      </c>
      <c r="AN150" s="15" t="str">
        <f t="shared" si="31"/>
        <v>Continental</v>
      </c>
      <c r="AO150" s="15" t="b">
        <f t="shared" si="32"/>
        <v>1</v>
      </c>
    </row>
    <row r="151" spans="1:41" ht="12.75">
      <c r="A151" s="15" t="s">
        <v>239</v>
      </c>
      <c r="C151" s="15" t="s">
        <v>820</v>
      </c>
      <c r="D151" s="28"/>
      <c r="E151" s="36">
        <v>228435.19</v>
      </c>
      <c r="F151" s="36"/>
      <c r="G151" s="36">
        <v>7871.2</v>
      </c>
      <c r="H151" s="36"/>
      <c r="I151" s="36">
        <v>0</v>
      </c>
      <c r="J151" s="36"/>
      <c r="K151" s="36">
        <v>2465.9</v>
      </c>
      <c r="L151" s="36"/>
      <c r="M151" s="36">
        <v>3581.68</v>
      </c>
      <c r="N151" s="36"/>
      <c r="O151" s="36">
        <v>89088.21</v>
      </c>
      <c r="P151" s="36"/>
      <c r="Q151" s="36">
        <v>115863.65</v>
      </c>
      <c r="R151" s="36"/>
      <c r="S151" s="36">
        <v>68185.75</v>
      </c>
      <c r="T151" s="36"/>
      <c r="U151" s="36">
        <v>14242.88</v>
      </c>
      <c r="V151" s="36"/>
      <c r="W151" s="36">
        <v>0</v>
      </c>
      <c r="X151" s="36"/>
      <c r="Y151" s="36">
        <v>2274.43</v>
      </c>
      <c r="Z151" s="36"/>
      <c r="AA151" s="36">
        <v>0</v>
      </c>
      <c r="AB151" s="36"/>
      <c r="AC151" s="36">
        <v>0</v>
      </c>
      <c r="AD151" s="36"/>
      <c r="AE151" s="36">
        <f t="shared" si="61"/>
        <v>532008.89</v>
      </c>
      <c r="AF151" s="36"/>
      <c r="AG151" s="36">
        <v>39185.49</v>
      </c>
      <c r="AH151" s="36"/>
      <c r="AI151" s="36">
        <v>860369.21</v>
      </c>
      <c r="AJ151" s="36"/>
      <c r="AK151" s="36">
        <v>899554.7</v>
      </c>
      <c r="AL151" s="39">
        <f>+'Gov Rev'!AI150-'Gov Exp'!AE151+'Gov Exp'!AI151-'Gov Exp'!AK151</f>
        <v>0</v>
      </c>
      <c r="AM151" s="15" t="str">
        <f>'Gov Rev'!A150</f>
        <v>Convoy</v>
      </c>
      <c r="AN151" s="15" t="str">
        <f t="shared" si="31"/>
        <v>Convoy</v>
      </c>
      <c r="AO151" s="15" t="b">
        <f t="shared" si="32"/>
        <v>1</v>
      </c>
    </row>
    <row r="152" spans="1:41" ht="12.75">
      <c r="A152" s="15" t="s">
        <v>938</v>
      </c>
      <c r="C152" s="15" t="s">
        <v>271</v>
      </c>
      <c r="D152" s="28"/>
      <c r="E152" s="36">
        <v>20353.61</v>
      </c>
      <c r="F152" s="36"/>
      <c r="G152" s="36">
        <v>0</v>
      </c>
      <c r="H152" s="36"/>
      <c r="I152" s="36">
        <v>0</v>
      </c>
      <c r="J152" s="36"/>
      <c r="K152" s="36">
        <v>0</v>
      </c>
      <c r="L152" s="36"/>
      <c r="M152" s="36">
        <v>7029.9</v>
      </c>
      <c r="N152" s="36"/>
      <c r="O152" s="36">
        <v>44865.93</v>
      </c>
      <c r="P152" s="36"/>
      <c r="Q152" s="36">
        <v>22346.36</v>
      </c>
      <c r="R152" s="36"/>
      <c r="S152" s="36">
        <v>0</v>
      </c>
      <c r="T152" s="36"/>
      <c r="U152" s="36">
        <v>1909.96</v>
      </c>
      <c r="V152" s="36"/>
      <c r="W152" s="36">
        <v>0</v>
      </c>
      <c r="X152" s="36"/>
      <c r="Y152" s="36">
        <v>0</v>
      </c>
      <c r="Z152" s="36"/>
      <c r="AA152" s="36">
        <v>0</v>
      </c>
      <c r="AB152" s="36"/>
      <c r="AC152" s="36">
        <v>0</v>
      </c>
      <c r="AD152" s="36"/>
      <c r="AE152" s="36">
        <f t="shared" si="61"/>
        <v>96505.76000000001</v>
      </c>
      <c r="AF152" s="36"/>
      <c r="AG152" s="36">
        <v>10244.67</v>
      </c>
      <c r="AH152" s="36"/>
      <c r="AI152" s="36">
        <v>48871.47</v>
      </c>
      <c r="AJ152" s="36"/>
      <c r="AK152" s="36">
        <v>59116.14</v>
      </c>
      <c r="AL152" s="39">
        <f>+'Gov Rev'!AI151-'Gov Exp'!AE152+'Gov Exp'!AI152-'Gov Exp'!AK152</f>
        <v>0</v>
      </c>
      <c r="AM152" s="15" t="str">
        <f>'Gov Rev'!A151</f>
        <v>Coolville</v>
      </c>
      <c r="AN152" s="15" t="str">
        <f aca="true" t="shared" si="62" ref="AN152:AN218">A152</f>
        <v>Coolville</v>
      </c>
      <c r="AO152" s="15" t="b">
        <f aca="true" t="shared" si="63" ref="AO152:AO218">AM152=AN152</f>
        <v>1</v>
      </c>
    </row>
    <row r="153" spans="1:41" ht="14.25" customHeight="1">
      <c r="A153" s="15" t="s">
        <v>186</v>
      </c>
      <c r="C153" s="15" t="s">
        <v>433</v>
      </c>
      <c r="D153" s="28"/>
      <c r="E153" s="36">
        <v>135533.22</v>
      </c>
      <c r="F153" s="36"/>
      <c r="G153" s="36">
        <v>5961.21</v>
      </c>
      <c r="H153" s="36"/>
      <c r="I153" s="36">
        <v>1876.66</v>
      </c>
      <c r="J153" s="36"/>
      <c r="K153" s="36">
        <v>0</v>
      </c>
      <c r="L153" s="36"/>
      <c r="M153" s="36">
        <v>0</v>
      </c>
      <c r="N153" s="36"/>
      <c r="O153" s="36">
        <v>33521.01</v>
      </c>
      <c r="P153" s="36"/>
      <c r="Q153" s="36">
        <v>39101.21</v>
      </c>
      <c r="R153" s="36"/>
      <c r="S153" s="36">
        <v>0</v>
      </c>
      <c r="T153" s="36"/>
      <c r="U153" s="36">
        <v>6289.44</v>
      </c>
      <c r="V153" s="36"/>
      <c r="W153" s="36">
        <v>5989.66</v>
      </c>
      <c r="X153" s="36"/>
      <c r="Y153" s="36">
        <v>0</v>
      </c>
      <c r="Z153" s="36"/>
      <c r="AA153" s="36">
        <v>0</v>
      </c>
      <c r="AB153" s="36"/>
      <c r="AC153" s="36">
        <v>0</v>
      </c>
      <c r="AD153" s="36"/>
      <c r="AE153" s="36">
        <f t="shared" si="61"/>
        <v>228272.41</v>
      </c>
      <c r="AF153" s="36"/>
      <c r="AG153" s="36">
        <v>37162.93</v>
      </c>
      <c r="AH153" s="36"/>
      <c r="AI153" s="36">
        <v>278985.69</v>
      </c>
      <c r="AJ153" s="36"/>
      <c r="AK153" s="36">
        <v>316148.62</v>
      </c>
      <c r="AL153" s="39">
        <f>+'Gov Rev'!AI152-'Gov Exp'!AE153+'Gov Exp'!AI153-'Gov Exp'!AK153</f>
        <v>0</v>
      </c>
      <c r="AM153" s="15" t="str">
        <f>'Gov Rev'!A152</f>
        <v>Corning</v>
      </c>
      <c r="AN153" s="15" t="str">
        <f t="shared" si="62"/>
        <v>Corning</v>
      </c>
      <c r="AO153" s="15" t="b">
        <f t="shared" si="63"/>
        <v>1</v>
      </c>
    </row>
    <row r="154" spans="1:41" ht="14.25" customHeight="1">
      <c r="A154" s="15" t="s">
        <v>939</v>
      </c>
      <c r="C154" s="15" t="s">
        <v>800</v>
      </c>
      <c r="D154" s="28"/>
      <c r="E154" s="36">
        <v>203055.47</v>
      </c>
      <c r="F154" s="36"/>
      <c r="G154" s="36">
        <v>0</v>
      </c>
      <c r="H154" s="36"/>
      <c r="I154" s="36">
        <v>31675.54</v>
      </c>
      <c r="J154" s="36"/>
      <c r="K154" s="36">
        <v>0</v>
      </c>
      <c r="L154" s="36"/>
      <c r="M154" s="36">
        <v>0</v>
      </c>
      <c r="N154" s="36"/>
      <c r="O154" s="36">
        <v>137389.05</v>
      </c>
      <c r="P154" s="36"/>
      <c r="Q154" s="36">
        <v>155266.88</v>
      </c>
      <c r="R154" s="36"/>
      <c r="S154" s="36">
        <v>34324.28</v>
      </c>
      <c r="T154" s="36"/>
      <c r="U154" s="36">
        <v>110100.95</v>
      </c>
      <c r="V154" s="36"/>
      <c r="W154" s="36">
        <v>47878.78</v>
      </c>
      <c r="X154" s="36"/>
      <c r="Y154" s="36">
        <v>84362.06</v>
      </c>
      <c r="Z154" s="36"/>
      <c r="AA154" s="36">
        <v>0</v>
      </c>
      <c r="AB154" s="36"/>
      <c r="AC154" s="36">
        <v>0</v>
      </c>
      <c r="AD154" s="36"/>
      <c r="AE154" s="36">
        <f t="shared" si="61"/>
        <v>804053.01</v>
      </c>
      <c r="AF154" s="36"/>
      <c r="AG154" s="36">
        <v>27161.45</v>
      </c>
      <c r="AH154" s="36"/>
      <c r="AI154" s="36">
        <v>173521.03</v>
      </c>
      <c r="AJ154" s="36"/>
      <c r="AK154" s="36">
        <v>200682.48</v>
      </c>
      <c r="AL154" s="39">
        <f>+'Gov Rev'!AI153-'Gov Exp'!AE154+'Gov Exp'!AI154-'Gov Exp'!AK154</f>
        <v>0</v>
      </c>
      <c r="AM154" s="15" t="str">
        <f>'Gov Rev'!A153</f>
        <v>Corp of South Zanesville</v>
      </c>
      <c r="AN154" s="15" t="str">
        <f t="shared" si="62"/>
        <v>Corp of South Zanesville</v>
      </c>
      <c r="AO154" s="15" t="b">
        <f t="shared" si="63"/>
        <v>1</v>
      </c>
    </row>
    <row r="155" spans="1:41" ht="12.75">
      <c r="A155" s="15" t="s">
        <v>581</v>
      </c>
      <c r="C155" s="15" t="s">
        <v>583</v>
      </c>
      <c r="E155" s="24">
        <v>3836</v>
      </c>
      <c r="G155" s="24">
        <v>0</v>
      </c>
      <c r="I155" s="24">
        <v>0</v>
      </c>
      <c r="K155" s="24">
        <v>1648</v>
      </c>
      <c r="M155" s="24">
        <v>0</v>
      </c>
      <c r="O155" s="24">
        <v>17844</v>
      </c>
      <c r="Q155" s="24">
        <v>26258</v>
      </c>
      <c r="S155" s="24">
        <v>0</v>
      </c>
      <c r="U155" s="24">
        <v>0</v>
      </c>
      <c r="W155" s="24">
        <v>0</v>
      </c>
      <c r="Y155" s="24">
        <v>0</v>
      </c>
      <c r="AA155" s="24">
        <v>0</v>
      </c>
      <c r="AC155" s="24">
        <v>0</v>
      </c>
      <c r="AE155" s="24">
        <f t="shared" si="51"/>
        <v>49586</v>
      </c>
      <c r="AF155" s="24"/>
      <c r="AG155" s="24"/>
      <c r="AH155" s="24"/>
      <c r="AI155" s="24">
        <v>307645</v>
      </c>
      <c r="AJ155" s="24"/>
      <c r="AK155" s="24">
        <v>319404</v>
      </c>
      <c r="AL155" s="39">
        <f>+'Gov Rev'!AI154-'Gov Exp'!AE155+'Gov Exp'!AI155-'Gov Exp'!AK155</f>
        <v>6</v>
      </c>
      <c r="AM155" s="15" t="str">
        <f>'Gov Rev'!A154</f>
        <v>Corwin</v>
      </c>
      <c r="AN155" s="15" t="str">
        <f t="shared" si="62"/>
        <v>Corwin</v>
      </c>
      <c r="AO155" s="15" t="b">
        <f t="shared" si="63"/>
        <v>1</v>
      </c>
    </row>
    <row r="156" spans="1:41" ht="12.75">
      <c r="A156" s="15" t="s">
        <v>900</v>
      </c>
      <c r="C156" s="15" t="s">
        <v>470</v>
      </c>
      <c r="D156" s="28"/>
      <c r="E156" s="24">
        <f>587301+40227</f>
        <v>627528</v>
      </c>
      <c r="G156" s="24">
        <v>91801</v>
      </c>
      <c r="I156" s="24">
        <v>8287</v>
      </c>
      <c r="K156" s="24">
        <v>0</v>
      </c>
      <c r="M156" s="24">
        <v>0</v>
      </c>
      <c r="O156" s="24">
        <v>245481</v>
      </c>
      <c r="Q156" s="24">
        <v>242259</v>
      </c>
      <c r="S156" s="24">
        <f>35933+17798+697178</f>
        <v>750909</v>
      </c>
      <c r="U156" s="24">
        <f>90000+45000</f>
        <v>135000</v>
      </c>
      <c r="W156" s="24">
        <f>19125+14400</f>
        <v>33525</v>
      </c>
      <c r="Y156" s="24">
        <v>65000</v>
      </c>
      <c r="AA156" s="24">
        <v>20000</v>
      </c>
      <c r="AC156" s="24">
        <v>0</v>
      </c>
      <c r="AE156" s="24">
        <f t="shared" si="51"/>
        <v>2219790</v>
      </c>
      <c r="AF156" s="24"/>
      <c r="AG156" s="24">
        <v>-1781</v>
      </c>
      <c r="AH156" s="24"/>
      <c r="AI156" s="24">
        <v>468108</v>
      </c>
      <c r="AJ156" s="24"/>
      <c r="AK156" s="24">
        <v>466327</v>
      </c>
      <c r="AL156" s="39">
        <f>+'Gov Rev'!AI155-'Gov Exp'!AE156+'Gov Exp'!AI156-'Gov Exp'!AK156</f>
        <v>0</v>
      </c>
      <c r="AM156" s="15" t="str">
        <f>'Gov Rev'!A155</f>
        <v>Covington</v>
      </c>
      <c r="AN156" s="15" t="str">
        <f t="shared" si="62"/>
        <v>Covington</v>
      </c>
      <c r="AO156" s="15" t="b">
        <f t="shared" si="63"/>
        <v>1</v>
      </c>
    </row>
    <row r="157" spans="1:41" ht="12.75">
      <c r="A157" s="15" t="s">
        <v>144</v>
      </c>
      <c r="C157" s="15" t="s">
        <v>790</v>
      </c>
      <c r="D157" s="28"/>
      <c r="E157" s="36">
        <v>81943.95</v>
      </c>
      <c r="F157" s="36"/>
      <c r="G157" s="36">
        <v>5498.21</v>
      </c>
      <c r="H157" s="36"/>
      <c r="I157" s="36">
        <v>79304</v>
      </c>
      <c r="J157" s="36"/>
      <c r="K157" s="36">
        <v>1954.66</v>
      </c>
      <c r="L157" s="36"/>
      <c r="M157" s="36">
        <v>9425.26</v>
      </c>
      <c r="N157" s="36"/>
      <c r="O157" s="36">
        <v>40309.74</v>
      </c>
      <c r="P157" s="36"/>
      <c r="Q157" s="36">
        <v>70613.58</v>
      </c>
      <c r="R157" s="36"/>
      <c r="S157" s="36">
        <v>42535.11</v>
      </c>
      <c r="T157" s="36"/>
      <c r="U157" s="36">
        <v>0</v>
      </c>
      <c r="V157" s="36"/>
      <c r="W157" s="36">
        <v>0</v>
      </c>
      <c r="X157" s="36"/>
      <c r="Y157" s="36">
        <v>0</v>
      </c>
      <c r="Z157" s="36"/>
      <c r="AA157" s="36">
        <v>0</v>
      </c>
      <c r="AB157" s="36"/>
      <c r="AC157" s="36">
        <v>0</v>
      </c>
      <c r="AD157" s="36"/>
      <c r="AE157" s="36">
        <f aca="true" t="shared" si="64" ref="AE157:AE159">SUM(E157:AC157)</f>
        <v>331584.51</v>
      </c>
      <c r="AF157" s="36"/>
      <c r="AG157" s="36">
        <v>64801.15</v>
      </c>
      <c r="AH157" s="36"/>
      <c r="AI157" s="36">
        <v>295384.52</v>
      </c>
      <c r="AJ157" s="36"/>
      <c r="AK157" s="36">
        <v>360185.67</v>
      </c>
      <c r="AL157" s="39">
        <f>+'Gov Rev'!AI156-'Gov Exp'!AE157+'Gov Exp'!AI157-'Gov Exp'!AK157</f>
        <v>0</v>
      </c>
      <c r="AM157" s="15" t="str">
        <f>'Gov Rev'!A156</f>
        <v>Craig Beach</v>
      </c>
      <c r="AN157" s="15" t="str">
        <f t="shared" si="62"/>
        <v>Craig Beach</v>
      </c>
      <c r="AO157" s="15" t="b">
        <f t="shared" si="63"/>
        <v>1</v>
      </c>
    </row>
    <row r="158" spans="1:41" ht="12.75">
      <c r="A158" s="15" t="s">
        <v>973</v>
      </c>
      <c r="C158" s="15" t="s">
        <v>312</v>
      </c>
      <c r="D158" s="28"/>
      <c r="E158" s="36">
        <v>1299889</v>
      </c>
      <c r="F158" s="36"/>
      <c r="G158" s="36">
        <v>0</v>
      </c>
      <c r="H158" s="36"/>
      <c r="I158" s="36">
        <v>103295</v>
      </c>
      <c r="J158" s="36"/>
      <c r="K158" s="36">
        <v>459200</v>
      </c>
      <c r="L158" s="36"/>
      <c r="M158" s="36">
        <v>0</v>
      </c>
      <c r="N158" s="36"/>
      <c r="O158" s="36">
        <v>522493</v>
      </c>
      <c r="P158" s="36"/>
      <c r="Q158" s="36">
        <v>341875</v>
      </c>
      <c r="R158" s="36"/>
      <c r="S158" s="36">
        <v>139308</v>
      </c>
      <c r="T158" s="36"/>
      <c r="U158" s="36">
        <v>16184</v>
      </c>
      <c r="V158" s="36"/>
      <c r="W158" s="36">
        <v>6388</v>
      </c>
      <c r="X158" s="36"/>
      <c r="Y158" s="36">
        <v>100000</v>
      </c>
      <c r="Z158" s="36"/>
      <c r="AA158" s="36">
        <v>0</v>
      </c>
      <c r="AB158" s="36"/>
      <c r="AC158" s="36">
        <v>0</v>
      </c>
      <c r="AD158" s="36"/>
      <c r="AE158" s="36">
        <f t="shared" si="64"/>
        <v>2988632</v>
      </c>
      <c r="AF158" s="36"/>
      <c r="AG158" s="36">
        <v>-124040</v>
      </c>
      <c r="AH158" s="36"/>
      <c r="AI158" s="36">
        <v>670152</v>
      </c>
      <c r="AJ158" s="36"/>
      <c r="AK158" s="36">
        <v>546112</v>
      </c>
      <c r="AL158" s="39">
        <f>+'Gov Rev'!AI157-'Gov Exp'!AE158+'Gov Exp'!AI158-'Gov Exp'!AK158</f>
        <v>0</v>
      </c>
      <c r="AM158" s="15" t="str">
        <f>'Gov Rev'!A157</f>
        <v>Crestline</v>
      </c>
      <c r="AN158" s="15" t="str">
        <f t="shared" si="62"/>
        <v>Crestline</v>
      </c>
      <c r="AO158" s="15" t="b">
        <f t="shared" si="63"/>
        <v>1</v>
      </c>
    </row>
    <row r="159" spans="1:41" ht="12.75">
      <c r="A159" s="15" t="s">
        <v>591</v>
      </c>
      <c r="C159" s="15" t="s">
        <v>592</v>
      </c>
      <c r="E159" s="36">
        <v>206958.19</v>
      </c>
      <c r="F159" s="36"/>
      <c r="G159" s="36">
        <v>10701.8</v>
      </c>
      <c r="H159" s="36"/>
      <c r="I159" s="36">
        <v>17948.97</v>
      </c>
      <c r="J159" s="36"/>
      <c r="K159" s="36">
        <v>109.6</v>
      </c>
      <c r="L159" s="36"/>
      <c r="M159" s="36">
        <v>0</v>
      </c>
      <c r="N159" s="36"/>
      <c r="O159" s="36">
        <v>115262.28</v>
      </c>
      <c r="P159" s="36"/>
      <c r="Q159" s="36">
        <v>216895.78</v>
      </c>
      <c r="R159" s="36"/>
      <c r="S159" s="36">
        <v>193424.66</v>
      </c>
      <c r="T159" s="36"/>
      <c r="U159" s="36">
        <v>30365.37</v>
      </c>
      <c r="V159" s="36"/>
      <c r="W159" s="36">
        <v>14548.99</v>
      </c>
      <c r="X159" s="36"/>
      <c r="Y159" s="36">
        <v>111000</v>
      </c>
      <c r="Z159" s="36"/>
      <c r="AA159" s="36">
        <v>0</v>
      </c>
      <c r="AB159" s="36"/>
      <c r="AC159" s="36">
        <v>0</v>
      </c>
      <c r="AD159" s="36"/>
      <c r="AE159" s="36">
        <f t="shared" si="64"/>
        <v>917215.64</v>
      </c>
      <c r="AF159" s="36"/>
      <c r="AG159" s="36">
        <v>-134416.42</v>
      </c>
      <c r="AH159" s="36"/>
      <c r="AI159" s="36">
        <v>1306916.8</v>
      </c>
      <c r="AJ159" s="36"/>
      <c r="AK159" s="36">
        <v>1172500.38</v>
      </c>
      <c r="AL159" s="39">
        <f>+'Gov Rev'!AI158-'Gov Exp'!AE159+'Gov Exp'!AI159-'Gov Exp'!AK159</f>
        <v>0</v>
      </c>
      <c r="AM159" s="15" t="str">
        <f>'Gov Rev'!A158</f>
        <v>Creston</v>
      </c>
      <c r="AN159" s="15" t="str">
        <f t="shared" si="62"/>
        <v>Creston</v>
      </c>
      <c r="AO159" s="15" t="b">
        <f t="shared" si="63"/>
        <v>1</v>
      </c>
    </row>
    <row r="160" spans="1:41" ht="12.6" customHeight="1">
      <c r="A160" s="15" t="s">
        <v>274</v>
      </c>
      <c r="C160" s="15" t="s">
        <v>275</v>
      </c>
      <c r="E160" s="24">
        <v>522671</v>
      </c>
      <c r="G160" s="24">
        <v>88</v>
      </c>
      <c r="I160" s="24">
        <v>9279</v>
      </c>
      <c r="K160" s="24">
        <v>5127</v>
      </c>
      <c r="M160" s="24">
        <v>2388</v>
      </c>
      <c r="O160" s="24">
        <v>102049</v>
      </c>
      <c r="Q160" s="24">
        <v>170528</v>
      </c>
      <c r="S160" s="24">
        <v>22129</v>
      </c>
      <c r="U160" s="24">
        <v>14377</v>
      </c>
      <c r="W160" s="24">
        <v>0</v>
      </c>
      <c r="Y160" s="24">
        <v>69320</v>
      </c>
      <c r="AA160" s="24">
        <v>0</v>
      </c>
      <c r="AC160" s="24">
        <v>0</v>
      </c>
      <c r="AE160" s="24">
        <f t="shared" si="51"/>
        <v>917956</v>
      </c>
      <c r="AF160" s="24"/>
      <c r="AG160" s="24">
        <v>-47595</v>
      </c>
      <c r="AH160" s="24"/>
      <c r="AI160" s="24">
        <v>306116</v>
      </c>
      <c r="AJ160" s="24"/>
      <c r="AK160" s="24">
        <v>258521</v>
      </c>
      <c r="AL160" s="39">
        <f>+'Gov Rev'!AI159-'Gov Exp'!AE160+'Gov Exp'!AI160-'Gov Exp'!AK160</f>
        <v>0</v>
      </c>
      <c r="AM160" s="15" t="str">
        <f>'Gov Rev'!A159</f>
        <v>Cridersville</v>
      </c>
      <c r="AN160" s="15" t="str">
        <f t="shared" si="62"/>
        <v>Cridersville</v>
      </c>
      <c r="AO160" s="15" t="b">
        <f t="shared" si="63"/>
        <v>1</v>
      </c>
    </row>
    <row r="161" spans="1:41" ht="12.75">
      <c r="A161" s="15" t="s">
        <v>500</v>
      </c>
      <c r="C161" s="15" t="s">
        <v>501</v>
      </c>
      <c r="E161" s="24">
        <v>588422</v>
      </c>
      <c r="G161" s="24">
        <v>0</v>
      </c>
      <c r="I161" s="24">
        <v>95691</v>
      </c>
      <c r="K161" s="24">
        <v>0</v>
      </c>
      <c r="M161" s="24">
        <v>0</v>
      </c>
      <c r="O161" s="24">
        <v>151711</v>
      </c>
      <c r="Q161" s="24">
        <v>239240</v>
      </c>
      <c r="S161" s="24">
        <v>3406</v>
      </c>
      <c r="U161" s="24">
        <v>378835</v>
      </c>
      <c r="W161" s="24">
        <v>0</v>
      </c>
      <c r="Y161" s="24">
        <v>0</v>
      </c>
      <c r="AA161" s="24">
        <v>0</v>
      </c>
      <c r="AC161" s="24">
        <v>524332</v>
      </c>
      <c r="AD161" s="37"/>
      <c r="AE161" s="24">
        <f t="shared" si="51"/>
        <v>1981637</v>
      </c>
      <c r="AF161" s="24"/>
      <c r="AG161" s="24">
        <v>109458</v>
      </c>
      <c r="AH161" s="24"/>
      <c r="AI161" s="24">
        <v>509080</v>
      </c>
      <c r="AJ161" s="24"/>
      <c r="AK161" s="24">
        <v>618544</v>
      </c>
      <c r="AL161" s="39">
        <f>+'Gov Rev'!AI160-'Gov Exp'!AE161+'Gov Exp'!AI161-'Gov Exp'!AK161</f>
        <v>-6</v>
      </c>
      <c r="AM161" s="15" t="str">
        <f>'Gov Rev'!A160</f>
        <v>Crooksville</v>
      </c>
      <c r="AN161" s="15" t="str">
        <f t="shared" si="62"/>
        <v>Crooksville</v>
      </c>
      <c r="AO161" s="15" t="b">
        <f t="shared" si="63"/>
        <v>1</v>
      </c>
    </row>
    <row r="162" spans="1:41" s="31" customFormat="1" ht="12.75">
      <c r="A162" s="15" t="s">
        <v>80</v>
      </c>
      <c r="B162" s="15"/>
      <c r="C162" s="15" t="s">
        <v>770</v>
      </c>
      <c r="D162" s="28"/>
      <c r="E162" s="36">
        <v>24690.76</v>
      </c>
      <c r="F162" s="36"/>
      <c r="G162" s="36">
        <v>3745</v>
      </c>
      <c r="H162" s="36"/>
      <c r="I162" s="36">
        <v>0</v>
      </c>
      <c r="J162" s="36"/>
      <c r="K162" s="36">
        <v>0</v>
      </c>
      <c r="L162" s="36"/>
      <c r="M162" s="36">
        <v>0</v>
      </c>
      <c r="N162" s="36"/>
      <c r="O162" s="36">
        <v>23125.47</v>
      </c>
      <c r="P162" s="36"/>
      <c r="Q162" s="36">
        <v>30643</v>
      </c>
      <c r="R162" s="36"/>
      <c r="S162" s="36">
        <v>2500</v>
      </c>
      <c r="T162" s="36"/>
      <c r="U162" s="36">
        <v>0</v>
      </c>
      <c r="V162" s="36"/>
      <c r="W162" s="36">
        <v>220167.86</v>
      </c>
      <c r="X162" s="36"/>
      <c r="Y162" s="36">
        <v>440</v>
      </c>
      <c r="Z162" s="36"/>
      <c r="AA162" s="36">
        <v>0</v>
      </c>
      <c r="AB162" s="36"/>
      <c r="AC162" s="36">
        <v>0</v>
      </c>
      <c r="AD162" s="36"/>
      <c r="AE162" s="36">
        <f aca="true" t="shared" si="65" ref="AE162:AE164">SUM(E162:AC162)</f>
        <v>305312.08999999997</v>
      </c>
      <c r="AF162" s="36"/>
      <c r="AG162" s="36">
        <v>2908.29</v>
      </c>
      <c r="AH162" s="36"/>
      <c r="AI162" s="36">
        <v>100374.56</v>
      </c>
      <c r="AJ162" s="36"/>
      <c r="AK162" s="36">
        <v>103282.85</v>
      </c>
      <c r="AL162" s="39">
        <f>+'Gov Rev'!AI161-'Gov Exp'!AE162+'Gov Exp'!AI162-'Gov Exp'!AK162</f>
        <v>0</v>
      </c>
      <c r="AM162" s="15" t="str">
        <f>'Gov Rev'!A161</f>
        <v>Crown City</v>
      </c>
      <c r="AN162" s="15" t="str">
        <f t="shared" si="62"/>
        <v>Crown City</v>
      </c>
      <c r="AO162" s="15" t="b">
        <f t="shared" si="63"/>
        <v>1</v>
      </c>
    </row>
    <row r="163" spans="1:41" s="31" customFormat="1" ht="12.75">
      <c r="A163" s="15" t="s">
        <v>87</v>
      </c>
      <c r="B163" s="15"/>
      <c r="C163" s="15" t="s">
        <v>772</v>
      </c>
      <c r="D163" s="28"/>
      <c r="E163" s="36">
        <v>15577</v>
      </c>
      <c r="F163" s="36"/>
      <c r="G163" s="36">
        <v>0</v>
      </c>
      <c r="H163" s="36"/>
      <c r="I163" s="36">
        <v>1348.27</v>
      </c>
      <c r="J163" s="36"/>
      <c r="K163" s="36">
        <v>0</v>
      </c>
      <c r="L163" s="36"/>
      <c r="M163" s="36">
        <v>0</v>
      </c>
      <c r="N163" s="36"/>
      <c r="O163" s="36">
        <v>9738.88</v>
      </c>
      <c r="P163" s="36"/>
      <c r="Q163" s="36">
        <v>33299.68</v>
      </c>
      <c r="R163" s="36"/>
      <c r="S163" s="36">
        <v>410213.45</v>
      </c>
      <c r="T163" s="36"/>
      <c r="U163" s="36">
        <v>0</v>
      </c>
      <c r="V163" s="36"/>
      <c r="W163" s="36">
        <v>0</v>
      </c>
      <c r="X163" s="36"/>
      <c r="Y163" s="36">
        <v>0</v>
      </c>
      <c r="Z163" s="36"/>
      <c r="AA163" s="36">
        <v>0</v>
      </c>
      <c r="AB163" s="36"/>
      <c r="AC163" s="36">
        <v>0</v>
      </c>
      <c r="AD163" s="36"/>
      <c r="AE163" s="36">
        <f t="shared" si="65"/>
        <v>470177.28</v>
      </c>
      <c r="AF163" s="36"/>
      <c r="AG163" s="36">
        <v>16268.2</v>
      </c>
      <c r="AH163" s="36"/>
      <c r="AI163" s="36">
        <v>93817.64</v>
      </c>
      <c r="AJ163" s="36"/>
      <c r="AK163" s="36">
        <v>110085.84</v>
      </c>
      <c r="AL163" s="39">
        <f>+'Gov Rev'!AI162-'Gov Exp'!AE163+'Gov Exp'!AI163-'Gov Exp'!AK163</f>
        <v>0</v>
      </c>
      <c r="AM163" s="15" t="str">
        <f>'Gov Rev'!A162</f>
        <v>Cumberland</v>
      </c>
      <c r="AN163" s="15" t="str">
        <f t="shared" si="62"/>
        <v>Cumberland</v>
      </c>
      <c r="AO163" s="15" t="b">
        <f t="shared" si="63"/>
        <v>1</v>
      </c>
    </row>
    <row r="164" spans="1:41" ht="12.75">
      <c r="A164" s="15" t="s">
        <v>254</v>
      </c>
      <c r="C164" s="15" t="s">
        <v>825</v>
      </c>
      <c r="D164" s="28"/>
      <c r="E164" s="36">
        <v>1253</v>
      </c>
      <c r="F164" s="36"/>
      <c r="G164" s="36">
        <v>0</v>
      </c>
      <c r="H164" s="36"/>
      <c r="I164" s="36">
        <v>2204.22</v>
      </c>
      <c r="J164" s="36"/>
      <c r="K164" s="36">
        <v>258.8</v>
      </c>
      <c r="L164" s="36"/>
      <c r="M164" s="36">
        <v>0</v>
      </c>
      <c r="N164" s="36"/>
      <c r="O164" s="36">
        <v>10297.63</v>
      </c>
      <c r="P164" s="36"/>
      <c r="Q164" s="36">
        <v>18957.45</v>
      </c>
      <c r="R164" s="36"/>
      <c r="S164" s="36">
        <v>3995.81</v>
      </c>
      <c r="T164" s="36"/>
      <c r="U164" s="36">
        <v>0</v>
      </c>
      <c r="V164" s="36"/>
      <c r="W164" s="36">
        <v>0</v>
      </c>
      <c r="X164" s="36"/>
      <c r="Y164" s="36">
        <v>2194.26</v>
      </c>
      <c r="Z164" s="36"/>
      <c r="AA164" s="36">
        <v>0</v>
      </c>
      <c r="AB164" s="36"/>
      <c r="AC164" s="36">
        <v>87.22</v>
      </c>
      <c r="AD164" s="36"/>
      <c r="AE164" s="36">
        <f t="shared" si="65"/>
        <v>39248.39</v>
      </c>
      <c r="AF164" s="36"/>
      <c r="AG164" s="36">
        <v>5527.4</v>
      </c>
      <c r="AH164" s="36"/>
      <c r="AI164" s="36">
        <v>97470.17</v>
      </c>
      <c r="AJ164" s="36"/>
      <c r="AK164" s="36">
        <v>102997.57</v>
      </c>
      <c r="AL164" s="39">
        <f>+'Gov Rev'!AI163-'Gov Exp'!AE164+'Gov Exp'!AI164-'Gov Exp'!AK164</f>
        <v>0</v>
      </c>
      <c r="AM164" s="15" t="str">
        <f>'Gov Rev'!A163</f>
        <v>Custar</v>
      </c>
      <c r="AN164" s="15" t="str">
        <f t="shared" si="62"/>
        <v>Custar</v>
      </c>
      <c r="AO164" s="15" t="b">
        <f t="shared" si="63"/>
        <v>1</v>
      </c>
    </row>
    <row r="165" spans="1:41" ht="12.75">
      <c r="A165" s="15" t="s">
        <v>927</v>
      </c>
      <c r="C165" s="15" t="s">
        <v>316</v>
      </c>
      <c r="D165" s="28"/>
      <c r="E165" s="24">
        <v>4881949</v>
      </c>
      <c r="G165" s="24">
        <v>18357</v>
      </c>
      <c r="I165" s="24">
        <v>181879</v>
      </c>
      <c r="K165" s="24">
        <v>149131</v>
      </c>
      <c r="M165" s="24">
        <v>74151</v>
      </c>
      <c r="O165" s="24">
        <v>254804</v>
      </c>
      <c r="Q165" s="24">
        <v>4253595</v>
      </c>
      <c r="S165" s="24">
        <v>0</v>
      </c>
      <c r="U165" s="24">
        <v>2500000</v>
      </c>
      <c r="W165" s="24">
        <v>67359</v>
      </c>
      <c r="Y165" s="24">
        <v>977500</v>
      </c>
      <c r="AA165" s="24">
        <v>0</v>
      </c>
      <c r="AC165" s="24">
        <v>0</v>
      </c>
      <c r="AE165" s="24">
        <f t="shared" si="51"/>
        <v>13358725</v>
      </c>
      <c r="AF165" s="24"/>
      <c r="AG165" s="24">
        <v>-369993</v>
      </c>
      <c r="AH165" s="24"/>
      <c r="AI165" s="24">
        <v>4424837</v>
      </c>
      <c r="AJ165" s="24"/>
      <c r="AK165" s="24">
        <v>4054844</v>
      </c>
      <c r="AL165" s="39">
        <f>+'Gov Rev'!AI165-'Gov Exp'!AE165+'Gov Exp'!AI165-'Gov Exp'!AK165</f>
        <v>0</v>
      </c>
      <c r="AM165" s="15" t="str">
        <f>'Gov Rev'!A165</f>
        <v>Cuyahoga Heights</v>
      </c>
      <c r="AN165" s="15" t="str">
        <f t="shared" si="62"/>
        <v>Cuyahoga Heights</v>
      </c>
      <c r="AO165" s="15" t="b">
        <f t="shared" si="63"/>
        <v>1</v>
      </c>
    </row>
    <row r="166" spans="1:41" ht="12.75">
      <c r="A166" s="15" t="s">
        <v>843</v>
      </c>
      <c r="C166" s="15" t="s">
        <v>825</v>
      </c>
      <c r="D166" s="28"/>
      <c r="E166" s="36">
        <v>17533.81</v>
      </c>
      <c r="F166" s="36"/>
      <c r="G166" s="36">
        <v>0</v>
      </c>
      <c r="H166" s="36"/>
      <c r="I166" s="36">
        <v>13513.61</v>
      </c>
      <c r="J166" s="36"/>
      <c r="K166" s="36">
        <v>412.97</v>
      </c>
      <c r="L166" s="36"/>
      <c r="M166" s="36">
        <v>0</v>
      </c>
      <c r="N166" s="36"/>
      <c r="O166" s="36">
        <v>75618.73</v>
      </c>
      <c r="P166" s="36"/>
      <c r="Q166" s="36">
        <v>182288.63</v>
      </c>
      <c r="R166" s="36"/>
      <c r="S166" s="36">
        <v>0</v>
      </c>
      <c r="T166" s="36"/>
      <c r="U166" s="36">
        <v>0</v>
      </c>
      <c r="V166" s="36"/>
      <c r="W166" s="36">
        <v>0</v>
      </c>
      <c r="X166" s="36"/>
      <c r="Y166" s="36">
        <v>0</v>
      </c>
      <c r="Z166" s="36"/>
      <c r="AA166" s="36">
        <v>0</v>
      </c>
      <c r="AB166" s="36"/>
      <c r="AC166" s="36">
        <v>0</v>
      </c>
      <c r="AD166" s="36"/>
      <c r="AE166" s="36">
        <f aca="true" t="shared" si="66" ref="AE166">SUM(E166:AC166)</f>
        <v>289367.75</v>
      </c>
      <c r="AF166" s="36"/>
      <c r="AG166" s="36">
        <v>23188.14</v>
      </c>
      <c r="AH166" s="36"/>
      <c r="AI166" s="36">
        <v>230449.81</v>
      </c>
      <c r="AJ166" s="36"/>
      <c r="AK166" s="36">
        <v>253637.95</v>
      </c>
      <c r="AL166" s="39">
        <f>+'Gov Rev'!AI166-'Gov Exp'!AE166+'Gov Exp'!AI166-'Gov Exp'!AK166</f>
        <v>0</v>
      </c>
      <c r="AM166" s="15" t="str">
        <f>'Gov Rev'!A166</f>
        <v>Cygnet</v>
      </c>
      <c r="AN166" s="15" t="str">
        <f t="shared" si="62"/>
        <v>Cygnet</v>
      </c>
      <c r="AO166" s="15" t="b">
        <f t="shared" si="63"/>
        <v>1</v>
      </c>
    </row>
    <row r="167" spans="1:41" s="31" customFormat="1" ht="12.75">
      <c r="A167" s="15" t="s">
        <v>593</v>
      </c>
      <c r="B167" s="15"/>
      <c r="C167" s="15" t="s">
        <v>590</v>
      </c>
      <c r="D167" s="15"/>
      <c r="E167" s="24">
        <v>326502.67</v>
      </c>
      <c r="F167" s="24"/>
      <c r="G167" s="24">
        <v>25343.04</v>
      </c>
      <c r="H167" s="24"/>
      <c r="I167" s="24">
        <v>7579.38</v>
      </c>
      <c r="J167" s="24"/>
      <c r="K167" s="24">
        <v>0</v>
      </c>
      <c r="L167" s="24"/>
      <c r="M167" s="24">
        <v>2808.73</v>
      </c>
      <c r="N167" s="24"/>
      <c r="O167" s="24">
        <v>189496.22</v>
      </c>
      <c r="P167" s="24"/>
      <c r="Q167" s="24">
        <v>92069.67</v>
      </c>
      <c r="R167" s="24"/>
      <c r="S167" s="24">
        <v>333770.18</v>
      </c>
      <c r="T167" s="24"/>
      <c r="U167" s="24">
        <v>35799.94</v>
      </c>
      <c r="V167" s="24"/>
      <c r="W167" s="24">
        <v>11894.66</v>
      </c>
      <c r="X167" s="24"/>
      <c r="Y167" s="24">
        <v>158761.57</v>
      </c>
      <c r="Z167" s="24"/>
      <c r="AA167" s="24">
        <v>0</v>
      </c>
      <c r="AB167" s="24"/>
      <c r="AC167" s="24">
        <v>65078.37</v>
      </c>
      <c r="AD167" s="24"/>
      <c r="AE167" s="24">
        <f t="shared" si="51"/>
        <v>1249104.43</v>
      </c>
      <c r="AF167" s="24"/>
      <c r="AG167" s="24">
        <v>-2702.5</v>
      </c>
      <c r="AH167" s="24"/>
      <c r="AI167" s="24">
        <v>626037.88</v>
      </c>
      <c r="AJ167" s="24"/>
      <c r="AK167" s="24">
        <v>623335.38</v>
      </c>
      <c r="AL167" s="39">
        <f>+'Gov Rev'!AI167-'Gov Exp'!AE167+'Gov Exp'!AI167-'Gov Exp'!AK167</f>
        <v>0</v>
      </c>
      <c r="AM167" s="15" t="str">
        <f>'Gov Rev'!A167</f>
        <v>Dalton</v>
      </c>
      <c r="AN167" s="15" t="str">
        <f t="shared" si="62"/>
        <v>Dalton</v>
      </c>
      <c r="AO167" s="15" t="b">
        <f t="shared" si="63"/>
        <v>1</v>
      </c>
    </row>
    <row r="168" spans="1:41" s="31" customFormat="1" ht="12.75">
      <c r="A168" s="15" t="s">
        <v>426</v>
      </c>
      <c r="B168" s="15"/>
      <c r="C168" s="15" t="s">
        <v>427</v>
      </c>
      <c r="D168" s="15"/>
      <c r="E168" s="36">
        <v>146537.47</v>
      </c>
      <c r="F168" s="36"/>
      <c r="G168" s="36">
        <v>559.08</v>
      </c>
      <c r="H168" s="36"/>
      <c r="I168" s="36">
        <v>23900.37</v>
      </c>
      <c r="J168" s="36"/>
      <c r="K168" s="36">
        <v>2630</v>
      </c>
      <c r="L168" s="36"/>
      <c r="M168" s="36">
        <v>0</v>
      </c>
      <c r="N168" s="36"/>
      <c r="O168" s="36">
        <v>288507.35</v>
      </c>
      <c r="P168" s="36"/>
      <c r="Q168" s="36">
        <v>114101.16</v>
      </c>
      <c r="R168" s="36"/>
      <c r="S168" s="36">
        <v>130414.52</v>
      </c>
      <c r="T168" s="36"/>
      <c r="U168" s="36">
        <v>126550.34</v>
      </c>
      <c r="V168" s="36"/>
      <c r="W168" s="36">
        <v>8584.02</v>
      </c>
      <c r="X168" s="36"/>
      <c r="Y168" s="36">
        <v>195105.68</v>
      </c>
      <c r="Z168" s="36"/>
      <c r="AA168" s="36">
        <v>0</v>
      </c>
      <c r="AB168" s="36"/>
      <c r="AC168" s="36">
        <v>5838.11</v>
      </c>
      <c r="AD168" s="36"/>
      <c r="AE168" s="36">
        <f aca="true" t="shared" si="67" ref="AE168">SUM(E168:AC168)</f>
        <v>1042728.1</v>
      </c>
      <c r="AF168" s="36"/>
      <c r="AG168" s="36">
        <v>-128868.87</v>
      </c>
      <c r="AH168" s="36"/>
      <c r="AI168" s="36">
        <v>441300.83</v>
      </c>
      <c r="AJ168" s="36"/>
      <c r="AK168" s="36">
        <v>312431.96</v>
      </c>
      <c r="AL168" s="39">
        <f>+'Gov Rev'!AI168-'Gov Exp'!AE168+'Gov Exp'!AI168-'Gov Exp'!AK168</f>
        <v>0</v>
      </c>
      <c r="AM168" s="15" t="str">
        <f>'Gov Rev'!A168</f>
        <v>Danville</v>
      </c>
      <c r="AN168" s="15" t="str">
        <f t="shared" si="62"/>
        <v>Danville</v>
      </c>
      <c r="AO168" s="15" t="b">
        <f t="shared" si="63"/>
        <v>1</v>
      </c>
    </row>
    <row r="169" spans="1:41" s="31" customFormat="1" ht="12.6" customHeight="1">
      <c r="A169" s="15" t="s">
        <v>404</v>
      </c>
      <c r="B169" s="15"/>
      <c r="C169" s="15" t="s">
        <v>403</v>
      </c>
      <c r="D169" s="15"/>
      <c r="E169" s="24">
        <v>1200</v>
      </c>
      <c r="F169" s="24"/>
      <c r="G169" s="24">
        <v>0</v>
      </c>
      <c r="H169" s="24"/>
      <c r="I169" s="24">
        <v>0</v>
      </c>
      <c r="J169" s="24"/>
      <c r="K169" s="24">
        <v>0</v>
      </c>
      <c r="L169" s="24"/>
      <c r="M169" s="24">
        <v>1058</v>
      </c>
      <c r="N169" s="24"/>
      <c r="O169" s="24">
        <v>0</v>
      </c>
      <c r="P169" s="24"/>
      <c r="Q169" s="24">
        <v>10958</v>
      </c>
      <c r="R169" s="24"/>
      <c r="S169" s="24">
        <v>2267</v>
      </c>
      <c r="T169" s="24"/>
      <c r="U169" s="24">
        <v>0</v>
      </c>
      <c r="V169" s="24"/>
      <c r="W169" s="24">
        <v>0</v>
      </c>
      <c r="X169" s="24"/>
      <c r="Y169" s="24">
        <v>7</v>
      </c>
      <c r="Z169" s="24"/>
      <c r="AA169" s="24">
        <v>0</v>
      </c>
      <c r="AB169" s="24"/>
      <c r="AC169" s="24">
        <v>0</v>
      </c>
      <c r="AD169" s="24"/>
      <c r="AE169" s="24">
        <f t="shared" si="51"/>
        <v>15490</v>
      </c>
      <c r="AF169" s="24"/>
      <c r="AG169" s="24">
        <v>4351</v>
      </c>
      <c r="AH169" s="24"/>
      <c r="AI169" s="24">
        <v>22326</v>
      </c>
      <c r="AJ169" s="24"/>
      <c r="AK169" s="24">
        <v>26676</v>
      </c>
      <c r="AL169" s="39">
        <f>+'Gov Rev'!AI169-'Gov Exp'!AE169+'Gov Exp'!AI169-'Gov Exp'!AK169</f>
        <v>-14</v>
      </c>
      <c r="AM169" s="15" t="str">
        <f>'Gov Rev'!A169</f>
        <v>Deersville</v>
      </c>
      <c r="AN169" s="15" t="str">
        <f t="shared" si="62"/>
        <v>Deersville</v>
      </c>
      <c r="AO169" s="15" t="b">
        <f t="shared" si="63"/>
        <v>1</v>
      </c>
    </row>
    <row r="170" spans="1:41" s="31" customFormat="1" ht="12.75">
      <c r="A170" s="15" t="s">
        <v>445</v>
      </c>
      <c r="B170" s="15"/>
      <c r="C170" s="15" t="s">
        <v>446</v>
      </c>
      <c r="D170" s="15"/>
      <c r="E170" s="36">
        <v>120400.93</v>
      </c>
      <c r="F170" s="36"/>
      <c r="G170" s="36">
        <v>9326.46</v>
      </c>
      <c r="H170" s="36"/>
      <c r="I170" s="36">
        <v>3783.46</v>
      </c>
      <c r="J170" s="36"/>
      <c r="K170" s="36">
        <v>3963.99</v>
      </c>
      <c r="L170" s="36"/>
      <c r="M170" s="36">
        <v>0</v>
      </c>
      <c r="N170" s="36"/>
      <c r="O170" s="36">
        <v>171054.36</v>
      </c>
      <c r="P170" s="36"/>
      <c r="Q170" s="36">
        <v>104596.05</v>
      </c>
      <c r="R170" s="36"/>
      <c r="S170" s="36">
        <v>0</v>
      </c>
      <c r="T170" s="36"/>
      <c r="U170" s="36">
        <v>1333.33</v>
      </c>
      <c r="V170" s="36"/>
      <c r="W170" s="36">
        <v>1041.38</v>
      </c>
      <c r="X170" s="36"/>
      <c r="Y170" s="36">
        <v>561</v>
      </c>
      <c r="Z170" s="36"/>
      <c r="AA170" s="36">
        <v>0</v>
      </c>
      <c r="AB170" s="36"/>
      <c r="AC170" s="36">
        <v>0</v>
      </c>
      <c r="AD170" s="36"/>
      <c r="AE170" s="36">
        <f aca="true" t="shared" si="68" ref="AE170:AE171">SUM(E170:AC170)</f>
        <v>416060.95999999996</v>
      </c>
      <c r="AF170" s="36"/>
      <c r="AG170" s="36">
        <v>6134.51</v>
      </c>
      <c r="AH170" s="36"/>
      <c r="AI170" s="36">
        <v>100795.95</v>
      </c>
      <c r="AJ170" s="36"/>
      <c r="AK170" s="36">
        <v>106930.46</v>
      </c>
      <c r="AL170" s="39">
        <f>+'Gov Rev'!AI170-'Gov Exp'!AE170+'Gov Exp'!AI170-'Gov Exp'!AK170</f>
        <v>0</v>
      </c>
      <c r="AM170" s="15" t="str">
        <f>'Gov Rev'!A170</f>
        <v>DeGraff</v>
      </c>
      <c r="AN170" s="15" t="str">
        <f t="shared" si="62"/>
        <v>DeGraff</v>
      </c>
      <c r="AO170" s="15" t="b">
        <f t="shared" si="63"/>
        <v>1</v>
      </c>
    </row>
    <row r="171" spans="1:41" s="24" customFormat="1" ht="12.75">
      <c r="A171" s="24" t="s">
        <v>28</v>
      </c>
      <c r="C171" s="24" t="s">
        <v>753</v>
      </c>
      <c r="D171" s="73"/>
      <c r="E171" s="36">
        <v>19870.58</v>
      </c>
      <c r="F171" s="36"/>
      <c r="G171" s="36">
        <v>1756.04</v>
      </c>
      <c r="H171" s="36"/>
      <c r="I171" s="36">
        <v>0</v>
      </c>
      <c r="J171" s="36"/>
      <c r="K171" s="36">
        <v>328.1</v>
      </c>
      <c r="L171" s="36"/>
      <c r="M171" s="36">
        <v>0</v>
      </c>
      <c r="N171" s="36"/>
      <c r="O171" s="36">
        <v>15819.11</v>
      </c>
      <c r="P171" s="36"/>
      <c r="Q171" s="36">
        <v>39957.43</v>
      </c>
      <c r="R171" s="36"/>
      <c r="S171" s="36">
        <v>14971.77</v>
      </c>
      <c r="T171" s="36"/>
      <c r="U171" s="36">
        <v>0</v>
      </c>
      <c r="V171" s="36"/>
      <c r="W171" s="36">
        <v>0</v>
      </c>
      <c r="X171" s="36"/>
      <c r="Y171" s="36">
        <v>1500</v>
      </c>
      <c r="Z171" s="36"/>
      <c r="AA171" s="36">
        <v>0</v>
      </c>
      <c r="AB171" s="36"/>
      <c r="AC171" s="36">
        <v>0</v>
      </c>
      <c r="AD171" s="36"/>
      <c r="AE171" s="36">
        <f t="shared" si="68"/>
        <v>94203.03000000001</v>
      </c>
      <c r="AF171" s="36"/>
      <c r="AG171" s="36">
        <v>5459.04</v>
      </c>
      <c r="AH171" s="36"/>
      <c r="AI171" s="36">
        <v>61226.25</v>
      </c>
      <c r="AJ171" s="36"/>
      <c r="AK171" s="36">
        <v>66685.29</v>
      </c>
      <c r="AL171" s="39">
        <f>+'Gov Rev'!AI171-'Gov Exp'!AE171+'Gov Exp'!AI171-'Gov Exp'!AK171</f>
        <v>0</v>
      </c>
      <c r="AM171" s="15" t="str">
        <f>'Gov Rev'!A171</f>
        <v>Dellroy</v>
      </c>
      <c r="AN171" s="15" t="str">
        <f t="shared" si="62"/>
        <v>Dellroy</v>
      </c>
      <c r="AO171" s="15" t="b">
        <f t="shared" si="63"/>
        <v>1</v>
      </c>
    </row>
    <row r="172" spans="1:41" s="31" customFormat="1" ht="12.75">
      <c r="A172" s="15" t="s">
        <v>359</v>
      </c>
      <c r="B172" s="15"/>
      <c r="C172" s="15" t="s">
        <v>358</v>
      </c>
      <c r="D172" s="15"/>
      <c r="E172" s="24">
        <v>634756.16</v>
      </c>
      <c r="F172" s="24"/>
      <c r="G172" s="24">
        <v>25622.28</v>
      </c>
      <c r="H172" s="24"/>
      <c r="I172" s="24">
        <v>121695.66</v>
      </c>
      <c r="J172" s="24"/>
      <c r="K172" s="24">
        <v>4820.84</v>
      </c>
      <c r="L172" s="24"/>
      <c r="M172" s="24">
        <v>74037.05</v>
      </c>
      <c r="N172" s="24"/>
      <c r="O172" s="24">
        <v>243182.1</v>
      </c>
      <c r="P172" s="24"/>
      <c r="Q172" s="24">
        <v>228957.91</v>
      </c>
      <c r="R172" s="24"/>
      <c r="S172" s="24">
        <v>96694.55</v>
      </c>
      <c r="T172" s="24"/>
      <c r="U172" s="24">
        <v>2585.7</v>
      </c>
      <c r="V172" s="24"/>
      <c r="W172" s="24">
        <v>0</v>
      </c>
      <c r="X172" s="24"/>
      <c r="Y172" s="24">
        <v>3000</v>
      </c>
      <c r="Z172" s="24"/>
      <c r="AA172" s="24">
        <v>0</v>
      </c>
      <c r="AB172" s="24"/>
      <c r="AC172" s="24">
        <v>0</v>
      </c>
      <c r="AD172" s="24"/>
      <c r="AE172" s="24">
        <f t="shared" si="51"/>
        <v>1435352.25</v>
      </c>
      <c r="AF172" s="24"/>
      <c r="AG172" s="24">
        <v>4347.9</v>
      </c>
      <c r="AH172" s="24"/>
      <c r="AI172" s="24">
        <v>988017.031</v>
      </c>
      <c r="AJ172" s="24"/>
      <c r="AK172" s="24">
        <v>992365.21</v>
      </c>
      <c r="AL172" s="39">
        <f>+'Gov Rev'!AI172-'Gov Exp'!AE172+'Gov Exp'!AI172-'Gov Exp'!AK172</f>
        <v>-0.27900000009685755</v>
      </c>
      <c r="AM172" s="15" t="str">
        <f>'Gov Rev'!A172</f>
        <v>Delta</v>
      </c>
      <c r="AN172" s="15" t="str">
        <f t="shared" si="62"/>
        <v>Delta</v>
      </c>
      <c r="AO172" s="15" t="b">
        <f t="shared" si="63"/>
        <v>1</v>
      </c>
    </row>
    <row r="173" spans="1:41" ht="12.75">
      <c r="A173" s="15" t="s">
        <v>232</v>
      </c>
      <c r="C173" s="15" t="s">
        <v>818</v>
      </c>
      <c r="D173" s="28"/>
      <c r="E173" s="36">
        <v>557086.07</v>
      </c>
      <c r="F173" s="36"/>
      <c r="G173" s="36">
        <v>43316.55</v>
      </c>
      <c r="H173" s="36"/>
      <c r="I173" s="36">
        <v>49533.72</v>
      </c>
      <c r="J173" s="36"/>
      <c r="K173" s="36">
        <v>12708.15</v>
      </c>
      <c r="L173" s="36"/>
      <c r="M173" s="36">
        <v>22139.65</v>
      </c>
      <c r="N173" s="36"/>
      <c r="O173" s="36">
        <v>146599.58</v>
      </c>
      <c r="P173" s="36"/>
      <c r="Q173" s="36">
        <v>228534.93</v>
      </c>
      <c r="R173" s="36"/>
      <c r="S173" s="36">
        <v>50850</v>
      </c>
      <c r="T173" s="36"/>
      <c r="U173" s="36">
        <v>316164.26</v>
      </c>
      <c r="V173" s="36"/>
      <c r="W173" s="36">
        <v>17875.05</v>
      </c>
      <c r="X173" s="36"/>
      <c r="Y173" s="36">
        <v>52000</v>
      </c>
      <c r="Z173" s="36"/>
      <c r="AA173" s="36">
        <v>0</v>
      </c>
      <c r="AB173" s="36"/>
      <c r="AC173" s="36">
        <v>0</v>
      </c>
      <c r="AD173" s="36"/>
      <c r="AE173" s="36">
        <f aca="true" t="shared" si="69" ref="AE173:AE174">SUM(E173:AC173)</f>
        <v>1496807.96</v>
      </c>
      <c r="AF173" s="36"/>
      <c r="AG173" s="36">
        <v>-21275.82</v>
      </c>
      <c r="AH173" s="36"/>
      <c r="AI173" s="36">
        <v>633278.44</v>
      </c>
      <c r="AJ173" s="36"/>
      <c r="AK173" s="36">
        <v>612002.62</v>
      </c>
      <c r="AL173" s="39">
        <f>+'Gov Rev'!AI173-'Gov Exp'!AE173+'Gov Exp'!AI173-'Gov Exp'!AK173</f>
        <v>0</v>
      </c>
      <c r="AM173" s="15" t="str">
        <f>'Gov Rev'!A173</f>
        <v>Dennison</v>
      </c>
      <c r="AN173" s="15" t="str">
        <f t="shared" si="62"/>
        <v>Dennison</v>
      </c>
      <c r="AO173" s="15" t="b">
        <f t="shared" si="63"/>
        <v>1</v>
      </c>
    </row>
    <row r="174" spans="1:41" ht="12.75">
      <c r="A174" s="15" t="s">
        <v>104</v>
      </c>
      <c r="C174" s="15" t="s">
        <v>777</v>
      </c>
      <c r="D174" s="28"/>
      <c r="E174" s="36">
        <v>140464.76</v>
      </c>
      <c r="F174" s="36"/>
      <c r="G174" s="36">
        <v>6000</v>
      </c>
      <c r="H174" s="36"/>
      <c r="I174" s="36">
        <v>14131.14</v>
      </c>
      <c r="J174" s="36"/>
      <c r="K174" s="36">
        <v>7373.32</v>
      </c>
      <c r="L174" s="36"/>
      <c r="M174" s="36">
        <v>1500</v>
      </c>
      <c r="N174" s="36"/>
      <c r="O174" s="36">
        <v>130047.27</v>
      </c>
      <c r="P174" s="36"/>
      <c r="Q174" s="36">
        <v>133488.61</v>
      </c>
      <c r="R174" s="36"/>
      <c r="S174" s="36">
        <v>529806.08</v>
      </c>
      <c r="T174" s="36"/>
      <c r="U174" s="36">
        <v>0</v>
      </c>
      <c r="V174" s="36"/>
      <c r="W174" s="36">
        <v>0</v>
      </c>
      <c r="X174" s="36"/>
      <c r="Y174" s="36">
        <v>299112.77</v>
      </c>
      <c r="Z174" s="36"/>
      <c r="AA174" s="36">
        <v>0</v>
      </c>
      <c r="AB174" s="36"/>
      <c r="AC174" s="36">
        <v>0</v>
      </c>
      <c r="AD174" s="36"/>
      <c r="AE174" s="36">
        <f t="shared" si="69"/>
        <v>1261923.95</v>
      </c>
      <c r="AF174" s="36"/>
      <c r="AG174" s="36">
        <v>722.8</v>
      </c>
      <c r="AH174" s="36"/>
      <c r="AI174" s="36">
        <v>536401.82</v>
      </c>
      <c r="AJ174" s="36"/>
      <c r="AK174" s="36">
        <v>537124.62</v>
      </c>
      <c r="AL174" s="39">
        <f>+'Gov Rev'!AI174-'Gov Exp'!AE174+'Gov Exp'!AI174-'Gov Exp'!AK174</f>
        <v>0</v>
      </c>
      <c r="AM174" s="15" t="str">
        <f>'Gov Rev'!A174</f>
        <v>Deshler</v>
      </c>
      <c r="AN174" s="15" t="str">
        <f t="shared" si="62"/>
        <v>Deshler</v>
      </c>
      <c r="AO174" s="15" t="b">
        <f t="shared" si="63"/>
        <v>1</v>
      </c>
    </row>
    <row r="175" spans="1:41" s="31" customFormat="1" ht="12.75" hidden="1">
      <c r="A175" s="15" t="s">
        <v>493</v>
      </c>
      <c r="B175" s="15"/>
      <c r="C175" s="15" t="s">
        <v>491</v>
      </c>
      <c r="D175" s="15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>
        <f t="shared" si="51"/>
        <v>0</v>
      </c>
      <c r="AF175" s="24"/>
      <c r="AG175" s="24"/>
      <c r="AH175" s="24"/>
      <c r="AI175" s="24"/>
      <c r="AJ175" s="24"/>
      <c r="AK175" s="24"/>
      <c r="AL175" s="39">
        <f>+'Gov Rev'!AI175-'Gov Exp'!AE175+'Gov Exp'!AI175-'Gov Exp'!AK175</f>
        <v>0</v>
      </c>
      <c r="AM175" s="15" t="str">
        <f>'Gov Rev'!A175</f>
        <v>Dexter City</v>
      </c>
      <c r="AN175" s="15" t="str">
        <f t="shared" si="62"/>
        <v>Dexter City</v>
      </c>
      <c r="AO175" s="15" t="b">
        <f t="shared" si="63"/>
        <v>1</v>
      </c>
    </row>
    <row r="176" spans="1:41" s="31" customFormat="1" ht="12.75">
      <c r="A176" s="15" t="s">
        <v>116</v>
      </c>
      <c r="B176" s="15"/>
      <c r="C176" s="15" t="s">
        <v>781</v>
      </c>
      <c r="D176" s="28"/>
      <c r="E176" s="36">
        <v>54338.36</v>
      </c>
      <c r="F176" s="36"/>
      <c r="G176" s="36">
        <v>14214.08</v>
      </c>
      <c r="H176" s="36"/>
      <c r="I176" s="36">
        <v>10155.35</v>
      </c>
      <c r="J176" s="36"/>
      <c r="K176" s="36">
        <v>256.21</v>
      </c>
      <c r="L176" s="36"/>
      <c r="M176" s="36">
        <v>0</v>
      </c>
      <c r="N176" s="36"/>
      <c r="O176" s="36">
        <v>38964.3</v>
      </c>
      <c r="P176" s="36"/>
      <c r="Q176" s="36">
        <v>47654.87</v>
      </c>
      <c r="R176" s="36"/>
      <c r="S176" s="36">
        <v>52226.3</v>
      </c>
      <c r="T176" s="36"/>
      <c r="U176" s="36">
        <v>0</v>
      </c>
      <c r="V176" s="36"/>
      <c r="W176" s="36">
        <v>0</v>
      </c>
      <c r="X176" s="36"/>
      <c r="Y176" s="36">
        <v>1442.88</v>
      </c>
      <c r="Z176" s="36"/>
      <c r="AA176" s="36">
        <v>0</v>
      </c>
      <c r="AB176" s="36"/>
      <c r="AC176" s="36">
        <v>0</v>
      </c>
      <c r="AD176" s="36"/>
      <c r="AE176" s="36">
        <f aca="true" t="shared" si="70" ref="AE176:AE182">SUM(E176:AC176)</f>
        <v>219252.35000000003</v>
      </c>
      <c r="AF176" s="36"/>
      <c r="AG176" s="36">
        <v>-3128.84</v>
      </c>
      <c r="AH176" s="36"/>
      <c r="AI176" s="36">
        <v>46742.53</v>
      </c>
      <c r="AJ176" s="36"/>
      <c r="AK176" s="36">
        <v>43613.69</v>
      </c>
      <c r="AL176" s="39">
        <f>+'Gov Rev'!AI176-'Gov Exp'!AE176+'Gov Exp'!AI176-'Gov Exp'!AK176</f>
        <v>0</v>
      </c>
      <c r="AM176" s="15" t="str">
        <f>'Gov Rev'!A176</f>
        <v>Dillonvale</v>
      </c>
      <c r="AN176" s="15" t="str">
        <f t="shared" si="62"/>
        <v>Dillonvale</v>
      </c>
      <c r="AO176" s="15" t="b">
        <f t="shared" si="63"/>
        <v>1</v>
      </c>
    </row>
    <row r="177" spans="1:41" ht="12.6" customHeight="1">
      <c r="A177" s="15" t="s">
        <v>829</v>
      </c>
      <c r="C177" s="15" t="s">
        <v>292</v>
      </c>
      <c r="E177" s="36">
        <v>19064.38</v>
      </c>
      <c r="F177" s="36"/>
      <c r="G177" s="36">
        <v>0</v>
      </c>
      <c r="H177" s="36"/>
      <c r="I177" s="36">
        <v>0</v>
      </c>
      <c r="J177" s="36"/>
      <c r="K177" s="36">
        <v>0</v>
      </c>
      <c r="L177" s="36"/>
      <c r="M177" s="36">
        <v>0</v>
      </c>
      <c r="N177" s="36"/>
      <c r="O177" s="36">
        <v>13725.79</v>
      </c>
      <c r="P177" s="36"/>
      <c r="Q177" s="36">
        <v>27411.01</v>
      </c>
      <c r="R177" s="36"/>
      <c r="S177" s="36">
        <v>0</v>
      </c>
      <c r="T177" s="36"/>
      <c r="U177" s="36">
        <v>0</v>
      </c>
      <c r="V177" s="36"/>
      <c r="W177" s="36">
        <v>0</v>
      </c>
      <c r="X177" s="36"/>
      <c r="Y177" s="36">
        <v>0</v>
      </c>
      <c r="Z177" s="36"/>
      <c r="AA177" s="36">
        <v>0</v>
      </c>
      <c r="AB177" s="36"/>
      <c r="AC177" s="36">
        <v>0</v>
      </c>
      <c r="AD177" s="36"/>
      <c r="AE177" s="36">
        <f t="shared" si="70"/>
        <v>60201.17999999999</v>
      </c>
      <c r="AF177" s="36"/>
      <c r="AG177" s="36">
        <v>19295.12</v>
      </c>
      <c r="AH177" s="36"/>
      <c r="AI177" s="36">
        <v>199864</v>
      </c>
      <c r="AJ177" s="36"/>
      <c r="AK177" s="36">
        <v>219159.12</v>
      </c>
      <c r="AL177" s="39">
        <f>+'Gov Rev'!AI177-'Gov Exp'!AE177+'Gov Exp'!AI177-'Gov Exp'!AK177</f>
        <v>0</v>
      </c>
      <c r="AM177" s="15" t="str">
        <f>'Gov Rev'!A177</f>
        <v>Donnelsville</v>
      </c>
      <c r="AN177" s="15" t="str">
        <f t="shared" si="62"/>
        <v>Donnelsville</v>
      </c>
      <c r="AO177" s="15" t="b">
        <f t="shared" si="63"/>
        <v>1</v>
      </c>
    </row>
    <row r="178" spans="1:41" s="31" customFormat="1" ht="12.75">
      <c r="A178" s="15" t="s">
        <v>594</v>
      </c>
      <c r="B178" s="15"/>
      <c r="C178" s="15" t="s">
        <v>590</v>
      </c>
      <c r="D178" s="15"/>
      <c r="E178" s="36">
        <v>551217.11</v>
      </c>
      <c r="F178" s="36"/>
      <c r="G178" s="36">
        <v>17145.23</v>
      </c>
      <c r="H178" s="36"/>
      <c r="I178" s="36">
        <v>66164.85</v>
      </c>
      <c r="J178" s="36"/>
      <c r="K178" s="36">
        <v>37354.71</v>
      </c>
      <c r="L178" s="36"/>
      <c r="M178" s="36">
        <v>0</v>
      </c>
      <c r="N178" s="36"/>
      <c r="O178" s="36">
        <v>320446.28</v>
      </c>
      <c r="P178" s="36"/>
      <c r="Q178" s="36">
        <v>285243.06</v>
      </c>
      <c r="R178" s="36"/>
      <c r="S178" s="36">
        <v>262709.55</v>
      </c>
      <c r="T178" s="36"/>
      <c r="U178" s="36">
        <v>44288.65</v>
      </c>
      <c r="V178" s="36"/>
      <c r="W178" s="36">
        <v>19744.97</v>
      </c>
      <c r="X178" s="36"/>
      <c r="Y178" s="36">
        <v>201900</v>
      </c>
      <c r="Z178" s="36"/>
      <c r="AA178" s="36">
        <v>0</v>
      </c>
      <c r="AB178" s="36"/>
      <c r="AC178" s="36">
        <v>0</v>
      </c>
      <c r="AD178" s="36"/>
      <c r="AE178" s="36">
        <f t="shared" si="70"/>
        <v>1806214.41</v>
      </c>
      <c r="AF178" s="36"/>
      <c r="AG178" s="36">
        <v>-15381.23</v>
      </c>
      <c r="AH178" s="36"/>
      <c r="AI178" s="36">
        <v>1526912.38</v>
      </c>
      <c r="AJ178" s="36"/>
      <c r="AK178" s="36">
        <v>1511531.15</v>
      </c>
      <c r="AL178" s="39">
        <f>+'Gov Rev'!AI178-'Gov Exp'!AE178+'Gov Exp'!AI178-'Gov Exp'!AK178</f>
        <v>0</v>
      </c>
      <c r="AM178" s="15" t="str">
        <f>'Gov Rev'!A178</f>
        <v>Doylestown</v>
      </c>
      <c r="AN178" s="15" t="str">
        <f t="shared" si="62"/>
        <v>Doylestown</v>
      </c>
      <c r="AO178" s="15" t="b">
        <f t="shared" si="63"/>
        <v>1</v>
      </c>
    </row>
    <row r="179" spans="1:41" ht="12.75">
      <c r="A179" s="15" t="s">
        <v>174</v>
      </c>
      <c r="C179" s="15" t="s">
        <v>800</v>
      </c>
      <c r="D179" s="28"/>
      <c r="E179" s="36">
        <v>259428.33</v>
      </c>
      <c r="F179" s="36"/>
      <c r="G179" s="36">
        <v>20068.55</v>
      </c>
      <c r="H179" s="36"/>
      <c r="I179" s="36">
        <v>0</v>
      </c>
      <c r="J179" s="36"/>
      <c r="K179" s="36">
        <v>0</v>
      </c>
      <c r="L179" s="36"/>
      <c r="M179" s="36">
        <v>0</v>
      </c>
      <c r="N179" s="36"/>
      <c r="O179" s="36">
        <v>173854.51</v>
      </c>
      <c r="P179" s="36"/>
      <c r="Q179" s="36">
        <v>124932.82</v>
      </c>
      <c r="R179" s="36"/>
      <c r="S179" s="36">
        <v>546418.5</v>
      </c>
      <c r="T179" s="36"/>
      <c r="U179" s="36">
        <v>74300.34</v>
      </c>
      <c r="V179" s="36"/>
      <c r="W179" s="36">
        <v>25329.61</v>
      </c>
      <c r="X179" s="36"/>
      <c r="Y179" s="36">
        <v>312734.98</v>
      </c>
      <c r="Z179" s="36"/>
      <c r="AA179" s="36">
        <v>152274.46</v>
      </c>
      <c r="AB179" s="36"/>
      <c r="AC179" s="36">
        <v>1224</v>
      </c>
      <c r="AD179" s="36"/>
      <c r="AE179" s="36">
        <f t="shared" si="70"/>
        <v>1690566.1</v>
      </c>
      <c r="AF179" s="36"/>
      <c r="AG179" s="36">
        <v>5164.46</v>
      </c>
      <c r="AH179" s="36"/>
      <c r="AI179" s="36">
        <v>61142.4</v>
      </c>
      <c r="AJ179" s="36"/>
      <c r="AK179" s="36">
        <v>66306.86</v>
      </c>
      <c r="AL179" s="39">
        <f>+'Gov Rev'!AI179-'Gov Exp'!AE179+'Gov Exp'!AI179-'Gov Exp'!AK179</f>
        <v>0</v>
      </c>
      <c r="AM179" s="15" t="str">
        <f>'Gov Rev'!A179</f>
        <v>Dresden</v>
      </c>
      <c r="AN179" s="15" t="str">
        <f t="shared" si="62"/>
        <v>Dresden</v>
      </c>
      <c r="AO179" s="15" t="b">
        <f t="shared" si="63"/>
        <v>1</v>
      </c>
    </row>
    <row r="180" spans="1:41" s="29" customFormat="1" ht="12.75">
      <c r="A180" s="24" t="s">
        <v>397</v>
      </c>
      <c r="B180" s="24"/>
      <c r="C180" s="24" t="s">
        <v>396</v>
      </c>
      <c r="D180" s="24"/>
      <c r="E180" s="36">
        <v>10300</v>
      </c>
      <c r="F180" s="36"/>
      <c r="G180" s="36">
        <v>7160</v>
      </c>
      <c r="H180" s="36"/>
      <c r="I180" s="36">
        <v>40411.69</v>
      </c>
      <c r="J180" s="36"/>
      <c r="K180" s="36">
        <v>5844.65</v>
      </c>
      <c r="L180" s="36"/>
      <c r="M180" s="36">
        <v>1645.85</v>
      </c>
      <c r="N180" s="36"/>
      <c r="O180" s="36">
        <v>54006.47</v>
      </c>
      <c r="P180" s="36"/>
      <c r="Q180" s="36">
        <v>63436.93</v>
      </c>
      <c r="R180" s="36"/>
      <c r="S180" s="36">
        <v>2505.48</v>
      </c>
      <c r="T180" s="36"/>
      <c r="U180" s="36">
        <v>0</v>
      </c>
      <c r="V180" s="36"/>
      <c r="W180" s="36">
        <v>0</v>
      </c>
      <c r="X180" s="36"/>
      <c r="Y180" s="36">
        <v>1911.42</v>
      </c>
      <c r="Z180" s="36"/>
      <c r="AA180" s="36">
        <v>0</v>
      </c>
      <c r="AB180" s="36"/>
      <c r="AC180" s="36">
        <v>664</v>
      </c>
      <c r="AD180" s="36"/>
      <c r="AE180" s="36">
        <f t="shared" si="70"/>
        <v>187886.49000000002</v>
      </c>
      <c r="AF180" s="36"/>
      <c r="AG180" s="36">
        <v>10436.6</v>
      </c>
      <c r="AH180" s="36"/>
      <c r="AI180" s="36">
        <v>177552.25</v>
      </c>
      <c r="AJ180" s="36"/>
      <c r="AK180" s="36">
        <v>187988.85</v>
      </c>
      <c r="AL180" s="39">
        <f>+'Gov Rev'!AI180-'Gov Exp'!AE180+'Gov Exp'!AI180-'Gov Exp'!AK180</f>
        <v>0</v>
      </c>
      <c r="AM180" s="15" t="str">
        <f>'Gov Rev'!A180</f>
        <v>Dunkirk</v>
      </c>
      <c r="AN180" s="15" t="str">
        <f t="shared" si="62"/>
        <v>Dunkirk</v>
      </c>
      <c r="AO180" s="15" t="b">
        <f t="shared" si="63"/>
        <v>1</v>
      </c>
    </row>
    <row r="181" spans="1:41" ht="12.75">
      <c r="A181" s="15" t="s">
        <v>203</v>
      </c>
      <c r="C181" s="15" t="s">
        <v>808</v>
      </c>
      <c r="D181" s="28"/>
      <c r="E181" s="36">
        <v>4911.52</v>
      </c>
      <c r="F181" s="36"/>
      <c r="G181" s="36">
        <v>512.75</v>
      </c>
      <c r="H181" s="36"/>
      <c r="I181" s="36">
        <v>975.92</v>
      </c>
      <c r="J181" s="36"/>
      <c r="K181" s="36">
        <v>0</v>
      </c>
      <c r="L181" s="36"/>
      <c r="M181" s="36">
        <v>256.02</v>
      </c>
      <c r="N181" s="36"/>
      <c r="O181" s="36">
        <v>9272.25</v>
      </c>
      <c r="P181" s="36"/>
      <c r="Q181" s="36">
        <v>38863.62</v>
      </c>
      <c r="R181" s="36"/>
      <c r="S181" s="36">
        <v>23904.4</v>
      </c>
      <c r="T181" s="36"/>
      <c r="U181" s="36">
        <v>0</v>
      </c>
      <c r="V181" s="36"/>
      <c r="W181" s="36">
        <v>0</v>
      </c>
      <c r="X181" s="36"/>
      <c r="Y181" s="36">
        <v>0</v>
      </c>
      <c r="Z181" s="36"/>
      <c r="AA181" s="36">
        <v>0</v>
      </c>
      <c r="AB181" s="36"/>
      <c r="AC181" s="36">
        <v>0</v>
      </c>
      <c r="AD181" s="36"/>
      <c r="AE181" s="36">
        <f t="shared" si="70"/>
        <v>78696.48000000001</v>
      </c>
      <c r="AF181" s="36"/>
      <c r="AG181" s="36">
        <v>-12203.23</v>
      </c>
      <c r="AH181" s="36"/>
      <c r="AI181" s="36">
        <v>135692.66</v>
      </c>
      <c r="AJ181" s="36"/>
      <c r="AK181" s="36">
        <v>123489.43</v>
      </c>
      <c r="AL181" s="39">
        <f>+'Gov Rev'!AI181-'Gov Exp'!AE181+'Gov Exp'!AI181-'Gov Exp'!AK181</f>
        <v>0</v>
      </c>
      <c r="AM181" s="15" t="str">
        <f>'Gov Rev'!A181</f>
        <v>Dupont</v>
      </c>
      <c r="AN181" s="15" t="str">
        <f t="shared" si="62"/>
        <v>Dupont</v>
      </c>
      <c r="AO181" s="15" t="b">
        <f t="shared" si="63"/>
        <v>1</v>
      </c>
    </row>
    <row r="182" spans="1:41" s="29" customFormat="1" ht="12.75">
      <c r="A182" s="24" t="s">
        <v>544</v>
      </c>
      <c r="B182" s="24"/>
      <c r="C182" s="24" t="s">
        <v>542</v>
      </c>
      <c r="D182" s="24"/>
      <c r="E182" s="36">
        <v>271149.86</v>
      </c>
      <c r="F182" s="36"/>
      <c r="G182" s="36">
        <v>6316.32</v>
      </c>
      <c r="H182" s="36"/>
      <c r="I182" s="36">
        <v>15049.05</v>
      </c>
      <c r="J182" s="36"/>
      <c r="K182" s="36">
        <v>3502.79</v>
      </c>
      <c r="L182" s="36"/>
      <c r="M182" s="36">
        <v>0</v>
      </c>
      <c r="N182" s="36"/>
      <c r="O182" s="36">
        <v>145627.21</v>
      </c>
      <c r="P182" s="36"/>
      <c r="Q182" s="36">
        <v>277646.05</v>
      </c>
      <c r="R182" s="36"/>
      <c r="S182" s="36">
        <v>88259.82</v>
      </c>
      <c r="T182" s="36"/>
      <c r="U182" s="36">
        <v>2708.94</v>
      </c>
      <c r="V182" s="36"/>
      <c r="W182" s="36">
        <v>0</v>
      </c>
      <c r="X182" s="36"/>
      <c r="Y182" s="36">
        <v>10000</v>
      </c>
      <c r="Z182" s="36"/>
      <c r="AA182" s="36">
        <v>0</v>
      </c>
      <c r="AB182" s="36"/>
      <c r="AC182" s="36">
        <v>0</v>
      </c>
      <c r="AD182" s="36"/>
      <c r="AE182" s="36">
        <f t="shared" si="70"/>
        <v>820260.04</v>
      </c>
      <c r="AF182" s="36"/>
      <c r="AG182" s="36">
        <v>-40974.51</v>
      </c>
      <c r="AH182" s="36"/>
      <c r="AI182" s="36">
        <v>810907.42</v>
      </c>
      <c r="AJ182" s="36"/>
      <c r="AK182" s="36">
        <v>769932.91</v>
      </c>
      <c r="AL182" s="39">
        <f>+'Gov Rev'!AI182-'Gov Exp'!AE182+'Gov Exp'!AI182-'Gov Exp'!AK182</f>
        <v>0</v>
      </c>
      <c r="AM182" s="15" t="str">
        <f>'Gov Rev'!A182</f>
        <v>East Canton</v>
      </c>
      <c r="AN182" s="15" t="str">
        <f t="shared" si="62"/>
        <v>East Canton</v>
      </c>
      <c r="AO182" s="15" t="b">
        <f t="shared" si="63"/>
        <v>1</v>
      </c>
    </row>
    <row r="183" spans="1:41" s="29" customFormat="1" ht="12.75">
      <c r="A183" s="24" t="s">
        <v>965</v>
      </c>
      <c r="B183" s="24"/>
      <c r="C183" s="24" t="s">
        <v>305</v>
      </c>
      <c r="D183" s="24"/>
      <c r="E183" s="10">
        <v>1002479</v>
      </c>
      <c r="F183" s="10"/>
      <c r="G183" s="10">
        <v>60718</v>
      </c>
      <c r="H183" s="10"/>
      <c r="I183" s="10">
        <v>286428</v>
      </c>
      <c r="J183" s="10"/>
      <c r="K183" s="10">
        <v>318545</v>
      </c>
      <c r="L183" s="10"/>
      <c r="M183" s="10">
        <v>0</v>
      </c>
      <c r="N183" s="10"/>
      <c r="O183" s="10">
        <v>217541</v>
      </c>
      <c r="P183" s="10"/>
      <c r="Q183" s="10">
        <v>453441</v>
      </c>
      <c r="R183" s="10"/>
      <c r="S183" s="10">
        <v>769891</v>
      </c>
      <c r="T183" s="10"/>
      <c r="U183" s="10">
        <v>143943</v>
      </c>
      <c r="V183" s="10"/>
      <c r="W183" s="10">
        <v>31069</v>
      </c>
      <c r="X183" s="24"/>
      <c r="Y183" s="24">
        <v>104972</v>
      </c>
      <c r="Z183" s="24"/>
      <c r="AA183" s="24">
        <v>0</v>
      </c>
      <c r="AB183" s="24"/>
      <c r="AC183" s="24">
        <v>0</v>
      </c>
      <c r="AD183" s="24"/>
      <c r="AE183" s="24">
        <f>SUM(E183:AC183)</f>
        <v>3389027</v>
      </c>
      <c r="AF183" s="24"/>
      <c r="AG183" s="10">
        <v>176293</v>
      </c>
      <c r="AH183" s="10"/>
      <c r="AI183" s="10">
        <v>847720</v>
      </c>
      <c r="AJ183" s="10"/>
      <c r="AK183" s="10">
        <v>1032169</v>
      </c>
      <c r="AL183" s="39">
        <f>+'Gov Rev'!AI183-'Gov Exp'!AE183+'Gov Exp'!AI183-'Gov Exp'!AK183</f>
        <v>-8156</v>
      </c>
      <c r="AM183" s="15" t="str">
        <f>'Gov Rev'!A183</f>
        <v>East Palestine</v>
      </c>
      <c r="AN183" s="15" t="str">
        <f t="shared" si="62"/>
        <v>East Palestine</v>
      </c>
      <c r="AO183" s="15" t="b">
        <f t="shared" si="63"/>
        <v>1</v>
      </c>
    </row>
    <row r="184" spans="1:41" ht="12.75">
      <c r="A184" s="15" t="s">
        <v>224</v>
      </c>
      <c r="C184" s="15" t="s">
        <v>815</v>
      </c>
      <c r="D184" s="28"/>
      <c r="E184" s="36">
        <v>98055.58</v>
      </c>
      <c r="F184" s="36"/>
      <c r="G184" s="36">
        <v>16900</v>
      </c>
      <c r="H184" s="36"/>
      <c r="I184" s="36">
        <v>88773.68</v>
      </c>
      <c r="J184" s="36"/>
      <c r="K184" s="36">
        <v>0</v>
      </c>
      <c r="L184" s="36"/>
      <c r="M184" s="36">
        <v>0</v>
      </c>
      <c r="N184" s="36"/>
      <c r="O184" s="36">
        <v>142540.82</v>
      </c>
      <c r="P184" s="36"/>
      <c r="Q184" s="36">
        <v>100649.96</v>
      </c>
      <c r="R184" s="36"/>
      <c r="S184" s="36">
        <v>9802.96</v>
      </c>
      <c r="T184" s="36"/>
      <c r="U184" s="36">
        <v>7493.76</v>
      </c>
      <c r="V184" s="36"/>
      <c r="W184" s="36">
        <v>480.48</v>
      </c>
      <c r="X184" s="36"/>
      <c r="Y184" s="36">
        <v>0</v>
      </c>
      <c r="Z184" s="36"/>
      <c r="AA184" s="36">
        <v>0</v>
      </c>
      <c r="AB184" s="36"/>
      <c r="AC184" s="36">
        <v>0</v>
      </c>
      <c r="AD184" s="36"/>
      <c r="AE184" s="36">
        <f aca="true" t="shared" si="71" ref="AE184">SUM(E184:AC184)</f>
        <v>464697.24000000005</v>
      </c>
      <c r="AF184" s="36"/>
      <c r="AG184" s="36">
        <v>-118802.66</v>
      </c>
      <c r="AH184" s="36"/>
      <c r="AI184" s="36">
        <v>370707.48</v>
      </c>
      <c r="AJ184" s="36"/>
      <c r="AK184" s="36">
        <v>251904.82</v>
      </c>
      <c r="AL184" s="39">
        <f>+'Gov Rev'!AI184-'Gov Exp'!AE184+'Gov Exp'!AI184-'Gov Exp'!AK184</f>
        <v>0</v>
      </c>
      <c r="AM184" s="15" t="str">
        <f>'Gov Rev'!A184</f>
        <v>East Sparta</v>
      </c>
      <c r="AN184" s="15" t="str">
        <f t="shared" si="62"/>
        <v>East Sparta</v>
      </c>
      <c r="AO184" s="15" t="b">
        <f t="shared" si="63"/>
        <v>1</v>
      </c>
    </row>
    <row r="185" spans="1:41" s="31" customFormat="1" ht="12.75">
      <c r="A185" s="15" t="s">
        <v>597</v>
      </c>
      <c r="B185" s="15"/>
      <c r="C185" s="15" t="s">
        <v>598</v>
      </c>
      <c r="D185" s="15"/>
      <c r="E185" s="24">
        <v>516464.67</v>
      </c>
      <c r="F185" s="24"/>
      <c r="G185" s="24">
        <v>5884</v>
      </c>
      <c r="H185" s="24"/>
      <c r="I185" s="24">
        <v>29630.95</v>
      </c>
      <c r="J185" s="24"/>
      <c r="K185" s="24">
        <v>7147.59</v>
      </c>
      <c r="L185" s="24"/>
      <c r="M185" s="24">
        <v>0</v>
      </c>
      <c r="N185" s="24"/>
      <c r="O185" s="24">
        <v>241716.92</v>
      </c>
      <c r="P185" s="24"/>
      <c r="Q185" s="24">
        <v>201987.38</v>
      </c>
      <c r="R185" s="24"/>
      <c r="S185" s="24">
        <v>261032.5</v>
      </c>
      <c r="T185" s="24"/>
      <c r="U185" s="24">
        <v>0</v>
      </c>
      <c r="V185" s="24"/>
      <c r="W185" s="24">
        <v>0</v>
      </c>
      <c r="X185" s="24"/>
      <c r="Y185" s="24">
        <v>0</v>
      </c>
      <c r="Z185" s="24"/>
      <c r="AA185" s="24">
        <v>0</v>
      </c>
      <c r="AB185" s="24"/>
      <c r="AC185" s="24">
        <v>-3554.44</v>
      </c>
      <c r="AD185" s="24"/>
      <c r="AE185" s="24">
        <f t="shared" si="51"/>
        <v>1260309.57</v>
      </c>
      <c r="AF185" s="24"/>
      <c r="AG185" s="24">
        <v>-216798.01</v>
      </c>
      <c r="AH185" s="24"/>
      <c r="AI185" s="24">
        <v>628360.33</v>
      </c>
      <c r="AJ185" s="24"/>
      <c r="AK185" s="24">
        <v>411562.32</v>
      </c>
      <c r="AL185" s="39">
        <f>+'Gov Rev'!AI185-'Gov Exp'!AE185+'Gov Exp'!AI185-'Gov Exp'!AK185</f>
        <v>0</v>
      </c>
      <c r="AM185" s="15" t="str">
        <f>'Gov Rev'!A185</f>
        <v>Edgerton</v>
      </c>
      <c r="AN185" s="15" t="str">
        <f t="shared" si="62"/>
        <v>Edgerton</v>
      </c>
      <c r="AO185" s="15" t="b">
        <f t="shared" si="63"/>
        <v>1</v>
      </c>
    </row>
    <row r="186" spans="1:41" ht="12.75">
      <c r="A186" s="15" t="s">
        <v>172</v>
      </c>
      <c r="C186" s="15" t="s">
        <v>799</v>
      </c>
      <c r="D186" s="28"/>
      <c r="E186" s="36">
        <v>27443.28</v>
      </c>
      <c r="F186" s="36"/>
      <c r="G186" s="36">
        <v>0</v>
      </c>
      <c r="H186" s="36"/>
      <c r="I186" s="36">
        <v>0</v>
      </c>
      <c r="J186" s="36"/>
      <c r="K186" s="36">
        <v>0</v>
      </c>
      <c r="L186" s="36"/>
      <c r="M186" s="36">
        <v>0</v>
      </c>
      <c r="N186" s="36"/>
      <c r="O186" s="36">
        <v>40131.14</v>
      </c>
      <c r="P186" s="36"/>
      <c r="Q186" s="36">
        <v>56177.93</v>
      </c>
      <c r="R186" s="36"/>
      <c r="S186" s="36">
        <v>0</v>
      </c>
      <c r="T186" s="36"/>
      <c r="U186" s="36">
        <v>15676</v>
      </c>
      <c r="V186" s="36"/>
      <c r="W186" s="36">
        <v>2125</v>
      </c>
      <c r="X186" s="36"/>
      <c r="Y186" s="36">
        <v>0</v>
      </c>
      <c r="Z186" s="36"/>
      <c r="AA186" s="36">
        <v>0</v>
      </c>
      <c r="AB186" s="36"/>
      <c r="AC186" s="36">
        <v>0</v>
      </c>
      <c r="AD186" s="36"/>
      <c r="AE186" s="36">
        <f aca="true" t="shared" si="72" ref="AE186:AE188">SUM(E186:AC186)</f>
        <v>141553.35</v>
      </c>
      <c r="AF186" s="36"/>
      <c r="AG186" s="36">
        <v>-6594.29</v>
      </c>
      <c r="AH186" s="36"/>
      <c r="AI186" s="36">
        <v>88610.46</v>
      </c>
      <c r="AJ186" s="36"/>
      <c r="AK186" s="36">
        <v>82016.17</v>
      </c>
      <c r="AL186" s="39">
        <f>+'Gov Rev'!AI186-'Gov Exp'!AE186+'Gov Exp'!AI186-'Gov Exp'!AK186</f>
        <v>0</v>
      </c>
      <c r="AM186" s="15" t="str">
        <f>'Gov Rev'!A186</f>
        <v>Edison</v>
      </c>
      <c r="AN186" s="15" t="str">
        <f t="shared" si="62"/>
        <v>Edison</v>
      </c>
      <c r="AO186" s="15" t="b">
        <f t="shared" si="63"/>
        <v>1</v>
      </c>
    </row>
    <row r="187" spans="1:41" ht="12.75">
      <c r="A187" s="15" t="s">
        <v>253</v>
      </c>
      <c r="C187" s="15" t="s">
        <v>824</v>
      </c>
      <c r="D187" s="28"/>
      <c r="E187" s="36">
        <v>183384.61</v>
      </c>
      <c r="F187" s="36"/>
      <c r="G187" s="36">
        <v>2846</v>
      </c>
      <c r="H187" s="36"/>
      <c r="I187" s="36">
        <v>18378.16</v>
      </c>
      <c r="J187" s="36"/>
      <c r="K187" s="36">
        <v>17370.92</v>
      </c>
      <c r="L187" s="36"/>
      <c r="M187" s="36">
        <v>0</v>
      </c>
      <c r="N187" s="36"/>
      <c r="O187" s="36">
        <v>95342.54</v>
      </c>
      <c r="P187" s="36"/>
      <c r="Q187" s="36">
        <v>111060.48</v>
      </c>
      <c r="R187" s="36"/>
      <c r="S187" s="36">
        <v>15600.24</v>
      </c>
      <c r="T187" s="36"/>
      <c r="U187" s="36">
        <v>0</v>
      </c>
      <c r="V187" s="36"/>
      <c r="W187" s="36">
        <v>0</v>
      </c>
      <c r="X187" s="36"/>
      <c r="Y187" s="36">
        <v>0</v>
      </c>
      <c r="Z187" s="36"/>
      <c r="AA187" s="36">
        <v>0</v>
      </c>
      <c r="AB187" s="36"/>
      <c r="AC187" s="36">
        <v>3186.56</v>
      </c>
      <c r="AD187" s="36"/>
      <c r="AE187" s="36">
        <f t="shared" si="72"/>
        <v>447169.50999999995</v>
      </c>
      <c r="AF187" s="36"/>
      <c r="AG187" s="36">
        <v>42072.54</v>
      </c>
      <c r="AH187" s="36"/>
      <c r="AI187" s="36">
        <v>221296.57</v>
      </c>
      <c r="AJ187" s="36"/>
      <c r="AK187" s="36">
        <v>263369.11</v>
      </c>
      <c r="AL187" s="39">
        <f>+'Gov Rev'!AI187-'Gov Exp'!AE187+'Gov Exp'!AI187-'Gov Exp'!AK187</f>
        <v>0</v>
      </c>
      <c r="AM187" s="15" t="str">
        <f>'Gov Rev'!A187</f>
        <v>Edon</v>
      </c>
      <c r="AN187" s="15" t="str">
        <f t="shared" si="62"/>
        <v>Edon</v>
      </c>
      <c r="AO187" s="15" t="b">
        <f t="shared" si="63"/>
        <v>1</v>
      </c>
    </row>
    <row r="188" spans="1:41" ht="12.75">
      <c r="A188" s="15" t="s">
        <v>200</v>
      </c>
      <c r="C188" s="15" t="s">
        <v>807</v>
      </c>
      <c r="D188" s="28"/>
      <c r="E188" s="36">
        <v>12919.88</v>
      </c>
      <c r="F188" s="36"/>
      <c r="G188" s="36">
        <v>0</v>
      </c>
      <c r="H188" s="36"/>
      <c r="I188" s="36">
        <v>2759.74</v>
      </c>
      <c r="J188" s="36"/>
      <c r="K188" s="36">
        <v>0</v>
      </c>
      <c r="L188" s="36"/>
      <c r="M188" s="36">
        <v>35736.94</v>
      </c>
      <c r="N188" s="36"/>
      <c r="O188" s="36">
        <v>21118.66</v>
      </c>
      <c r="P188" s="36"/>
      <c r="Q188" s="36">
        <v>58127.83</v>
      </c>
      <c r="R188" s="36"/>
      <c r="S188" s="36">
        <v>268365.42</v>
      </c>
      <c r="T188" s="36"/>
      <c r="U188" s="36">
        <v>88000</v>
      </c>
      <c r="V188" s="36"/>
      <c r="W188" s="36">
        <v>0</v>
      </c>
      <c r="X188" s="36"/>
      <c r="Y188" s="36">
        <v>0</v>
      </c>
      <c r="Z188" s="36"/>
      <c r="AA188" s="36">
        <v>0</v>
      </c>
      <c r="AB188" s="36"/>
      <c r="AC188" s="36">
        <v>160.76</v>
      </c>
      <c r="AD188" s="36"/>
      <c r="AE188" s="36">
        <f t="shared" si="72"/>
        <v>487189.23</v>
      </c>
      <c r="AF188" s="36"/>
      <c r="AG188" s="36">
        <v>-106694.71</v>
      </c>
      <c r="AH188" s="36"/>
      <c r="AI188" s="36">
        <v>421639.08</v>
      </c>
      <c r="AJ188" s="36"/>
      <c r="AK188" s="36">
        <v>314944.37</v>
      </c>
      <c r="AL188" s="39">
        <f>+'Gov Rev'!AI188-'Gov Exp'!AE188+'Gov Exp'!AI188-'Gov Exp'!AK188</f>
        <v>0</v>
      </c>
      <c r="AM188" s="15" t="str">
        <f>'Gov Rev'!A188</f>
        <v>Eldorado</v>
      </c>
      <c r="AN188" s="15" t="str">
        <f t="shared" si="62"/>
        <v>Eldorado</v>
      </c>
      <c r="AO188" s="15" t="b">
        <f t="shared" si="63"/>
        <v>1</v>
      </c>
    </row>
    <row r="189" spans="1:41" s="31" customFormat="1" ht="12.75" hidden="1">
      <c r="A189" s="15" t="s">
        <v>573</v>
      </c>
      <c r="B189" s="15"/>
      <c r="C189" s="15" t="s">
        <v>574</v>
      </c>
      <c r="D189" s="15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>
        <f t="shared" si="51"/>
        <v>0</v>
      </c>
      <c r="AF189" s="24"/>
      <c r="AG189" s="24"/>
      <c r="AH189" s="24"/>
      <c r="AI189" s="24"/>
      <c r="AJ189" s="24"/>
      <c r="AK189" s="24"/>
      <c r="AL189" s="39">
        <f>+'Gov Rev'!AI189-'Gov Exp'!AE189+'Gov Exp'!AI189-'Gov Exp'!AK189</f>
        <v>0</v>
      </c>
      <c r="AM189" s="15" t="str">
        <f>'Gov Rev'!A189</f>
        <v>Elgin</v>
      </c>
      <c r="AN189" s="15" t="str">
        <f t="shared" si="62"/>
        <v>Elgin</v>
      </c>
      <c r="AO189" s="15" t="b">
        <f t="shared" si="63"/>
        <v>1</v>
      </c>
    </row>
    <row r="190" spans="1:41" ht="12.75">
      <c r="A190" s="15" t="s">
        <v>3</v>
      </c>
      <c r="C190" s="15" t="s">
        <v>746</v>
      </c>
      <c r="D190" s="28"/>
      <c r="E190" s="36">
        <v>162854.16</v>
      </c>
      <c r="F190" s="36"/>
      <c r="G190" s="36">
        <v>8801.53</v>
      </c>
      <c r="H190" s="36"/>
      <c r="I190" s="36">
        <v>0</v>
      </c>
      <c r="J190" s="36"/>
      <c r="K190" s="36">
        <v>2100</v>
      </c>
      <c r="L190" s="36"/>
      <c r="M190" s="36">
        <v>2006.03</v>
      </c>
      <c r="N190" s="36"/>
      <c r="O190" s="36">
        <v>120654.7</v>
      </c>
      <c r="P190" s="36"/>
      <c r="Q190" s="36">
        <v>162431.29</v>
      </c>
      <c r="R190" s="36"/>
      <c r="S190" s="36">
        <v>143111.4</v>
      </c>
      <c r="T190" s="36"/>
      <c r="U190" s="36">
        <v>0</v>
      </c>
      <c r="V190" s="36"/>
      <c r="W190" s="36">
        <v>0</v>
      </c>
      <c r="X190" s="36"/>
      <c r="Y190" s="36">
        <v>326061.94</v>
      </c>
      <c r="Z190" s="36"/>
      <c r="AA190" s="36">
        <v>0</v>
      </c>
      <c r="AB190" s="36"/>
      <c r="AC190" s="36">
        <v>0</v>
      </c>
      <c r="AD190" s="36"/>
      <c r="AE190" s="36">
        <f aca="true" t="shared" si="73" ref="AE190:AE192">SUM(E190:AC190)</f>
        <v>928021.05</v>
      </c>
      <c r="AF190" s="36"/>
      <c r="AG190" s="36">
        <v>167629.91</v>
      </c>
      <c r="AH190" s="36"/>
      <c r="AI190" s="36">
        <v>177336.2</v>
      </c>
      <c r="AJ190" s="36"/>
      <c r="AK190" s="36">
        <v>344966.11</v>
      </c>
      <c r="AL190" s="39">
        <f>+'Gov Rev'!AI190-'Gov Exp'!AE190+'Gov Exp'!AI190-'Gov Exp'!AK190</f>
        <v>0</v>
      </c>
      <c r="AM190" s="15" t="str">
        <f>'Gov Rev'!A190</f>
        <v>Elida</v>
      </c>
      <c r="AN190" s="15" t="str">
        <f t="shared" si="62"/>
        <v>Elida</v>
      </c>
      <c r="AO190" s="15" t="b">
        <f t="shared" si="63"/>
        <v>1</v>
      </c>
    </row>
    <row r="191" spans="1:41" ht="12.75">
      <c r="A191" s="15" t="s">
        <v>180</v>
      </c>
      <c r="C191" s="15" t="s">
        <v>802</v>
      </c>
      <c r="D191" s="28"/>
      <c r="E191" s="36">
        <v>317315.95</v>
      </c>
      <c r="F191" s="36"/>
      <c r="G191" s="36">
        <v>3808.68</v>
      </c>
      <c r="H191" s="36"/>
      <c r="I191" s="36">
        <v>14762.5</v>
      </c>
      <c r="J191" s="36"/>
      <c r="K191" s="36">
        <v>3804.93</v>
      </c>
      <c r="L191" s="36"/>
      <c r="M191" s="36">
        <v>146512.16</v>
      </c>
      <c r="N191" s="36"/>
      <c r="O191" s="36">
        <v>118284</v>
      </c>
      <c r="P191" s="36"/>
      <c r="Q191" s="36">
        <v>163021.59</v>
      </c>
      <c r="R191" s="36"/>
      <c r="S191" s="36">
        <v>33346.72</v>
      </c>
      <c r="T191" s="36"/>
      <c r="U191" s="36">
        <v>14207.48</v>
      </c>
      <c r="V191" s="36"/>
      <c r="W191" s="36">
        <v>0</v>
      </c>
      <c r="X191" s="36"/>
      <c r="Y191" s="36">
        <v>0</v>
      </c>
      <c r="Z191" s="36"/>
      <c r="AA191" s="36">
        <v>0</v>
      </c>
      <c r="AB191" s="36"/>
      <c r="AC191" s="36">
        <v>1591.75</v>
      </c>
      <c r="AD191" s="36"/>
      <c r="AE191" s="36">
        <f t="shared" si="73"/>
        <v>816655.7599999999</v>
      </c>
      <c r="AF191" s="36"/>
      <c r="AG191" s="36">
        <v>333562.99</v>
      </c>
      <c r="AH191" s="36"/>
      <c r="AI191" s="36">
        <v>1729959.73</v>
      </c>
      <c r="AJ191" s="36"/>
      <c r="AK191" s="36">
        <v>2063522.72</v>
      </c>
      <c r="AL191" s="39">
        <f>+'Gov Rev'!AI191-'Gov Exp'!AE191+'Gov Exp'!AI191-'Gov Exp'!AK191</f>
        <v>0</v>
      </c>
      <c r="AM191" s="15" t="str">
        <f>'Gov Rev'!A191</f>
        <v>Elmore</v>
      </c>
      <c r="AN191" s="15" t="str">
        <f t="shared" si="62"/>
        <v>Elmore</v>
      </c>
      <c r="AO191" s="15" t="b">
        <f t="shared" si="63"/>
        <v>1</v>
      </c>
    </row>
    <row r="192" spans="1:41" s="31" customFormat="1" ht="12.75">
      <c r="A192" s="15" t="s">
        <v>92</v>
      </c>
      <c r="B192" s="15"/>
      <c r="C192" s="15" t="s">
        <v>378</v>
      </c>
      <c r="D192" s="15"/>
      <c r="E192" s="36">
        <v>949620.83</v>
      </c>
      <c r="F192" s="36"/>
      <c r="G192" s="36">
        <v>3324.75</v>
      </c>
      <c r="H192" s="36"/>
      <c r="I192" s="36">
        <v>65802.05</v>
      </c>
      <c r="J192" s="36"/>
      <c r="K192" s="36">
        <v>50339.3</v>
      </c>
      <c r="L192" s="36"/>
      <c r="M192" s="36">
        <v>168941.27</v>
      </c>
      <c r="N192" s="36"/>
      <c r="O192" s="36">
        <v>1067626.39</v>
      </c>
      <c r="P192" s="36"/>
      <c r="Q192" s="36">
        <v>938567.74</v>
      </c>
      <c r="R192" s="36"/>
      <c r="S192" s="36">
        <v>494918.52</v>
      </c>
      <c r="T192" s="36"/>
      <c r="U192" s="36">
        <v>0</v>
      </c>
      <c r="V192" s="36"/>
      <c r="W192" s="36">
        <v>0</v>
      </c>
      <c r="X192" s="36"/>
      <c r="Y192" s="36">
        <v>534146.9</v>
      </c>
      <c r="Z192" s="36"/>
      <c r="AA192" s="36">
        <v>61217.96</v>
      </c>
      <c r="AB192" s="36"/>
      <c r="AC192" s="36">
        <v>0</v>
      </c>
      <c r="AD192" s="36"/>
      <c r="AE192" s="36">
        <f t="shared" si="73"/>
        <v>4334505.71</v>
      </c>
      <c r="AF192" s="36"/>
      <c r="AG192" s="36">
        <v>-123142.9</v>
      </c>
      <c r="AH192" s="36"/>
      <c r="AI192" s="36">
        <v>1624842.5</v>
      </c>
      <c r="AJ192" s="36"/>
      <c r="AK192" s="36">
        <v>1501699.6</v>
      </c>
      <c r="AL192" s="39">
        <f>+'Gov Rev'!AI192-'Gov Exp'!AE192+'Gov Exp'!AI192-'Gov Exp'!AK192</f>
        <v>0</v>
      </c>
      <c r="AM192" s="15" t="str">
        <f>'Gov Rev'!A192</f>
        <v>Elmwood Place</v>
      </c>
      <c r="AN192" s="15" t="str">
        <f t="shared" si="62"/>
        <v>Elmwood Place</v>
      </c>
      <c r="AO192" s="15" t="b">
        <f t="shared" si="63"/>
        <v>1</v>
      </c>
    </row>
    <row r="193" spans="1:41" s="31" customFormat="1" ht="12.75">
      <c r="A193" s="15" t="s">
        <v>117</v>
      </c>
      <c r="B193" s="15"/>
      <c r="C193" s="15" t="s">
        <v>781</v>
      </c>
      <c r="D193" s="28"/>
      <c r="E193" s="95">
        <v>14088.43</v>
      </c>
      <c r="F193" s="95"/>
      <c r="G193" s="95">
        <v>1462.69</v>
      </c>
      <c r="H193" s="95"/>
      <c r="I193" s="95">
        <v>3166.03</v>
      </c>
      <c r="J193" s="95"/>
      <c r="K193" s="95">
        <v>0</v>
      </c>
      <c r="L193" s="95"/>
      <c r="M193" s="95">
        <v>0</v>
      </c>
      <c r="N193" s="95"/>
      <c r="O193" s="95">
        <v>14275.69</v>
      </c>
      <c r="P193" s="95"/>
      <c r="Q193" s="95">
        <v>25695.15</v>
      </c>
      <c r="R193" s="95"/>
      <c r="S193" s="95">
        <v>0</v>
      </c>
      <c r="T193" s="95"/>
      <c r="U193" s="95">
        <v>0</v>
      </c>
      <c r="V193" s="95"/>
      <c r="W193" s="95">
        <v>0</v>
      </c>
      <c r="X193" s="95"/>
      <c r="Y193" s="95">
        <v>0</v>
      </c>
      <c r="Z193" s="95"/>
      <c r="AA193" s="95">
        <v>0</v>
      </c>
      <c r="AB193" s="95"/>
      <c r="AC193" s="95">
        <v>0</v>
      </c>
      <c r="AD193" s="95"/>
      <c r="AE193" s="95">
        <f aca="true" t="shared" si="74" ref="AE193">SUM(E193:AC193)</f>
        <v>58687.990000000005</v>
      </c>
      <c r="AF193" s="95"/>
      <c r="AG193" s="95">
        <v>4335.08</v>
      </c>
      <c r="AH193" s="95"/>
      <c r="AI193" s="95">
        <v>57835.49</v>
      </c>
      <c r="AJ193" s="95"/>
      <c r="AK193" s="95">
        <v>62170.57</v>
      </c>
      <c r="AL193" s="39">
        <f>+'Gov Rev'!AI193-'Gov Exp'!AE193+'Gov Exp'!AI193-'Gov Exp'!AK193</f>
        <v>0</v>
      </c>
      <c r="AM193" s="15" t="str">
        <f>'Gov Rev'!A193</f>
        <v>Empire</v>
      </c>
      <c r="AN193" s="15" t="str">
        <f t="shared" si="62"/>
        <v>Empire</v>
      </c>
      <c r="AO193" s="15" t="b">
        <f t="shared" si="63"/>
        <v>1</v>
      </c>
    </row>
    <row r="194" spans="1:41" ht="12.6" customHeight="1">
      <c r="A194" s="15" t="s">
        <v>291</v>
      </c>
      <c r="C194" s="15" t="s">
        <v>292</v>
      </c>
      <c r="E194" s="24">
        <v>93367.91</v>
      </c>
      <c r="G194" s="24">
        <v>0</v>
      </c>
      <c r="I194" s="24">
        <v>3536.45</v>
      </c>
      <c r="K194" s="24">
        <v>316421.94</v>
      </c>
      <c r="M194" s="24">
        <v>0</v>
      </c>
      <c r="O194" s="24">
        <v>22908.7</v>
      </c>
      <c r="Q194" s="24">
        <v>70797.04</v>
      </c>
      <c r="S194" s="24">
        <v>194428.74</v>
      </c>
      <c r="U194" s="24">
        <v>0</v>
      </c>
      <c r="W194" s="24">
        <v>0</v>
      </c>
      <c r="Y194" s="24">
        <v>154574.13</v>
      </c>
      <c r="AA194" s="24">
        <v>0</v>
      </c>
      <c r="AC194" s="24">
        <v>736360</v>
      </c>
      <c r="AE194" s="24">
        <f t="shared" si="51"/>
        <v>1592394.9100000001</v>
      </c>
      <c r="AF194" s="24"/>
      <c r="AG194" s="24">
        <v>144462.32</v>
      </c>
      <c r="AH194" s="24"/>
      <c r="AI194" s="24">
        <v>1259714.35</v>
      </c>
      <c r="AJ194" s="24"/>
      <c r="AK194" s="24">
        <v>1404176.67</v>
      </c>
      <c r="AL194" s="39">
        <f>+'Gov Rev'!AI194-'Gov Exp'!AE194+'Gov Exp'!AI194-'Gov Exp'!AK194</f>
        <v>-0.4100000001490116</v>
      </c>
      <c r="AM194" s="15" t="str">
        <f>'Gov Rev'!A194</f>
        <v>Enon</v>
      </c>
      <c r="AN194" s="15" t="str">
        <f t="shared" si="62"/>
        <v>Enon</v>
      </c>
      <c r="AO194" s="15" t="b">
        <f t="shared" si="63"/>
        <v>1</v>
      </c>
    </row>
    <row r="195" spans="1:41" s="31" customFormat="1" ht="12.75">
      <c r="A195" s="15" t="s">
        <v>380</v>
      </c>
      <c r="B195" s="15"/>
      <c r="C195" s="15" t="s">
        <v>378</v>
      </c>
      <c r="D195" s="15"/>
      <c r="E195" s="24">
        <v>5463094</v>
      </c>
      <c r="F195" s="24"/>
      <c r="G195" s="24">
        <v>12152</v>
      </c>
      <c r="H195" s="24"/>
      <c r="I195" s="24">
        <v>1711463</v>
      </c>
      <c r="J195" s="24"/>
      <c r="K195" s="24">
        <v>267857</v>
      </c>
      <c r="L195" s="24"/>
      <c r="M195" s="24">
        <v>243996</v>
      </c>
      <c r="N195" s="24"/>
      <c r="O195" s="24">
        <v>837131</v>
      </c>
      <c r="P195" s="24"/>
      <c r="Q195" s="24">
        <v>2383109</v>
      </c>
      <c r="R195" s="24"/>
      <c r="S195" s="24">
        <v>1472248</v>
      </c>
      <c r="T195" s="24"/>
      <c r="U195" s="24">
        <v>240000</v>
      </c>
      <c r="V195" s="24"/>
      <c r="W195" s="24">
        <v>34368</v>
      </c>
      <c r="X195" s="24"/>
      <c r="Y195" s="24">
        <v>1879225</v>
      </c>
      <c r="Z195" s="24"/>
      <c r="AA195" s="24">
        <v>50000</v>
      </c>
      <c r="AB195" s="24"/>
      <c r="AC195" s="24">
        <v>0</v>
      </c>
      <c r="AD195" s="24"/>
      <c r="AE195" s="24">
        <f t="shared" si="51"/>
        <v>14594643</v>
      </c>
      <c r="AF195" s="24"/>
      <c r="AG195" s="24">
        <v>740613</v>
      </c>
      <c r="AH195" s="24"/>
      <c r="AI195" s="24">
        <v>15360046</v>
      </c>
      <c r="AJ195" s="24"/>
      <c r="AK195" s="24">
        <v>16100659</v>
      </c>
      <c r="AL195" s="39">
        <f>+'Gov Rev'!AI195-'Gov Exp'!AE195+'Gov Exp'!AI195-'Gov Exp'!AK195</f>
        <v>0</v>
      </c>
      <c r="AM195" s="15" t="str">
        <f>'Gov Rev'!A195</f>
        <v>Evendale</v>
      </c>
      <c r="AN195" s="15" t="str">
        <f t="shared" si="62"/>
        <v>Evendale</v>
      </c>
      <c r="AO195" s="15" t="b">
        <f t="shared" si="63"/>
        <v>1</v>
      </c>
    </row>
    <row r="196" spans="1:41" ht="12.75" hidden="1">
      <c r="A196" s="15" t="s">
        <v>93</v>
      </c>
      <c r="C196" s="15" t="s">
        <v>773</v>
      </c>
      <c r="D196" s="28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AE196" s="24">
        <f t="shared" si="51"/>
        <v>0</v>
      </c>
      <c r="AF196" s="24"/>
      <c r="AG196" s="10"/>
      <c r="AH196" s="10"/>
      <c r="AI196" s="10"/>
      <c r="AJ196" s="10"/>
      <c r="AK196" s="10"/>
      <c r="AL196" s="39">
        <f>+'Gov Rev'!AI196-'Gov Exp'!AE196+'Gov Exp'!AI196-'Gov Exp'!AK196</f>
        <v>0</v>
      </c>
      <c r="AM196" s="15" t="str">
        <f>'Gov Rev'!A196</f>
        <v>Fairfax</v>
      </c>
      <c r="AN196" s="15" t="str">
        <f t="shared" si="62"/>
        <v>Fairfax</v>
      </c>
      <c r="AO196" s="15" t="b">
        <f t="shared" si="63"/>
        <v>1</v>
      </c>
    </row>
    <row r="197" spans="1:41" ht="12.75">
      <c r="A197" s="15" t="s">
        <v>429</v>
      </c>
      <c r="C197" s="15" t="s">
        <v>430</v>
      </c>
      <c r="E197" s="36">
        <v>1220163.86</v>
      </c>
      <c r="F197" s="36"/>
      <c r="G197" s="36">
        <v>20993</v>
      </c>
      <c r="H197" s="36"/>
      <c r="I197" s="36">
        <v>97592.03</v>
      </c>
      <c r="J197" s="36"/>
      <c r="K197" s="36">
        <v>35695.8</v>
      </c>
      <c r="L197" s="36"/>
      <c r="M197" s="36">
        <v>12275.86</v>
      </c>
      <c r="N197" s="36"/>
      <c r="O197" s="36">
        <v>324834.52</v>
      </c>
      <c r="P197" s="36"/>
      <c r="Q197" s="36">
        <v>521116.55</v>
      </c>
      <c r="R197" s="36"/>
      <c r="S197" s="36">
        <v>0</v>
      </c>
      <c r="T197" s="36"/>
      <c r="U197" s="36">
        <v>55863.68</v>
      </c>
      <c r="V197" s="36"/>
      <c r="W197" s="36">
        <v>20607.75</v>
      </c>
      <c r="X197" s="36"/>
      <c r="Y197" s="36">
        <v>91589.64</v>
      </c>
      <c r="Z197" s="36"/>
      <c r="AA197" s="36">
        <v>30000</v>
      </c>
      <c r="AB197" s="36"/>
      <c r="AC197" s="36">
        <v>0</v>
      </c>
      <c r="AD197" s="36"/>
      <c r="AE197" s="36">
        <f aca="true" t="shared" si="75" ref="AE197">SUM(E197:AC197)</f>
        <v>2430732.6900000004</v>
      </c>
      <c r="AF197" s="36"/>
      <c r="AG197" s="36">
        <v>242764.31</v>
      </c>
      <c r="AH197" s="36"/>
      <c r="AI197" s="36">
        <v>1171888.35</v>
      </c>
      <c r="AJ197" s="36"/>
      <c r="AK197" s="36">
        <v>1414652.66</v>
      </c>
      <c r="AL197" s="39">
        <f>+'Gov Rev'!AI197-'Gov Exp'!AE197+'Gov Exp'!AI197-'Gov Exp'!AK197</f>
        <v>0</v>
      </c>
      <c r="AM197" s="15" t="str">
        <f>'Gov Rev'!A197</f>
        <v>Fairport Harbor</v>
      </c>
      <c r="AN197" s="15" t="str">
        <f t="shared" si="62"/>
        <v>Fairport Harbor</v>
      </c>
      <c r="AO197" s="15" t="b">
        <f t="shared" si="63"/>
        <v>1</v>
      </c>
    </row>
    <row r="198" spans="1:41" ht="12.75" hidden="1">
      <c r="A198" s="15" t="s">
        <v>901</v>
      </c>
      <c r="C198" s="15" t="s">
        <v>772</v>
      </c>
      <c r="D198" s="28"/>
      <c r="AE198" s="24">
        <f t="shared" si="51"/>
        <v>0</v>
      </c>
      <c r="AF198" s="24"/>
      <c r="AG198" s="24"/>
      <c r="AH198" s="24"/>
      <c r="AI198" s="24"/>
      <c r="AJ198" s="24"/>
      <c r="AK198" s="24"/>
      <c r="AL198" s="39">
        <f>+'Gov Rev'!AI198-'Gov Exp'!AE198+'Gov Exp'!AI198-'Gov Exp'!AK198</f>
        <v>0</v>
      </c>
      <c r="AM198" s="15" t="str">
        <f>'Gov Rev'!A198</f>
        <v>Fairview</v>
      </c>
      <c r="AN198" s="15" t="str">
        <f t="shared" si="62"/>
        <v>Fairview</v>
      </c>
      <c r="AO198" s="15" t="b">
        <f t="shared" si="63"/>
        <v>1</v>
      </c>
    </row>
    <row r="199" spans="1:41" ht="12.75">
      <c r="A199" s="15" t="s">
        <v>167</v>
      </c>
      <c r="C199" s="15" t="s">
        <v>797</v>
      </c>
      <c r="D199" s="28"/>
      <c r="E199" s="36">
        <v>117362.02</v>
      </c>
      <c r="F199" s="36"/>
      <c r="G199" s="36">
        <v>0</v>
      </c>
      <c r="H199" s="36"/>
      <c r="I199" s="36">
        <v>0</v>
      </c>
      <c r="J199" s="36"/>
      <c r="K199" s="36">
        <v>0</v>
      </c>
      <c r="L199" s="36"/>
      <c r="M199" s="36">
        <v>7829.2</v>
      </c>
      <c r="N199" s="36"/>
      <c r="O199" s="36">
        <v>90047.33</v>
      </c>
      <c r="P199" s="36"/>
      <c r="Q199" s="36">
        <v>167137.41</v>
      </c>
      <c r="R199" s="36"/>
      <c r="S199" s="36">
        <v>683879.57</v>
      </c>
      <c r="T199" s="36"/>
      <c r="U199" s="36">
        <v>11885.64</v>
      </c>
      <c r="V199" s="36"/>
      <c r="W199" s="36">
        <v>3178.09</v>
      </c>
      <c r="X199" s="36"/>
      <c r="Y199" s="36">
        <v>157760.97</v>
      </c>
      <c r="Z199" s="36"/>
      <c r="AA199" s="36">
        <v>40000</v>
      </c>
      <c r="AB199" s="36"/>
      <c r="AC199" s="36">
        <v>0</v>
      </c>
      <c r="AD199" s="36"/>
      <c r="AE199" s="36">
        <f aca="true" t="shared" si="76" ref="AE199">SUM(E199:AC199)</f>
        <v>1279080.2299999997</v>
      </c>
      <c r="AF199" s="36"/>
      <c r="AG199" s="36">
        <v>-21287.22</v>
      </c>
      <c r="AH199" s="36"/>
      <c r="AI199" s="36">
        <v>171258.91</v>
      </c>
      <c r="AJ199" s="36"/>
      <c r="AK199" s="36">
        <v>149971.69</v>
      </c>
      <c r="AL199" s="39">
        <f>+'Gov Rev'!AI199-'Gov Exp'!AE199+'Gov Exp'!AI199-'Gov Exp'!AK199</f>
        <v>2.6193447411060333E-10</v>
      </c>
      <c r="AM199" s="15" t="str">
        <f>'Gov Rev'!A199</f>
        <v>Farmersville</v>
      </c>
      <c r="AN199" s="15" t="str">
        <f t="shared" si="62"/>
        <v>Farmersville</v>
      </c>
      <c r="AO199" s="15" t="b">
        <f t="shared" si="63"/>
        <v>1</v>
      </c>
    </row>
    <row r="200" spans="1:41" s="31" customFormat="1" ht="12.75">
      <c r="A200" s="15" t="s">
        <v>360</v>
      </c>
      <c r="B200" s="15"/>
      <c r="C200" s="15" t="s">
        <v>358</v>
      </c>
      <c r="D200" s="15"/>
      <c r="E200" s="24">
        <v>207504.72</v>
      </c>
      <c r="F200" s="24"/>
      <c r="G200" s="24">
        <v>0</v>
      </c>
      <c r="H200" s="24"/>
      <c r="I200" s="24">
        <v>40490.39</v>
      </c>
      <c r="J200" s="24"/>
      <c r="K200" s="24">
        <v>11981.64</v>
      </c>
      <c r="L200" s="24"/>
      <c r="M200" s="24">
        <v>0</v>
      </c>
      <c r="N200" s="24"/>
      <c r="O200" s="24">
        <v>72811.83</v>
      </c>
      <c r="P200" s="24"/>
      <c r="Q200" s="24">
        <v>118967.95</v>
      </c>
      <c r="R200" s="24"/>
      <c r="S200" s="24">
        <v>433995.97</v>
      </c>
      <c r="T200" s="24"/>
      <c r="U200" s="24">
        <v>4977.6</v>
      </c>
      <c r="V200" s="24"/>
      <c r="W200" s="24">
        <v>755</v>
      </c>
      <c r="X200" s="24"/>
      <c r="Y200" s="24">
        <v>58529.22</v>
      </c>
      <c r="Z200" s="24"/>
      <c r="AA200" s="24">
        <v>50000</v>
      </c>
      <c r="AB200" s="24"/>
      <c r="AC200" s="24">
        <v>2000</v>
      </c>
      <c r="AD200" s="24"/>
      <c r="AE200" s="24">
        <f t="shared" si="51"/>
        <v>1002014.32</v>
      </c>
      <c r="AF200" s="24"/>
      <c r="AG200" s="24">
        <v>91317.35</v>
      </c>
      <c r="AH200" s="24"/>
      <c r="AI200" s="24">
        <v>887606.54</v>
      </c>
      <c r="AJ200" s="24"/>
      <c r="AK200" s="24">
        <v>978923.89</v>
      </c>
      <c r="AL200" s="39">
        <f>+'Gov Rev'!AI200-'Gov Exp'!AE200+'Gov Exp'!AI200-'Gov Exp'!AK200</f>
        <v>0</v>
      </c>
      <c r="AM200" s="15" t="str">
        <f>'Gov Rev'!A200</f>
        <v>Fayette</v>
      </c>
      <c r="AN200" s="15" t="str">
        <f t="shared" si="62"/>
        <v>Fayette</v>
      </c>
      <c r="AO200" s="15" t="b">
        <f t="shared" si="63"/>
        <v>1</v>
      </c>
    </row>
    <row r="201" spans="1:41" ht="12.75">
      <c r="A201" s="15" t="s">
        <v>21</v>
      </c>
      <c r="C201" s="15" t="s">
        <v>751</v>
      </c>
      <c r="D201" s="28"/>
      <c r="E201" s="36">
        <v>95242.35</v>
      </c>
      <c r="F201" s="36"/>
      <c r="G201" s="36">
        <v>327.82</v>
      </c>
      <c r="H201" s="36"/>
      <c r="I201" s="36">
        <v>2556.26</v>
      </c>
      <c r="J201" s="36"/>
      <c r="K201" s="36">
        <v>0</v>
      </c>
      <c r="L201" s="36"/>
      <c r="M201" s="36">
        <v>0</v>
      </c>
      <c r="N201" s="36"/>
      <c r="O201" s="36">
        <v>28475.4</v>
      </c>
      <c r="P201" s="36"/>
      <c r="Q201" s="36">
        <v>71083.15</v>
      </c>
      <c r="R201" s="36"/>
      <c r="S201" s="36">
        <v>0</v>
      </c>
      <c r="T201" s="36"/>
      <c r="U201" s="36">
        <v>2000</v>
      </c>
      <c r="V201" s="36"/>
      <c r="W201" s="36">
        <v>861.81</v>
      </c>
      <c r="X201" s="36"/>
      <c r="Y201" s="36">
        <v>0</v>
      </c>
      <c r="Z201" s="36"/>
      <c r="AA201" s="36">
        <v>0</v>
      </c>
      <c r="AB201" s="36"/>
      <c r="AC201" s="36">
        <v>16000</v>
      </c>
      <c r="AD201" s="36"/>
      <c r="AE201" s="36">
        <f aca="true" t="shared" si="77" ref="AE201">SUM(E201:AC201)</f>
        <v>216546.79</v>
      </c>
      <c r="AF201" s="36"/>
      <c r="AG201" s="36">
        <v>4346.54</v>
      </c>
      <c r="AH201" s="36"/>
      <c r="AI201" s="36">
        <v>71433.32</v>
      </c>
      <c r="AJ201" s="36"/>
      <c r="AK201" s="36">
        <v>75779.86</v>
      </c>
      <c r="AL201" s="39">
        <f>+'Gov Rev'!AI201-'Gov Exp'!AE201+'Gov Exp'!AI201-'Gov Exp'!AK201</f>
        <v>0</v>
      </c>
      <c r="AM201" s="15" t="str">
        <f>'Gov Rev'!A201</f>
        <v>Fayetteville</v>
      </c>
      <c r="AN201" s="15" t="str">
        <f t="shared" si="62"/>
        <v>Fayetteville</v>
      </c>
      <c r="AO201" s="15" t="b">
        <f t="shared" si="63"/>
        <v>1</v>
      </c>
    </row>
    <row r="202" spans="1:41" ht="12.6" customHeight="1" hidden="1">
      <c r="A202" s="15" t="s">
        <v>297</v>
      </c>
      <c r="C202" s="15" t="s">
        <v>295</v>
      </c>
      <c r="AE202" s="24">
        <f t="shared" si="51"/>
        <v>0</v>
      </c>
      <c r="AF202" s="24"/>
      <c r="AG202" s="24"/>
      <c r="AH202" s="24"/>
      <c r="AI202" s="24"/>
      <c r="AJ202" s="24"/>
      <c r="AK202" s="24"/>
      <c r="AL202" s="39">
        <f>+'Gov Rev'!AI202-'Gov Exp'!AE202+'Gov Exp'!AI202-'Gov Exp'!AK202</f>
        <v>0</v>
      </c>
      <c r="AM202" s="15" t="str">
        <f>'Gov Rev'!A202</f>
        <v>Felicity</v>
      </c>
      <c r="AN202" s="15" t="str">
        <f t="shared" si="62"/>
        <v>Felicity</v>
      </c>
      <c r="AO202" s="15" t="b">
        <f t="shared" si="63"/>
        <v>1</v>
      </c>
    </row>
    <row r="203" spans="1:41" ht="12.6" customHeight="1">
      <c r="A203" s="15" t="s">
        <v>940</v>
      </c>
      <c r="C203" s="15" t="s">
        <v>470</v>
      </c>
      <c r="E203" s="95">
        <v>33238.98</v>
      </c>
      <c r="F203" s="95"/>
      <c r="G203" s="95">
        <v>0</v>
      </c>
      <c r="H203" s="95"/>
      <c r="I203" s="95">
        <v>5070.8</v>
      </c>
      <c r="J203" s="95"/>
      <c r="K203" s="95">
        <v>0</v>
      </c>
      <c r="L203" s="95"/>
      <c r="M203" s="95">
        <v>0</v>
      </c>
      <c r="N203" s="95"/>
      <c r="O203" s="95">
        <v>22962.27</v>
      </c>
      <c r="P203" s="95"/>
      <c r="Q203" s="95">
        <v>19537.12</v>
      </c>
      <c r="R203" s="95"/>
      <c r="S203" s="95">
        <v>0</v>
      </c>
      <c r="T203" s="95"/>
      <c r="U203" s="95">
        <v>0</v>
      </c>
      <c r="V203" s="95"/>
      <c r="W203" s="95">
        <v>0</v>
      </c>
      <c r="X203" s="95"/>
      <c r="Y203" s="95">
        <v>0</v>
      </c>
      <c r="Z203" s="95"/>
      <c r="AA203" s="95">
        <v>0</v>
      </c>
      <c r="AB203" s="95"/>
      <c r="AC203" s="95">
        <v>10366.4</v>
      </c>
      <c r="AD203" s="95"/>
      <c r="AE203" s="95">
        <f aca="true" t="shared" si="78" ref="AE203">SUM(E203:AC203)</f>
        <v>91175.56999999999</v>
      </c>
      <c r="AF203" s="95"/>
      <c r="AG203" s="95">
        <v>-3935.39</v>
      </c>
      <c r="AH203" s="95"/>
      <c r="AI203" s="95">
        <v>76280.9</v>
      </c>
      <c r="AJ203" s="95"/>
      <c r="AK203" s="95">
        <v>72345.51</v>
      </c>
      <c r="AL203" s="39">
        <f>+'Gov Rev'!AI203-'Gov Exp'!AE203+'Gov Exp'!AI203-'Gov Exp'!AK203</f>
        <v>0</v>
      </c>
      <c r="AM203" s="15" t="str">
        <f>'Gov Rev'!A203</f>
        <v>Fletcher</v>
      </c>
      <c r="AN203" s="15" t="str">
        <f t="shared" si="62"/>
        <v>Fletcher</v>
      </c>
      <c r="AO203" s="15" t="b">
        <f t="shared" si="63"/>
        <v>1</v>
      </c>
    </row>
    <row r="204" spans="1:41" ht="12.75">
      <c r="A204" s="15" t="s">
        <v>105</v>
      </c>
      <c r="C204" s="15" t="s">
        <v>777</v>
      </c>
      <c r="D204" s="28"/>
      <c r="E204" s="36">
        <v>4716.11</v>
      </c>
      <c r="F204" s="36"/>
      <c r="G204" s="36">
        <v>942.47</v>
      </c>
      <c r="H204" s="36"/>
      <c r="I204" s="36">
        <v>1556.7</v>
      </c>
      <c r="J204" s="36"/>
      <c r="K204" s="36">
        <v>0</v>
      </c>
      <c r="L204" s="36"/>
      <c r="M204" s="36">
        <v>574.03</v>
      </c>
      <c r="N204" s="36"/>
      <c r="O204" s="36">
        <v>4960.84</v>
      </c>
      <c r="P204" s="36"/>
      <c r="Q204" s="36">
        <v>23276.06</v>
      </c>
      <c r="R204" s="36"/>
      <c r="S204" s="36">
        <v>0</v>
      </c>
      <c r="T204" s="36"/>
      <c r="U204" s="36">
        <v>0</v>
      </c>
      <c r="V204" s="36"/>
      <c r="W204" s="36">
        <v>0</v>
      </c>
      <c r="X204" s="36"/>
      <c r="Y204" s="36">
        <v>500</v>
      </c>
      <c r="Z204" s="36"/>
      <c r="AA204" s="36">
        <v>0</v>
      </c>
      <c r="AB204" s="36"/>
      <c r="AC204" s="36">
        <v>0</v>
      </c>
      <c r="AD204" s="36"/>
      <c r="AE204" s="36">
        <f aca="true" t="shared" si="79" ref="AE204:AE205">SUM(E204:AC204)</f>
        <v>36526.21</v>
      </c>
      <c r="AF204" s="36"/>
      <c r="AG204" s="36">
        <v>11842.26</v>
      </c>
      <c r="AH204" s="36"/>
      <c r="AI204" s="36">
        <v>74882</v>
      </c>
      <c r="AJ204" s="36"/>
      <c r="AK204" s="36">
        <v>86724.26</v>
      </c>
      <c r="AL204" s="39">
        <f>+'Gov Rev'!AI204-'Gov Exp'!AE204+'Gov Exp'!AI204-'Gov Exp'!AK204</f>
        <v>0</v>
      </c>
      <c r="AM204" s="15" t="str">
        <f>'Gov Rev'!A204</f>
        <v>Florida</v>
      </c>
      <c r="AN204" s="15" t="str">
        <f t="shared" si="62"/>
        <v>Florida</v>
      </c>
      <c r="AO204" s="15" t="b">
        <f t="shared" si="63"/>
        <v>1</v>
      </c>
    </row>
    <row r="205" spans="1:41" s="31" customFormat="1" ht="12.75">
      <c r="A205" s="15" t="s">
        <v>941</v>
      </c>
      <c r="B205" s="15"/>
      <c r="C205" s="15" t="s">
        <v>279</v>
      </c>
      <c r="D205" s="15"/>
      <c r="E205" s="36">
        <v>28241.45</v>
      </c>
      <c r="F205" s="36"/>
      <c r="G205" s="36">
        <v>4518</v>
      </c>
      <c r="H205" s="36"/>
      <c r="I205" s="36">
        <v>8649.34</v>
      </c>
      <c r="J205" s="36"/>
      <c r="K205" s="36">
        <v>0</v>
      </c>
      <c r="L205" s="36"/>
      <c r="M205" s="36">
        <v>7232.73</v>
      </c>
      <c r="N205" s="36"/>
      <c r="O205" s="36">
        <v>28933.75</v>
      </c>
      <c r="P205" s="36"/>
      <c r="Q205" s="36">
        <v>108173.83</v>
      </c>
      <c r="R205" s="36"/>
      <c r="S205" s="36">
        <v>0</v>
      </c>
      <c r="T205" s="36"/>
      <c r="U205" s="36">
        <v>31910.32</v>
      </c>
      <c r="V205" s="36"/>
      <c r="W205" s="36">
        <v>1315.89</v>
      </c>
      <c r="X205" s="36"/>
      <c r="Y205" s="36">
        <v>0</v>
      </c>
      <c r="Z205" s="36"/>
      <c r="AA205" s="36">
        <v>0</v>
      </c>
      <c r="AB205" s="36"/>
      <c r="AC205" s="36">
        <v>0</v>
      </c>
      <c r="AD205" s="36"/>
      <c r="AE205" s="36">
        <f t="shared" si="79"/>
        <v>218975.31000000003</v>
      </c>
      <c r="AF205" s="36"/>
      <c r="AG205" s="36">
        <v>3176.24</v>
      </c>
      <c r="AH205" s="36"/>
      <c r="AI205" s="36">
        <v>232108.82</v>
      </c>
      <c r="AJ205" s="36"/>
      <c r="AK205" s="36">
        <v>235285.06</v>
      </c>
      <c r="AL205" s="39">
        <f>+'Gov Rev'!AI205-'Gov Exp'!AE205+'Gov Exp'!AI205-'Gov Exp'!AK205</f>
        <v>0</v>
      </c>
      <c r="AM205" s="15" t="str">
        <f>'Gov Rev'!A205</f>
        <v>Flushing</v>
      </c>
      <c r="AN205" s="15" t="str">
        <f t="shared" si="62"/>
        <v>Flushing</v>
      </c>
      <c r="AO205" s="15" t="b">
        <f t="shared" si="63"/>
        <v>1</v>
      </c>
    </row>
    <row r="206" spans="1:41" s="72" customFormat="1" ht="12.75">
      <c r="A206" s="39" t="s">
        <v>398</v>
      </c>
      <c r="B206" s="39"/>
      <c r="C206" s="39" t="s">
        <v>396</v>
      </c>
      <c r="D206" s="39"/>
      <c r="E206" s="24">
        <v>237502</v>
      </c>
      <c r="F206" s="24"/>
      <c r="G206" s="24">
        <v>6634</v>
      </c>
      <c r="H206" s="24"/>
      <c r="I206" s="24">
        <v>98088</v>
      </c>
      <c r="J206" s="24"/>
      <c r="K206" s="24">
        <v>0</v>
      </c>
      <c r="L206" s="24"/>
      <c r="M206" s="24">
        <v>0</v>
      </c>
      <c r="N206" s="24"/>
      <c r="O206" s="24">
        <v>97615</v>
      </c>
      <c r="P206" s="24"/>
      <c r="Q206" s="24">
        <v>277755</v>
      </c>
      <c r="R206" s="24"/>
      <c r="S206" s="24">
        <v>0</v>
      </c>
      <c r="T206" s="24"/>
      <c r="U206" s="24">
        <v>16031</v>
      </c>
      <c r="V206" s="24"/>
      <c r="W206" s="24">
        <v>1517</v>
      </c>
      <c r="X206" s="24"/>
      <c r="Y206" s="24">
        <v>0</v>
      </c>
      <c r="Z206" s="24"/>
      <c r="AA206" s="24">
        <v>0</v>
      </c>
      <c r="AB206" s="24"/>
      <c r="AC206" s="24">
        <v>0</v>
      </c>
      <c r="AD206" s="24"/>
      <c r="AE206" s="24">
        <f aca="true" t="shared" si="80" ref="AE206:AE268">SUM(E206:AC206)</f>
        <v>735142</v>
      </c>
      <c r="AF206" s="24"/>
      <c r="AG206" s="24">
        <f>-76574-14333-1588</f>
        <v>-92495</v>
      </c>
      <c r="AH206" s="24"/>
      <c r="AI206" s="24">
        <f>459734+185613+33494+4507</f>
        <v>683348</v>
      </c>
      <c r="AJ206" s="24"/>
      <c r="AK206" s="24">
        <f>383160+171280+31906+4507</f>
        <v>590853</v>
      </c>
      <c r="AL206" s="39">
        <f>+'Gov Rev'!AI206-'Gov Exp'!AE206+'Gov Exp'!AI206-'Gov Exp'!AK206</f>
        <v>0</v>
      </c>
      <c r="AM206" s="15" t="str">
        <f>'Gov Rev'!A206</f>
        <v>Forest</v>
      </c>
      <c r="AN206" s="15" t="str">
        <f t="shared" si="62"/>
        <v>Forest</v>
      </c>
      <c r="AO206" s="15" t="b">
        <f t="shared" si="63"/>
        <v>1</v>
      </c>
    </row>
    <row r="207" spans="1:41" ht="12.75">
      <c r="A207" s="15" t="s">
        <v>204</v>
      </c>
      <c r="C207" s="15" t="s">
        <v>808</v>
      </c>
      <c r="D207" s="28"/>
      <c r="E207" s="36">
        <v>50824.07</v>
      </c>
      <c r="F207" s="36"/>
      <c r="G207" s="36">
        <v>0</v>
      </c>
      <c r="H207" s="36"/>
      <c r="I207" s="36">
        <v>19053.01</v>
      </c>
      <c r="J207" s="36"/>
      <c r="K207" s="36">
        <v>0</v>
      </c>
      <c r="L207" s="36"/>
      <c r="M207" s="36">
        <v>2817.2</v>
      </c>
      <c r="N207" s="36"/>
      <c r="O207" s="36">
        <v>14781.17</v>
      </c>
      <c r="P207" s="36"/>
      <c r="Q207" s="36">
        <v>83815.96</v>
      </c>
      <c r="R207" s="36"/>
      <c r="S207" s="36">
        <v>278.57</v>
      </c>
      <c r="T207" s="36"/>
      <c r="U207" s="36">
        <v>0</v>
      </c>
      <c r="V207" s="36"/>
      <c r="W207" s="36">
        <v>0</v>
      </c>
      <c r="X207" s="36"/>
      <c r="Y207" s="36">
        <v>17500</v>
      </c>
      <c r="Z207" s="36"/>
      <c r="AA207" s="36">
        <v>0</v>
      </c>
      <c r="AB207" s="36"/>
      <c r="AC207" s="36">
        <v>0</v>
      </c>
      <c r="AD207" s="36"/>
      <c r="AE207" s="36">
        <f aca="true" t="shared" si="81" ref="AE207:AE208">SUM(E207:AC207)</f>
        <v>189069.98</v>
      </c>
      <c r="AF207" s="36"/>
      <c r="AG207" s="36">
        <v>22987.47</v>
      </c>
      <c r="AH207" s="36"/>
      <c r="AI207" s="36">
        <v>463916.08</v>
      </c>
      <c r="AJ207" s="36"/>
      <c r="AK207" s="36">
        <v>486903.55</v>
      </c>
      <c r="AL207" s="39">
        <f>+'Gov Rev'!AI207-'Gov Exp'!AE207+'Gov Exp'!AI207-'Gov Exp'!AK207</f>
        <v>0</v>
      </c>
      <c r="AM207" s="15" t="str">
        <f>'Gov Rev'!A207</f>
        <v>Fort Jennings</v>
      </c>
      <c r="AN207" s="15" t="str">
        <f t="shared" si="62"/>
        <v>Fort Jennings</v>
      </c>
      <c r="AO207" s="15" t="b">
        <f t="shared" si="63"/>
        <v>1</v>
      </c>
    </row>
    <row r="208" spans="1:41" ht="12.75">
      <c r="A208" s="15" t="s">
        <v>222</v>
      </c>
      <c r="C208" s="15" t="s">
        <v>814</v>
      </c>
      <c r="D208" s="28"/>
      <c r="E208" s="36">
        <v>151888.4</v>
      </c>
      <c r="F208" s="36"/>
      <c r="G208" s="36">
        <v>10250</v>
      </c>
      <c r="H208" s="36"/>
      <c r="I208" s="36">
        <v>9654.78</v>
      </c>
      <c r="J208" s="36"/>
      <c r="K208" s="36">
        <v>0</v>
      </c>
      <c r="L208" s="36"/>
      <c r="M208" s="36">
        <v>79589.66</v>
      </c>
      <c r="N208" s="36"/>
      <c r="O208" s="36">
        <v>136807.65</v>
      </c>
      <c r="P208" s="36"/>
      <c r="Q208" s="36">
        <v>171553.1</v>
      </c>
      <c r="R208" s="36"/>
      <c r="S208" s="36">
        <v>1689295.19</v>
      </c>
      <c r="T208" s="36"/>
      <c r="U208" s="36">
        <v>114408.44</v>
      </c>
      <c r="V208" s="36"/>
      <c r="W208" s="36">
        <v>12218.46</v>
      </c>
      <c r="X208" s="36"/>
      <c r="Y208" s="36">
        <v>0</v>
      </c>
      <c r="Z208" s="36"/>
      <c r="AA208" s="36">
        <v>0</v>
      </c>
      <c r="AB208" s="36"/>
      <c r="AC208" s="36">
        <v>0</v>
      </c>
      <c r="AD208" s="36"/>
      <c r="AE208" s="36">
        <f t="shared" si="81"/>
        <v>2375665.6799999997</v>
      </c>
      <c r="AF208" s="36"/>
      <c r="AG208" s="36">
        <v>-433322.09</v>
      </c>
      <c r="AH208" s="36"/>
      <c r="AI208" s="36">
        <v>1556820.31</v>
      </c>
      <c r="AJ208" s="36"/>
      <c r="AK208" s="36">
        <v>1123498.22</v>
      </c>
      <c r="AL208" s="39">
        <f>+'Gov Rev'!AI208-'Gov Exp'!AE208+'Gov Exp'!AI208-'Gov Exp'!AK208</f>
        <v>0</v>
      </c>
      <c r="AM208" s="15" t="str">
        <f>'Gov Rev'!A208</f>
        <v>Fort Loramie</v>
      </c>
      <c r="AN208" s="15" t="str">
        <f t="shared" si="62"/>
        <v>Fort Loramie</v>
      </c>
      <c r="AO208" s="15" t="b">
        <f t="shared" si="63"/>
        <v>1</v>
      </c>
    </row>
    <row r="209" spans="1:41" s="31" customFormat="1" ht="12.75">
      <c r="A209" s="15" t="s">
        <v>467</v>
      </c>
      <c r="B209" s="15"/>
      <c r="C209" s="15" t="s">
        <v>466</v>
      </c>
      <c r="D209" s="15"/>
      <c r="E209" s="24">
        <v>129227</v>
      </c>
      <c r="F209" s="24"/>
      <c r="G209" s="24">
        <v>39110</v>
      </c>
      <c r="H209" s="24"/>
      <c r="I209" s="24">
        <v>60171</v>
      </c>
      <c r="J209" s="24"/>
      <c r="K209" s="24">
        <v>2986</v>
      </c>
      <c r="L209" s="24"/>
      <c r="M209" s="24">
        <v>103612</v>
      </c>
      <c r="N209" s="24"/>
      <c r="O209" s="24">
        <v>153024</v>
      </c>
      <c r="P209" s="24"/>
      <c r="Q209" s="24">
        <v>345333</v>
      </c>
      <c r="R209" s="24"/>
      <c r="S209" s="24">
        <v>1091951</v>
      </c>
      <c r="T209" s="24"/>
      <c r="U209" s="24">
        <v>1637265</v>
      </c>
      <c r="V209" s="24"/>
      <c r="W209" s="24">
        <v>20473</v>
      </c>
      <c r="X209" s="24"/>
      <c r="Y209" s="24">
        <v>388159</v>
      </c>
      <c r="Z209" s="24"/>
      <c r="AA209" s="24">
        <v>20000</v>
      </c>
      <c r="AB209" s="24"/>
      <c r="AC209" s="24">
        <v>0</v>
      </c>
      <c r="AD209" s="24"/>
      <c r="AE209" s="24">
        <f t="shared" si="80"/>
        <v>3991311</v>
      </c>
      <c r="AF209" s="24"/>
      <c r="AG209" s="24">
        <v>379978</v>
      </c>
      <c r="AH209" s="24"/>
      <c r="AI209" s="24">
        <v>1689216</v>
      </c>
      <c r="AJ209" s="24"/>
      <c r="AK209" s="24">
        <v>2069194</v>
      </c>
      <c r="AL209" s="39">
        <f>+'Gov Rev'!AI209-'Gov Exp'!AE209+'Gov Exp'!AI209-'Gov Exp'!AK209</f>
        <v>1</v>
      </c>
      <c r="AM209" s="15" t="str">
        <f>'Gov Rev'!A209</f>
        <v>Fort Recovery</v>
      </c>
      <c r="AN209" s="15" t="str">
        <f t="shared" si="62"/>
        <v>Fort Recovery</v>
      </c>
      <c r="AO209" s="15" t="b">
        <f t="shared" si="63"/>
        <v>1</v>
      </c>
    </row>
    <row r="210" spans="1:41" s="31" customFormat="1" ht="12.75">
      <c r="A210" s="15" t="s">
        <v>942</v>
      </c>
      <c r="B210" s="15"/>
      <c r="C210" s="15" t="s">
        <v>709</v>
      </c>
      <c r="D210" s="15"/>
      <c r="E210" s="92">
        <v>287345.06</v>
      </c>
      <c r="F210" s="92"/>
      <c r="G210" s="92">
        <v>0</v>
      </c>
      <c r="H210" s="92"/>
      <c r="I210" s="92">
        <v>0</v>
      </c>
      <c r="J210" s="92"/>
      <c r="K210" s="92">
        <v>3050.16</v>
      </c>
      <c r="L210" s="92"/>
      <c r="M210" s="92">
        <v>0</v>
      </c>
      <c r="N210" s="92"/>
      <c r="O210" s="92">
        <v>138917.26</v>
      </c>
      <c r="P210" s="92"/>
      <c r="Q210" s="92">
        <v>108130.6</v>
      </c>
      <c r="R210" s="92"/>
      <c r="S210" s="92">
        <v>120164.05</v>
      </c>
      <c r="T210" s="92"/>
      <c r="U210" s="92">
        <v>0</v>
      </c>
      <c r="V210" s="92"/>
      <c r="W210" s="92">
        <v>0</v>
      </c>
      <c r="X210" s="92"/>
      <c r="Y210" s="92">
        <v>117900</v>
      </c>
      <c r="Z210" s="92"/>
      <c r="AA210" s="92">
        <v>0</v>
      </c>
      <c r="AB210" s="92"/>
      <c r="AC210" s="92">
        <v>438.02</v>
      </c>
      <c r="AD210" s="92"/>
      <c r="AE210" s="92">
        <f aca="true" t="shared" si="82" ref="AE210">SUM(E210:AC210)</f>
        <v>775945.15</v>
      </c>
      <c r="AF210" s="36"/>
      <c r="AG210" s="36">
        <v>78459.95</v>
      </c>
      <c r="AH210" s="36"/>
      <c r="AI210" s="36">
        <v>99987.71</v>
      </c>
      <c r="AJ210" s="36"/>
      <c r="AK210" s="36">
        <v>178447.66</v>
      </c>
      <c r="AL210" s="39">
        <f>+'Gov Rev'!AI210-'Gov Exp'!AE210+'Gov Exp'!AI210-'Gov Exp'!AK210</f>
        <v>0</v>
      </c>
      <c r="AM210" s="15" t="str">
        <f>'Gov Rev'!A210</f>
        <v>Fort Shawnee</v>
      </c>
      <c r="AN210" s="15" t="str">
        <f t="shared" si="62"/>
        <v>Fort Shawnee</v>
      </c>
      <c r="AO210" s="15" t="b">
        <f t="shared" si="63"/>
        <v>1</v>
      </c>
    </row>
    <row r="211" spans="1:41" ht="12.75">
      <c r="A211" s="15" t="s">
        <v>212</v>
      </c>
      <c r="C211" s="15" t="s">
        <v>810</v>
      </c>
      <c r="D211" s="28"/>
      <c r="E211" s="36">
        <v>17000</v>
      </c>
      <c r="F211" s="36"/>
      <c r="G211" s="36">
        <v>0</v>
      </c>
      <c r="H211" s="36"/>
      <c r="I211" s="36">
        <v>3384.79</v>
      </c>
      <c r="J211" s="36"/>
      <c r="K211" s="36">
        <v>0</v>
      </c>
      <c r="L211" s="36"/>
      <c r="M211" s="36">
        <v>16157.84</v>
      </c>
      <c r="N211" s="36"/>
      <c r="O211" s="36">
        <v>6033.48</v>
      </c>
      <c r="P211" s="36"/>
      <c r="Q211" s="36">
        <v>78822.77</v>
      </c>
      <c r="R211" s="36"/>
      <c r="S211" s="36">
        <v>527.55</v>
      </c>
      <c r="T211" s="36"/>
      <c r="U211" s="36">
        <v>0</v>
      </c>
      <c r="V211" s="36"/>
      <c r="W211" s="36">
        <v>0</v>
      </c>
      <c r="X211" s="36"/>
      <c r="Y211" s="36">
        <v>12500</v>
      </c>
      <c r="Z211" s="36"/>
      <c r="AA211" s="36">
        <v>0</v>
      </c>
      <c r="AB211" s="36"/>
      <c r="AC211" s="36">
        <v>0</v>
      </c>
      <c r="AD211" s="36"/>
      <c r="AE211" s="36">
        <f aca="true" t="shared" si="83" ref="AE211">SUM(E211:AC211)</f>
        <v>134426.43</v>
      </c>
      <c r="AF211" s="36"/>
      <c r="AG211" s="36">
        <v>90760.73</v>
      </c>
      <c r="AH211" s="36"/>
      <c r="AI211" s="36">
        <v>749860.47</v>
      </c>
      <c r="AJ211" s="36"/>
      <c r="AK211" s="36">
        <v>840621.2</v>
      </c>
      <c r="AL211" s="39">
        <f>+'Gov Rev'!AI211-'Gov Exp'!AE211+'Gov Exp'!AI211-'Gov Exp'!AK211</f>
        <v>0</v>
      </c>
      <c r="AM211" s="15" t="str">
        <f>'Gov Rev'!A211</f>
        <v>Frankfort</v>
      </c>
      <c r="AN211" s="15" t="str">
        <f aca="true" t="shared" si="84" ref="AN211">A211</f>
        <v>Frankfort</v>
      </c>
      <c r="AO211" s="15" t="b">
        <f aca="true" t="shared" si="85" ref="AO211">AM211=AN211</f>
        <v>1</v>
      </c>
    </row>
    <row r="212" spans="1:41" ht="12.75">
      <c r="A212" s="15" t="s">
        <v>175</v>
      </c>
      <c r="C212" s="15" t="s">
        <v>800</v>
      </c>
      <c r="D212" s="28"/>
      <c r="E212" s="92">
        <v>151757.16</v>
      </c>
      <c r="F212" s="92"/>
      <c r="G212" s="92">
        <v>0</v>
      </c>
      <c r="H212" s="92"/>
      <c r="I212" s="92">
        <v>37295.11</v>
      </c>
      <c r="J212" s="92"/>
      <c r="K212" s="92">
        <v>27400.18</v>
      </c>
      <c r="L212" s="92"/>
      <c r="M212" s="92">
        <v>155218.08</v>
      </c>
      <c r="N212" s="92"/>
      <c r="O212" s="92">
        <v>40632.25</v>
      </c>
      <c r="P212" s="92"/>
      <c r="Q212" s="92">
        <v>103512.78</v>
      </c>
      <c r="R212" s="92"/>
      <c r="S212" s="92">
        <v>1259</v>
      </c>
      <c r="T212" s="92"/>
      <c r="U212" s="92">
        <v>0</v>
      </c>
      <c r="V212" s="92"/>
      <c r="W212" s="92">
        <v>0</v>
      </c>
      <c r="X212" s="92"/>
      <c r="Y212" s="92">
        <v>0.33</v>
      </c>
      <c r="Z212" s="92"/>
      <c r="AA212" s="92">
        <v>0</v>
      </c>
      <c r="AB212" s="92"/>
      <c r="AC212" s="92">
        <v>0</v>
      </c>
      <c r="AD212" s="92"/>
      <c r="AE212" s="92">
        <f aca="true" t="shared" si="86" ref="AE212">SUM(E212:AC212)</f>
        <v>517074.8900000001</v>
      </c>
      <c r="AF212" s="36"/>
      <c r="AG212" s="36">
        <v>-17537.68</v>
      </c>
      <c r="AH212" s="36"/>
      <c r="AI212" s="36">
        <v>155182.81</v>
      </c>
      <c r="AJ212" s="36"/>
      <c r="AK212" s="36">
        <v>137645.13</v>
      </c>
      <c r="AL212" s="39">
        <f>+'Gov Rev'!AI212-'Gov Exp'!AE212+'Gov Exp'!AI212-'Gov Exp'!AK212</f>
        <v>0</v>
      </c>
      <c r="AM212" s="15" t="str">
        <f>'Gov Rev'!A212</f>
        <v>Frazeysburg</v>
      </c>
      <c r="AN212" s="15" t="str">
        <f aca="true" t="shared" si="87" ref="AN212">A212</f>
        <v>Frazeysburg</v>
      </c>
      <c r="AO212" s="15" t="b">
        <f aca="true" t="shared" si="88" ref="AO212">AM212=AN212</f>
        <v>1</v>
      </c>
    </row>
    <row r="213" spans="1:41" s="31" customFormat="1" ht="12.75">
      <c r="A213" s="15"/>
      <c r="B213" s="15"/>
      <c r="C213" s="15"/>
      <c r="D213" s="1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83" t="s">
        <v>864</v>
      </c>
      <c r="AF213" s="24"/>
      <c r="AG213" s="24"/>
      <c r="AH213" s="24"/>
      <c r="AI213" s="24"/>
      <c r="AJ213" s="24"/>
      <c r="AK213" s="24"/>
      <c r="AL213" s="39"/>
      <c r="AM213" s="15"/>
      <c r="AN213" s="15"/>
      <c r="AO213" s="15"/>
    </row>
    <row r="214" spans="1:41" s="31" customFormat="1" ht="12.75">
      <c r="A214" s="15" t="s">
        <v>595</v>
      </c>
      <c r="B214" s="15"/>
      <c r="C214" s="15" t="s">
        <v>590</v>
      </c>
      <c r="D214" s="15"/>
      <c r="E214" s="94">
        <v>30781</v>
      </c>
      <c r="F214" s="94"/>
      <c r="G214" s="94">
        <v>1481</v>
      </c>
      <c r="H214" s="94"/>
      <c r="I214" s="94">
        <v>1162</v>
      </c>
      <c r="J214" s="94"/>
      <c r="K214" s="94">
        <v>0</v>
      </c>
      <c r="L214" s="94"/>
      <c r="M214" s="94">
        <v>0</v>
      </c>
      <c r="N214" s="94"/>
      <c r="O214" s="94">
        <v>26761</v>
      </c>
      <c r="P214" s="94"/>
      <c r="Q214" s="94">
        <v>42350</v>
      </c>
      <c r="R214" s="94"/>
      <c r="S214" s="94">
        <v>0</v>
      </c>
      <c r="T214" s="94"/>
      <c r="U214" s="94">
        <v>0</v>
      </c>
      <c r="V214" s="94"/>
      <c r="W214" s="94">
        <v>0</v>
      </c>
      <c r="X214" s="94"/>
      <c r="Y214" s="94">
        <v>0</v>
      </c>
      <c r="Z214" s="94"/>
      <c r="AA214" s="94">
        <v>0</v>
      </c>
      <c r="AB214" s="94"/>
      <c r="AC214" s="94">
        <v>0</v>
      </c>
      <c r="AD214" s="94"/>
      <c r="AE214" s="94">
        <f t="shared" si="80"/>
        <v>102535</v>
      </c>
      <c r="AF214" s="24"/>
      <c r="AG214" s="24">
        <v>14191</v>
      </c>
      <c r="AH214" s="24"/>
      <c r="AI214" s="24">
        <v>109491</v>
      </c>
      <c r="AJ214" s="24"/>
      <c r="AK214" s="24">
        <v>123682</v>
      </c>
      <c r="AL214" s="39">
        <f>+'Gov Rev'!AI213-'Gov Exp'!AE214+'Gov Exp'!AI214-'Gov Exp'!AK214</f>
        <v>0</v>
      </c>
      <c r="AM214" s="15" t="str">
        <f>'Gov Rev'!A213</f>
        <v>Fredericksburg</v>
      </c>
      <c r="AN214" s="15" t="str">
        <f t="shared" si="62"/>
        <v>Fredericksburg</v>
      </c>
      <c r="AO214" s="15" t="b">
        <f t="shared" si="63"/>
        <v>1</v>
      </c>
    </row>
    <row r="215" spans="1:41" s="31" customFormat="1" ht="12.75">
      <c r="A215" s="15" t="s">
        <v>428</v>
      </c>
      <c r="B215" s="15"/>
      <c r="C215" s="15" t="s">
        <v>427</v>
      </c>
      <c r="D215" s="15"/>
      <c r="E215" s="36">
        <v>334930.4</v>
      </c>
      <c r="F215" s="36"/>
      <c r="G215" s="36">
        <v>2000</v>
      </c>
      <c r="H215" s="36"/>
      <c r="I215" s="36">
        <v>2000</v>
      </c>
      <c r="J215" s="36"/>
      <c r="K215" s="36">
        <v>5354.76</v>
      </c>
      <c r="L215" s="36"/>
      <c r="M215" s="36">
        <v>6999.87</v>
      </c>
      <c r="N215" s="36"/>
      <c r="O215" s="36">
        <v>243576.93</v>
      </c>
      <c r="P215" s="36"/>
      <c r="Q215" s="36">
        <v>151611.55</v>
      </c>
      <c r="R215" s="36"/>
      <c r="S215" s="36">
        <v>0</v>
      </c>
      <c r="T215" s="36"/>
      <c r="U215" s="36">
        <v>0</v>
      </c>
      <c r="V215" s="36"/>
      <c r="W215" s="36">
        <v>0</v>
      </c>
      <c r="X215" s="36"/>
      <c r="Y215" s="36">
        <v>0</v>
      </c>
      <c r="Z215" s="36"/>
      <c r="AA215" s="36">
        <v>0</v>
      </c>
      <c r="AB215" s="36"/>
      <c r="AC215" s="36">
        <v>13238.78</v>
      </c>
      <c r="AD215" s="36"/>
      <c r="AE215" s="36">
        <f aca="true" t="shared" si="89" ref="AE215">SUM(E215:AC215)</f>
        <v>759712.29</v>
      </c>
      <c r="AF215" s="36"/>
      <c r="AG215" s="36">
        <v>157965.46</v>
      </c>
      <c r="AH215" s="36"/>
      <c r="AI215" s="36">
        <v>244736.64</v>
      </c>
      <c r="AJ215" s="36"/>
      <c r="AK215" s="36">
        <v>402702.1</v>
      </c>
      <c r="AL215" s="39">
        <f>+'Gov Rev'!AI214-'Gov Exp'!AE215+'Gov Exp'!AI215-'Gov Exp'!AK215</f>
        <v>0</v>
      </c>
      <c r="AM215" s="15" t="str">
        <f>'Gov Rev'!A214</f>
        <v>Fredericktown</v>
      </c>
      <c r="AN215" s="15" t="str">
        <f t="shared" si="62"/>
        <v>Fredericktown</v>
      </c>
      <c r="AO215" s="15" t="b">
        <f t="shared" si="63"/>
        <v>1</v>
      </c>
    </row>
    <row r="216" spans="1:41" s="31" customFormat="1" ht="12.75">
      <c r="A216" s="15" t="s">
        <v>405</v>
      </c>
      <c r="B216" s="15"/>
      <c r="C216" s="15" t="s">
        <v>403</v>
      </c>
      <c r="D216" s="15"/>
      <c r="E216" s="24">
        <v>3192.64</v>
      </c>
      <c r="F216" s="24"/>
      <c r="G216" s="24">
        <v>0</v>
      </c>
      <c r="H216" s="24"/>
      <c r="I216" s="24">
        <v>0</v>
      </c>
      <c r="J216" s="24"/>
      <c r="K216" s="24">
        <v>0</v>
      </c>
      <c r="L216" s="24"/>
      <c r="M216" s="24">
        <v>316</v>
      </c>
      <c r="N216" s="24"/>
      <c r="O216" s="24">
        <v>11184.44</v>
      </c>
      <c r="P216" s="24"/>
      <c r="Q216" s="90">
        <v>144612.95</v>
      </c>
      <c r="R216" s="24"/>
      <c r="S216" s="24">
        <v>4932</v>
      </c>
      <c r="T216" s="24"/>
      <c r="U216" s="24">
        <v>0</v>
      </c>
      <c r="V216" s="24"/>
      <c r="W216" s="24">
        <v>0</v>
      </c>
      <c r="X216" s="24"/>
      <c r="Y216" s="24">
        <v>0</v>
      </c>
      <c r="Z216" s="24"/>
      <c r="AA216" s="24">
        <v>0</v>
      </c>
      <c r="AB216" s="24"/>
      <c r="AC216" s="24">
        <v>0</v>
      </c>
      <c r="AD216" s="24"/>
      <c r="AE216" s="24">
        <f t="shared" si="80"/>
        <v>164238.03</v>
      </c>
      <c r="AF216" s="24"/>
      <c r="AG216" s="24"/>
      <c r="AH216" s="24"/>
      <c r="AI216" s="24">
        <v>257603.08</v>
      </c>
      <c r="AJ216" s="24"/>
      <c r="AK216" s="24">
        <v>240778.31</v>
      </c>
      <c r="AL216" s="39">
        <f>+'Gov Rev'!AI215-'Gov Exp'!AE216+'Gov Exp'!AI216-'Gov Exp'!AK216</f>
        <v>40</v>
      </c>
      <c r="AM216" s="15" t="str">
        <f>'Gov Rev'!A215</f>
        <v>Freeport</v>
      </c>
      <c r="AN216" s="15" t="str">
        <f>A216</f>
        <v>Freeport</v>
      </c>
      <c r="AO216" s="15" t="b">
        <f t="shared" si="63"/>
        <v>1</v>
      </c>
    </row>
    <row r="217" spans="1:41" s="31" customFormat="1" ht="12.75">
      <c r="A217" s="15" t="s">
        <v>358</v>
      </c>
      <c r="B217" s="15"/>
      <c r="C217" s="15" t="s">
        <v>243</v>
      </c>
      <c r="D217" s="15"/>
      <c r="E217" s="36">
        <v>4329.03</v>
      </c>
      <c r="F217" s="36"/>
      <c r="G217" s="36">
        <v>190</v>
      </c>
      <c r="H217" s="36"/>
      <c r="I217" s="36">
        <v>0</v>
      </c>
      <c r="J217" s="36"/>
      <c r="K217" s="36">
        <v>0</v>
      </c>
      <c r="L217" s="36"/>
      <c r="M217" s="36">
        <v>0</v>
      </c>
      <c r="N217" s="36"/>
      <c r="O217" s="36">
        <v>53585</v>
      </c>
      <c r="P217" s="36"/>
      <c r="Q217" s="36">
        <v>14073.25</v>
      </c>
      <c r="R217" s="36"/>
      <c r="S217" s="36">
        <v>0</v>
      </c>
      <c r="T217" s="36"/>
      <c r="U217" s="36">
        <v>0</v>
      </c>
      <c r="V217" s="36"/>
      <c r="W217" s="36">
        <v>0</v>
      </c>
      <c r="X217" s="36"/>
      <c r="Y217" s="36">
        <v>0</v>
      </c>
      <c r="Z217" s="36"/>
      <c r="AA217" s="36">
        <v>0</v>
      </c>
      <c r="AB217" s="36"/>
      <c r="AC217" s="36">
        <v>0</v>
      </c>
      <c r="AD217" s="36"/>
      <c r="AE217" s="36">
        <f aca="true" t="shared" si="90" ref="AE217">SUM(E217:AC217)</f>
        <v>72177.28</v>
      </c>
      <c r="AF217" s="36"/>
      <c r="AG217" s="36">
        <v>-31529.91</v>
      </c>
      <c r="AH217" s="36"/>
      <c r="AI217" s="36">
        <v>95951.11</v>
      </c>
      <c r="AJ217" s="36"/>
      <c r="AK217" s="36">
        <v>64421.2</v>
      </c>
      <c r="AL217" s="39">
        <f>+'Gov Rev'!AI216-'Gov Exp'!AE217+'Gov Exp'!AI217-'Gov Exp'!AK217</f>
        <v>0</v>
      </c>
      <c r="AM217" s="15" t="str">
        <f>'Gov Rev'!A216</f>
        <v>Fulton</v>
      </c>
      <c r="AN217" s="15" t="str">
        <f t="shared" si="62"/>
        <v>Fulton</v>
      </c>
      <c r="AO217" s="15" t="b">
        <f t="shared" si="63"/>
        <v>1</v>
      </c>
    </row>
    <row r="218" spans="1:41" s="31" customFormat="1" ht="12.75">
      <c r="A218" s="15" t="s">
        <v>486</v>
      </c>
      <c r="B218" s="15"/>
      <c r="C218" s="15" t="s">
        <v>485</v>
      </c>
      <c r="D218" s="15"/>
      <c r="E218" s="95">
        <v>1235.05</v>
      </c>
      <c r="F218" s="95"/>
      <c r="G218" s="95">
        <v>0</v>
      </c>
      <c r="H218" s="95"/>
      <c r="I218" s="95">
        <v>0</v>
      </c>
      <c r="J218" s="95"/>
      <c r="K218" s="95">
        <v>0</v>
      </c>
      <c r="L218" s="95"/>
      <c r="M218" s="95">
        <v>3415.82</v>
      </c>
      <c r="N218" s="95"/>
      <c r="O218" s="95">
        <v>4500.31</v>
      </c>
      <c r="P218" s="95"/>
      <c r="Q218" s="95">
        <v>15628.09</v>
      </c>
      <c r="R218" s="95"/>
      <c r="S218" s="95">
        <v>0</v>
      </c>
      <c r="T218" s="95"/>
      <c r="U218" s="95">
        <v>0</v>
      </c>
      <c r="V218" s="95"/>
      <c r="W218" s="95">
        <v>0</v>
      </c>
      <c r="X218" s="95"/>
      <c r="Y218" s="95">
        <v>0</v>
      </c>
      <c r="Z218" s="95"/>
      <c r="AA218" s="95">
        <v>0</v>
      </c>
      <c r="AB218" s="95"/>
      <c r="AC218" s="95">
        <v>0</v>
      </c>
      <c r="AD218" s="95"/>
      <c r="AE218" s="95">
        <f aca="true" t="shared" si="91" ref="AE218">SUM(E218:AC218)</f>
        <v>24779.27</v>
      </c>
      <c r="AF218" s="95"/>
      <c r="AG218" s="95">
        <v>-7007.86</v>
      </c>
      <c r="AH218" s="95"/>
      <c r="AI218" s="95">
        <v>52568.93</v>
      </c>
      <c r="AJ218" s="95"/>
      <c r="AK218" s="95">
        <v>45561.07</v>
      </c>
      <c r="AL218" s="39">
        <f>+'Gov Rev'!AI217-'Gov Exp'!AE218+'Gov Exp'!AI218-'Gov Exp'!AK218</f>
        <v>0</v>
      </c>
      <c r="AM218" s="15" t="str">
        <f>'Gov Rev'!A217</f>
        <v>Fultonham</v>
      </c>
      <c r="AN218" s="15" t="str">
        <f t="shared" si="62"/>
        <v>Fultonham</v>
      </c>
      <c r="AO218" s="15" t="b">
        <f t="shared" si="63"/>
        <v>1</v>
      </c>
    </row>
    <row r="219" spans="1:41" s="31" customFormat="1" ht="12.75">
      <c r="A219" s="15" t="s">
        <v>57</v>
      </c>
      <c r="B219" s="15"/>
      <c r="C219" s="15" t="s">
        <v>764</v>
      </c>
      <c r="D219" s="28"/>
      <c r="E219" s="36">
        <v>0</v>
      </c>
      <c r="F219" s="36"/>
      <c r="G219" s="36">
        <v>0</v>
      </c>
      <c r="H219" s="36"/>
      <c r="I219" s="36">
        <v>199896.23</v>
      </c>
      <c r="J219" s="36"/>
      <c r="K219" s="36">
        <v>6704.04</v>
      </c>
      <c r="L219" s="36"/>
      <c r="M219" s="36">
        <v>0</v>
      </c>
      <c r="N219" s="36"/>
      <c r="O219" s="36">
        <v>33127.05</v>
      </c>
      <c r="P219" s="36"/>
      <c r="Q219" s="36">
        <v>283088.05</v>
      </c>
      <c r="R219" s="36"/>
      <c r="S219" s="36">
        <v>0</v>
      </c>
      <c r="T219" s="36"/>
      <c r="U219" s="36">
        <v>727493.78</v>
      </c>
      <c r="V219" s="36"/>
      <c r="W219" s="36">
        <v>16547.2</v>
      </c>
      <c r="X219" s="36"/>
      <c r="Y219" s="36">
        <v>0</v>
      </c>
      <c r="Z219" s="36"/>
      <c r="AA219" s="36">
        <v>0</v>
      </c>
      <c r="AB219" s="36"/>
      <c r="AC219" s="36">
        <v>0</v>
      </c>
      <c r="AD219" s="36"/>
      <c r="AE219" s="36">
        <f aca="true" t="shared" si="92" ref="AE219">SUM(E219:AC219)</f>
        <v>1266856.3499999999</v>
      </c>
      <c r="AF219" s="36"/>
      <c r="AG219" s="36">
        <v>32584.39</v>
      </c>
      <c r="AH219" s="36"/>
      <c r="AI219" s="36">
        <v>481645.78</v>
      </c>
      <c r="AJ219" s="36"/>
      <c r="AK219" s="36">
        <v>514230.17</v>
      </c>
      <c r="AL219" s="39">
        <f>+'Gov Rev'!AI218-'Gov Exp'!AE219+'Gov Exp'!AI219-'Gov Exp'!AK219</f>
        <v>0</v>
      </c>
      <c r="AM219" s="15" t="str">
        <f>'Gov Rev'!A218</f>
        <v>Galena</v>
      </c>
      <c r="AN219" s="15" t="str">
        <f aca="true" t="shared" si="93" ref="AN219:AN285">A219</f>
        <v>Galena</v>
      </c>
      <c r="AO219" s="15" t="b">
        <f aca="true" t="shared" si="94" ref="AO219:AO285">AM219=AN219</f>
        <v>1</v>
      </c>
    </row>
    <row r="220" spans="1:41" s="31" customFormat="1" ht="12.75">
      <c r="A220" s="15" t="s">
        <v>363</v>
      </c>
      <c r="B220" s="15"/>
      <c r="C220" s="15" t="s">
        <v>364</v>
      </c>
      <c r="D220" s="15"/>
      <c r="E220" s="24">
        <f>1075635+286479</f>
        <v>1362114</v>
      </c>
      <c r="F220" s="24"/>
      <c r="G220" s="24">
        <v>399196</v>
      </c>
      <c r="H220" s="24"/>
      <c r="I220" s="24">
        <v>273248</v>
      </c>
      <c r="J220" s="24"/>
      <c r="K220" s="24">
        <v>92214</v>
      </c>
      <c r="L220" s="24"/>
      <c r="M220" s="24">
        <v>0</v>
      </c>
      <c r="N220" s="24"/>
      <c r="O220" s="24">
        <v>390213</v>
      </c>
      <c r="P220" s="24"/>
      <c r="Q220" s="24">
        <f>1253090+624114</f>
        <v>1877204</v>
      </c>
      <c r="R220" s="24"/>
      <c r="S220" s="24">
        <v>968204</v>
      </c>
      <c r="T220" s="24"/>
      <c r="U220" s="24">
        <v>233692</v>
      </c>
      <c r="V220" s="24"/>
      <c r="W220" s="24">
        <v>68792</v>
      </c>
      <c r="X220" s="24"/>
      <c r="Y220" s="24">
        <v>829277</v>
      </c>
      <c r="Z220" s="24"/>
      <c r="AA220" s="24">
        <v>527835</v>
      </c>
      <c r="AB220" s="24"/>
      <c r="AC220" s="24">
        <v>0</v>
      </c>
      <c r="AD220" s="24"/>
      <c r="AE220" s="24">
        <f t="shared" si="80"/>
        <v>7021989</v>
      </c>
      <c r="AF220" s="24"/>
      <c r="AG220" s="24">
        <v>1461103</v>
      </c>
      <c r="AH220" s="24"/>
      <c r="AI220" s="24">
        <v>2789054</v>
      </c>
      <c r="AJ220" s="24"/>
      <c r="AK220" s="24">
        <v>4250157</v>
      </c>
      <c r="AL220" s="39">
        <f>+'Gov Rev'!AI219-'Gov Exp'!AE220+'Gov Exp'!AI220-'Gov Exp'!AK220</f>
        <v>0</v>
      </c>
      <c r="AM220" s="15" t="str">
        <f>'Gov Rev'!A219</f>
        <v>Gallipolis</v>
      </c>
      <c r="AN220" s="15" t="str">
        <f t="shared" si="93"/>
        <v>Gallipolis</v>
      </c>
      <c r="AO220" s="15" t="b">
        <f t="shared" si="94"/>
        <v>1</v>
      </c>
    </row>
    <row r="221" spans="1:41" ht="12.75">
      <c r="A221" s="15" t="s">
        <v>902</v>
      </c>
      <c r="C221" s="15" t="s">
        <v>782</v>
      </c>
      <c r="D221" s="28"/>
      <c r="E221" s="24">
        <v>132866.44</v>
      </c>
      <c r="G221" s="24">
        <v>3643.07</v>
      </c>
      <c r="I221" s="24">
        <v>5957.62</v>
      </c>
      <c r="K221" s="24">
        <v>2127.12</v>
      </c>
      <c r="M221" s="24">
        <v>39698.34</v>
      </c>
      <c r="O221" s="24">
        <v>34359.5</v>
      </c>
      <c r="Q221" s="24">
        <v>361491.36</v>
      </c>
      <c r="S221" s="24">
        <v>329224.77</v>
      </c>
      <c r="U221" s="24">
        <v>0</v>
      </c>
      <c r="W221" s="24">
        <v>0</v>
      </c>
      <c r="Y221" s="24">
        <v>0</v>
      </c>
      <c r="AA221" s="24">
        <v>0</v>
      </c>
      <c r="AC221" s="24">
        <v>0</v>
      </c>
      <c r="AE221" s="24">
        <f t="shared" si="80"/>
        <v>909368.22</v>
      </c>
      <c r="AF221" s="24"/>
      <c r="AG221" s="24">
        <v>48352.96</v>
      </c>
      <c r="AH221" s="24"/>
      <c r="AI221" s="24">
        <v>692403.9</v>
      </c>
      <c r="AJ221" s="24"/>
      <c r="AK221" s="24">
        <v>740756.86</v>
      </c>
      <c r="AL221" s="39">
        <f>+'Gov Rev'!AI220-'Gov Exp'!AE221+'Gov Exp'!AI221-'Gov Exp'!AK221</f>
        <v>0</v>
      </c>
      <c r="AM221" s="15" t="str">
        <f>'Gov Rev'!A220</f>
        <v>Gambier</v>
      </c>
      <c r="AN221" s="15" t="str">
        <f t="shared" si="93"/>
        <v>Gambier</v>
      </c>
      <c r="AO221" s="15" t="b">
        <f t="shared" si="94"/>
        <v>1</v>
      </c>
    </row>
    <row r="222" spans="1:41" ht="12.75" hidden="1">
      <c r="A222" s="15" t="s">
        <v>122</v>
      </c>
      <c r="C222" s="15" t="s">
        <v>782</v>
      </c>
      <c r="D222" s="28"/>
      <c r="AE222" s="24">
        <f t="shared" si="80"/>
        <v>0</v>
      </c>
      <c r="AF222" s="24"/>
      <c r="AG222" s="24"/>
      <c r="AH222" s="24"/>
      <c r="AI222" s="24"/>
      <c r="AJ222" s="24"/>
      <c r="AK222" s="24"/>
      <c r="AL222" s="39">
        <f>+'Gov Rev'!AI221-'Gov Exp'!AE222+'Gov Exp'!AI222-'Gov Exp'!AK222</f>
        <v>0</v>
      </c>
      <c r="AM222" s="15" t="str">
        <f>'Gov Rev'!A221</f>
        <v>Gann</v>
      </c>
      <c r="AN222" s="15" t="str">
        <f t="shared" si="93"/>
        <v>Gann</v>
      </c>
      <c r="AO222" s="15" t="b">
        <f t="shared" si="94"/>
        <v>1</v>
      </c>
    </row>
    <row r="223" spans="1:41" s="31" customFormat="1" ht="12.75">
      <c r="A223" s="15" t="s">
        <v>508</v>
      </c>
      <c r="B223" s="15"/>
      <c r="C223" s="15" t="s">
        <v>259</v>
      </c>
      <c r="D223" s="15"/>
      <c r="E223" s="24">
        <v>826112</v>
      </c>
      <c r="F223" s="24"/>
      <c r="G223" s="24">
        <v>3573</v>
      </c>
      <c r="H223" s="24"/>
      <c r="I223" s="24">
        <v>61516</v>
      </c>
      <c r="J223" s="24"/>
      <c r="K223" s="24">
        <v>12511</v>
      </c>
      <c r="L223" s="24"/>
      <c r="M223" s="24">
        <v>0</v>
      </c>
      <c r="N223" s="24"/>
      <c r="O223" s="24">
        <v>307965</v>
      </c>
      <c r="P223" s="24"/>
      <c r="Q223" s="24">
        <v>344310</v>
      </c>
      <c r="R223" s="24"/>
      <c r="S223" s="24">
        <v>145851</v>
      </c>
      <c r="T223" s="24"/>
      <c r="U223" s="24">
        <v>20000</v>
      </c>
      <c r="V223" s="24"/>
      <c r="W223" s="24">
        <v>3720</v>
      </c>
      <c r="X223" s="24"/>
      <c r="Y223" s="24">
        <v>0</v>
      </c>
      <c r="Z223" s="24"/>
      <c r="AA223" s="24">
        <v>0</v>
      </c>
      <c r="AB223" s="24"/>
      <c r="AC223" s="24">
        <v>0</v>
      </c>
      <c r="AD223" s="24"/>
      <c r="AE223" s="24">
        <f t="shared" si="80"/>
        <v>1725558</v>
      </c>
      <c r="AF223" s="24"/>
      <c r="AG223" s="24">
        <v>-101178</v>
      </c>
      <c r="AH223" s="24"/>
      <c r="AI223" s="24">
        <v>767305</v>
      </c>
      <c r="AJ223" s="24"/>
      <c r="AK223" s="24">
        <v>666127</v>
      </c>
      <c r="AL223" s="39">
        <f>+'Gov Rev'!AI222-'Gov Exp'!AE223+'Gov Exp'!AI223-'Gov Exp'!AK223</f>
        <v>2769</v>
      </c>
      <c r="AM223" s="15" t="str">
        <f>'Gov Rev'!A222</f>
        <v>Garrettsville</v>
      </c>
      <c r="AN223" s="15" t="str">
        <f t="shared" si="93"/>
        <v>Garrettsville</v>
      </c>
      <c r="AO223" s="15" t="b">
        <f t="shared" si="94"/>
        <v>1</v>
      </c>
    </row>
    <row r="224" spans="1:41" s="31" customFormat="1" ht="12.6" customHeight="1">
      <c r="A224" s="15" t="s">
        <v>320</v>
      </c>
      <c r="B224" s="15"/>
      <c r="C224" s="15" t="s">
        <v>316</v>
      </c>
      <c r="D224" s="15"/>
      <c r="E224" s="24">
        <v>1887141</v>
      </c>
      <c r="F224" s="24"/>
      <c r="G224" s="24">
        <v>15424</v>
      </c>
      <c r="H224" s="24"/>
      <c r="I224" s="24">
        <v>231173</v>
      </c>
      <c r="J224" s="24"/>
      <c r="K224" s="24">
        <v>2067</v>
      </c>
      <c r="L224" s="24"/>
      <c r="M224" s="24">
        <v>51703</v>
      </c>
      <c r="N224" s="24"/>
      <c r="O224" s="24">
        <v>853144</v>
      </c>
      <c r="P224" s="24"/>
      <c r="Q224" s="24">
        <v>1256172</v>
      </c>
      <c r="R224" s="24"/>
      <c r="S224" s="24">
        <v>197805</v>
      </c>
      <c r="T224" s="24"/>
      <c r="U224" s="24">
        <v>1485000</v>
      </c>
      <c r="V224" s="24"/>
      <c r="W224" s="24">
        <v>18511</v>
      </c>
      <c r="X224" s="24"/>
      <c r="Y224" s="24">
        <v>1582906</v>
      </c>
      <c r="Z224" s="24"/>
      <c r="AA224" s="24">
        <v>0</v>
      </c>
      <c r="AB224" s="24"/>
      <c r="AC224" s="24">
        <v>0</v>
      </c>
      <c r="AD224" s="24"/>
      <c r="AE224" s="24">
        <f t="shared" si="80"/>
        <v>7581046</v>
      </c>
      <c r="AF224" s="24"/>
      <c r="AG224" s="24">
        <v>802669</v>
      </c>
      <c r="AH224" s="24"/>
      <c r="AI224" s="24">
        <v>3523601</v>
      </c>
      <c r="AJ224" s="24"/>
      <c r="AK224" s="24">
        <v>4326270</v>
      </c>
      <c r="AL224" s="39">
        <f>+'Gov Rev'!AI223-'Gov Exp'!AE224+'Gov Exp'!AI224-'Gov Exp'!AK224</f>
        <v>0</v>
      </c>
      <c r="AM224" s="15" t="str">
        <f>'Gov Rev'!A223</f>
        <v>Gates Mills</v>
      </c>
      <c r="AN224" s="15" t="str">
        <f t="shared" si="93"/>
        <v>Gates Mills</v>
      </c>
      <c r="AO224" s="15" t="b">
        <f t="shared" si="94"/>
        <v>1</v>
      </c>
    </row>
    <row r="225" spans="1:41" ht="12.75">
      <c r="A225" s="15" t="s">
        <v>269</v>
      </c>
      <c r="C225" s="15" t="s">
        <v>747</v>
      </c>
      <c r="D225" s="28"/>
      <c r="E225" s="95">
        <v>472011.54</v>
      </c>
      <c r="F225" s="95"/>
      <c r="G225" s="95">
        <v>5296.99</v>
      </c>
      <c r="H225" s="95"/>
      <c r="I225" s="95">
        <v>0</v>
      </c>
      <c r="J225" s="95"/>
      <c r="K225" s="95">
        <v>0</v>
      </c>
      <c r="L225" s="95"/>
      <c r="M225" s="95">
        <v>0</v>
      </c>
      <c r="N225" s="95"/>
      <c r="O225" s="95">
        <v>127451.74</v>
      </c>
      <c r="P225" s="95"/>
      <c r="Q225" s="95">
        <v>182431.7</v>
      </c>
      <c r="R225" s="95"/>
      <c r="S225" s="95">
        <v>169130</v>
      </c>
      <c r="T225" s="95"/>
      <c r="U225" s="95">
        <v>45614.83</v>
      </c>
      <c r="V225" s="95"/>
      <c r="W225" s="95">
        <v>32375.19</v>
      </c>
      <c r="X225" s="95"/>
      <c r="Y225" s="95">
        <v>40000</v>
      </c>
      <c r="Z225" s="95"/>
      <c r="AA225" s="95">
        <v>7900</v>
      </c>
      <c r="AB225" s="95"/>
      <c r="AC225" s="95">
        <v>0</v>
      </c>
      <c r="AD225" s="95"/>
      <c r="AE225" s="95">
        <f aca="true" t="shared" si="95" ref="AE225">SUM(E225:AC225)</f>
        <v>1082211.9899999998</v>
      </c>
      <c r="AF225" s="95"/>
      <c r="AG225" s="95">
        <v>40735.86</v>
      </c>
      <c r="AH225" s="95"/>
      <c r="AI225" s="95">
        <v>289472.65</v>
      </c>
      <c r="AJ225" s="95"/>
      <c r="AK225" s="95">
        <v>330208.51</v>
      </c>
      <c r="AL225" s="39">
        <f>+'Gov Rev'!AI224-'Gov Exp'!AE225+'Gov Exp'!AI225-'Gov Exp'!AK225</f>
        <v>0</v>
      </c>
      <c r="AM225" s="15" t="str">
        <f>'Gov Rev'!A224</f>
        <v>Geneva On The Lake</v>
      </c>
      <c r="AN225" s="15" t="str">
        <f t="shared" si="93"/>
        <v>Geneva On The Lake</v>
      </c>
      <c r="AO225" s="15" t="b">
        <f t="shared" si="94"/>
        <v>1</v>
      </c>
    </row>
    <row r="226" spans="1:41" s="29" customFormat="1" ht="12.75">
      <c r="A226" s="24" t="s">
        <v>494</v>
      </c>
      <c r="B226" s="24"/>
      <c r="C226" s="24" t="s">
        <v>207</v>
      </c>
      <c r="D226" s="24"/>
      <c r="E226" s="24">
        <v>373567</v>
      </c>
      <c r="F226" s="24"/>
      <c r="G226" s="24">
        <v>0</v>
      </c>
      <c r="H226" s="24"/>
      <c r="I226" s="24">
        <v>0</v>
      </c>
      <c r="J226" s="24"/>
      <c r="K226" s="24">
        <v>0</v>
      </c>
      <c r="L226" s="24"/>
      <c r="M226" s="24">
        <v>0</v>
      </c>
      <c r="N226" s="24"/>
      <c r="O226" s="24">
        <v>0</v>
      </c>
      <c r="P226" s="24"/>
      <c r="Q226" s="24">
        <v>646803</v>
      </c>
      <c r="R226" s="24"/>
      <c r="S226" s="24">
        <v>239274</v>
      </c>
      <c r="T226" s="24"/>
      <c r="U226" s="24">
        <v>353577</v>
      </c>
      <c r="V226" s="24"/>
      <c r="W226" s="24">
        <v>352162</v>
      </c>
      <c r="X226" s="24"/>
      <c r="Y226" s="24">
        <v>730261</v>
      </c>
      <c r="Z226" s="24"/>
      <c r="AA226" s="24">
        <v>0</v>
      </c>
      <c r="AB226" s="24"/>
      <c r="AC226" s="24">
        <v>66254</v>
      </c>
      <c r="AD226" s="24"/>
      <c r="AE226" s="24">
        <f t="shared" si="80"/>
        <v>2761898</v>
      </c>
      <c r="AF226" s="24"/>
      <c r="AG226" s="24">
        <v>-275514</v>
      </c>
      <c r="AH226" s="24"/>
      <c r="AI226" s="24">
        <v>1304053</v>
      </c>
      <c r="AJ226" s="24"/>
      <c r="AK226" s="24">
        <v>1028539</v>
      </c>
      <c r="AL226" s="39">
        <f>+'Gov Rev'!AI225-'Gov Exp'!AE226+'Gov Exp'!AI226-'Gov Exp'!AK226</f>
        <v>0</v>
      </c>
      <c r="AM226" s="15" t="str">
        <f>'Gov Rev'!A225</f>
        <v>Genoa</v>
      </c>
      <c r="AN226" s="15" t="str">
        <f t="shared" si="93"/>
        <v>Genoa</v>
      </c>
      <c r="AO226" s="15" t="b">
        <f t="shared" si="94"/>
        <v>1</v>
      </c>
    </row>
    <row r="227" spans="1:41" ht="12.75">
      <c r="A227" s="15" t="s">
        <v>22</v>
      </c>
      <c r="C227" s="15" t="s">
        <v>751</v>
      </c>
      <c r="D227" s="28"/>
      <c r="E227" s="36">
        <v>772002.79</v>
      </c>
      <c r="F227" s="36"/>
      <c r="G227" s="36">
        <v>73941.68</v>
      </c>
      <c r="H227" s="36"/>
      <c r="I227" s="36">
        <v>3885.32</v>
      </c>
      <c r="J227" s="36"/>
      <c r="K227" s="36">
        <v>22175.6</v>
      </c>
      <c r="L227" s="36"/>
      <c r="M227" s="36">
        <v>0</v>
      </c>
      <c r="N227" s="36"/>
      <c r="O227" s="36">
        <v>167423.53</v>
      </c>
      <c r="P227" s="36"/>
      <c r="Q227" s="36">
        <v>276304.56</v>
      </c>
      <c r="R227" s="36"/>
      <c r="S227" s="36">
        <v>196007.17</v>
      </c>
      <c r="T227" s="36"/>
      <c r="U227" s="36">
        <v>62706.73</v>
      </c>
      <c r="V227" s="36"/>
      <c r="W227" s="36">
        <v>5227.06</v>
      </c>
      <c r="X227" s="36"/>
      <c r="Y227" s="36">
        <v>0</v>
      </c>
      <c r="Z227" s="36"/>
      <c r="AA227" s="36">
        <v>0</v>
      </c>
      <c r="AB227" s="36"/>
      <c r="AC227" s="36">
        <v>0</v>
      </c>
      <c r="AD227" s="36"/>
      <c r="AE227" s="36">
        <f aca="true" t="shared" si="96" ref="AE227">SUM(E227:AC227)</f>
        <v>1579674.44</v>
      </c>
      <c r="AF227" s="36"/>
      <c r="AG227" s="36">
        <v>-144590.06</v>
      </c>
      <c r="AH227" s="36"/>
      <c r="AI227" s="36">
        <v>3084246.81</v>
      </c>
      <c r="AJ227" s="36"/>
      <c r="AK227" s="36">
        <v>2939656.75</v>
      </c>
      <c r="AL227" s="39">
        <f>+'Gov Rev'!AI226-'Gov Exp'!AE227+'Gov Exp'!AI227-'Gov Exp'!AK227</f>
        <v>0</v>
      </c>
      <c r="AM227" s="15" t="str">
        <f>'Gov Rev'!A226</f>
        <v>Georgetown</v>
      </c>
      <c r="AN227" s="15" t="str">
        <f t="shared" si="93"/>
        <v>Georgetown</v>
      </c>
      <c r="AO227" s="15" t="b">
        <f t="shared" si="94"/>
        <v>1</v>
      </c>
    </row>
    <row r="228" spans="1:41" s="31" customFormat="1" ht="12.75" hidden="1">
      <c r="A228" s="15" t="s">
        <v>480</v>
      </c>
      <c r="B228" s="15"/>
      <c r="C228" s="15" t="s">
        <v>479</v>
      </c>
      <c r="D228" s="15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>
        <f t="shared" si="80"/>
        <v>0</v>
      </c>
      <c r="AF228" s="24"/>
      <c r="AG228" s="24"/>
      <c r="AH228" s="24"/>
      <c r="AI228" s="24"/>
      <c r="AJ228" s="24"/>
      <c r="AK228" s="24"/>
      <c r="AL228" s="39">
        <f>+'Gov Rev'!AI227-'Gov Exp'!AE228+'Gov Exp'!AI228-'Gov Exp'!AK228</f>
        <v>0</v>
      </c>
      <c r="AM228" s="15" t="str">
        <f>'Gov Rev'!A227</f>
        <v>Germantown</v>
      </c>
      <c r="AN228" s="15" t="str">
        <f t="shared" si="93"/>
        <v>Germantown</v>
      </c>
      <c r="AO228" s="15" t="b">
        <f t="shared" si="94"/>
        <v>1</v>
      </c>
    </row>
    <row r="229" spans="1:41" s="31" customFormat="1" ht="12.75">
      <c r="A229" s="15" t="s">
        <v>52</v>
      </c>
      <c r="B229" s="15"/>
      <c r="C229" s="15" t="s">
        <v>762</v>
      </c>
      <c r="D229" s="28"/>
      <c r="E229" s="36">
        <v>46406.27</v>
      </c>
      <c r="F229" s="36"/>
      <c r="G229" s="36">
        <v>1879</v>
      </c>
      <c r="H229" s="36"/>
      <c r="I229" s="36">
        <v>7714.35</v>
      </c>
      <c r="J229" s="36"/>
      <c r="K229" s="36">
        <v>3511.01</v>
      </c>
      <c r="L229" s="36"/>
      <c r="M229" s="36">
        <v>0</v>
      </c>
      <c r="N229" s="36"/>
      <c r="O229" s="36">
        <v>29887.49</v>
      </c>
      <c r="P229" s="36"/>
      <c r="Q229" s="36">
        <v>42266.33</v>
      </c>
      <c r="R229" s="36"/>
      <c r="S229" s="36">
        <v>7078.74</v>
      </c>
      <c r="T229" s="36"/>
      <c r="U229" s="36">
        <v>5563.12</v>
      </c>
      <c r="V229" s="36"/>
      <c r="W229" s="36">
        <v>0</v>
      </c>
      <c r="X229" s="36"/>
      <c r="Y229" s="36">
        <v>319.5</v>
      </c>
      <c r="Z229" s="36"/>
      <c r="AA229" s="36">
        <v>0</v>
      </c>
      <c r="AB229" s="36"/>
      <c r="AC229" s="36">
        <v>0</v>
      </c>
      <c r="AD229" s="36"/>
      <c r="AE229" s="36">
        <f aca="true" t="shared" si="97" ref="AE229:AE230">SUM(E229:AC229)</f>
        <v>144625.81</v>
      </c>
      <c r="AF229" s="36"/>
      <c r="AG229" s="36">
        <v>13294.17</v>
      </c>
      <c r="AH229" s="36"/>
      <c r="AI229" s="36">
        <v>77412.87</v>
      </c>
      <c r="AJ229" s="36"/>
      <c r="AK229" s="36">
        <v>90707.04</v>
      </c>
      <c r="AL229" s="39">
        <f>+'Gov Rev'!AI228-'Gov Exp'!AE229+'Gov Exp'!AI229-'Gov Exp'!AK229</f>
        <v>0</v>
      </c>
      <c r="AM229" s="15" t="str">
        <f>'Gov Rev'!A228</f>
        <v>Gettysburg</v>
      </c>
      <c r="AN229" s="15" t="str">
        <f t="shared" si="93"/>
        <v>Gettysburg</v>
      </c>
      <c r="AO229" s="15" t="b">
        <f t="shared" si="94"/>
        <v>1</v>
      </c>
    </row>
    <row r="230" spans="1:41" ht="12.75">
      <c r="A230" s="15" t="s">
        <v>528</v>
      </c>
      <c r="C230" s="15" t="s">
        <v>527</v>
      </c>
      <c r="E230" s="36">
        <v>433266.95</v>
      </c>
      <c r="F230" s="36"/>
      <c r="G230" s="36">
        <v>1258</v>
      </c>
      <c r="H230" s="36"/>
      <c r="I230" s="36">
        <v>50080.87</v>
      </c>
      <c r="J230" s="36"/>
      <c r="K230" s="36">
        <v>50384.96</v>
      </c>
      <c r="L230" s="36"/>
      <c r="M230" s="36">
        <v>0</v>
      </c>
      <c r="N230" s="36"/>
      <c r="O230" s="36">
        <v>68597</v>
      </c>
      <c r="P230" s="36"/>
      <c r="Q230" s="36">
        <v>215241.68</v>
      </c>
      <c r="R230" s="36"/>
      <c r="S230" s="36">
        <v>109701.13</v>
      </c>
      <c r="T230" s="36"/>
      <c r="U230" s="36">
        <v>0</v>
      </c>
      <c r="V230" s="36"/>
      <c r="W230" s="36">
        <v>0</v>
      </c>
      <c r="X230" s="36"/>
      <c r="Y230" s="36">
        <v>74120</v>
      </c>
      <c r="Z230" s="36"/>
      <c r="AA230" s="36">
        <v>0</v>
      </c>
      <c r="AB230" s="36"/>
      <c r="AC230" s="36">
        <v>0</v>
      </c>
      <c r="AD230" s="36"/>
      <c r="AE230" s="36">
        <f t="shared" si="97"/>
        <v>1002650.59</v>
      </c>
      <c r="AF230" s="36"/>
      <c r="AG230" s="36">
        <v>38158.68</v>
      </c>
      <c r="AH230" s="36"/>
      <c r="AI230" s="36">
        <v>1131992.4</v>
      </c>
      <c r="AJ230" s="36"/>
      <c r="AK230" s="36">
        <v>1170151.08</v>
      </c>
      <c r="AL230" s="39">
        <f>+'Gov Rev'!AI229-'Gov Exp'!AE230+'Gov Exp'!AI230-'Gov Exp'!AK230</f>
        <v>0</v>
      </c>
      <c r="AM230" s="15" t="str">
        <f>'Gov Rev'!A229</f>
        <v>Gibsonburg</v>
      </c>
      <c r="AN230" s="15" t="str">
        <f t="shared" si="93"/>
        <v>Gibsonburg</v>
      </c>
      <c r="AO230" s="15" t="b">
        <f t="shared" si="94"/>
        <v>1</v>
      </c>
    </row>
    <row r="231" spans="1:41" ht="12.75">
      <c r="A231" s="15" t="s">
        <v>205</v>
      </c>
      <c r="C231" s="15" t="s">
        <v>808</v>
      </c>
      <c r="D231" s="28"/>
      <c r="E231" s="95">
        <v>19243.36</v>
      </c>
      <c r="F231" s="95"/>
      <c r="G231" s="95">
        <v>0</v>
      </c>
      <c r="H231" s="95"/>
      <c r="I231" s="95">
        <v>4587.48</v>
      </c>
      <c r="J231" s="95"/>
      <c r="K231" s="95">
        <v>39.23</v>
      </c>
      <c r="L231" s="95"/>
      <c r="M231" s="95">
        <v>6777.55</v>
      </c>
      <c r="N231" s="95"/>
      <c r="O231" s="95">
        <v>19813.35</v>
      </c>
      <c r="P231" s="95"/>
      <c r="Q231" s="95">
        <v>14906.99</v>
      </c>
      <c r="R231" s="95"/>
      <c r="S231" s="95">
        <v>0</v>
      </c>
      <c r="T231" s="95"/>
      <c r="U231" s="95">
        <v>0</v>
      </c>
      <c r="V231" s="95"/>
      <c r="W231" s="95">
        <v>0</v>
      </c>
      <c r="X231" s="95"/>
      <c r="Y231" s="95">
        <v>0</v>
      </c>
      <c r="Z231" s="95"/>
      <c r="AA231" s="95">
        <v>0</v>
      </c>
      <c r="AB231" s="95"/>
      <c r="AC231" s="95">
        <v>0</v>
      </c>
      <c r="AD231" s="95"/>
      <c r="AE231" s="95">
        <f aca="true" t="shared" si="98" ref="AE231:AE232">SUM(E231:AC231)</f>
        <v>65367.96</v>
      </c>
      <c r="AF231" s="95"/>
      <c r="AG231" s="95">
        <v>-158.61</v>
      </c>
      <c r="AH231" s="95"/>
      <c r="AI231" s="95">
        <v>195871.65</v>
      </c>
      <c r="AJ231" s="95"/>
      <c r="AK231" s="95">
        <v>195713.04</v>
      </c>
      <c r="AL231" s="39">
        <f>+'Gov Rev'!AI230-'Gov Exp'!AE231+'Gov Exp'!AI231-'Gov Exp'!AK231</f>
        <v>0</v>
      </c>
      <c r="AM231" s="15" t="str">
        <f>'Gov Rev'!A230</f>
        <v>Gilboa</v>
      </c>
      <c r="AN231" s="15" t="str">
        <f t="shared" si="93"/>
        <v>Gilboa</v>
      </c>
      <c r="AO231" s="15" t="b">
        <f t="shared" si="94"/>
        <v>1</v>
      </c>
    </row>
    <row r="232" spans="1:41" ht="12.75">
      <c r="A232" s="15" t="s">
        <v>516</v>
      </c>
      <c r="C232" s="15" t="s">
        <v>514</v>
      </c>
      <c r="E232" s="95">
        <v>77625.97</v>
      </c>
      <c r="F232" s="95"/>
      <c r="G232" s="95">
        <v>4226.34</v>
      </c>
      <c r="H232" s="95"/>
      <c r="I232" s="95">
        <v>8997.54</v>
      </c>
      <c r="J232" s="95"/>
      <c r="K232" s="95">
        <v>4000</v>
      </c>
      <c r="L232" s="95"/>
      <c r="M232" s="95">
        <v>31368.97</v>
      </c>
      <c r="N232" s="95"/>
      <c r="O232" s="95">
        <v>51026.59</v>
      </c>
      <c r="P232" s="95"/>
      <c r="Q232" s="95">
        <v>162472.92</v>
      </c>
      <c r="R232" s="95"/>
      <c r="S232" s="95">
        <v>108995</v>
      </c>
      <c r="T232" s="95"/>
      <c r="U232" s="95">
        <v>0</v>
      </c>
      <c r="V232" s="95"/>
      <c r="W232" s="95">
        <v>0</v>
      </c>
      <c r="X232" s="95"/>
      <c r="Y232" s="95">
        <v>80000</v>
      </c>
      <c r="Z232" s="95"/>
      <c r="AA232" s="95">
        <v>0</v>
      </c>
      <c r="AB232" s="95"/>
      <c r="AC232" s="95">
        <v>0</v>
      </c>
      <c r="AD232" s="95"/>
      <c r="AE232" s="95">
        <f t="shared" si="98"/>
        <v>528713.3300000001</v>
      </c>
      <c r="AF232" s="95"/>
      <c r="AG232" s="95">
        <v>5723.43</v>
      </c>
      <c r="AH232" s="95"/>
      <c r="AI232" s="95">
        <v>351539.91</v>
      </c>
      <c r="AJ232" s="95"/>
      <c r="AK232" s="95">
        <v>357263.34</v>
      </c>
      <c r="AL232" s="39">
        <f>+'Gov Rev'!AI231-'Gov Exp'!AE232+'Gov Exp'!AI232-'Gov Exp'!AK232</f>
        <v>0</v>
      </c>
      <c r="AM232" s="15" t="str">
        <f>'Gov Rev'!A231</f>
        <v>Glandorf</v>
      </c>
      <c r="AN232" s="15" t="str">
        <f t="shared" si="93"/>
        <v>Glandorf</v>
      </c>
      <c r="AO232" s="15" t="b">
        <f t="shared" si="94"/>
        <v>1</v>
      </c>
    </row>
    <row r="233" spans="1:41" s="31" customFormat="1" ht="12.75">
      <c r="A233" s="15" t="s">
        <v>381</v>
      </c>
      <c r="B233" s="15"/>
      <c r="C233" s="15" t="s">
        <v>378</v>
      </c>
      <c r="D233" s="15"/>
      <c r="E233" s="24">
        <v>1105980</v>
      </c>
      <c r="F233" s="24"/>
      <c r="G233" s="24">
        <v>5942</v>
      </c>
      <c r="H233" s="24"/>
      <c r="I233" s="24">
        <v>57100</v>
      </c>
      <c r="J233" s="24"/>
      <c r="K233" s="24">
        <v>533</v>
      </c>
      <c r="L233" s="24"/>
      <c r="M233" s="24">
        <v>681738</v>
      </c>
      <c r="N233" s="24"/>
      <c r="O233" s="24">
        <v>310141</v>
      </c>
      <c r="P233" s="24"/>
      <c r="Q233" s="24">
        <v>556424</v>
      </c>
      <c r="R233" s="24"/>
      <c r="S233" s="24">
        <v>985191</v>
      </c>
      <c r="T233" s="24"/>
      <c r="U233" s="24">
        <v>245232</v>
      </c>
      <c r="V233" s="24"/>
      <c r="W233" s="24">
        <v>153324</v>
      </c>
      <c r="X233" s="24"/>
      <c r="Y233" s="24">
        <v>205000</v>
      </c>
      <c r="Z233" s="24"/>
      <c r="AA233" s="24">
        <v>3000</v>
      </c>
      <c r="AB233" s="24"/>
      <c r="AC233" s="24">
        <v>-5741</v>
      </c>
      <c r="AD233" s="24"/>
      <c r="AE233" s="24">
        <f t="shared" si="80"/>
        <v>4303864</v>
      </c>
      <c r="AF233" s="24"/>
      <c r="AG233" s="24">
        <v>-586571</v>
      </c>
      <c r="AH233" s="24"/>
      <c r="AI233" s="24">
        <v>5167111</v>
      </c>
      <c r="AJ233" s="24"/>
      <c r="AK233" s="24">
        <v>4580540</v>
      </c>
      <c r="AL233" s="39">
        <f>+'Gov Rev'!AI232-'Gov Exp'!AE233+'Gov Exp'!AI233-'Gov Exp'!AK233</f>
        <v>0</v>
      </c>
      <c r="AM233" s="15" t="str">
        <f>'Gov Rev'!A232</f>
        <v>Glendale</v>
      </c>
      <c r="AN233" s="15" t="str">
        <f t="shared" si="93"/>
        <v>Glendale</v>
      </c>
      <c r="AO233" s="15" t="b">
        <f t="shared" si="94"/>
        <v>1</v>
      </c>
    </row>
    <row r="234" spans="1:41" s="31" customFormat="1" ht="12.75">
      <c r="A234" s="15" t="s">
        <v>502</v>
      </c>
      <c r="B234" s="15"/>
      <c r="C234" s="15" t="s">
        <v>501</v>
      </c>
      <c r="D234" s="15"/>
      <c r="E234" s="24">
        <v>1426</v>
      </c>
      <c r="F234" s="24"/>
      <c r="G234" s="24">
        <v>0</v>
      </c>
      <c r="H234" s="24"/>
      <c r="I234" s="24">
        <v>0</v>
      </c>
      <c r="J234" s="24"/>
      <c r="K234" s="24">
        <v>0</v>
      </c>
      <c r="L234" s="24"/>
      <c r="M234" s="24">
        <v>1307</v>
      </c>
      <c r="N234" s="24"/>
      <c r="O234" s="24">
        <v>0</v>
      </c>
      <c r="P234" s="24"/>
      <c r="Q234" s="24">
        <v>4392</v>
      </c>
      <c r="R234" s="24"/>
      <c r="S234" s="24">
        <v>0</v>
      </c>
      <c r="T234" s="24"/>
      <c r="U234" s="24">
        <v>0</v>
      </c>
      <c r="V234" s="24"/>
      <c r="W234" s="24">
        <v>0</v>
      </c>
      <c r="X234" s="24"/>
      <c r="Y234" s="24">
        <v>0</v>
      </c>
      <c r="Z234" s="24"/>
      <c r="AA234" s="24">
        <v>0</v>
      </c>
      <c r="AB234" s="24"/>
      <c r="AC234" s="24">
        <v>8985</v>
      </c>
      <c r="AD234" s="24"/>
      <c r="AE234" s="24">
        <f t="shared" si="80"/>
        <v>16110</v>
      </c>
      <c r="AF234" s="24"/>
      <c r="AG234" s="24"/>
      <c r="AH234" s="24"/>
      <c r="AI234" s="24"/>
      <c r="AJ234" s="24"/>
      <c r="AK234" s="24"/>
      <c r="AL234" s="39">
        <f>+'Gov Rev'!AI233-'Gov Exp'!AE234+'Gov Exp'!AI234-'Gov Exp'!AK234</f>
        <v>-865</v>
      </c>
      <c r="AM234" s="15" t="str">
        <f>'Gov Rev'!A233</f>
        <v>Glenford</v>
      </c>
      <c r="AN234" s="15" t="str">
        <f t="shared" si="93"/>
        <v>Glenford</v>
      </c>
      <c r="AO234" s="15" t="b">
        <f t="shared" si="94"/>
        <v>1</v>
      </c>
    </row>
    <row r="235" spans="1:41" s="31" customFormat="1" ht="12.75">
      <c r="A235" s="15" t="s">
        <v>865</v>
      </c>
      <c r="B235" s="15"/>
      <c r="C235" s="15" t="s">
        <v>412</v>
      </c>
      <c r="D235" s="15"/>
      <c r="E235" s="24">
        <v>30347</v>
      </c>
      <c r="F235" s="24"/>
      <c r="G235" s="24">
        <v>0</v>
      </c>
      <c r="H235" s="24"/>
      <c r="I235" s="24">
        <v>0</v>
      </c>
      <c r="J235" s="24"/>
      <c r="K235" s="24">
        <v>0</v>
      </c>
      <c r="L235" s="24"/>
      <c r="M235" s="24">
        <v>900</v>
      </c>
      <c r="N235" s="24"/>
      <c r="O235" s="24">
        <v>26316</v>
      </c>
      <c r="P235" s="24"/>
      <c r="Q235" s="24">
        <v>19511</v>
      </c>
      <c r="R235" s="24"/>
      <c r="S235" s="24">
        <v>0</v>
      </c>
      <c r="T235" s="24"/>
      <c r="U235" s="24">
        <v>0</v>
      </c>
      <c r="V235" s="24"/>
      <c r="W235" s="24">
        <v>0</v>
      </c>
      <c r="X235" s="24"/>
      <c r="Y235" s="24">
        <v>0</v>
      </c>
      <c r="Z235" s="24"/>
      <c r="AA235" s="24">
        <v>0</v>
      </c>
      <c r="AB235" s="24"/>
      <c r="AC235" s="24">
        <v>0</v>
      </c>
      <c r="AD235" s="24"/>
      <c r="AE235" s="24">
        <f t="shared" si="80"/>
        <v>77074</v>
      </c>
      <c r="AF235" s="24"/>
      <c r="AG235" s="24">
        <v>163370</v>
      </c>
      <c r="AH235" s="24"/>
      <c r="AI235" s="24">
        <v>133832</v>
      </c>
      <c r="AJ235" s="24"/>
      <c r="AK235" s="24"/>
      <c r="AL235" s="39">
        <f>+'Gov Rev'!AI234-'Gov Exp'!AE235+'Gov Exp'!AI235-'Gov Exp'!AK235</f>
        <v>111557</v>
      </c>
      <c r="AM235" s="15" t="str">
        <f>'Gov Rev'!A234</f>
        <v>Glenmont</v>
      </c>
      <c r="AN235" s="15" t="str">
        <f t="shared" si="93"/>
        <v>Glenmont</v>
      </c>
      <c r="AO235" s="15" t="b">
        <f t="shared" si="94"/>
        <v>1</v>
      </c>
    </row>
    <row r="236" spans="1:41" ht="12.75">
      <c r="A236" s="15" t="s">
        <v>49</v>
      </c>
      <c r="C236" s="15" t="s">
        <v>761</v>
      </c>
      <c r="D236" s="28"/>
      <c r="E236" s="36">
        <v>1081617.38</v>
      </c>
      <c r="F236" s="36"/>
      <c r="G236" s="36">
        <v>9080.12</v>
      </c>
      <c r="H236" s="36"/>
      <c r="I236" s="36">
        <v>5773.97</v>
      </c>
      <c r="J236" s="36"/>
      <c r="K236" s="36">
        <v>189582.48</v>
      </c>
      <c r="L236" s="36"/>
      <c r="M236" s="36">
        <v>0</v>
      </c>
      <c r="N236" s="36"/>
      <c r="O236" s="36">
        <v>453471.42</v>
      </c>
      <c r="P236" s="36"/>
      <c r="Q236" s="36">
        <v>1268645.28</v>
      </c>
      <c r="R236" s="36"/>
      <c r="S236" s="36">
        <v>219176.16</v>
      </c>
      <c r="T236" s="36"/>
      <c r="U236" s="36">
        <v>410000</v>
      </c>
      <c r="V236" s="36"/>
      <c r="W236" s="36">
        <v>114491.26</v>
      </c>
      <c r="X236" s="36"/>
      <c r="Y236" s="36">
        <v>245000</v>
      </c>
      <c r="Z236" s="36"/>
      <c r="AA236" s="36">
        <v>35000</v>
      </c>
      <c r="AB236" s="36"/>
      <c r="AC236" s="36">
        <v>24792.5</v>
      </c>
      <c r="AD236" s="36"/>
      <c r="AE236" s="36">
        <f aca="true" t="shared" si="99" ref="AE236:AE238">SUM(E236:AC236)</f>
        <v>4056630.57</v>
      </c>
      <c r="AF236" s="36"/>
      <c r="AG236" s="36">
        <v>1746066.23</v>
      </c>
      <c r="AH236" s="36"/>
      <c r="AI236" s="36">
        <v>1749497.33</v>
      </c>
      <c r="AJ236" s="36"/>
      <c r="AK236" s="36">
        <v>3495563.56</v>
      </c>
      <c r="AL236" s="39">
        <f>+'Gov Rev'!AI235-'Gov Exp'!AE236+'Gov Exp'!AI236-'Gov Exp'!AK236</f>
        <v>0</v>
      </c>
      <c r="AM236" s="15" t="str">
        <f>'Gov Rev'!A235</f>
        <v>Glenwillow</v>
      </c>
      <c r="AN236" s="15" t="str">
        <f t="shared" si="93"/>
        <v>Glenwillow</v>
      </c>
      <c r="AO236" s="15" t="b">
        <f t="shared" si="94"/>
        <v>1</v>
      </c>
    </row>
    <row r="237" spans="1:41" s="24" customFormat="1" ht="12.75">
      <c r="A237" s="24" t="s">
        <v>153</v>
      </c>
      <c r="C237" s="24" t="s">
        <v>792</v>
      </c>
      <c r="D237" s="73"/>
      <c r="E237" s="36">
        <v>45721.18</v>
      </c>
      <c r="F237" s="36"/>
      <c r="G237" s="36">
        <v>4497.68</v>
      </c>
      <c r="H237" s="36"/>
      <c r="I237" s="36">
        <v>0</v>
      </c>
      <c r="J237" s="36"/>
      <c r="K237" s="36">
        <v>3463.56</v>
      </c>
      <c r="L237" s="36"/>
      <c r="M237" s="36">
        <v>0</v>
      </c>
      <c r="N237" s="36"/>
      <c r="O237" s="36">
        <v>20465.44</v>
      </c>
      <c r="P237" s="36"/>
      <c r="Q237" s="36">
        <v>53722.49</v>
      </c>
      <c r="R237" s="36"/>
      <c r="S237" s="36">
        <v>0</v>
      </c>
      <c r="T237" s="36"/>
      <c r="U237" s="36">
        <v>0</v>
      </c>
      <c r="V237" s="36"/>
      <c r="W237" s="36">
        <v>0</v>
      </c>
      <c r="X237" s="36"/>
      <c r="Y237" s="36">
        <v>0</v>
      </c>
      <c r="Z237" s="36"/>
      <c r="AA237" s="36">
        <v>0</v>
      </c>
      <c r="AB237" s="36"/>
      <c r="AC237" s="36">
        <v>0</v>
      </c>
      <c r="AD237" s="36"/>
      <c r="AE237" s="36">
        <f t="shared" si="99"/>
        <v>127870.35</v>
      </c>
      <c r="AF237" s="36"/>
      <c r="AG237" s="36">
        <v>4878.15</v>
      </c>
      <c r="AH237" s="36"/>
      <c r="AI237" s="36">
        <v>245318.32</v>
      </c>
      <c r="AJ237" s="36"/>
      <c r="AK237" s="36">
        <v>250196.47</v>
      </c>
      <c r="AL237" s="39">
        <f>+'Gov Rev'!AI236-'Gov Exp'!AE237+'Gov Exp'!AI237-'Gov Exp'!AK237</f>
        <v>0</v>
      </c>
      <c r="AM237" s="15" t="str">
        <f>'Gov Rev'!A236</f>
        <v>Gloria Glens Park</v>
      </c>
      <c r="AN237" s="15" t="str">
        <f t="shared" si="93"/>
        <v>Gloria Glens Park</v>
      </c>
      <c r="AO237" s="15" t="b">
        <f t="shared" si="94"/>
        <v>1</v>
      </c>
    </row>
    <row r="238" spans="1:41" ht="12.75">
      <c r="A238" s="15" t="s">
        <v>10</v>
      </c>
      <c r="C238" s="15" t="s">
        <v>748</v>
      </c>
      <c r="D238" s="28"/>
      <c r="E238" s="36">
        <v>248056.86</v>
      </c>
      <c r="F238" s="36"/>
      <c r="G238" s="36">
        <v>0</v>
      </c>
      <c r="H238" s="36"/>
      <c r="I238" s="36">
        <v>13127.09</v>
      </c>
      <c r="J238" s="36"/>
      <c r="K238" s="36">
        <v>0</v>
      </c>
      <c r="L238" s="36"/>
      <c r="M238" s="36">
        <v>0</v>
      </c>
      <c r="N238" s="36"/>
      <c r="O238" s="36">
        <v>101586.7</v>
      </c>
      <c r="P238" s="36"/>
      <c r="Q238" s="36">
        <v>54760.24</v>
      </c>
      <c r="R238" s="36"/>
      <c r="S238" s="36">
        <v>0</v>
      </c>
      <c r="T238" s="36"/>
      <c r="U238" s="36">
        <v>34863.05</v>
      </c>
      <c r="V238" s="36"/>
      <c r="W238" s="36">
        <v>14400.43</v>
      </c>
      <c r="X238" s="36"/>
      <c r="Y238" s="36">
        <v>0</v>
      </c>
      <c r="Z238" s="36"/>
      <c r="AA238" s="36">
        <v>0</v>
      </c>
      <c r="AB238" s="36"/>
      <c r="AC238" s="36">
        <v>0</v>
      </c>
      <c r="AD238" s="36"/>
      <c r="AE238" s="36">
        <f t="shared" si="99"/>
        <v>466794.36999999994</v>
      </c>
      <c r="AF238" s="36"/>
      <c r="AG238" s="36">
        <v>123874.06</v>
      </c>
      <c r="AH238" s="36"/>
      <c r="AI238" s="36">
        <v>-128066.96</v>
      </c>
      <c r="AJ238" s="36"/>
      <c r="AK238" s="36">
        <v>-4192.9</v>
      </c>
      <c r="AL238" s="39">
        <f>+'Gov Rev'!AI237-'Gov Exp'!AE238+'Gov Exp'!AI238-'Gov Exp'!AK238</f>
        <v>1.0732037480920553E-10</v>
      </c>
      <c r="AM238" s="15" t="str">
        <f>'Gov Rev'!A237</f>
        <v>Glouster</v>
      </c>
      <c r="AN238" s="15" t="str">
        <f t="shared" si="93"/>
        <v>Glouster</v>
      </c>
      <c r="AO238" s="15" t="b">
        <f t="shared" si="94"/>
        <v>1</v>
      </c>
    </row>
    <row r="239" spans="1:41" s="31" customFormat="1" ht="12.75">
      <c r="A239" s="15" t="s">
        <v>565</v>
      </c>
      <c r="B239" s="15"/>
      <c r="C239" s="15" t="s">
        <v>562</v>
      </c>
      <c r="D239" s="15"/>
      <c r="E239" s="24">
        <f>77535+167031</f>
        <v>244566</v>
      </c>
      <c r="F239" s="24"/>
      <c r="G239" s="24">
        <v>679</v>
      </c>
      <c r="H239" s="24"/>
      <c r="I239" s="24">
        <v>10228</v>
      </c>
      <c r="J239" s="24"/>
      <c r="K239" s="24">
        <v>924</v>
      </c>
      <c r="L239" s="24"/>
      <c r="M239" s="24">
        <v>68440</v>
      </c>
      <c r="N239" s="24"/>
      <c r="O239" s="24">
        <f>173189+73794</f>
        <v>246983</v>
      </c>
      <c r="P239" s="24"/>
      <c r="Q239" s="24">
        <v>41416</v>
      </c>
      <c r="R239" s="24"/>
      <c r="S239" s="24">
        <v>68054</v>
      </c>
      <c r="T239" s="24"/>
      <c r="U239" s="24">
        <f>20800+6500+193152</f>
        <v>220452</v>
      </c>
      <c r="V239" s="24"/>
      <c r="W239" s="24">
        <v>0</v>
      </c>
      <c r="X239" s="24"/>
      <c r="Y239" s="24">
        <v>270500</v>
      </c>
      <c r="Z239" s="24"/>
      <c r="AA239" s="24">
        <v>0</v>
      </c>
      <c r="AB239" s="24"/>
      <c r="AC239" s="24">
        <v>0</v>
      </c>
      <c r="AD239" s="24"/>
      <c r="AE239" s="24">
        <f t="shared" si="80"/>
        <v>1172242</v>
      </c>
      <c r="AF239" s="24"/>
      <c r="AG239" s="24">
        <f>-105664+16065-2379+36077</f>
        <v>-55901</v>
      </c>
      <c r="AH239" s="24"/>
      <c r="AI239" s="24">
        <f>133296+22891+28269+4061</f>
        <v>188517</v>
      </c>
      <c r="AJ239" s="24"/>
      <c r="AK239" s="24">
        <f>27632+37809</f>
        <v>65441</v>
      </c>
      <c r="AL239" s="39">
        <f>+'Gov Rev'!AI238-'Gov Exp'!AE239+'Gov Exp'!AI239-'Gov Exp'!AK239</f>
        <v>73475</v>
      </c>
      <c r="AM239" s="15" t="str">
        <f>'Gov Rev'!A238</f>
        <v>Gnadenhutten</v>
      </c>
      <c r="AN239" s="15" t="str">
        <f t="shared" si="93"/>
        <v>Gnadenhutten</v>
      </c>
      <c r="AO239" s="15" t="b">
        <f t="shared" si="94"/>
        <v>1</v>
      </c>
    </row>
    <row r="240" spans="1:41" ht="12.75">
      <c r="A240" s="15" t="s">
        <v>382</v>
      </c>
      <c r="C240" s="15" t="s">
        <v>378</v>
      </c>
      <c r="E240" s="24">
        <v>1836534.74</v>
      </c>
      <c r="G240" s="24">
        <v>2915.01</v>
      </c>
      <c r="I240" s="24">
        <v>0</v>
      </c>
      <c r="K240" s="24">
        <v>27262.79</v>
      </c>
      <c r="M240" s="24">
        <v>251026.78</v>
      </c>
      <c r="O240" s="24">
        <v>649904.49</v>
      </c>
      <c r="Q240" s="24">
        <v>1182697.67</v>
      </c>
      <c r="S240" s="24">
        <v>20715.35</v>
      </c>
      <c r="U240" s="24">
        <v>308566.14</v>
      </c>
      <c r="W240" s="24">
        <v>46124.3</v>
      </c>
      <c r="Y240" s="24">
        <v>625000</v>
      </c>
      <c r="AA240" s="24">
        <v>0</v>
      </c>
      <c r="AC240" s="24">
        <v>0</v>
      </c>
      <c r="AE240" s="24">
        <f t="shared" si="80"/>
        <v>4950747.27</v>
      </c>
      <c r="AF240" s="24"/>
      <c r="AG240" s="24">
        <v>-304251.63</v>
      </c>
      <c r="AH240" s="24"/>
      <c r="AI240" s="24">
        <v>1322038.55</v>
      </c>
      <c r="AJ240" s="24"/>
      <c r="AK240" s="24">
        <v>1017786.92</v>
      </c>
      <c r="AL240" s="39">
        <f>+'Gov Rev'!AI239-'Gov Exp'!AE240+'Gov Exp'!AI240-'Gov Exp'!AK240</f>
        <v>1.0477378964424133E-09</v>
      </c>
      <c r="AM240" s="15" t="str">
        <f>'Gov Rev'!A239</f>
        <v>Golf Manor</v>
      </c>
      <c r="AN240" s="15" t="str">
        <f t="shared" si="93"/>
        <v>Golf Manor</v>
      </c>
      <c r="AO240" s="15" t="b">
        <f t="shared" si="94"/>
        <v>1</v>
      </c>
    </row>
    <row r="241" spans="1:41" s="31" customFormat="1" ht="12.6" customHeight="1">
      <c r="A241" s="15" t="s">
        <v>331</v>
      </c>
      <c r="B241" s="15"/>
      <c r="C241" s="15" t="s">
        <v>329</v>
      </c>
      <c r="D241" s="15"/>
      <c r="E241" s="36">
        <v>11095.6</v>
      </c>
      <c r="F241" s="36"/>
      <c r="G241" s="36">
        <v>0</v>
      </c>
      <c r="H241" s="36"/>
      <c r="I241" s="36">
        <v>3714.34</v>
      </c>
      <c r="J241" s="36"/>
      <c r="K241" s="36">
        <v>0</v>
      </c>
      <c r="L241" s="36"/>
      <c r="M241" s="36">
        <v>14395.27</v>
      </c>
      <c r="N241" s="36"/>
      <c r="O241" s="36">
        <v>3603.3</v>
      </c>
      <c r="P241" s="36"/>
      <c r="Q241" s="36">
        <v>12008.51</v>
      </c>
      <c r="R241" s="36"/>
      <c r="S241" s="36">
        <v>0</v>
      </c>
      <c r="T241" s="36"/>
      <c r="U241" s="36">
        <v>0</v>
      </c>
      <c r="V241" s="36"/>
      <c r="W241" s="36">
        <v>0</v>
      </c>
      <c r="X241" s="36"/>
      <c r="Y241" s="36">
        <v>0</v>
      </c>
      <c r="Z241" s="36"/>
      <c r="AA241" s="36">
        <v>0</v>
      </c>
      <c r="AB241" s="36"/>
      <c r="AC241" s="36">
        <v>1335.56</v>
      </c>
      <c r="AD241" s="36"/>
      <c r="AE241" s="36">
        <f aca="true" t="shared" si="100" ref="AE241">SUM(E241:AC241)</f>
        <v>46152.58</v>
      </c>
      <c r="AF241" s="36"/>
      <c r="AG241" s="36">
        <v>5271.13</v>
      </c>
      <c r="AH241" s="36"/>
      <c r="AI241" s="36">
        <v>136315.29</v>
      </c>
      <c r="AJ241" s="36"/>
      <c r="AK241" s="36">
        <v>141586.42</v>
      </c>
      <c r="AL241" s="39">
        <f>+'Gov Rev'!AI240-'Gov Exp'!AE241+'Gov Exp'!AI241-'Gov Exp'!AK241</f>
        <v>0</v>
      </c>
      <c r="AM241" s="15" t="str">
        <f>'Gov Rev'!A240</f>
        <v>Gordon</v>
      </c>
      <c r="AN241" s="15" t="str">
        <f t="shared" si="93"/>
        <v>Gordon</v>
      </c>
      <c r="AO241" s="15" t="b">
        <f t="shared" si="94"/>
        <v>1</v>
      </c>
    </row>
    <row r="242" spans="1:41" s="31" customFormat="1" ht="12.75">
      <c r="A242" s="15" t="s">
        <v>450</v>
      </c>
      <c r="B242" s="15"/>
      <c r="C242" s="15" t="s">
        <v>451</v>
      </c>
      <c r="D242" s="15"/>
      <c r="E242" s="24">
        <v>715576</v>
      </c>
      <c r="F242" s="24"/>
      <c r="G242" s="24">
        <v>63773</v>
      </c>
      <c r="H242" s="24"/>
      <c r="I242" s="24">
        <v>27199</v>
      </c>
      <c r="J242" s="24"/>
      <c r="K242" s="24">
        <v>7072</v>
      </c>
      <c r="L242" s="24"/>
      <c r="M242" s="24">
        <v>522367</v>
      </c>
      <c r="N242" s="24"/>
      <c r="O242" s="24">
        <v>182047</v>
      </c>
      <c r="P242" s="24"/>
      <c r="Q242" s="24">
        <v>483783</v>
      </c>
      <c r="R242" s="24"/>
      <c r="S242" s="24">
        <v>273993</v>
      </c>
      <c r="T242" s="24"/>
      <c r="U242" s="24">
        <v>141559</v>
      </c>
      <c r="V242" s="24"/>
      <c r="W242" s="24">
        <v>31349</v>
      </c>
      <c r="X242" s="24"/>
      <c r="Y242" s="24">
        <v>174487</v>
      </c>
      <c r="Z242" s="24"/>
      <c r="AA242" s="24">
        <v>0</v>
      </c>
      <c r="AB242" s="24"/>
      <c r="AC242" s="24">
        <v>0</v>
      </c>
      <c r="AD242" s="24"/>
      <c r="AE242" s="24">
        <f t="shared" si="80"/>
        <v>2623205</v>
      </c>
      <c r="AF242" s="24"/>
      <c r="AG242" s="24">
        <v>-7260</v>
      </c>
      <c r="AH242" s="24"/>
      <c r="AI242" s="24">
        <v>2285373</v>
      </c>
      <c r="AJ242" s="24"/>
      <c r="AK242" s="24">
        <v>2278113</v>
      </c>
      <c r="AL242" s="39">
        <f>+'Gov Rev'!AI241-'Gov Exp'!AE242+'Gov Exp'!AI242-'Gov Exp'!AK242</f>
        <v>0</v>
      </c>
      <c r="AM242" s="15" t="str">
        <f>'Gov Rev'!A241</f>
        <v>Grafton</v>
      </c>
      <c r="AN242" s="15" t="str">
        <f t="shared" si="93"/>
        <v>Grafton</v>
      </c>
      <c r="AO242" s="15" t="b">
        <f t="shared" si="94"/>
        <v>1</v>
      </c>
    </row>
    <row r="243" spans="1:41" ht="12.75">
      <c r="A243" s="15" t="s">
        <v>255</v>
      </c>
      <c r="C243" s="15" t="s">
        <v>825</v>
      </c>
      <c r="D243" s="28"/>
      <c r="E243" s="36">
        <v>97547.62</v>
      </c>
      <c r="F243" s="36"/>
      <c r="G243" s="36">
        <v>1281.98</v>
      </c>
      <c r="H243" s="36"/>
      <c r="I243" s="36">
        <v>44030.25</v>
      </c>
      <c r="J243" s="36"/>
      <c r="K243" s="36">
        <v>2211.36</v>
      </c>
      <c r="L243" s="36"/>
      <c r="M243" s="36">
        <v>13137.22</v>
      </c>
      <c r="N243" s="36"/>
      <c r="O243" s="36">
        <v>46737.24</v>
      </c>
      <c r="P243" s="36"/>
      <c r="Q243" s="36">
        <v>152020</v>
      </c>
      <c r="R243" s="36"/>
      <c r="S243" s="36">
        <v>73770.7</v>
      </c>
      <c r="T243" s="36"/>
      <c r="U243" s="36">
        <v>65091.54</v>
      </c>
      <c r="V243" s="36"/>
      <c r="W243" s="36">
        <v>8212.52</v>
      </c>
      <c r="X243" s="36"/>
      <c r="Y243" s="36">
        <v>185664.01</v>
      </c>
      <c r="Z243" s="36"/>
      <c r="AA243" s="36">
        <v>0</v>
      </c>
      <c r="AB243" s="36"/>
      <c r="AC243" s="36">
        <v>29818.94</v>
      </c>
      <c r="AD243" s="36"/>
      <c r="AE243" s="36">
        <f aca="true" t="shared" si="101" ref="AE243">SUM(E243:AC243)</f>
        <v>719523.3799999999</v>
      </c>
      <c r="AF243" s="36"/>
      <c r="AG243" s="36">
        <v>26565.76</v>
      </c>
      <c r="AH243" s="36"/>
      <c r="AI243" s="36">
        <v>1142518.23</v>
      </c>
      <c r="AJ243" s="36"/>
      <c r="AK243" s="36">
        <v>1169083.99</v>
      </c>
      <c r="AL243" s="39">
        <f>+'Gov Rev'!AI242-'Gov Exp'!AE243+'Gov Exp'!AI243-'Gov Exp'!AK243</f>
        <v>0</v>
      </c>
      <c r="AM243" s="15" t="str">
        <f>'Gov Rev'!A242</f>
        <v>Grand Rapids</v>
      </c>
      <c r="AN243" s="15" t="str">
        <f t="shared" si="93"/>
        <v>Grand Rapids</v>
      </c>
      <c r="AO243" s="15" t="b">
        <f t="shared" si="94"/>
        <v>1</v>
      </c>
    </row>
    <row r="244" spans="1:41" s="31" customFormat="1" ht="12.75">
      <c r="A244" s="15" t="s">
        <v>431</v>
      </c>
      <c r="B244" s="15"/>
      <c r="C244" s="15" t="s">
        <v>430</v>
      </c>
      <c r="D244" s="15"/>
      <c r="E244" s="24">
        <v>306727.61</v>
      </c>
      <c r="F244" s="24"/>
      <c r="G244" s="24">
        <v>4199</v>
      </c>
      <c r="H244" s="24"/>
      <c r="I244" s="24">
        <v>1362.22</v>
      </c>
      <c r="J244" s="24"/>
      <c r="K244" s="24">
        <v>4660</v>
      </c>
      <c r="L244" s="24"/>
      <c r="M244" s="24">
        <v>0</v>
      </c>
      <c r="N244" s="24"/>
      <c r="O244" s="24">
        <v>73955.07</v>
      </c>
      <c r="P244" s="24"/>
      <c r="Q244" s="24">
        <v>117534.98</v>
      </c>
      <c r="R244" s="24"/>
      <c r="S244" s="24">
        <v>0</v>
      </c>
      <c r="T244" s="24"/>
      <c r="U244" s="24">
        <v>0</v>
      </c>
      <c r="V244" s="24"/>
      <c r="W244" s="24">
        <v>0</v>
      </c>
      <c r="X244" s="24"/>
      <c r="Y244" s="24">
        <v>0</v>
      </c>
      <c r="Z244" s="24"/>
      <c r="AA244" s="24">
        <v>59996</v>
      </c>
      <c r="AB244" s="24"/>
      <c r="AC244" s="24">
        <v>36231</v>
      </c>
      <c r="AD244" s="24"/>
      <c r="AE244" s="24">
        <f t="shared" si="80"/>
        <v>604665.8799999999</v>
      </c>
      <c r="AF244" s="24"/>
      <c r="AG244" s="24">
        <v>19910.6</v>
      </c>
      <c r="AH244" s="24"/>
      <c r="AI244" s="24">
        <v>245548.09</v>
      </c>
      <c r="AJ244" s="24"/>
      <c r="AK244" s="24">
        <v>265458.69</v>
      </c>
      <c r="AL244" s="39">
        <f>+'Gov Rev'!AI243-'Gov Exp'!AE244+'Gov Exp'!AI244-'Gov Exp'!AK244</f>
        <v>0</v>
      </c>
      <c r="AM244" s="15" t="str">
        <f>'Gov Rev'!A243</f>
        <v>Grand River</v>
      </c>
      <c r="AN244" s="15" t="str">
        <f t="shared" si="93"/>
        <v>Grand River</v>
      </c>
      <c r="AO244" s="15" t="b">
        <f t="shared" si="94"/>
        <v>1</v>
      </c>
    </row>
    <row r="245" spans="1:41" s="31" customFormat="1" ht="12.75">
      <c r="A245" s="15" t="s">
        <v>438</v>
      </c>
      <c r="B245" s="15"/>
      <c r="C245" s="15" t="s">
        <v>439</v>
      </c>
      <c r="D245" s="15"/>
      <c r="E245" s="24">
        <v>1063754.42</v>
      </c>
      <c r="F245" s="24"/>
      <c r="G245" s="24">
        <v>26511.32</v>
      </c>
      <c r="H245" s="24"/>
      <c r="I245" s="24">
        <v>891.55</v>
      </c>
      <c r="J245" s="24"/>
      <c r="K245" s="24">
        <v>92172.74</v>
      </c>
      <c r="L245" s="24"/>
      <c r="M245" s="24">
        <v>0</v>
      </c>
      <c r="N245" s="24"/>
      <c r="O245" s="24">
        <v>785024.43</v>
      </c>
      <c r="P245" s="24"/>
      <c r="Q245" s="24">
        <v>1068761.75</v>
      </c>
      <c r="R245" s="24"/>
      <c r="S245" s="24">
        <v>776995.84</v>
      </c>
      <c r="T245" s="24"/>
      <c r="U245" s="24">
        <v>526633.51</v>
      </c>
      <c r="V245" s="24"/>
      <c r="W245" s="24">
        <v>0</v>
      </c>
      <c r="X245" s="24"/>
      <c r="Y245" s="24">
        <v>2320311.06</v>
      </c>
      <c r="Z245" s="24"/>
      <c r="AA245" s="24">
        <v>53394.54</v>
      </c>
      <c r="AB245" s="24"/>
      <c r="AC245" s="24">
        <v>1358694</v>
      </c>
      <c r="AD245" s="24"/>
      <c r="AE245" s="24">
        <f t="shared" si="80"/>
        <v>8073145.159999999</v>
      </c>
      <c r="AF245" s="24"/>
      <c r="AG245" s="24">
        <v>2245834.44</v>
      </c>
      <c r="AH245" s="24"/>
      <c r="AI245" s="24">
        <v>2952219.55</v>
      </c>
      <c r="AJ245" s="24"/>
      <c r="AK245" s="24">
        <v>5198053.99</v>
      </c>
      <c r="AL245" s="39">
        <f>+'Gov Rev'!AI245-'Gov Exp'!AE245+'Gov Exp'!AI245-'Gov Exp'!AK245</f>
        <v>0.21000000089406967</v>
      </c>
      <c r="AM245" s="15" t="str">
        <f>'Gov Rev'!A245</f>
        <v>Granville</v>
      </c>
      <c r="AN245" s="15" t="str">
        <f t="shared" si="93"/>
        <v>Granville</v>
      </c>
      <c r="AO245" s="15" t="b">
        <f t="shared" si="94"/>
        <v>1</v>
      </c>
    </row>
    <row r="246" spans="1:41" s="31" customFormat="1" ht="12.75">
      <c r="A246" s="15" t="s">
        <v>440</v>
      </c>
      <c r="B246" s="15"/>
      <c r="C246" s="15" t="s">
        <v>439</v>
      </c>
      <c r="D246" s="15"/>
      <c r="E246" s="24">
        <v>4513.03</v>
      </c>
      <c r="F246" s="24"/>
      <c r="G246" s="24">
        <v>258.54</v>
      </c>
      <c r="H246" s="24"/>
      <c r="I246" s="24">
        <v>0</v>
      </c>
      <c r="J246" s="24"/>
      <c r="K246" s="24">
        <v>0</v>
      </c>
      <c r="L246" s="24"/>
      <c r="M246" s="24">
        <v>4555.95</v>
      </c>
      <c r="N246" s="24"/>
      <c r="O246" s="24">
        <v>399.6</v>
      </c>
      <c r="P246" s="24"/>
      <c r="Q246" s="24">
        <v>18399.4</v>
      </c>
      <c r="R246" s="24"/>
      <c r="S246" s="24">
        <v>0</v>
      </c>
      <c r="T246" s="24"/>
      <c r="U246" s="24">
        <v>0</v>
      </c>
      <c r="V246" s="24"/>
      <c r="W246" s="24">
        <v>0</v>
      </c>
      <c r="X246" s="24"/>
      <c r="Y246" s="24">
        <v>0</v>
      </c>
      <c r="Z246" s="24"/>
      <c r="AA246" s="24">
        <v>0</v>
      </c>
      <c r="AB246" s="24"/>
      <c r="AC246" s="24">
        <v>0</v>
      </c>
      <c r="AD246" s="24"/>
      <c r="AE246" s="24">
        <f t="shared" si="80"/>
        <v>28126.520000000004</v>
      </c>
      <c r="AF246" s="24"/>
      <c r="AG246" s="24">
        <f>-4721.71+8188.05</f>
        <v>3466.34</v>
      </c>
      <c r="AH246" s="24"/>
      <c r="AI246" s="24">
        <f>31214+27471.98</f>
        <v>58685.979999999996</v>
      </c>
      <c r="AJ246" s="24"/>
      <c r="AK246" s="24">
        <f>26492.21+35660.03</f>
        <v>62152.24</v>
      </c>
      <c r="AL246" s="39">
        <f>+'Gov Rev'!AI246-'Gov Exp'!AE246+'Gov Exp'!AI246-'Gov Exp'!AK246</f>
        <v>0.059999999990395736</v>
      </c>
      <c r="AM246" s="15" t="str">
        <f>'Gov Rev'!A246</f>
        <v>Gratiot</v>
      </c>
      <c r="AN246" s="15" t="str">
        <f t="shared" si="93"/>
        <v>Gratiot</v>
      </c>
      <c r="AO246" s="15" t="b">
        <f t="shared" si="94"/>
        <v>1</v>
      </c>
    </row>
    <row r="247" spans="1:41" ht="12.75">
      <c r="A247" s="15" t="s">
        <v>201</v>
      </c>
      <c r="C247" s="15" t="s">
        <v>807</v>
      </c>
      <c r="D247" s="28"/>
      <c r="E247" s="36">
        <v>149908.58</v>
      </c>
      <c r="F247" s="36"/>
      <c r="G247" s="36">
        <v>246247.14</v>
      </c>
      <c r="H247" s="36"/>
      <c r="I247" s="36">
        <v>123.79</v>
      </c>
      <c r="J247" s="36"/>
      <c r="K247" s="36">
        <v>0</v>
      </c>
      <c r="L247" s="36"/>
      <c r="M247" s="36">
        <v>0</v>
      </c>
      <c r="N247" s="36"/>
      <c r="O247" s="36">
        <v>48062.81</v>
      </c>
      <c r="P247" s="36"/>
      <c r="Q247" s="36">
        <v>33659.51</v>
      </c>
      <c r="R247" s="36"/>
      <c r="S247" s="36">
        <v>189421.21</v>
      </c>
      <c r="T247" s="36"/>
      <c r="U247" s="36">
        <v>2749.81</v>
      </c>
      <c r="V247" s="36"/>
      <c r="W247" s="36">
        <v>395.63</v>
      </c>
      <c r="X247" s="36"/>
      <c r="Y247" s="36">
        <v>161500</v>
      </c>
      <c r="Z247" s="36"/>
      <c r="AA247" s="36">
        <v>5880.23</v>
      </c>
      <c r="AB247" s="36"/>
      <c r="AC247" s="36">
        <v>4719.61</v>
      </c>
      <c r="AD247" s="36"/>
      <c r="AE247" s="36">
        <f aca="true" t="shared" si="102" ref="AE247">SUM(E247:AC247)</f>
        <v>842668.32</v>
      </c>
      <c r="AF247" s="36"/>
      <c r="AG247" s="36">
        <v>418.57</v>
      </c>
      <c r="AH247" s="36"/>
      <c r="AI247" s="36">
        <v>245708.97</v>
      </c>
      <c r="AJ247" s="36"/>
      <c r="AK247" s="36">
        <v>246127.54</v>
      </c>
      <c r="AL247" s="39">
        <f>+'Gov Rev'!AI247-'Gov Exp'!AE247+'Gov Exp'!AI247-'Gov Exp'!AK247</f>
        <v>0</v>
      </c>
      <c r="AM247" s="15" t="str">
        <f>'Gov Rev'!A247</f>
        <v>Gratis</v>
      </c>
      <c r="AN247" s="15" t="str">
        <f t="shared" si="93"/>
        <v>Gratis</v>
      </c>
      <c r="AO247" s="15" t="b">
        <f t="shared" si="94"/>
        <v>1</v>
      </c>
    </row>
    <row r="248" spans="1:41" s="31" customFormat="1" ht="12.75">
      <c r="A248" s="15" t="s">
        <v>475</v>
      </c>
      <c r="B248" s="15"/>
      <c r="C248" s="15" t="s">
        <v>474</v>
      </c>
      <c r="D248" s="15"/>
      <c r="E248" s="24">
        <v>1588</v>
      </c>
      <c r="F248" s="24"/>
      <c r="G248" s="24">
        <v>1133</v>
      </c>
      <c r="H248" s="24"/>
      <c r="I248" s="24">
        <v>0</v>
      </c>
      <c r="J248" s="24"/>
      <c r="K248" s="24">
        <v>0</v>
      </c>
      <c r="L248" s="24"/>
      <c r="M248" s="24">
        <v>0</v>
      </c>
      <c r="N248" s="24"/>
      <c r="O248" s="24">
        <v>2691</v>
      </c>
      <c r="P248" s="24"/>
      <c r="Q248" s="24">
        <v>5227</v>
      </c>
      <c r="R248" s="24"/>
      <c r="S248" s="24">
        <v>0</v>
      </c>
      <c r="T248" s="24"/>
      <c r="U248" s="24">
        <v>0</v>
      </c>
      <c r="V248" s="24"/>
      <c r="W248" s="24">
        <v>0</v>
      </c>
      <c r="X248" s="24"/>
      <c r="Y248" s="24">
        <v>0</v>
      </c>
      <c r="Z248" s="24"/>
      <c r="AA248" s="24">
        <v>0</v>
      </c>
      <c r="AB248" s="24"/>
      <c r="AC248" s="24">
        <v>0</v>
      </c>
      <c r="AD248" s="24"/>
      <c r="AE248" s="24">
        <f t="shared" si="80"/>
        <v>10639</v>
      </c>
      <c r="AF248" s="24"/>
      <c r="AG248" s="24">
        <v>398</v>
      </c>
      <c r="AH248" s="24"/>
      <c r="AI248" s="24">
        <v>17943</v>
      </c>
      <c r="AJ248" s="24"/>
      <c r="AK248" s="24">
        <v>18341</v>
      </c>
      <c r="AL248" s="39">
        <f>+'Gov Rev'!AI248-'Gov Exp'!AE248+'Gov Exp'!AI248-'Gov Exp'!AK248</f>
        <v>0</v>
      </c>
      <c r="AM248" s="15" t="str">
        <f>'Gov Rev'!A248</f>
        <v>Graysville</v>
      </c>
      <c r="AN248" s="15" t="str">
        <f t="shared" si="93"/>
        <v>Graysville</v>
      </c>
      <c r="AO248" s="15" t="b">
        <f t="shared" si="94"/>
        <v>1</v>
      </c>
    </row>
    <row r="249" spans="1:41" ht="12.75">
      <c r="A249" s="15" t="s">
        <v>148</v>
      </c>
      <c r="C249" s="15" t="s">
        <v>791</v>
      </c>
      <c r="D249" s="28"/>
      <c r="E249" s="36">
        <v>18915.18</v>
      </c>
      <c r="F249" s="36"/>
      <c r="G249" s="36">
        <v>8142.83</v>
      </c>
      <c r="H249" s="36"/>
      <c r="I249" s="36">
        <v>1890.05</v>
      </c>
      <c r="J249" s="36"/>
      <c r="K249" s="36">
        <v>310</v>
      </c>
      <c r="L249" s="36"/>
      <c r="M249" s="36">
        <v>1085.18</v>
      </c>
      <c r="N249" s="36"/>
      <c r="O249" s="36">
        <v>23078.44</v>
      </c>
      <c r="P249" s="36"/>
      <c r="Q249" s="36">
        <v>28887.09</v>
      </c>
      <c r="R249" s="36"/>
      <c r="S249" s="36">
        <v>0</v>
      </c>
      <c r="T249" s="36"/>
      <c r="U249" s="36">
        <v>0</v>
      </c>
      <c r="V249" s="36"/>
      <c r="W249" s="36">
        <v>0</v>
      </c>
      <c r="X249" s="36"/>
      <c r="Y249" s="36">
        <v>0</v>
      </c>
      <c r="Z249" s="36"/>
      <c r="AA249" s="36">
        <v>0</v>
      </c>
      <c r="AB249" s="36"/>
      <c r="AC249" s="36">
        <v>16006.51</v>
      </c>
      <c r="AD249" s="36"/>
      <c r="AE249" s="36">
        <f aca="true" t="shared" si="103" ref="AE249:AE250">SUM(E249:AC249)</f>
        <v>98315.28</v>
      </c>
      <c r="AF249" s="36"/>
      <c r="AG249" s="36">
        <v>20225.57</v>
      </c>
      <c r="AH249" s="36"/>
      <c r="AI249" s="36">
        <v>100653.45</v>
      </c>
      <c r="AJ249" s="36"/>
      <c r="AK249" s="36">
        <v>120879.02</v>
      </c>
      <c r="AL249" s="39">
        <f>+'Gov Rev'!AI249-'Gov Exp'!AE249+'Gov Exp'!AI249-'Gov Exp'!AK249</f>
        <v>0</v>
      </c>
      <c r="AM249" s="15" t="str">
        <f>'Gov Rev'!A249</f>
        <v>Green Camp</v>
      </c>
      <c r="AN249" s="15" t="str">
        <f t="shared" si="93"/>
        <v>Green Camp</v>
      </c>
      <c r="AO249" s="15" t="b">
        <f t="shared" si="94"/>
        <v>1</v>
      </c>
    </row>
    <row r="250" spans="1:41" s="24" customFormat="1" ht="12.75">
      <c r="A250" s="24" t="s">
        <v>219</v>
      </c>
      <c r="C250" s="24" t="s">
        <v>813</v>
      </c>
      <c r="D250" s="73"/>
      <c r="E250" s="36">
        <v>188900.9</v>
      </c>
      <c r="F250" s="36"/>
      <c r="G250" s="36">
        <v>15505.44</v>
      </c>
      <c r="H250" s="36"/>
      <c r="I250" s="36">
        <v>15390.6</v>
      </c>
      <c r="J250" s="36"/>
      <c r="K250" s="36">
        <v>1358.72</v>
      </c>
      <c r="L250" s="36"/>
      <c r="M250" s="36">
        <v>2838</v>
      </c>
      <c r="N250" s="36"/>
      <c r="O250" s="36">
        <v>126640.95</v>
      </c>
      <c r="P250" s="36"/>
      <c r="Q250" s="36">
        <v>170487.2</v>
      </c>
      <c r="R250" s="36"/>
      <c r="S250" s="36">
        <v>514733.31</v>
      </c>
      <c r="T250" s="36"/>
      <c r="U250" s="36">
        <v>1000</v>
      </c>
      <c r="V250" s="36"/>
      <c r="W250" s="36">
        <v>0</v>
      </c>
      <c r="X250" s="36"/>
      <c r="Y250" s="36">
        <v>80000</v>
      </c>
      <c r="Z250" s="36"/>
      <c r="AA250" s="36">
        <v>0</v>
      </c>
      <c r="AB250" s="36"/>
      <c r="AC250" s="36">
        <v>256.83</v>
      </c>
      <c r="AD250" s="36"/>
      <c r="AE250" s="36">
        <f t="shared" si="103"/>
        <v>1117111.9500000002</v>
      </c>
      <c r="AF250" s="36"/>
      <c r="AG250" s="36">
        <v>-25892.52</v>
      </c>
      <c r="AH250" s="36"/>
      <c r="AI250" s="36">
        <v>746934.35</v>
      </c>
      <c r="AJ250" s="36"/>
      <c r="AK250" s="36">
        <v>721041.83</v>
      </c>
      <c r="AL250" s="39">
        <f>+'Gov Rev'!AI250-'Gov Exp'!AE250+'Gov Exp'!AI250-'Gov Exp'!AK250</f>
        <v>0</v>
      </c>
      <c r="AM250" s="15" t="str">
        <f>'Gov Rev'!A250</f>
        <v>Green Springs</v>
      </c>
      <c r="AN250" s="15" t="str">
        <f t="shared" si="93"/>
        <v>Green Springs</v>
      </c>
      <c r="AO250" s="15" t="b">
        <f t="shared" si="94"/>
        <v>1</v>
      </c>
    </row>
    <row r="251" spans="1:41" s="24" customFormat="1" ht="12.75">
      <c r="A251" s="24" t="s">
        <v>967</v>
      </c>
      <c r="C251" s="24" t="s">
        <v>409</v>
      </c>
      <c r="D251" s="73"/>
      <c r="E251" s="10">
        <v>624568</v>
      </c>
      <c r="F251" s="10"/>
      <c r="G251" s="10">
        <v>80671</v>
      </c>
      <c r="H251" s="10"/>
      <c r="I251" s="10">
        <v>23000</v>
      </c>
      <c r="J251" s="10"/>
      <c r="K251" s="10">
        <v>113372</v>
      </c>
      <c r="L251" s="10"/>
      <c r="M251" s="10">
        <v>56995</v>
      </c>
      <c r="N251" s="10"/>
      <c r="O251" s="10">
        <v>194834</v>
      </c>
      <c r="P251" s="10"/>
      <c r="Q251" s="10">
        <v>461144</v>
      </c>
      <c r="R251" s="10"/>
      <c r="S251" s="10">
        <v>251116</v>
      </c>
      <c r="T251" s="10"/>
      <c r="U251" s="10">
        <v>575000</v>
      </c>
      <c r="V251" s="10"/>
      <c r="W251" s="10">
        <v>0</v>
      </c>
      <c r="Y251" s="24">
        <v>0</v>
      </c>
      <c r="AA251" s="24">
        <v>36000</v>
      </c>
      <c r="AC251" s="24">
        <v>0</v>
      </c>
      <c r="AE251" s="24">
        <f t="shared" si="80"/>
        <v>2416700</v>
      </c>
      <c r="AG251" s="10">
        <v>105260</v>
      </c>
      <c r="AH251" s="10"/>
      <c r="AI251" s="10">
        <v>772833</v>
      </c>
      <c r="AJ251" s="10"/>
      <c r="AK251" s="10">
        <v>878093</v>
      </c>
      <c r="AL251" s="39">
        <f>+'Gov Rev'!AI251-'Gov Exp'!AE251+'Gov Exp'!AI251-'Gov Exp'!AK251</f>
        <v>0</v>
      </c>
      <c r="AM251" s="15" t="str">
        <f>'Gov Rev'!A251</f>
        <v>Greenfield</v>
      </c>
      <c r="AN251" s="15" t="str">
        <f t="shared" si="93"/>
        <v>Greenfield</v>
      </c>
      <c r="AO251" s="15" t="b">
        <f t="shared" si="94"/>
        <v>1</v>
      </c>
    </row>
    <row r="252" spans="1:41" s="31" customFormat="1" ht="12.75">
      <c r="A252" s="15" t="s">
        <v>94</v>
      </c>
      <c r="B252" s="15"/>
      <c r="C252" s="15" t="s">
        <v>773</v>
      </c>
      <c r="D252" s="28"/>
      <c r="E252" s="95">
        <v>899810.07</v>
      </c>
      <c r="F252" s="95"/>
      <c r="G252" s="95">
        <v>3533.58</v>
      </c>
      <c r="H252" s="95"/>
      <c r="I252" s="95">
        <v>194690.48</v>
      </c>
      <c r="J252" s="95"/>
      <c r="K252" s="95">
        <v>841085.7</v>
      </c>
      <c r="L252" s="95"/>
      <c r="M252" s="95">
        <v>0</v>
      </c>
      <c r="N252" s="95"/>
      <c r="O252" s="95">
        <v>86285.65</v>
      </c>
      <c r="P252" s="95"/>
      <c r="Q252" s="95">
        <v>533894.26</v>
      </c>
      <c r="R252" s="95"/>
      <c r="S252" s="95">
        <v>257634.21</v>
      </c>
      <c r="T252" s="95"/>
      <c r="U252" s="95">
        <v>312500</v>
      </c>
      <c r="V252" s="95"/>
      <c r="W252" s="95">
        <v>221561.26</v>
      </c>
      <c r="X252" s="95"/>
      <c r="Y252" s="95">
        <v>332214</v>
      </c>
      <c r="Z252" s="95"/>
      <c r="AA252" s="95">
        <v>20000</v>
      </c>
      <c r="AB252" s="95"/>
      <c r="AC252" s="95">
        <v>82714.92</v>
      </c>
      <c r="AD252" s="95"/>
      <c r="AE252" s="95">
        <f aca="true" t="shared" si="104" ref="AE252">SUM(E252:AC252)</f>
        <v>3785924.13</v>
      </c>
      <c r="AF252" s="95"/>
      <c r="AG252" s="95">
        <v>405917.48</v>
      </c>
      <c r="AH252" s="95"/>
      <c r="AI252" s="95">
        <v>678522.73</v>
      </c>
      <c r="AJ252" s="95"/>
      <c r="AK252" s="95">
        <v>1084440.21</v>
      </c>
      <c r="AL252" s="39">
        <f>+'Gov Rev'!AI252-'Gov Exp'!AE252+'Gov Exp'!AI252-'Gov Exp'!AK252</f>
        <v>0</v>
      </c>
      <c r="AM252" s="15" t="str">
        <f>'Gov Rev'!A252</f>
        <v>Greenhills</v>
      </c>
      <c r="AN252" s="15" t="str">
        <f t="shared" si="93"/>
        <v>Greenhills</v>
      </c>
      <c r="AO252" s="15" t="b">
        <f t="shared" si="94"/>
        <v>1</v>
      </c>
    </row>
    <row r="253" spans="1:41" ht="12.75">
      <c r="A253" s="15" t="s">
        <v>113</v>
      </c>
      <c r="C253" s="15" t="s">
        <v>780</v>
      </c>
      <c r="D253" s="28"/>
      <c r="E253" s="36">
        <v>301117.76</v>
      </c>
      <c r="F253" s="36"/>
      <c r="G253" s="36">
        <v>3873.67</v>
      </c>
      <c r="H253" s="36"/>
      <c r="I253" s="36">
        <v>4223.01</v>
      </c>
      <c r="J253" s="36"/>
      <c r="K253" s="36">
        <v>0</v>
      </c>
      <c r="L253" s="36"/>
      <c r="M253" s="36">
        <v>7829.27</v>
      </c>
      <c r="N253" s="36"/>
      <c r="O253" s="36">
        <v>78882.06</v>
      </c>
      <c r="P253" s="36"/>
      <c r="Q253" s="36">
        <v>142024.49</v>
      </c>
      <c r="R253" s="36"/>
      <c r="S253" s="36">
        <v>1136.4</v>
      </c>
      <c r="T253" s="36"/>
      <c r="U253" s="36">
        <v>0</v>
      </c>
      <c r="V253" s="36"/>
      <c r="W253" s="36">
        <v>0</v>
      </c>
      <c r="X253" s="36"/>
      <c r="Y253" s="36">
        <v>235757.3</v>
      </c>
      <c r="Z253" s="36"/>
      <c r="AA253" s="36">
        <v>0</v>
      </c>
      <c r="AB253" s="36"/>
      <c r="AC253" s="36">
        <v>7000</v>
      </c>
      <c r="AD253" s="36"/>
      <c r="AE253" s="36">
        <f aca="true" t="shared" si="105" ref="AE253">SUM(E253:AC253)</f>
        <v>781843.96</v>
      </c>
      <c r="AF253" s="36"/>
      <c r="AG253" s="36">
        <v>-48989.98</v>
      </c>
      <c r="AH253" s="36"/>
      <c r="AI253" s="36">
        <v>623095.6</v>
      </c>
      <c r="AJ253" s="36"/>
      <c r="AK253" s="36">
        <v>574105.62</v>
      </c>
      <c r="AL253" s="39">
        <f>+'Gov Rev'!AI253-'Gov Exp'!AE253+'Gov Exp'!AI253-'Gov Exp'!AK253</f>
        <v>0</v>
      </c>
      <c r="AM253" s="15" t="str">
        <f>'Gov Rev'!A253</f>
        <v>Greenwich</v>
      </c>
      <c r="AN253" s="15" t="str">
        <f t="shared" si="93"/>
        <v>Greenwich</v>
      </c>
      <c r="AO253" s="15" t="b">
        <f t="shared" si="94"/>
        <v>1</v>
      </c>
    </row>
    <row r="254" spans="1:41" s="31" customFormat="1" ht="12.6" customHeight="1" hidden="1">
      <c r="A254" s="15" t="s">
        <v>354</v>
      </c>
      <c r="B254" s="15"/>
      <c r="C254" s="15" t="s">
        <v>353</v>
      </c>
      <c r="D254" s="15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>
        <f t="shared" si="80"/>
        <v>0</v>
      </c>
      <c r="AF254" s="24"/>
      <c r="AG254" s="24"/>
      <c r="AH254" s="24"/>
      <c r="AI254" s="24"/>
      <c r="AJ254" s="24"/>
      <c r="AK254" s="24"/>
      <c r="AL254" s="39">
        <f>+'Gov Rev'!AI254-'Gov Exp'!AE254+'Gov Exp'!AI254-'Gov Exp'!AK254</f>
        <v>0</v>
      </c>
      <c r="AM254" s="15" t="str">
        <f>'Gov Rev'!A254</f>
        <v>Groveport</v>
      </c>
      <c r="AN254" s="15" t="str">
        <f t="shared" si="93"/>
        <v>Groveport</v>
      </c>
      <c r="AO254" s="15" t="b">
        <f t="shared" si="94"/>
        <v>1</v>
      </c>
    </row>
    <row r="255" spans="1:41" s="31" customFormat="1" ht="12.75">
      <c r="A255" s="15" t="s">
        <v>690</v>
      </c>
      <c r="B255" s="15"/>
      <c r="C255" s="15" t="s">
        <v>497</v>
      </c>
      <c r="D255" s="15"/>
      <c r="E255" s="24">
        <v>51706</v>
      </c>
      <c r="F255" s="24"/>
      <c r="G255" s="24">
        <v>86</v>
      </c>
      <c r="H255" s="24"/>
      <c r="I255" s="24">
        <v>0</v>
      </c>
      <c r="J255" s="24"/>
      <c r="K255" s="24">
        <v>0</v>
      </c>
      <c r="L255" s="24"/>
      <c r="M255" s="24">
        <v>0</v>
      </c>
      <c r="N255" s="24"/>
      <c r="O255" s="24">
        <v>11894</v>
      </c>
      <c r="P255" s="24"/>
      <c r="Q255" s="24">
        <v>26330</v>
      </c>
      <c r="R255" s="24"/>
      <c r="S255" s="24">
        <v>0</v>
      </c>
      <c r="T255" s="24"/>
      <c r="U255" s="24">
        <v>0</v>
      </c>
      <c r="V255" s="24"/>
      <c r="W255" s="24">
        <v>0</v>
      </c>
      <c r="X255" s="24"/>
      <c r="Y255" s="24">
        <v>0</v>
      </c>
      <c r="Z255" s="24"/>
      <c r="AA255" s="24">
        <v>0</v>
      </c>
      <c r="AB255" s="24"/>
      <c r="AC255" s="24">
        <v>0</v>
      </c>
      <c r="AD255" s="24"/>
      <c r="AE255" s="24">
        <f t="shared" si="80"/>
        <v>90016</v>
      </c>
      <c r="AF255" s="24"/>
      <c r="AG255" s="24">
        <v>28251</v>
      </c>
      <c r="AH255" s="24"/>
      <c r="AI255" s="24">
        <v>214652</v>
      </c>
      <c r="AJ255" s="24"/>
      <c r="AK255" s="24">
        <v>242903</v>
      </c>
      <c r="AL255" s="39">
        <f>+'Gov Rev'!AI255-'Gov Exp'!AE255+'Gov Exp'!AI255-'Gov Exp'!AK255</f>
        <v>0</v>
      </c>
      <c r="AM255" s="15" t="str">
        <f>'Gov Rev'!A255</f>
        <v>Grower Hill</v>
      </c>
      <c r="AN255" s="15" t="str">
        <f t="shared" si="93"/>
        <v>Grower Hill</v>
      </c>
      <c r="AO255" s="15" t="b">
        <f t="shared" si="94"/>
        <v>1</v>
      </c>
    </row>
    <row r="256" spans="1:41" ht="12.75">
      <c r="A256" s="15" t="s">
        <v>365</v>
      </c>
      <c r="C256" s="15" t="s">
        <v>82</v>
      </c>
      <c r="E256" s="36">
        <v>41212.24</v>
      </c>
      <c r="F256" s="36"/>
      <c r="G256" s="36">
        <v>169.96</v>
      </c>
      <c r="H256" s="36"/>
      <c r="I256" s="36">
        <v>847.56</v>
      </c>
      <c r="J256" s="36"/>
      <c r="K256" s="36">
        <v>0</v>
      </c>
      <c r="L256" s="36"/>
      <c r="M256" s="36">
        <v>0</v>
      </c>
      <c r="N256" s="36"/>
      <c r="O256" s="36">
        <v>34381.04</v>
      </c>
      <c r="P256" s="36"/>
      <c r="Q256" s="36">
        <v>31565.36</v>
      </c>
      <c r="R256" s="36"/>
      <c r="S256" s="36">
        <v>299422.58</v>
      </c>
      <c r="T256" s="36"/>
      <c r="U256" s="36">
        <v>0</v>
      </c>
      <c r="V256" s="36"/>
      <c r="W256" s="36">
        <v>0</v>
      </c>
      <c r="X256" s="36"/>
      <c r="Y256" s="36">
        <v>0</v>
      </c>
      <c r="Z256" s="36"/>
      <c r="AA256" s="36">
        <v>0</v>
      </c>
      <c r="AB256" s="36"/>
      <c r="AC256" s="36">
        <v>0</v>
      </c>
      <c r="AD256" s="36"/>
      <c r="AE256" s="36">
        <f aca="true" t="shared" si="106" ref="AE256:AE259">SUM(E256:AC256)</f>
        <v>407598.74</v>
      </c>
      <c r="AF256" s="36"/>
      <c r="AG256" s="36">
        <v>31995.66</v>
      </c>
      <c r="AH256" s="36"/>
      <c r="AI256" s="36">
        <v>309241.64</v>
      </c>
      <c r="AJ256" s="36"/>
      <c r="AK256" s="36">
        <v>341237.3</v>
      </c>
      <c r="AL256" s="39">
        <f>+'Gov Rev'!AI256-'Gov Exp'!AE256+'Gov Exp'!AI256-'Gov Exp'!AK256</f>
        <v>0</v>
      </c>
      <c r="AM256" s="15" t="str">
        <f>'Gov Rev'!A256</f>
        <v>Hamden</v>
      </c>
      <c r="AN256" s="15" t="str">
        <f t="shared" si="93"/>
        <v>Hamden</v>
      </c>
      <c r="AO256" s="15" t="b">
        <f t="shared" si="94"/>
        <v>1</v>
      </c>
    </row>
    <row r="257" spans="1:41" ht="12.75">
      <c r="A257" s="15" t="s">
        <v>23</v>
      </c>
      <c r="C257" s="15" t="s">
        <v>751</v>
      </c>
      <c r="D257" s="28"/>
      <c r="E257" s="36">
        <v>19972.03</v>
      </c>
      <c r="F257" s="36"/>
      <c r="G257" s="36">
        <v>1184.15</v>
      </c>
      <c r="H257" s="36"/>
      <c r="I257" s="36">
        <v>0</v>
      </c>
      <c r="J257" s="36"/>
      <c r="K257" s="36">
        <v>0</v>
      </c>
      <c r="L257" s="36"/>
      <c r="M257" s="36">
        <v>0</v>
      </c>
      <c r="N257" s="36"/>
      <c r="O257" s="36">
        <v>18076.69</v>
      </c>
      <c r="P257" s="36"/>
      <c r="Q257" s="36">
        <v>17813.06</v>
      </c>
      <c r="R257" s="36"/>
      <c r="S257" s="36">
        <v>0</v>
      </c>
      <c r="T257" s="36"/>
      <c r="U257" s="36">
        <v>25000</v>
      </c>
      <c r="V257" s="36"/>
      <c r="W257" s="36">
        <v>48768.76</v>
      </c>
      <c r="X257" s="36"/>
      <c r="Y257" s="36">
        <v>0</v>
      </c>
      <c r="Z257" s="36"/>
      <c r="AA257" s="36">
        <v>0</v>
      </c>
      <c r="AB257" s="36"/>
      <c r="AC257" s="36">
        <v>1439.53</v>
      </c>
      <c r="AD257" s="36"/>
      <c r="AE257" s="36">
        <f t="shared" si="106"/>
        <v>132254.22</v>
      </c>
      <c r="AF257" s="36"/>
      <c r="AG257" s="36">
        <v>19135.27</v>
      </c>
      <c r="AH257" s="36"/>
      <c r="AI257" s="36">
        <v>109546.09</v>
      </c>
      <c r="AJ257" s="36"/>
      <c r="AK257" s="36">
        <v>128681.36</v>
      </c>
      <c r="AL257" s="39">
        <f>+'Gov Rev'!AI257-'Gov Exp'!AE257+'Gov Exp'!AI257-'Gov Exp'!AK257</f>
        <v>0</v>
      </c>
      <c r="AM257" s="15" t="str">
        <f>'Gov Rev'!A257</f>
        <v>Hamersville</v>
      </c>
      <c r="AN257" s="15" t="str">
        <f t="shared" si="93"/>
        <v>Hamersville</v>
      </c>
      <c r="AO257" s="15" t="b">
        <f t="shared" si="94"/>
        <v>1</v>
      </c>
    </row>
    <row r="258" spans="1:41" ht="12.75">
      <c r="A258" s="15" t="s">
        <v>943</v>
      </c>
      <c r="C258" s="15" t="s">
        <v>407</v>
      </c>
      <c r="D258" s="28"/>
      <c r="E258" s="36">
        <v>59996.48</v>
      </c>
      <c r="F258" s="36"/>
      <c r="G258" s="36">
        <v>231.72</v>
      </c>
      <c r="H258" s="36"/>
      <c r="I258" s="36">
        <v>698.8</v>
      </c>
      <c r="J258" s="36"/>
      <c r="K258" s="36">
        <v>0</v>
      </c>
      <c r="L258" s="36"/>
      <c r="M258" s="36">
        <v>379.64</v>
      </c>
      <c r="N258" s="36"/>
      <c r="O258" s="36">
        <v>15828.41</v>
      </c>
      <c r="P258" s="36"/>
      <c r="Q258" s="36">
        <v>221128.41</v>
      </c>
      <c r="R258" s="36"/>
      <c r="S258" s="36">
        <v>0</v>
      </c>
      <c r="T258" s="36"/>
      <c r="U258" s="36">
        <v>0</v>
      </c>
      <c r="V258" s="36"/>
      <c r="W258" s="36">
        <v>0</v>
      </c>
      <c r="X258" s="36"/>
      <c r="Y258" s="36">
        <v>55</v>
      </c>
      <c r="Z258" s="36"/>
      <c r="AA258" s="36">
        <v>0</v>
      </c>
      <c r="AB258" s="36"/>
      <c r="AC258" s="36">
        <v>30389.32</v>
      </c>
      <c r="AD258" s="36"/>
      <c r="AE258" s="36">
        <f t="shared" si="106"/>
        <v>328707.78</v>
      </c>
      <c r="AF258" s="36"/>
      <c r="AG258" s="36">
        <v>7152.18</v>
      </c>
      <c r="AH258" s="36"/>
      <c r="AI258" s="36">
        <v>155440.02</v>
      </c>
      <c r="AJ258" s="36"/>
      <c r="AK258" s="36">
        <v>162592.2</v>
      </c>
      <c r="AL258" s="39">
        <f>+'Gov Rev'!AI258-'Gov Exp'!AE258+'Gov Exp'!AI258-'Gov Exp'!AK258</f>
        <v>0</v>
      </c>
      <c r="AM258" s="15" t="str">
        <f>'Gov Rev'!A258</f>
        <v>Hamler</v>
      </c>
      <c r="AN258" s="15" t="str">
        <f t="shared" si="93"/>
        <v>Hamler</v>
      </c>
      <c r="AO258" s="15" t="b">
        <f t="shared" si="94"/>
        <v>1</v>
      </c>
    </row>
    <row r="259" spans="1:41" s="31" customFormat="1" ht="12.75">
      <c r="A259" s="15" t="s">
        <v>126</v>
      </c>
      <c r="B259" s="15"/>
      <c r="C259" s="15" t="s">
        <v>784</v>
      </c>
      <c r="D259" s="15"/>
      <c r="E259" s="36">
        <v>141619.13</v>
      </c>
      <c r="F259" s="36"/>
      <c r="G259" s="36">
        <v>0</v>
      </c>
      <c r="H259" s="36"/>
      <c r="I259" s="36">
        <v>3539.59</v>
      </c>
      <c r="J259" s="36"/>
      <c r="K259" s="36">
        <v>0</v>
      </c>
      <c r="L259" s="36"/>
      <c r="M259" s="36">
        <v>203.4</v>
      </c>
      <c r="N259" s="36"/>
      <c r="O259" s="36">
        <v>11586.48</v>
      </c>
      <c r="P259" s="36"/>
      <c r="Q259" s="36">
        <v>105930.94</v>
      </c>
      <c r="R259" s="36"/>
      <c r="S259" s="36">
        <v>0</v>
      </c>
      <c r="T259" s="36"/>
      <c r="U259" s="36">
        <v>8872.66</v>
      </c>
      <c r="V259" s="36"/>
      <c r="W259" s="36">
        <v>865.42</v>
      </c>
      <c r="X259" s="36"/>
      <c r="Y259" s="36">
        <v>0</v>
      </c>
      <c r="Z259" s="36"/>
      <c r="AA259" s="36">
        <v>0</v>
      </c>
      <c r="AB259" s="36"/>
      <c r="AC259" s="36">
        <v>53505</v>
      </c>
      <c r="AD259" s="36"/>
      <c r="AE259" s="36">
        <f t="shared" si="106"/>
        <v>326122.62</v>
      </c>
      <c r="AF259" s="36"/>
      <c r="AG259" s="36">
        <v>-106407.02</v>
      </c>
      <c r="AH259" s="36"/>
      <c r="AI259" s="36">
        <v>125376.95</v>
      </c>
      <c r="AJ259" s="36"/>
      <c r="AK259" s="36">
        <v>18969.93</v>
      </c>
      <c r="AL259" s="39">
        <f>+'Gov Rev'!AI259-'Gov Exp'!AE259+'Gov Exp'!AI259-'Gov Exp'!AK259</f>
        <v>0</v>
      </c>
      <c r="AM259" s="15" t="str">
        <f>'Gov Rev'!A260</f>
        <v>Hanover</v>
      </c>
      <c r="AN259" s="15" t="str">
        <f>A260</f>
        <v>Hanover</v>
      </c>
      <c r="AO259" s="15" t="b">
        <f t="shared" si="94"/>
        <v>1</v>
      </c>
    </row>
    <row r="260" spans="1:41" s="31" customFormat="1" ht="12.75">
      <c r="A260" s="15" t="s">
        <v>833</v>
      </c>
      <c r="B260" s="15"/>
      <c r="C260" s="15" t="s">
        <v>439</v>
      </c>
      <c r="D260" s="28"/>
      <c r="E260" s="95">
        <v>100332.67</v>
      </c>
      <c r="F260" s="95"/>
      <c r="G260" s="95">
        <v>0</v>
      </c>
      <c r="H260" s="95"/>
      <c r="I260" s="95">
        <v>0</v>
      </c>
      <c r="J260" s="95"/>
      <c r="K260" s="95">
        <v>0</v>
      </c>
      <c r="L260" s="95"/>
      <c r="M260" s="95">
        <v>14296.08</v>
      </c>
      <c r="N260" s="95"/>
      <c r="O260" s="95">
        <v>78959.17</v>
      </c>
      <c r="P260" s="95"/>
      <c r="Q260" s="95">
        <v>67818.74</v>
      </c>
      <c r="R260" s="95"/>
      <c r="S260" s="95">
        <v>0</v>
      </c>
      <c r="T260" s="95"/>
      <c r="U260" s="95">
        <v>25523.56</v>
      </c>
      <c r="V260" s="95"/>
      <c r="W260" s="95">
        <v>0</v>
      </c>
      <c r="X260" s="95"/>
      <c r="Y260" s="95">
        <v>0</v>
      </c>
      <c r="Z260" s="95"/>
      <c r="AA260" s="95">
        <v>0</v>
      </c>
      <c r="AB260" s="95"/>
      <c r="AC260" s="95">
        <v>0</v>
      </c>
      <c r="AD260" s="95"/>
      <c r="AE260" s="95">
        <f aca="true" t="shared" si="107" ref="AE260:AE266">SUM(E260:AC260)</f>
        <v>286930.22</v>
      </c>
      <c r="AF260" s="95"/>
      <c r="AG260" s="95">
        <v>-14837.32</v>
      </c>
      <c r="AH260" s="95"/>
      <c r="AI260" s="95">
        <v>86670.38</v>
      </c>
      <c r="AJ260" s="95"/>
      <c r="AK260" s="95">
        <v>71833.06</v>
      </c>
      <c r="AL260" s="39">
        <f>+'Gov Rev'!AI260-'Gov Exp'!AE260+'Gov Exp'!AI260-'Gov Exp'!AK260</f>
        <v>0</v>
      </c>
      <c r="AM260" s="15" t="str">
        <f>'Gov Rev'!A259</f>
        <v>Hanging Rock</v>
      </c>
      <c r="AN260" s="15" t="str">
        <f>A259</f>
        <v>Hanging Rock</v>
      </c>
      <c r="AO260" s="15" t="b">
        <f t="shared" si="94"/>
        <v>1</v>
      </c>
    </row>
    <row r="261" spans="1:41" s="31" customFormat="1" ht="12.75">
      <c r="A261" s="15" t="s">
        <v>42</v>
      </c>
      <c r="B261" s="15"/>
      <c r="C261" s="15" t="s">
        <v>758</v>
      </c>
      <c r="D261" s="28"/>
      <c r="E261" s="95">
        <v>14646.71</v>
      </c>
      <c r="F261" s="95"/>
      <c r="G261" s="95">
        <v>575.25</v>
      </c>
      <c r="H261" s="95"/>
      <c r="I261" s="95">
        <v>1517.95</v>
      </c>
      <c r="J261" s="95"/>
      <c r="K261" s="95">
        <v>0</v>
      </c>
      <c r="L261" s="95"/>
      <c r="M261" s="95">
        <v>0</v>
      </c>
      <c r="N261" s="95"/>
      <c r="O261" s="95">
        <v>16716.99</v>
      </c>
      <c r="P261" s="95"/>
      <c r="Q261" s="95">
        <v>29909.1</v>
      </c>
      <c r="R261" s="95"/>
      <c r="S261" s="95">
        <v>6415.96</v>
      </c>
      <c r="T261" s="95"/>
      <c r="U261" s="95">
        <v>0</v>
      </c>
      <c r="V261" s="95"/>
      <c r="W261" s="95">
        <v>1066</v>
      </c>
      <c r="X261" s="95"/>
      <c r="Y261" s="95">
        <v>7800</v>
      </c>
      <c r="Z261" s="95"/>
      <c r="AA261" s="95">
        <v>0</v>
      </c>
      <c r="AB261" s="95"/>
      <c r="AC261" s="95">
        <v>0</v>
      </c>
      <c r="AD261" s="95"/>
      <c r="AE261" s="95">
        <f t="shared" si="107"/>
        <v>78647.96</v>
      </c>
      <c r="AF261" s="95"/>
      <c r="AG261" s="95">
        <v>12259.65</v>
      </c>
      <c r="AH261" s="95"/>
      <c r="AI261" s="95">
        <v>84018.61</v>
      </c>
      <c r="AJ261" s="95"/>
      <c r="AK261" s="95">
        <v>96278.26</v>
      </c>
      <c r="AL261" s="39">
        <f>+'Gov Rev'!AI261-'Gov Exp'!AE261+'Gov Exp'!AI261-'Gov Exp'!AK261</f>
        <v>0</v>
      </c>
      <c r="AM261" s="15" t="str">
        <f>'Gov Rev'!A261</f>
        <v>Hanoverton</v>
      </c>
      <c r="AN261" s="15" t="str">
        <f t="shared" si="93"/>
        <v>Hanoverton</v>
      </c>
      <c r="AO261" s="15" t="b">
        <f t="shared" si="94"/>
        <v>1</v>
      </c>
    </row>
    <row r="262" spans="1:41" s="31" customFormat="1" ht="12.75">
      <c r="A262" s="15" t="s">
        <v>140</v>
      </c>
      <c r="B262" s="15"/>
      <c r="C262" s="15" t="s">
        <v>788</v>
      </c>
      <c r="D262" s="28"/>
      <c r="E262" s="95">
        <v>2473.45</v>
      </c>
      <c r="F262" s="95"/>
      <c r="G262" s="95">
        <v>132.97</v>
      </c>
      <c r="H262" s="95"/>
      <c r="I262" s="95">
        <v>0</v>
      </c>
      <c r="J262" s="95"/>
      <c r="K262" s="95">
        <v>276.71</v>
      </c>
      <c r="L262" s="95"/>
      <c r="M262" s="95">
        <v>0</v>
      </c>
      <c r="N262" s="95"/>
      <c r="O262" s="95">
        <v>3392.3</v>
      </c>
      <c r="P262" s="95"/>
      <c r="Q262" s="95">
        <v>30022.19</v>
      </c>
      <c r="R262" s="95"/>
      <c r="S262" s="95">
        <v>0</v>
      </c>
      <c r="T262" s="95"/>
      <c r="U262" s="95">
        <v>0</v>
      </c>
      <c r="V262" s="95"/>
      <c r="W262" s="95">
        <v>0</v>
      </c>
      <c r="X262" s="95"/>
      <c r="Y262" s="95">
        <v>0</v>
      </c>
      <c r="Z262" s="95"/>
      <c r="AA262" s="95">
        <v>0</v>
      </c>
      <c r="AB262" s="95"/>
      <c r="AC262" s="95">
        <v>0</v>
      </c>
      <c r="AD262" s="95"/>
      <c r="AE262" s="95">
        <f t="shared" si="107"/>
        <v>36297.619999999995</v>
      </c>
      <c r="AF262" s="95"/>
      <c r="AG262" s="95">
        <v>14639.39</v>
      </c>
      <c r="AH262" s="95"/>
      <c r="AI262" s="95">
        <v>29254.45</v>
      </c>
      <c r="AJ262" s="95"/>
      <c r="AK262" s="95">
        <v>43893.84</v>
      </c>
      <c r="AL262" s="39">
        <f>+'Gov Rev'!AI262-'Gov Exp'!AE262+'Gov Exp'!AI262-'Gov Exp'!AK262</f>
        <v>0</v>
      </c>
      <c r="AM262" s="15" t="str">
        <f>'Gov Rev'!A262</f>
        <v>Harbor View</v>
      </c>
      <c r="AN262" s="15" t="str">
        <f t="shared" si="93"/>
        <v>Harbor View</v>
      </c>
      <c r="AO262" s="15" t="b">
        <f t="shared" si="94"/>
        <v>1</v>
      </c>
    </row>
    <row r="263" spans="1:41" ht="12.75">
      <c r="A263" s="15" t="s">
        <v>264</v>
      </c>
      <c r="C263" s="15" t="s">
        <v>826</v>
      </c>
      <c r="D263" s="28"/>
      <c r="E263" s="95">
        <v>7034.6</v>
      </c>
      <c r="F263" s="95"/>
      <c r="G263" s="95">
        <v>499.31</v>
      </c>
      <c r="H263" s="95"/>
      <c r="I263" s="95">
        <v>3291.03</v>
      </c>
      <c r="J263" s="95"/>
      <c r="K263" s="95">
        <v>0</v>
      </c>
      <c r="L263" s="95"/>
      <c r="M263" s="95">
        <v>0</v>
      </c>
      <c r="N263" s="95"/>
      <c r="O263" s="95">
        <v>707</v>
      </c>
      <c r="P263" s="95"/>
      <c r="Q263" s="95">
        <v>17334.21</v>
      </c>
      <c r="R263" s="95"/>
      <c r="S263" s="95">
        <v>0</v>
      </c>
      <c r="T263" s="95"/>
      <c r="U263" s="95">
        <v>0</v>
      </c>
      <c r="V263" s="95"/>
      <c r="W263" s="95">
        <v>0</v>
      </c>
      <c r="X263" s="95"/>
      <c r="Y263" s="95">
        <v>0</v>
      </c>
      <c r="Z263" s="95"/>
      <c r="AA263" s="95">
        <v>0</v>
      </c>
      <c r="AB263" s="95"/>
      <c r="AC263" s="95">
        <v>0</v>
      </c>
      <c r="AD263" s="95"/>
      <c r="AE263" s="95">
        <f t="shared" si="107"/>
        <v>28866.15</v>
      </c>
      <c r="AF263" s="95"/>
      <c r="AG263" s="95">
        <v>3582.65</v>
      </c>
      <c r="AH263" s="95"/>
      <c r="AI263" s="95">
        <v>47550.92</v>
      </c>
      <c r="AJ263" s="95"/>
      <c r="AK263" s="95">
        <v>51133.57</v>
      </c>
      <c r="AL263" s="39">
        <f>+'Gov Rev'!AI263-'Gov Exp'!AE263+'Gov Exp'!AI263-'Gov Exp'!AK263</f>
        <v>0</v>
      </c>
      <c r="AM263" s="15" t="str">
        <f>'Gov Rev'!A263</f>
        <v>Harpster</v>
      </c>
      <c r="AN263" s="15" t="str">
        <f t="shared" si="93"/>
        <v>Harpster</v>
      </c>
      <c r="AO263" s="15" t="b">
        <f t="shared" si="94"/>
        <v>1</v>
      </c>
    </row>
    <row r="264" spans="1:41" ht="12.75">
      <c r="A264" s="15" t="s">
        <v>944</v>
      </c>
      <c r="C264" s="15" t="s">
        <v>353</v>
      </c>
      <c r="D264" s="28"/>
      <c r="E264" s="95">
        <v>29806.09</v>
      </c>
      <c r="F264" s="95"/>
      <c r="G264" s="95">
        <v>1112.44</v>
      </c>
      <c r="H264" s="95"/>
      <c r="I264" s="95">
        <v>0</v>
      </c>
      <c r="J264" s="95"/>
      <c r="K264" s="95">
        <v>0</v>
      </c>
      <c r="L264" s="95"/>
      <c r="M264" s="95">
        <v>0</v>
      </c>
      <c r="N264" s="95"/>
      <c r="O264" s="95">
        <v>10904.27</v>
      </c>
      <c r="P264" s="95"/>
      <c r="Q264" s="95">
        <v>94282.22</v>
      </c>
      <c r="R264" s="95"/>
      <c r="S264" s="95">
        <v>0</v>
      </c>
      <c r="T264" s="95"/>
      <c r="U264" s="95">
        <v>2500</v>
      </c>
      <c r="V264" s="95"/>
      <c r="W264" s="95">
        <v>0</v>
      </c>
      <c r="X264" s="95"/>
      <c r="Y264" s="95">
        <v>0</v>
      </c>
      <c r="Z264" s="95"/>
      <c r="AA264" s="95">
        <v>0</v>
      </c>
      <c r="AB264" s="95"/>
      <c r="AC264" s="95">
        <v>0</v>
      </c>
      <c r="AD264" s="95"/>
      <c r="AE264" s="95">
        <f t="shared" si="107"/>
        <v>138605.02000000002</v>
      </c>
      <c r="AF264" s="95"/>
      <c r="AG264" s="95">
        <v>30676.33</v>
      </c>
      <c r="AH264" s="95"/>
      <c r="AI264" s="95">
        <v>23499.61</v>
      </c>
      <c r="AJ264" s="95"/>
      <c r="AK264" s="95">
        <v>54175.94</v>
      </c>
      <c r="AL264" s="39">
        <f>+'Gov Rev'!AI264-'Gov Exp'!AE264+'Gov Exp'!AI264-'Gov Exp'!AK264</f>
        <v>0</v>
      </c>
      <c r="AM264" s="15" t="str">
        <f>'Gov Rev'!A264</f>
        <v>Harrisburg</v>
      </c>
      <c r="AN264" s="15" t="str">
        <f t="shared" si="93"/>
        <v>Harrisburg</v>
      </c>
      <c r="AO264" s="15" t="b">
        <f t="shared" si="94"/>
        <v>1</v>
      </c>
    </row>
    <row r="265" spans="1:41" ht="12.75">
      <c r="A265" s="15" t="s">
        <v>845</v>
      </c>
      <c r="C265" s="15" t="s">
        <v>776</v>
      </c>
      <c r="D265" s="28"/>
      <c r="E265" s="95">
        <v>7382.28</v>
      </c>
      <c r="F265" s="95"/>
      <c r="G265" s="95">
        <v>253.71</v>
      </c>
      <c r="H265" s="95"/>
      <c r="I265" s="95">
        <v>8921.67</v>
      </c>
      <c r="J265" s="95"/>
      <c r="K265" s="95">
        <v>0</v>
      </c>
      <c r="L265" s="95"/>
      <c r="M265" s="95">
        <v>0</v>
      </c>
      <c r="N265" s="95"/>
      <c r="O265" s="95">
        <v>7534.37</v>
      </c>
      <c r="P265" s="95"/>
      <c r="Q265" s="95">
        <v>19050.59</v>
      </c>
      <c r="R265" s="95"/>
      <c r="S265" s="95">
        <v>65931.6</v>
      </c>
      <c r="T265" s="95"/>
      <c r="U265" s="95">
        <v>0</v>
      </c>
      <c r="V265" s="95"/>
      <c r="W265" s="95">
        <v>1197.77</v>
      </c>
      <c r="X265" s="95"/>
      <c r="Y265" s="95">
        <v>0</v>
      </c>
      <c r="Z265" s="95"/>
      <c r="AA265" s="95">
        <v>0</v>
      </c>
      <c r="AB265" s="95"/>
      <c r="AC265" s="95">
        <v>329.4</v>
      </c>
      <c r="AD265" s="95"/>
      <c r="AE265" s="95">
        <f t="shared" si="107"/>
        <v>110601.39</v>
      </c>
      <c r="AF265" s="95"/>
      <c r="AG265" s="95">
        <v>3008.64</v>
      </c>
      <c r="AH265" s="95"/>
      <c r="AI265" s="95">
        <v>100844.7</v>
      </c>
      <c r="AJ265" s="95"/>
      <c r="AK265" s="95">
        <v>103853.34</v>
      </c>
      <c r="AL265" s="39">
        <f>+'Gov Rev'!AI265-'Gov Exp'!AE265+'Gov Exp'!AI265-'Gov Exp'!AK265</f>
        <v>0</v>
      </c>
      <c r="AM265" s="15" t="str">
        <f>'Gov Rev'!A265</f>
        <v>Harrisville</v>
      </c>
      <c r="AN265" s="15" t="str">
        <f t="shared" si="93"/>
        <v>Harrisville</v>
      </c>
      <c r="AO265" s="15" t="b">
        <f t="shared" si="94"/>
        <v>1</v>
      </c>
    </row>
    <row r="266" spans="1:41" ht="12.75">
      <c r="A266" s="15" t="s">
        <v>4</v>
      </c>
      <c r="C266" s="15" t="s">
        <v>746</v>
      </c>
      <c r="D266" s="28"/>
      <c r="E266" s="95">
        <v>6727.48</v>
      </c>
      <c r="F266" s="95"/>
      <c r="G266" s="95">
        <v>0</v>
      </c>
      <c r="H266" s="95"/>
      <c r="I266" s="95">
        <v>1972.19</v>
      </c>
      <c r="J266" s="95"/>
      <c r="K266" s="95">
        <v>0</v>
      </c>
      <c r="L266" s="95"/>
      <c r="M266" s="95">
        <v>0</v>
      </c>
      <c r="N266" s="95"/>
      <c r="O266" s="95">
        <v>23254.39</v>
      </c>
      <c r="P266" s="95"/>
      <c r="Q266" s="95">
        <v>33824.49</v>
      </c>
      <c r="R266" s="95"/>
      <c r="S266" s="95">
        <v>870</v>
      </c>
      <c r="T266" s="95"/>
      <c r="U266" s="95">
        <v>0</v>
      </c>
      <c r="V266" s="95"/>
      <c r="W266" s="95">
        <v>0</v>
      </c>
      <c r="X266" s="95"/>
      <c r="Y266" s="95">
        <v>0</v>
      </c>
      <c r="Z266" s="95"/>
      <c r="AA266" s="95">
        <v>0</v>
      </c>
      <c r="AB266" s="95"/>
      <c r="AC266" s="95">
        <v>0</v>
      </c>
      <c r="AD266" s="95"/>
      <c r="AE266" s="95">
        <f t="shared" si="107"/>
        <v>66648.54999999999</v>
      </c>
      <c r="AF266" s="95"/>
      <c r="AG266" s="95">
        <v>16831.26</v>
      </c>
      <c r="AH266" s="95"/>
      <c r="AI266" s="95">
        <v>-13002.88</v>
      </c>
      <c r="AJ266" s="95"/>
      <c r="AK266" s="95">
        <v>3828.38</v>
      </c>
      <c r="AL266" s="39">
        <f>+'Gov Rev'!AI266-'Gov Exp'!AE266+'Gov Exp'!AI266-'Gov Exp'!AK266</f>
        <v>1.000444171950221E-11</v>
      </c>
      <c r="AM266" s="15" t="str">
        <f>'Gov Rev'!A266</f>
        <v>Harrod</v>
      </c>
      <c r="AN266" s="15" t="str">
        <f t="shared" si="93"/>
        <v>Harrod</v>
      </c>
      <c r="AO266" s="15" t="b">
        <f t="shared" si="94"/>
        <v>1</v>
      </c>
    </row>
    <row r="267" spans="1:41" s="31" customFormat="1" ht="12.75">
      <c r="A267" s="15" t="s">
        <v>441</v>
      </c>
      <c r="B267" s="15"/>
      <c r="C267" s="15" t="s">
        <v>439</v>
      </c>
      <c r="D267" s="15"/>
      <c r="E267" s="24">
        <v>26272</v>
      </c>
      <c r="F267" s="24"/>
      <c r="G267" s="24">
        <v>898</v>
      </c>
      <c r="H267" s="24"/>
      <c r="I267" s="24">
        <v>0</v>
      </c>
      <c r="J267" s="24"/>
      <c r="K267" s="24">
        <v>8958</v>
      </c>
      <c r="L267" s="24"/>
      <c r="M267" s="24">
        <v>10985</v>
      </c>
      <c r="N267" s="24"/>
      <c r="O267" s="24">
        <v>0</v>
      </c>
      <c r="P267" s="24"/>
      <c r="Q267" s="24">
        <f>19886+10058</f>
        <v>29944</v>
      </c>
      <c r="R267" s="24"/>
      <c r="S267" s="24">
        <v>0</v>
      </c>
      <c r="T267" s="24"/>
      <c r="U267" s="24">
        <v>0</v>
      </c>
      <c r="V267" s="24"/>
      <c r="W267" s="24">
        <v>0</v>
      </c>
      <c r="X267" s="24"/>
      <c r="Y267" s="24">
        <v>0</v>
      </c>
      <c r="Z267" s="24"/>
      <c r="AA267" s="24">
        <v>0</v>
      </c>
      <c r="AB267" s="24"/>
      <c r="AC267" s="24">
        <v>0</v>
      </c>
      <c r="AD267" s="24"/>
      <c r="AE267" s="24">
        <f t="shared" si="80"/>
        <v>77057</v>
      </c>
      <c r="AF267" s="24"/>
      <c r="AG267" s="24"/>
      <c r="AH267" s="24"/>
      <c r="AI267" s="24"/>
      <c r="AJ267" s="24"/>
      <c r="AK267" s="24"/>
      <c r="AL267" s="39">
        <f>+'Gov Rev'!AI267-'Gov Exp'!AE267+'Gov Exp'!AI267-'Gov Exp'!AK267</f>
        <v>-8248</v>
      </c>
      <c r="AM267" s="15" t="str">
        <f>'Gov Rev'!A267</f>
        <v>Hartford</v>
      </c>
      <c r="AN267" s="15" t="str">
        <f t="shared" si="93"/>
        <v>Hartford</v>
      </c>
      <c r="AO267" s="15" t="b">
        <f t="shared" si="94"/>
        <v>1</v>
      </c>
    </row>
    <row r="268" spans="1:41" s="31" customFormat="1" ht="12.75">
      <c r="A268" s="15" t="s">
        <v>545</v>
      </c>
      <c r="B268" s="15"/>
      <c r="C268" s="15" t="s">
        <v>542</v>
      </c>
      <c r="D268" s="15"/>
      <c r="E268" s="24">
        <v>944825.95</v>
      </c>
      <c r="F268" s="24"/>
      <c r="G268" s="24">
        <v>19430</v>
      </c>
      <c r="H268" s="24"/>
      <c r="I268" s="24">
        <v>13855</v>
      </c>
      <c r="J268" s="24"/>
      <c r="K268" s="24">
        <v>2445.3</v>
      </c>
      <c r="L268" s="24"/>
      <c r="M268" s="24">
        <v>0</v>
      </c>
      <c r="N268" s="24"/>
      <c r="O268" s="24">
        <v>349346.86</v>
      </c>
      <c r="P268" s="24"/>
      <c r="Q268" s="24">
        <v>252033.88</v>
      </c>
      <c r="R268" s="24"/>
      <c r="S268" s="24">
        <v>201951.72</v>
      </c>
      <c r="T268" s="24"/>
      <c r="U268" s="24">
        <v>0</v>
      </c>
      <c r="V268" s="24"/>
      <c r="W268" s="24">
        <v>0</v>
      </c>
      <c r="X268" s="24"/>
      <c r="Y268" s="24">
        <v>1203000</v>
      </c>
      <c r="Z268" s="24"/>
      <c r="AA268" s="24">
        <v>110014</v>
      </c>
      <c r="AB268" s="24"/>
      <c r="AC268" s="24">
        <v>8456.73</v>
      </c>
      <c r="AD268" s="24"/>
      <c r="AE268" s="24">
        <f t="shared" si="80"/>
        <v>3105359.44</v>
      </c>
      <c r="AF268" s="24"/>
      <c r="AG268" s="24">
        <v>112477.24</v>
      </c>
      <c r="AH268" s="24"/>
      <c r="AI268" s="24">
        <v>845534.52</v>
      </c>
      <c r="AJ268" s="24"/>
      <c r="AK268" s="24">
        <v>958011.76</v>
      </c>
      <c r="AL268" s="39">
        <f>+'Gov Rev'!AI268-'Gov Exp'!AE268+'Gov Exp'!AI268-'Gov Exp'!AK268</f>
        <v>0</v>
      </c>
      <c r="AM268" s="15" t="str">
        <f>'Gov Rev'!A268</f>
        <v>Hartville</v>
      </c>
      <c r="AN268" s="15" t="str">
        <f t="shared" si="93"/>
        <v>Hartville</v>
      </c>
      <c r="AO268" s="15" t="b">
        <f t="shared" si="94"/>
        <v>1</v>
      </c>
    </row>
    <row r="269" spans="1:41" s="31" customFormat="1" ht="12.75">
      <c r="A269" s="15" t="s">
        <v>582</v>
      </c>
      <c r="B269" s="15"/>
      <c r="C269" s="15" t="s">
        <v>583</v>
      </c>
      <c r="D269" s="15"/>
      <c r="E269" s="36">
        <v>96295.37</v>
      </c>
      <c r="F269" s="36"/>
      <c r="G269" s="36">
        <v>500</v>
      </c>
      <c r="H269" s="36"/>
      <c r="I269" s="36">
        <v>0</v>
      </c>
      <c r="J269" s="36"/>
      <c r="K269" s="36">
        <v>2144.93</v>
      </c>
      <c r="L269" s="36"/>
      <c r="M269" s="36">
        <v>51542.23</v>
      </c>
      <c r="N269" s="36"/>
      <c r="O269" s="36">
        <v>92194.09</v>
      </c>
      <c r="P269" s="36"/>
      <c r="Q269" s="36">
        <v>122027.33</v>
      </c>
      <c r="R269" s="36"/>
      <c r="S269" s="36">
        <v>0</v>
      </c>
      <c r="T269" s="36"/>
      <c r="U269" s="36">
        <v>0</v>
      </c>
      <c r="V269" s="36"/>
      <c r="W269" s="36">
        <v>0</v>
      </c>
      <c r="X269" s="36"/>
      <c r="Y269" s="36">
        <v>61000</v>
      </c>
      <c r="Z269" s="36"/>
      <c r="AA269" s="36">
        <v>0</v>
      </c>
      <c r="AB269" s="36"/>
      <c r="AC269" s="36">
        <v>0</v>
      </c>
      <c r="AD269" s="36"/>
      <c r="AE269" s="36">
        <f aca="true" t="shared" si="108" ref="AE269:AE270">SUM(E269:AC269)</f>
        <v>425703.95</v>
      </c>
      <c r="AF269" s="36"/>
      <c r="AG269" s="36">
        <v>-30620.4</v>
      </c>
      <c r="AH269" s="36"/>
      <c r="AI269" s="36">
        <v>220374.34</v>
      </c>
      <c r="AJ269" s="36"/>
      <c r="AK269" s="36">
        <v>189753.94</v>
      </c>
      <c r="AL269" s="39">
        <f>+'Gov Rev'!AI269-'Gov Exp'!AE269+'Gov Exp'!AI269-'Gov Exp'!AK269</f>
        <v>0</v>
      </c>
      <c r="AM269" s="15" t="str">
        <f>'Gov Rev'!A269</f>
        <v>Harveysburg</v>
      </c>
      <c r="AN269" s="15" t="str">
        <f t="shared" si="93"/>
        <v>Harveysburg</v>
      </c>
      <c r="AO269" s="15" t="b">
        <f t="shared" si="94"/>
        <v>1</v>
      </c>
    </row>
    <row r="270" spans="1:41" s="24" customFormat="1" ht="12.75">
      <c r="A270" s="24" t="s">
        <v>256</v>
      </c>
      <c r="C270" s="24" t="s">
        <v>825</v>
      </c>
      <c r="D270" s="73"/>
      <c r="E270" s="36">
        <v>185861.23</v>
      </c>
      <c r="F270" s="36"/>
      <c r="G270" s="36">
        <v>2735.56</v>
      </c>
      <c r="H270" s="36"/>
      <c r="I270" s="36">
        <v>27068.19</v>
      </c>
      <c r="J270" s="36"/>
      <c r="K270" s="36">
        <v>2727.66</v>
      </c>
      <c r="L270" s="36"/>
      <c r="M270" s="36">
        <v>10904.22</v>
      </c>
      <c r="N270" s="36"/>
      <c r="O270" s="36">
        <v>89379.46</v>
      </c>
      <c r="P270" s="36"/>
      <c r="Q270" s="36">
        <v>97581.76</v>
      </c>
      <c r="R270" s="36"/>
      <c r="S270" s="36">
        <v>20472.38</v>
      </c>
      <c r="T270" s="36"/>
      <c r="U270" s="36">
        <v>9702.95</v>
      </c>
      <c r="V270" s="36"/>
      <c r="W270" s="36">
        <v>697.73</v>
      </c>
      <c r="X270" s="36"/>
      <c r="Y270" s="36">
        <v>229344.51</v>
      </c>
      <c r="Z270" s="36"/>
      <c r="AA270" s="36">
        <v>0</v>
      </c>
      <c r="AB270" s="36"/>
      <c r="AC270" s="36">
        <v>0</v>
      </c>
      <c r="AD270" s="36"/>
      <c r="AE270" s="36">
        <f t="shared" si="108"/>
        <v>676475.65</v>
      </c>
      <c r="AF270" s="36"/>
      <c r="AG270" s="36">
        <v>51425.05</v>
      </c>
      <c r="AH270" s="36"/>
      <c r="AI270" s="36">
        <v>590391.62</v>
      </c>
      <c r="AJ270" s="36"/>
      <c r="AK270" s="36">
        <v>641816.67</v>
      </c>
      <c r="AL270" s="39">
        <f>+'Gov Rev'!AI270-'Gov Exp'!AE270+'Gov Exp'!AI270-'Gov Exp'!AK270</f>
        <v>0</v>
      </c>
      <c r="AM270" s="15" t="str">
        <f>'Gov Rev'!A270</f>
        <v>Haskins</v>
      </c>
      <c r="AN270" s="15" t="str">
        <f t="shared" si="93"/>
        <v>Haskins</v>
      </c>
      <c r="AO270" s="15" t="b">
        <f t="shared" si="94"/>
        <v>1</v>
      </c>
    </row>
    <row r="271" spans="1:41" ht="12.75">
      <c r="A271" s="15" t="s">
        <v>183</v>
      </c>
      <c r="C271" s="15" t="s">
        <v>803</v>
      </c>
      <c r="D271" s="28"/>
      <c r="E271" s="95">
        <v>14958.72</v>
      </c>
      <c r="F271" s="95"/>
      <c r="G271" s="95">
        <v>0</v>
      </c>
      <c r="H271" s="95"/>
      <c r="I271" s="95">
        <v>2455</v>
      </c>
      <c r="J271" s="95"/>
      <c r="K271" s="95">
        <v>0</v>
      </c>
      <c r="L271" s="95"/>
      <c r="M271" s="95">
        <v>0</v>
      </c>
      <c r="N271" s="95"/>
      <c r="O271" s="95">
        <v>7292.64</v>
      </c>
      <c r="P271" s="95"/>
      <c r="Q271" s="95">
        <v>27521.81</v>
      </c>
      <c r="R271" s="95"/>
      <c r="S271" s="95">
        <v>0</v>
      </c>
      <c r="T271" s="95"/>
      <c r="U271" s="95">
        <v>0</v>
      </c>
      <c r="V271" s="95"/>
      <c r="W271" s="95">
        <v>0</v>
      </c>
      <c r="X271" s="95"/>
      <c r="Y271" s="95">
        <v>0</v>
      </c>
      <c r="Z271" s="95"/>
      <c r="AA271" s="95">
        <v>0</v>
      </c>
      <c r="AB271" s="95"/>
      <c r="AC271" s="95">
        <v>0</v>
      </c>
      <c r="AD271" s="95"/>
      <c r="AE271" s="95">
        <f aca="true" t="shared" si="109" ref="AE271">SUM(E271:AC271)</f>
        <v>52228.17</v>
      </c>
      <c r="AF271" s="95"/>
      <c r="AG271" s="95">
        <v>17117.34</v>
      </c>
      <c r="AH271" s="95"/>
      <c r="AI271" s="95">
        <v>199487.74</v>
      </c>
      <c r="AJ271" s="95"/>
      <c r="AK271" s="95">
        <v>216605.08</v>
      </c>
      <c r="AL271" s="39">
        <f>+'Gov Rev'!AI271-'Gov Exp'!AE271+'Gov Exp'!AI271-'Gov Exp'!AK271</f>
        <v>0</v>
      </c>
      <c r="AM271" s="15" t="str">
        <f>'Gov Rev'!A271</f>
        <v>Haviland</v>
      </c>
      <c r="AN271" s="15" t="str">
        <f t="shared" si="93"/>
        <v>Haviland</v>
      </c>
      <c r="AO271" s="15" t="b">
        <f t="shared" si="94"/>
        <v>1</v>
      </c>
    </row>
    <row r="272" spans="1:41" ht="12.75">
      <c r="A272" s="15" t="s">
        <v>7</v>
      </c>
      <c r="C272" s="15" t="s">
        <v>669</v>
      </c>
      <c r="D272" s="28"/>
      <c r="E272" s="36">
        <v>9611.08</v>
      </c>
      <c r="F272" s="36"/>
      <c r="G272" s="36">
        <v>0</v>
      </c>
      <c r="H272" s="36"/>
      <c r="I272" s="36">
        <v>50.46</v>
      </c>
      <c r="J272" s="36"/>
      <c r="K272" s="36">
        <v>400</v>
      </c>
      <c r="L272" s="36"/>
      <c r="M272" s="36">
        <v>0</v>
      </c>
      <c r="N272" s="36"/>
      <c r="O272" s="36">
        <v>25575.83</v>
      </c>
      <c r="P272" s="36"/>
      <c r="Q272" s="36">
        <v>50625.03</v>
      </c>
      <c r="R272" s="36"/>
      <c r="S272" s="36">
        <v>0</v>
      </c>
      <c r="T272" s="36"/>
      <c r="U272" s="36">
        <v>0</v>
      </c>
      <c r="V272" s="36"/>
      <c r="W272" s="36">
        <v>0</v>
      </c>
      <c r="X272" s="36"/>
      <c r="Y272" s="36">
        <v>0</v>
      </c>
      <c r="Z272" s="36"/>
      <c r="AA272" s="36">
        <v>131652</v>
      </c>
      <c r="AB272" s="36"/>
      <c r="AC272" s="36">
        <v>0</v>
      </c>
      <c r="AD272" s="36"/>
      <c r="AE272" s="36">
        <f aca="true" t="shared" si="110" ref="AE272:AE273">SUM(E272:AC272)</f>
        <v>217914.4</v>
      </c>
      <c r="AF272" s="36"/>
      <c r="AG272" s="36">
        <v>7422.01</v>
      </c>
      <c r="AH272" s="36"/>
      <c r="AI272" s="36">
        <v>67929.36</v>
      </c>
      <c r="AJ272" s="36"/>
      <c r="AK272" s="36">
        <v>75351.37</v>
      </c>
      <c r="AL272" s="39">
        <f>+'Gov Rev'!AI272-'Gov Exp'!AE272+'Gov Exp'!AI272-'Gov Exp'!AK272</f>
        <v>0</v>
      </c>
      <c r="AM272" s="15" t="str">
        <f>'Gov Rev'!A272</f>
        <v>Hayesville</v>
      </c>
      <c r="AN272" s="15" t="str">
        <f t="shared" si="93"/>
        <v>Hayesville</v>
      </c>
      <c r="AO272" s="15" t="b">
        <f t="shared" si="94"/>
        <v>1</v>
      </c>
    </row>
    <row r="273" spans="1:41" s="31" customFormat="1" ht="12.75">
      <c r="A273" s="15" t="s">
        <v>442</v>
      </c>
      <c r="B273" s="15"/>
      <c r="C273" s="15" t="s">
        <v>439</v>
      </c>
      <c r="D273" s="15"/>
      <c r="E273" s="36">
        <v>1685243.85</v>
      </c>
      <c r="F273" s="36"/>
      <c r="G273" s="36">
        <v>710.52</v>
      </c>
      <c r="H273" s="36"/>
      <c r="I273" s="36">
        <v>27616.45</v>
      </c>
      <c r="J273" s="36"/>
      <c r="K273" s="36">
        <v>67950.49</v>
      </c>
      <c r="L273" s="36"/>
      <c r="M273" s="36">
        <v>0</v>
      </c>
      <c r="N273" s="36"/>
      <c r="O273" s="36">
        <v>494063.37</v>
      </c>
      <c r="P273" s="36"/>
      <c r="Q273" s="36">
        <v>379332.54</v>
      </c>
      <c r="R273" s="36"/>
      <c r="S273" s="36">
        <v>197627.55</v>
      </c>
      <c r="T273" s="36"/>
      <c r="U273" s="36">
        <v>974595.69</v>
      </c>
      <c r="V273" s="36"/>
      <c r="W273" s="36">
        <v>66806.23</v>
      </c>
      <c r="X273" s="36"/>
      <c r="Y273" s="36">
        <v>1382500</v>
      </c>
      <c r="Z273" s="36"/>
      <c r="AA273" s="36">
        <v>0</v>
      </c>
      <c r="AB273" s="36"/>
      <c r="AC273" s="36">
        <v>0</v>
      </c>
      <c r="AD273" s="36"/>
      <c r="AE273" s="36">
        <f t="shared" si="110"/>
        <v>5276446.6899999995</v>
      </c>
      <c r="AF273" s="36"/>
      <c r="AG273" s="36">
        <v>41112</v>
      </c>
      <c r="AH273" s="36"/>
      <c r="AI273" s="36">
        <v>2057496.51</v>
      </c>
      <c r="AJ273" s="36"/>
      <c r="AK273" s="36">
        <v>2098608.51</v>
      </c>
      <c r="AL273" s="39">
        <f>+'Gov Rev'!AI273-'Gov Exp'!AE273+'Gov Exp'!AI273-'Gov Exp'!AK273</f>
        <v>0</v>
      </c>
      <c r="AM273" s="15" t="str">
        <f>'Gov Rev'!A273</f>
        <v>Hebron</v>
      </c>
      <c r="AN273" s="15" t="str">
        <f t="shared" si="93"/>
        <v>Hebron</v>
      </c>
      <c r="AO273" s="15" t="b">
        <f t="shared" si="94"/>
        <v>1</v>
      </c>
    </row>
    <row r="274" spans="1:41" ht="12.75">
      <c r="A274" s="15" t="s">
        <v>214</v>
      </c>
      <c r="C274" s="15" t="s">
        <v>811</v>
      </c>
      <c r="D274" s="28"/>
      <c r="E274" s="95">
        <v>4541.21</v>
      </c>
      <c r="F274" s="95"/>
      <c r="G274" s="95">
        <v>127.52</v>
      </c>
      <c r="H274" s="95"/>
      <c r="I274" s="95">
        <v>10004.41</v>
      </c>
      <c r="J274" s="95"/>
      <c r="K274" s="95">
        <v>3130.24</v>
      </c>
      <c r="L274" s="95"/>
      <c r="M274" s="95">
        <v>13453.26</v>
      </c>
      <c r="N274" s="95"/>
      <c r="O274" s="95">
        <v>3764.41</v>
      </c>
      <c r="P274" s="95"/>
      <c r="Q274" s="95">
        <v>28466.6</v>
      </c>
      <c r="R274" s="95"/>
      <c r="S274" s="95">
        <v>0</v>
      </c>
      <c r="T274" s="95"/>
      <c r="U274" s="95">
        <v>0</v>
      </c>
      <c r="V274" s="95"/>
      <c r="W274" s="95">
        <v>0</v>
      </c>
      <c r="X274" s="95"/>
      <c r="Y274" s="95">
        <v>0</v>
      </c>
      <c r="Z274" s="95"/>
      <c r="AA274" s="95">
        <v>0</v>
      </c>
      <c r="AB274" s="95"/>
      <c r="AC274" s="95">
        <v>0</v>
      </c>
      <c r="AD274" s="95"/>
      <c r="AE274" s="95">
        <f aca="true" t="shared" si="111" ref="AE274">SUM(E274:AC274)</f>
        <v>63487.65</v>
      </c>
      <c r="AF274" s="95"/>
      <c r="AG274" s="95">
        <v>10096.43</v>
      </c>
      <c r="AH274" s="95"/>
      <c r="AI274" s="95">
        <v>396878.54</v>
      </c>
      <c r="AJ274" s="95"/>
      <c r="AK274" s="95">
        <v>406974.97</v>
      </c>
      <c r="AL274" s="39">
        <f>+'Gov Rev'!AI274-'Gov Exp'!AE274+'Gov Exp'!AI274-'Gov Exp'!AK274</f>
        <v>0</v>
      </c>
      <c r="AM274" s="15" t="str">
        <f>'Gov Rev'!A274</f>
        <v>Helena</v>
      </c>
      <c r="AN274" s="15" t="str">
        <f t="shared" si="93"/>
        <v>Helena</v>
      </c>
      <c r="AO274" s="15" t="b">
        <f t="shared" si="94"/>
        <v>1</v>
      </c>
    </row>
    <row r="275" spans="1:41" s="31" customFormat="1" ht="12.6" customHeight="1">
      <c r="A275" s="15" t="s">
        <v>903</v>
      </c>
      <c r="B275" s="15"/>
      <c r="C275" s="15" t="s">
        <v>501</v>
      </c>
      <c r="D275" s="15"/>
      <c r="E275" s="94">
        <v>0</v>
      </c>
      <c r="F275" s="94"/>
      <c r="G275" s="94">
        <v>0</v>
      </c>
      <c r="H275" s="94"/>
      <c r="I275" s="94">
        <v>0</v>
      </c>
      <c r="J275" s="94"/>
      <c r="K275" s="94">
        <v>56.17</v>
      </c>
      <c r="L275" s="94"/>
      <c r="M275" s="94">
        <v>1112.96</v>
      </c>
      <c r="N275" s="94"/>
      <c r="O275" s="94">
        <v>0</v>
      </c>
      <c r="P275" s="94"/>
      <c r="Q275" s="94">
        <v>16072.64</v>
      </c>
      <c r="R275" s="94"/>
      <c r="S275" s="94">
        <v>0</v>
      </c>
      <c r="T275" s="94"/>
      <c r="U275" s="94">
        <v>0</v>
      </c>
      <c r="V275" s="94"/>
      <c r="W275" s="94">
        <v>0</v>
      </c>
      <c r="X275" s="94"/>
      <c r="Y275" s="94">
        <v>0</v>
      </c>
      <c r="Z275" s="94"/>
      <c r="AA275" s="94">
        <v>0</v>
      </c>
      <c r="AB275" s="94"/>
      <c r="AC275" s="94">
        <v>0</v>
      </c>
      <c r="AD275" s="94"/>
      <c r="AE275" s="94">
        <f aca="true" t="shared" si="112" ref="AE275:AE334">SUM(E275:AC275)</f>
        <v>17241.77</v>
      </c>
      <c r="AF275" s="24"/>
      <c r="AG275" s="24"/>
      <c r="AH275" s="24"/>
      <c r="AI275" s="24">
        <v>23342.53</v>
      </c>
      <c r="AJ275" s="24"/>
      <c r="AK275" s="24">
        <v>19292.03</v>
      </c>
      <c r="AL275" s="39">
        <f>+'Gov Rev'!AI275-'Gov Exp'!AE275+'Gov Exp'!AI275-'Gov Exp'!AK275</f>
        <v>430.22999999999956</v>
      </c>
      <c r="AM275" s="15" t="str">
        <f>'Gov Rev'!A275</f>
        <v>Hemlock</v>
      </c>
      <c r="AN275" s="15" t="str">
        <f t="shared" si="93"/>
        <v>Hemlock</v>
      </c>
      <c r="AO275" s="15" t="b">
        <f t="shared" si="94"/>
        <v>1</v>
      </c>
    </row>
    <row r="276" spans="1:41" s="31" customFormat="1" ht="12.6" customHeight="1">
      <c r="A276" s="15" t="s">
        <v>341</v>
      </c>
      <c r="B276" s="15"/>
      <c r="C276" s="15" t="s">
        <v>342</v>
      </c>
      <c r="D276" s="15"/>
      <c r="E276" s="24">
        <v>667568</v>
      </c>
      <c r="F276" s="24"/>
      <c r="G276" s="24">
        <v>25000</v>
      </c>
      <c r="H276" s="24"/>
      <c r="I276" s="24">
        <v>77159</v>
      </c>
      <c r="J276" s="24"/>
      <c r="K276" s="24">
        <v>12000</v>
      </c>
      <c r="L276" s="24"/>
      <c r="M276" s="24">
        <v>12812</v>
      </c>
      <c r="N276" s="24"/>
      <c r="O276" s="24">
        <v>117916</v>
      </c>
      <c r="P276" s="24"/>
      <c r="Q276" s="24">
        <v>398438</v>
      </c>
      <c r="R276" s="24"/>
      <c r="S276" s="24">
        <v>465747</v>
      </c>
      <c r="T276" s="24"/>
      <c r="U276" s="24">
        <v>7500</v>
      </c>
      <c r="V276" s="24"/>
      <c r="W276" s="24">
        <v>0</v>
      </c>
      <c r="X276" s="24"/>
      <c r="Y276" s="24">
        <v>40000</v>
      </c>
      <c r="Z276" s="24"/>
      <c r="AA276" s="24">
        <v>0</v>
      </c>
      <c r="AB276" s="24"/>
      <c r="AC276" s="24">
        <f>24975+4399+16487+1750+78795+729</f>
        <v>127135</v>
      </c>
      <c r="AD276" s="24"/>
      <c r="AE276" s="24">
        <f t="shared" si="112"/>
        <v>1951275</v>
      </c>
      <c r="AF276" s="24"/>
      <c r="AG276" s="24">
        <v>111480</v>
      </c>
      <c r="AH276" s="24"/>
      <c r="AI276" s="24">
        <v>3721566</v>
      </c>
      <c r="AJ276" s="24"/>
      <c r="AK276" s="24">
        <v>3833046</v>
      </c>
      <c r="AL276" s="39">
        <f>+'Gov Rev'!AI276-'Gov Exp'!AE276+'Gov Exp'!AI276-'Gov Exp'!AK276</f>
        <v>0</v>
      </c>
      <c r="AM276" s="15" t="str">
        <f>'Gov Rev'!A276</f>
        <v>Hicksville</v>
      </c>
      <c r="AN276" s="15" t="str">
        <f t="shared" si="93"/>
        <v>Hicksville</v>
      </c>
      <c r="AO276" s="15" t="b">
        <f t="shared" si="94"/>
        <v>1</v>
      </c>
    </row>
    <row r="277" spans="1:41" s="31" customFormat="1" ht="12.75" hidden="1">
      <c r="A277" s="15" t="s">
        <v>409</v>
      </c>
      <c r="B277" s="15"/>
      <c r="C277" s="15" t="s">
        <v>409</v>
      </c>
      <c r="D277" s="15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>
        <f t="shared" si="112"/>
        <v>0</v>
      </c>
      <c r="AF277" s="24"/>
      <c r="AG277" s="24"/>
      <c r="AH277" s="24"/>
      <c r="AI277" s="24"/>
      <c r="AJ277" s="24"/>
      <c r="AK277" s="24"/>
      <c r="AL277" s="39">
        <f>+'Gov Rev'!AI277-'Gov Exp'!AE277+'Gov Exp'!AI277-'Gov Exp'!AK277</f>
        <v>0</v>
      </c>
      <c r="AM277" s="15" t="str">
        <f>'Gov Rev'!A277</f>
        <v>Highland</v>
      </c>
      <c r="AN277" s="15" t="str">
        <f t="shared" si="93"/>
        <v>Highland</v>
      </c>
      <c r="AO277" s="15" t="b">
        <f t="shared" si="94"/>
        <v>1</v>
      </c>
    </row>
    <row r="278" spans="1:41" s="31" customFormat="1" ht="12.75">
      <c r="A278" s="15" t="s">
        <v>968</v>
      </c>
      <c r="B278" s="15"/>
      <c r="C278" s="15" t="s">
        <v>316</v>
      </c>
      <c r="D278" s="15"/>
      <c r="E278" s="24">
        <v>1564431</v>
      </c>
      <c r="F278" s="24"/>
      <c r="G278" s="24">
        <v>0</v>
      </c>
      <c r="H278" s="24"/>
      <c r="I278" s="24">
        <v>0</v>
      </c>
      <c r="J278" s="24"/>
      <c r="K278" s="24">
        <v>794320</v>
      </c>
      <c r="L278" s="24"/>
      <c r="M278" s="24">
        <v>81506</v>
      </c>
      <c r="N278" s="24"/>
      <c r="O278" s="24">
        <v>461703</v>
      </c>
      <c r="P278" s="24"/>
      <c r="Q278" s="24">
        <v>1011553</v>
      </c>
      <c r="R278" s="24"/>
      <c r="S278" s="24">
        <v>3844</v>
      </c>
      <c r="T278" s="24"/>
      <c r="U278" s="24">
        <v>130415</v>
      </c>
      <c r="V278" s="24"/>
      <c r="W278" s="24">
        <v>108252</v>
      </c>
      <c r="X278" s="24"/>
      <c r="Y278" s="24">
        <v>57864</v>
      </c>
      <c r="Z278" s="24"/>
      <c r="AA278" s="24">
        <v>0</v>
      </c>
      <c r="AB278" s="24"/>
      <c r="AC278" s="24">
        <v>0</v>
      </c>
      <c r="AD278" s="24"/>
      <c r="AE278" s="24">
        <f t="shared" si="112"/>
        <v>4213888</v>
      </c>
      <c r="AF278" s="24"/>
      <c r="AG278" s="24">
        <v>182830</v>
      </c>
      <c r="AH278" s="24"/>
      <c r="AI278" s="24">
        <v>34327</v>
      </c>
      <c r="AJ278" s="24"/>
      <c r="AK278" s="24">
        <v>217157</v>
      </c>
      <c r="AL278" s="39">
        <f>+'Gov Rev'!AI278-'Gov Exp'!AE278+'Gov Exp'!AI278-'Gov Exp'!AK278</f>
        <v>40</v>
      </c>
      <c r="AM278" s="15" t="str">
        <f>'Gov Rev'!A278</f>
        <v>Highland Hills</v>
      </c>
      <c r="AN278" s="15" t="str">
        <f t="shared" si="93"/>
        <v>Highland Hills</v>
      </c>
      <c r="AO278" s="15" t="b">
        <f t="shared" si="94"/>
        <v>1</v>
      </c>
    </row>
    <row r="279" spans="1:41" ht="12.75">
      <c r="A279" s="15" t="s">
        <v>225</v>
      </c>
      <c r="C279" s="15" t="s">
        <v>815</v>
      </c>
      <c r="D279" s="28"/>
      <c r="E279" s="92">
        <v>247526.13</v>
      </c>
      <c r="F279" s="92"/>
      <c r="G279" s="92">
        <v>3202</v>
      </c>
      <c r="H279" s="92"/>
      <c r="I279" s="92">
        <v>74618.53</v>
      </c>
      <c r="J279" s="92"/>
      <c r="K279" s="92">
        <v>2193.32</v>
      </c>
      <c r="L279" s="92"/>
      <c r="M279" s="92">
        <v>8779.46</v>
      </c>
      <c r="N279" s="92"/>
      <c r="O279" s="92">
        <v>13458.86</v>
      </c>
      <c r="P279" s="92"/>
      <c r="Q279" s="92">
        <v>48515.88</v>
      </c>
      <c r="R279" s="92"/>
      <c r="S279" s="92">
        <v>89010.55</v>
      </c>
      <c r="T279" s="92"/>
      <c r="U279" s="92">
        <v>0</v>
      </c>
      <c r="V279" s="92"/>
      <c r="W279" s="92">
        <v>0</v>
      </c>
      <c r="X279" s="92"/>
      <c r="Y279" s="92">
        <v>0</v>
      </c>
      <c r="Z279" s="92"/>
      <c r="AA279" s="92">
        <v>0</v>
      </c>
      <c r="AB279" s="92"/>
      <c r="AC279" s="92">
        <v>0</v>
      </c>
      <c r="AD279" s="92"/>
      <c r="AE279" s="92">
        <f aca="true" t="shared" si="113" ref="AE279">SUM(E279:AC279)</f>
        <v>487304.73000000004</v>
      </c>
      <c r="AF279" s="36"/>
      <c r="AG279" s="36">
        <v>-45314.31</v>
      </c>
      <c r="AH279" s="36"/>
      <c r="AI279" s="36">
        <v>2035908.96</v>
      </c>
      <c r="AJ279" s="36"/>
      <c r="AK279" s="36">
        <v>1990594.65</v>
      </c>
      <c r="AL279" s="39">
        <f>+'Gov Rev'!AI279-'Gov Exp'!AE279+'Gov Exp'!AI279-'Gov Exp'!AK279</f>
        <v>0</v>
      </c>
      <c r="AM279" s="15" t="str">
        <f>'Gov Rev'!A279</f>
        <v>Hills And Dales</v>
      </c>
      <c r="AN279" s="15" t="str">
        <f aca="true" t="shared" si="114" ref="AN279">A279</f>
        <v>Hills And Dales</v>
      </c>
      <c r="AO279" s="15" t="b">
        <f aca="true" t="shared" si="115" ref="AO279">AM279=AN279</f>
        <v>1</v>
      </c>
    </row>
    <row r="280" spans="1:41" s="31" customFormat="1" ht="12.75">
      <c r="A280" s="15"/>
      <c r="B280" s="15"/>
      <c r="C280" s="15"/>
      <c r="D280" s="15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83" t="s">
        <v>864</v>
      </c>
      <c r="AF280" s="24"/>
      <c r="AG280" s="24"/>
      <c r="AH280" s="24"/>
      <c r="AI280" s="24"/>
      <c r="AJ280" s="24"/>
      <c r="AK280" s="24"/>
      <c r="AL280" s="39"/>
      <c r="AM280" s="15"/>
      <c r="AN280" s="15"/>
      <c r="AO280" s="15"/>
    </row>
    <row r="281" spans="1:41" ht="12.75">
      <c r="A281" s="15" t="s">
        <v>194</v>
      </c>
      <c r="C281" s="15" t="s">
        <v>806</v>
      </c>
      <c r="D281" s="28"/>
      <c r="E281" s="94">
        <v>379795.49</v>
      </c>
      <c r="F281" s="94"/>
      <c r="G281" s="94">
        <v>203426.74</v>
      </c>
      <c r="H281" s="94"/>
      <c r="I281" s="94">
        <v>269.5</v>
      </c>
      <c r="J281" s="94"/>
      <c r="K281" s="94">
        <v>5024.83</v>
      </c>
      <c r="L281" s="94"/>
      <c r="M281" s="94">
        <v>1763.06</v>
      </c>
      <c r="N281" s="94"/>
      <c r="O281" s="94">
        <v>108993.15</v>
      </c>
      <c r="P281" s="94"/>
      <c r="Q281" s="94">
        <v>320453.67</v>
      </c>
      <c r="R281" s="94"/>
      <c r="S281" s="94">
        <v>452370.81</v>
      </c>
      <c r="T281" s="94"/>
      <c r="U281" s="94">
        <v>15342.17</v>
      </c>
      <c r="V281" s="94"/>
      <c r="W281" s="94">
        <v>3239.17</v>
      </c>
      <c r="X281" s="94"/>
      <c r="Y281" s="94">
        <v>260565.79</v>
      </c>
      <c r="Z281" s="94"/>
      <c r="AA281" s="94">
        <v>13651.2</v>
      </c>
      <c r="AB281" s="94"/>
      <c r="AC281" s="94">
        <v>0</v>
      </c>
      <c r="AD281" s="94"/>
      <c r="AE281" s="94">
        <f aca="true" t="shared" si="116" ref="AE281">SUM(E281:AC281)</f>
        <v>1764895.5799999998</v>
      </c>
      <c r="AF281" s="36"/>
      <c r="AG281" s="36">
        <v>35782.04</v>
      </c>
      <c r="AH281" s="36"/>
      <c r="AI281" s="36">
        <v>1325574.8</v>
      </c>
      <c r="AJ281" s="36"/>
      <c r="AK281" s="36">
        <v>1361356.84</v>
      </c>
      <c r="AL281" s="39">
        <f>+'Gov Rev'!AI280-'Gov Exp'!AE281+'Gov Exp'!AI281-'Gov Exp'!AK281</f>
        <v>0</v>
      </c>
      <c r="AM281" s="15" t="str">
        <f>'Gov Rev'!A280</f>
        <v>Hiram</v>
      </c>
      <c r="AN281" s="15" t="str">
        <f t="shared" si="93"/>
        <v>Hiram</v>
      </c>
      <c r="AO281" s="15" t="b">
        <f t="shared" si="94"/>
        <v>1</v>
      </c>
    </row>
    <row r="282" spans="1:41" s="31" customFormat="1" ht="12.75">
      <c r="A282" s="15" t="s">
        <v>408</v>
      </c>
      <c r="B282" s="15"/>
      <c r="C282" s="15" t="s">
        <v>407</v>
      </c>
      <c r="D282" s="15"/>
      <c r="E282" s="24">
        <v>51177.2</v>
      </c>
      <c r="F282" s="24"/>
      <c r="G282" s="24">
        <v>0</v>
      </c>
      <c r="H282" s="24"/>
      <c r="I282" s="24">
        <v>32950.19</v>
      </c>
      <c r="J282" s="24"/>
      <c r="K282" s="24">
        <v>4242.15</v>
      </c>
      <c r="L282" s="24"/>
      <c r="M282" s="24">
        <v>0</v>
      </c>
      <c r="N282" s="24"/>
      <c r="O282" s="24">
        <v>57639.16</v>
      </c>
      <c r="P282" s="24"/>
      <c r="Q282" s="24">
        <v>158554.73</v>
      </c>
      <c r="R282" s="24"/>
      <c r="S282" s="24">
        <v>9511.66</v>
      </c>
      <c r="T282" s="24"/>
      <c r="U282" s="24">
        <v>0</v>
      </c>
      <c r="V282" s="24"/>
      <c r="W282" s="24">
        <v>0</v>
      </c>
      <c r="X282" s="24"/>
      <c r="Y282" s="24">
        <v>106424.58</v>
      </c>
      <c r="Z282" s="24"/>
      <c r="AA282" s="24">
        <v>0</v>
      </c>
      <c r="AB282" s="24"/>
      <c r="AC282" s="24">
        <v>136797.85</v>
      </c>
      <c r="AD282" s="24"/>
      <c r="AE282" s="24">
        <f t="shared" si="112"/>
        <v>557297.52</v>
      </c>
      <c r="AF282" s="24"/>
      <c r="AG282" s="24">
        <v>153583.03</v>
      </c>
      <c r="AH282" s="24"/>
      <c r="AI282" s="24">
        <v>717889.92</v>
      </c>
      <c r="AJ282" s="24"/>
      <c r="AK282" s="24">
        <v>871472.95</v>
      </c>
      <c r="AL282" s="39">
        <f>+'Gov Rev'!AI281-'Gov Exp'!AE282+'Gov Exp'!AI282-'Gov Exp'!AK282</f>
        <v>0</v>
      </c>
      <c r="AM282" s="15" t="str">
        <f>'Gov Rev'!A281</f>
        <v>Holgate</v>
      </c>
      <c r="AN282" s="15" t="str">
        <f t="shared" si="93"/>
        <v>Holgate</v>
      </c>
      <c r="AO282" s="15" t="b">
        <f t="shared" si="94"/>
        <v>1</v>
      </c>
    </row>
    <row r="283" spans="1:41" s="31" customFormat="1" ht="12.75">
      <c r="A283" s="15" t="s">
        <v>945</v>
      </c>
      <c r="B283" s="15"/>
      <c r="C283" s="15" t="s">
        <v>598</v>
      </c>
      <c r="D283" s="15"/>
      <c r="E283" s="36">
        <v>0</v>
      </c>
      <c r="F283" s="36"/>
      <c r="G283" s="36">
        <v>1737</v>
      </c>
      <c r="H283" s="36"/>
      <c r="I283" s="36">
        <v>0</v>
      </c>
      <c r="J283" s="36"/>
      <c r="K283" s="36">
        <v>0</v>
      </c>
      <c r="L283" s="36"/>
      <c r="M283" s="36">
        <v>136426.06</v>
      </c>
      <c r="N283" s="36"/>
      <c r="O283" s="36">
        <v>1000</v>
      </c>
      <c r="P283" s="36"/>
      <c r="Q283" s="36">
        <v>148371.92</v>
      </c>
      <c r="R283" s="36"/>
      <c r="S283" s="36">
        <v>7178.49</v>
      </c>
      <c r="T283" s="36"/>
      <c r="U283" s="36">
        <v>87322.24</v>
      </c>
      <c r="V283" s="36"/>
      <c r="W283" s="36">
        <v>36338.68</v>
      </c>
      <c r="X283" s="36"/>
      <c r="Y283" s="36">
        <v>34803.22</v>
      </c>
      <c r="Z283" s="36"/>
      <c r="AA283" s="36">
        <v>0</v>
      </c>
      <c r="AB283" s="36"/>
      <c r="AC283" s="36">
        <v>0</v>
      </c>
      <c r="AD283" s="36"/>
      <c r="AE283" s="36">
        <f aca="true" t="shared" si="117" ref="AE283">SUM(E283:AC283)</f>
        <v>453177.61</v>
      </c>
      <c r="AF283" s="36"/>
      <c r="AG283" s="36">
        <v>77514.47</v>
      </c>
      <c r="AH283" s="36"/>
      <c r="AI283" s="36">
        <v>1188703.13</v>
      </c>
      <c r="AJ283" s="36"/>
      <c r="AK283" s="36">
        <v>1266217.6</v>
      </c>
      <c r="AL283" s="39">
        <f>+'Gov Rev'!AI282-'Gov Exp'!AE283+'Gov Exp'!AI283-'Gov Exp'!AK283</f>
        <v>0</v>
      </c>
      <c r="AM283" s="15" t="str">
        <f>'Gov Rev'!A282</f>
        <v>Holiday</v>
      </c>
      <c r="AN283" s="15" t="str">
        <f t="shared" si="93"/>
        <v>Holiday</v>
      </c>
      <c r="AO283" s="15" t="b">
        <f t="shared" si="94"/>
        <v>1</v>
      </c>
    </row>
    <row r="284" spans="1:41" s="31" customFormat="1" ht="12.75">
      <c r="A284" s="15" t="s">
        <v>454</v>
      </c>
      <c r="B284" s="15"/>
      <c r="C284" s="15" t="s">
        <v>455</v>
      </c>
      <c r="D284" s="15"/>
      <c r="E284" s="24">
        <v>951306</v>
      </c>
      <c r="F284" s="24"/>
      <c r="G284" s="24">
        <v>11104</v>
      </c>
      <c r="H284" s="24"/>
      <c r="I284" s="24">
        <v>86070</v>
      </c>
      <c r="J284" s="24"/>
      <c r="K284" s="24">
        <v>72482</v>
      </c>
      <c r="L284" s="24"/>
      <c r="M284" s="24">
        <v>48300</v>
      </c>
      <c r="N284" s="24"/>
      <c r="O284" s="24">
        <v>367561</v>
      </c>
      <c r="P284" s="24"/>
      <c r="Q284" s="24">
        <v>616446</v>
      </c>
      <c r="R284" s="24"/>
      <c r="S284" s="24">
        <v>524979</v>
      </c>
      <c r="T284" s="24"/>
      <c r="U284" s="24">
        <v>76613</v>
      </c>
      <c r="V284" s="24"/>
      <c r="W284" s="24">
        <v>4470</v>
      </c>
      <c r="X284" s="24"/>
      <c r="Y284" s="24">
        <v>1047054</v>
      </c>
      <c r="Z284" s="24"/>
      <c r="AA284" s="24">
        <v>0</v>
      </c>
      <c r="AB284" s="24"/>
      <c r="AC284" s="24">
        <v>0</v>
      </c>
      <c r="AD284" s="24"/>
      <c r="AE284" s="24">
        <f t="shared" si="112"/>
        <v>3806385</v>
      </c>
      <c r="AF284" s="24"/>
      <c r="AG284" s="24">
        <v>1324817</v>
      </c>
      <c r="AH284" s="24"/>
      <c r="AI284" s="24">
        <v>9235101</v>
      </c>
      <c r="AJ284" s="24"/>
      <c r="AK284" s="24">
        <v>10559918</v>
      </c>
      <c r="AL284" s="39">
        <f>+'Gov Rev'!AI283-'Gov Exp'!AE284+'Gov Exp'!AI284-'Gov Exp'!AK284</f>
        <v>0</v>
      </c>
      <c r="AM284" s="15" t="str">
        <f>'Gov Rev'!A283</f>
        <v>Holland</v>
      </c>
      <c r="AN284" s="15" t="str">
        <f t="shared" si="93"/>
        <v>Holland</v>
      </c>
      <c r="AO284" s="15" t="b">
        <f t="shared" si="94"/>
        <v>1</v>
      </c>
    </row>
    <row r="285" spans="1:41" s="31" customFormat="1" ht="12.6" customHeight="1">
      <c r="A285" s="15" t="s">
        <v>332</v>
      </c>
      <c r="B285" s="15"/>
      <c r="C285" s="15" t="s">
        <v>329</v>
      </c>
      <c r="D285" s="15"/>
      <c r="E285" s="24">
        <v>27608</v>
      </c>
      <c r="F285" s="24"/>
      <c r="G285" s="24">
        <v>600</v>
      </c>
      <c r="H285" s="24"/>
      <c r="I285" s="24">
        <v>909</v>
      </c>
      <c r="J285" s="24"/>
      <c r="K285" s="24">
        <v>0</v>
      </c>
      <c r="L285" s="24"/>
      <c r="M285" s="24">
        <v>17415</v>
      </c>
      <c r="N285" s="24"/>
      <c r="O285" s="24">
        <v>14288</v>
      </c>
      <c r="P285" s="24"/>
      <c r="Q285" s="24">
        <v>22967</v>
      </c>
      <c r="R285" s="24"/>
      <c r="S285" s="24">
        <v>0</v>
      </c>
      <c r="T285" s="24"/>
      <c r="U285" s="24">
        <v>0</v>
      </c>
      <c r="V285" s="24"/>
      <c r="W285" s="24">
        <v>0</v>
      </c>
      <c r="X285" s="24"/>
      <c r="Y285" s="24">
        <v>0</v>
      </c>
      <c r="Z285" s="24"/>
      <c r="AA285" s="24">
        <v>0</v>
      </c>
      <c r="AB285" s="24"/>
      <c r="AC285" s="24">
        <v>0</v>
      </c>
      <c r="AD285" s="24"/>
      <c r="AE285" s="24">
        <f t="shared" si="112"/>
        <v>83787</v>
      </c>
      <c r="AF285" s="24"/>
      <c r="AG285" s="24"/>
      <c r="AH285" s="24"/>
      <c r="AI285" s="24">
        <v>4611</v>
      </c>
      <c r="AJ285" s="24"/>
      <c r="AK285" s="24">
        <v>840</v>
      </c>
      <c r="AL285" s="39">
        <f>+'Gov Rev'!AI284-'Gov Exp'!AE285+'Gov Exp'!AI285-'Gov Exp'!AK285</f>
        <v>0</v>
      </c>
      <c r="AM285" s="15" t="str">
        <f>'Gov Rev'!A284</f>
        <v>Hollansburg</v>
      </c>
      <c r="AN285" s="15" t="str">
        <f t="shared" si="93"/>
        <v>Hollansburg</v>
      </c>
      <c r="AO285" s="15" t="b">
        <f t="shared" si="94"/>
        <v>1</v>
      </c>
    </row>
    <row r="286" spans="1:41" ht="12.75">
      <c r="A286" s="15" t="s">
        <v>17</v>
      </c>
      <c r="C286" s="15" t="s">
        <v>750</v>
      </c>
      <c r="D286" s="28"/>
      <c r="E286" s="36">
        <v>23101.53</v>
      </c>
      <c r="F286" s="36"/>
      <c r="G286" s="36">
        <v>0</v>
      </c>
      <c r="H286" s="36"/>
      <c r="I286" s="36">
        <v>0</v>
      </c>
      <c r="J286" s="36"/>
      <c r="K286" s="36">
        <v>0</v>
      </c>
      <c r="L286" s="36"/>
      <c r="M286" s="36">
        <v>4170.46</v>
      </c>
      <c r="N286" s="36"/>
      <c r="O286" s="36">
        <v>27677.13</v>
      </c>
      <c r="P286" s="36"/>
      <c r="Q286" s="36">
        <v>32377.27</v>
      </c>
      <c r="R286" s="36"/>
      <c r="S286" s="36">
        <v>244</v>
      </c>
      <c r="T286" s="36"/>
      <c r="U286" s="36">
        <v>0</v>
      </c>
      <c r="V286" s="36"/>
      <c r="W286" s="36">
        <v>0</v>
      </c>
      <c r="X286" s="36"/>
      <c r="Y286" s="36">
        <v>0</v>
      </c>
      <c r="Z286" s="36"/>
      <c r="AA286" s="36">
        <v>200</v>
      </c>
      <c r="AB286" s="36"/>
      <c r="AC286" s="36">
        <v>5105.76</v>
      </c>
      <c r="AD286" s="36"/>
      <c r="AE286" s="36">
        <f aca="true" t="shared" si="118" ref="AE286:AE289">SUM(E286:AC286)</f>
        <v>92876.15</v>
      </c>
      <c r="AF286" s="36"/>
      <c r="AG286" s="36">
        <v>-7191.97</v>
      </c>
      <c r="AH286" s="36"/>
      <c r="AI286" s="36">
        <v>95272.97</v>
      </c>
      <c r="AJ286" s="36"/>
      <c r="AK286" s="36">
        <v>88081</v>
      </c>
      <c r="AL286" s="39">
        <f>+'Gov Rev'!AI285-'Gov Exp'!AE286+'Gov Exp'!AI286-'Gov Exp'!AK286</f>
        <v>0</v>
      </c>
      <c r="AM286" s="15" t="str">
        <f>'Gov Rev'!A285</f>
        <v>Holloway</v>
      </c>
      <c r="AN286" s="15" t="str">
        <f aca="true" t="shared" si="119" ref="AN286:AN351">A286</f>
        <v>Holloway</v>
      </c>
      <c r="AO286" s="15" t="b">
        <f aca="true" t="shared" si="120" ref="AO286:AO351">AM286=AN286</f>
        <v>1</v>
      </c>
    </row>
    <row r="287" spans="1:41" ht="12.75">
      <c r="A287" s="15" t="s">
        <v>413</v>
      </c>
      <c r="C287" s="15" t="s">
        <v>412</v>
      </c>
      <c r="E287" s="36">
        <v>13511.22</v>
      </c>
      <c r="F287" s="36"/>
      <c r="G287" s="36">
        <v>1318.28</v>
      </c>
      <c r="H287" s="36"/>
      <c r="I287" s="36">
        <v>14.7</v>
      </c>
      <c r="J287" s="36"/>
      <c r="K287" s="36">
        <v>58.32</v>
      </c>
      <c r="L287" s="36"/>
      <c r="M287" s="36">
        <v>0</v>
      </c>
      <c r="N287" s="36"/>
      <c r="O287" s="36">
        <v>29725.82</v>
      </c>
      <c r="P287" s="36"/>
      <c r="Q287" s="36">
        <v>31296.62</v>
      </c>
      <c r="R287" s="36"/>
      <c r="S287" s="36">
        <v>0</v>
      </c>
      <c r="T287" s="36"/>
      <c r="U287" s="36">
        <v>0</v>
      </c>
      <c r="V287" s="36"/>
      <c r="W287" s="36">
        <v>0</v>
      </c>
      <c r="X287" s="36"/>
      <c r="Y287" s="36">
        <v>10403.1</v>
      </c>
      <c r="Z287" s="36"/>
      <c r="AA287" s="36">
        <v>0</v>
      </c>
      <c r="AB287" s="36"/>
      <c r="AC287" s="36">
        <v>0</v>
      </c>
      <c r="AD287" s="36"/>
      <c r="AE287" s="36">
        <f t="shared" si="118"/>
        <v>86328.06</v>
      </c>
      <c r="AF287" s="36"/>
      <c r="AG287" s="36">
        <v>2359.98</v>
      </c>
      <c r="AH287" s="36"/>
      <c r="AI287" s="36">
        <v>91971.88</v>
      </c>
      <c r="AJ287" s="36"/>
      <c r="AK287" s="36">
        <v>94331.86</v>
      </c>
      <c r="AL287" s="39">
        <f>+'Gov Rev'!AI286-'Gov Exp'!AE287+'Gov Exp'!AI287-'Gov Exp'!AK287</f>
        <v>0</v>
      </c>
      <c r="AM287" s="15" t="str">
        <f>'Gov Rev'!A286</f>
        <v>Holmesville</v>
      </c>
      <c r="AN287" s="15" t="str">
        <f t="shared" si="119"/>
        <v>Holmesville</v>
      </c>
      <c r="AO287" s="15" t="b">
        <f t="shared" si="120"/>
        <v>1</v>
      </c>
    </row>
    <row r="288" spans="1:41" s="31" customFormat="1" ht="12.75">
      <c r="A288" s="15" t="s">
        <v>101</v>
      </c>
      <c r="B288" s="15"/>
      <c r="C288" s="15" t="s">
        <v>776</v>
      </c>
      <c r="D288" s="28"/>
      <c r="E288" s="36">
        <v>28237.28</v>
      </c>
      <c r="F288" s="36"/>
      <c r="G288" s="36">
        <v>993.27</v>
      </c>
      <c r="H288" s="36"/>
      <c r="I288" s="36">
        <v>0</v>
      </c>
      <c r="J288" s="36"/>
      <c r="K288" s="36">
        <v>0</v>
      </c>
      <c r="L288" s="36"/>
      <c r="M288" s="36">
        <v>4530.44</v>
      </c>
      <c r="N288" s="36"/>
      <c r="O288" s="36">
        <v>96551.83</v>
      </c>
      <c r="P288" s="36"/>
      <c r="Q288" s="36">
        <v>90659.27</v>
      </c>
      <c r="R288" s="36"/>
      <c r="S288" s="36">
        <v>0</v>
      </c>
      <c r="T288" s="36"/>
      <c r="U288" s="36">
        <v>11813.46</v>
      </c>
      <c r="V288" s="36"/>
      <c r="W288" s="36">
        <v>570.7</v>
      </c>
      <c r="X288" s="36"/>
      <c r="Y288" s="36">
        <v>32050</v>
      </c>
      <c r="Z288" s="36"/>
      <c r="AA288" s="36">
        <v>1053</v>
      </c>
      <c r="AB288" s="36"/>
      <c r="AC288" s="36">
        <v>0</v>
      </c>
      <c r="AD288" s="36"/>
      <c r="AE288" s="36">
        <f t="shared" si="118"/>
        <v>266459.25</v>
      </c>
      <c r="AF288" s="36"/>
      <c r="AG288" s="36">
        <v>33173.17</v>
      </c>
      <c r="AH288" s="36"/>
      <c r="AI288" s="36">
        <v>75691.44</v>
      </c>
      <c r="AJ288" s="36"/>
      <c r="AK288" s="36">
        <v>108864.61</v>
      </c>
      <c r="AL288" s="39">
        <f>+'Gov Rev'!AI287-'Gov Exp'!AE288+'Gov Exp'!AI288-'Gov Exp'!AK288</f>
        <v>0</v>
      </c>
      <c r="AM288" s="15" t="str">
        <f>'Gov Rev'!A287</f>
        <v>Hopedale</v>
      </c>
      <c r="AN288" s="15" t="str">
        <f t="shared" si="119"/>
        <v>Hopedale</v>
      </c>
      <c r="AO288" s="15" t="b">
        <f t="shared" si="120"/>
        <v>1</v>
      </c>
    </row>
    <row r="289" spans="1:41" ht="12.75">
      <c r="A289" s="15" t="s">
        <v>257</v>
      </c>
      <c r="C289" s="15" t="s">
        <v>825</v>
      </c>
      <c r="D289" s="28"/>
      <c r="E289" s="36">
        <v>2860.84</v>
      </c>
      <c r="F289" s="36"/>
      <c r="G289" s="36">
        <v>0</v>
      </c>
      <c r="H289" s="36"/>
      <c r="I289" s="36">
        <v>1397.3</v>
      </c>
      <c r="J289" s="36"/>
      <c r="K289" s="36">
        <v>87.81</v>
      </c>
      <c r="L289" s="36"/>
      <c r="M289" s="36">
        <v>84.07</v>
      </c>
      <c r="N289" s="36"/>
      <c r="O289" s="36">
        <v>0</v>
      </c>
      <c r="P289" s="36"/>
      <c r="Q289" s="36">
        <v>26537.17</v>
      </c>
      <c r="R289" s="36"/>
      <c r="S289" s="36">
        <v>27964.1</v>
      </c>
      <c r="T289" s="36"/>
      <c r="U289" s="36">
        <v>0</v>
      </c>
      <c r="V289" s="36"/>
      <c r="W289" s="36">
        <v>0</v>
      </c>
      <c r="X289" s="36"/>
      <c r="Y289" s="36">
        <v>0</v>
      </c>
      <c r="Z289" s="36"/>
      <c r="AA289" s="36">
        <v>0</v>
      </c>
      <c r="AB289" s="36"/>
      <c r="AC289" s="36">
        <v>0</v>
      </c>
      <c r="AD289" s="36"/>
      <c r="AE289" s="36">
        <f t="shared" si="118"/>
        <v>58931.28999999999</v>
      </c>
      <c r="AF289" s="36"/>
      <c r="AG289" s="36">
        <v>4031.37</v>
      </c>
      <c r="AH289" s="36"/>
      <c r="AI289" s="36">
        <v>83629.12</v>
      </c>
      <c r="AJ289" s="36"/>
      <c r="AK289" s="36">
        <v>87660.49</v>
      </c>
      <c r="AL289" s="39">
        <f>+'Gov Rev'!AI288-'Gov Exp'!AE289+'Gov Exp'!AI289-'Gov Exp'!AK289</f>
        <v>0</v>
      </c>
      <c r="AM289" s="15" t="str">
        <f>'Gov Rev'!A288</f>
        <v>Hoytville</v>
      </c>
      <c r="AN289" s="15" t="str">
        <f t="shared" si="119"/>
        <v>Hoytville</v>
      </c>
      <c r="AO289" s="15" t="b">
        <f t="shared" si="120"/>
        <v>1</v>
      </c>
    </row>
    <row r="290" spans="1:41" s="31" customFormat="1" ht="12.6" customHeight="1">
      <c r="A290" s="15" t="s">
        <v>321</v>
      </c>
      <c r="B290" s="15"/>
      <c r="C290" s="15" t="s">
        <v>316</v>
      </c>
      <c r="D290" s="15"/>
      <c r="E290" s="24">
        <v>1679136</v>
      </c>
      <c r="F290" s="24"/>
      <c r="G290" s="24">
        <v>758</v>
      </c>
      <c r="H290" s="24"/>
      <c r="I290" s="24">
        <v>0</v>
      </c>
      <c r="J290" s="24"/>
      <c r="K290" s="24">
        <v>194986</v>
      </c>
      <c r="L290" s="24"/>
      <c r="M290" s="24">
        <v>122265</v>
      </c>
      <c r="N290" s="24"/>
      <c r="O290" s="24">
        <v>662142</v>
      </c>
      <c r="P290" s="24"/>
      <c r="Q290" s="24">
        <v>724563</v>
      </c>
      <c r="R290" s="24"/>
      <c r="S290" s="24">
        <v>574278</v>
      </c>
      <c r="T290" s="24"/>
      <c r="U290" s="24">
        <v>5750000</v>
      </c>
      <c r="V290" s="24"/>
      <c r="W290" s="24">
        <v>57340</v>
      </c>
      <c r="X290" s="24"/>
      <c r="Y290" s="24">
        <v>0</v>
      </c>
      <c r="Z290" s="24"/>
      <c r="AA290" s="24">
        <v>0</v>
      </c>
      <c r="AB290" s="24"/>
      <c r="AC290" s="24">
        <v>15836</v>
      </c>
      <c r="AD290" s="24"/>
      <c r="AE290" s="24">
        <f t="shared" si="112"/>
        <v>9781304</v>
      </c>
      <c r="AF290" s="24"/>
      <c r="AG290" s="24">
        <v>266436</v>
      </c>
      <c r="AH290" s="24"/>
      <c r="AI290" s="24">
        <v>11562963</v>
      </c>
      <c r="AJ290" s="24"/>
      <c r="AK290" s="24">
        <v>11829399</v>
      </c>
      <c r="AL290" s="39">
        <f>+'Gov Rev'!AI289-'Gov Exp'!AE290+'Gov Exp'!AI290-'Gov Exp'!AK290</f>
        <v>-1</v>
      </c>
      <c r="AM290" s="15" t="str">
        <f>'Gov Rev'!A289</f>
        <v>Hunting Valley</v>
      </c>
      <c r="AN290" s="15" t="str">
        <f t="shared" si="119"/>
        <v>Hunting Valley</v>
      </c>
      <c r="AO290" s="15" t="b">
        <f t="shared" si="120"/>
        <v>1</v>
      </c>
    </row>
    <row r="291" spans="1:41" ht="12.75">
      <c r="A291" s="15" t="s">
        <v>133</v>
      </c>
      <c r="C291" s="15" t="s">
        <v>786</v>
      </c>
      <c r="D291" s="28"/>
      <c r="E291" s="36">
        <v>76040.6</v>
      </c>
      <c r="F291" s="36"/>
      <c r="G291" s="36">
        <v>2718.65</v>
      </c>
      <c r="H291" s="36"/>
      <c r="I291" s="36">
        <v>3300.23</v>
      </c>
      <c r="J291" s="36"/>
      <c r="K291" s="36">
        <v>2895.67</v>
      </c>
      <c r="L291" s="36"/>
      <c r="M291" s="36">
        <v>1572</v>
      </c>
      <c r="N291" s="36"/>
      <c r="O291" s="36">
        <v>35132.08</v>
      </c>
      <c r="P291" s="36"/>
      <c r="Q291" s="36">
        <v>57407.43</v>
      </c>
      <c r="R291" s="36"/>
      <c r="S291" s="36">
        <v>91628.4</v>
      </c>
      <c r="T291" s="36"/>
      <c r="U291" s="36">
        <v>0</v>
      </c>
      <c r="V291" s="36"/>
      <c r="W291" s="36">
        <v>0</v>
      </c>
      <c r="X291" s="36"/>
      <c r="Y291" s="36">
        <v>0</v>
      </c>
      <c r="Z291" s="36"/>
      <c r="AA291" s="36">
        <v>0</v>
      </c>
      <c r="AB291" s="36"/>
      <c r="AC291" s="36">
        <v>1264.47</v>
      </c>
      <c r="AD291" s="36"/>
      <c r="AE291" s="36">
        <f aca="true" t="shared" si="121" ref="AE291:AE292">SUM(E291:AC291)</f>
        <v>271959.52999999997</v>
      </c>
      <c r="AF291" s="36"/>
      <c r="AG291" s="36">
        <v>6118.02</v>
      </c>
      <c r="AH291" s="36"/>
      <c r="AI291" s="36">
        <v>451890.88</v>
      </c>
      <c r="AJ291" s="36"/>
      <c r="AK291" s="36">
        <v>458008.9</v>
      </c>
      <c r="AL291" s="39">
        <f>+'Gov Rev'!AI290-'Gov Exp'!AE291+'Gov Exp'!AI291-'Gov Exp'!AK291</f>
        <v>0</v>
      </c>
      <c r="AM291" s="15" t="str">
        <f>'Gov Rev'!A290</f>
        <v>Huntsville</v>
      </c>
      <c r="AN291" s="15" t="str">
        <f t="shared" si="119"/>
        <v>Huntsville</v>
      </c>
      <c r="AO291" s="15" t="b">
        <f t="shared" si="120"/>
        <v>1</v>
      </c>
    </row>
    <row r="292" spans="1:41" ht="12.75">
      <c r="A292" s="15" t="s">
        <v>118</v>
      </c>
      <c r="C292" s="15" t="s">
        <v>781</v>
      </c>
      <c r="D292" s="28"/>
      <c r="E292" s="36">
        <v>133208.75</v>
      </c>
      <c r="F292" s="36"/>
      <c r="G292" s="36">
        <v>0</v>
      </c>
      <c r="H292" s="36"/>
      <c r="I292" s="36">
        <v>1121.79</v>
      </c>
      <c r="J292" s="36"/>
      <c r="K292" s="36">
        <v>5502.01</v>
      </c>
      <c r="L292" s="36"/>
      <c r="M292" s="36">
        <v>0</v>
      </c>
      <c r="N292" s="36"/>
      <c r="O292" s="36">
        <v>10259.77</v>
      </c>
      <c r="P292" s="36"/>
      <c r="Q292" s="36">
        <v>32400.11</v>
      </c>
      <c r="R292" s="36"/>
      <c r="S292" s="36">
        <v>520</v>
      </c>
      <c r="T292" s="36"/>
      <c r="U292" s="36">
        <v>0</v>
      </c>
      <c r="V292" s="36"/>
      <c r="W292" s="36">
        <v>0</v>
      </c>
      <c r="X292" s="36"/>
      <c r="Y292" s="36">
        <v>12101</v>
      </c>
      <c r="Z292" s="36"/>
      <c r="AA292" s="36">
        <v>0</v>
      </c>
      <c r="AB292" s="36"/>
      <c r="AC292" s="36">
        <v>0</v>
      </c>
      <c r="AD292" s="36"/>
      <c r="AE292" s="36">
        <f t="shared" si="121"/>
        <v>195113.43</v>
      </c>
      <c r="AF292" s="36"/>
      <c r="AG292" s="36">
        <v>222793.86</v>
      </c>
      <c r="AH292" s="36"/>
      <c r="AI292" s="36">
        <v>79258.17</v>
      </c>
      <c r="AJ292" s="36"/>
      <c r="AK292" s="36">
        <v>302052.03</v>
      </c>
      <c r="AL292" s="39">
        <f>+'Gov Rev'!AI291-'Gov Exp'!AE292+'Gov Exp'!AI292-'Gov Exp'!AK292</f>
        <v>0</v>
      </c>
      <c r="AM292" s="15" t="str">
        <f>'Gov Rev'!A291</f>
        <v>Irondale</v>
      </c>
      <c r="AN292" s="15" t="str">
        <f t="shared" si="119"/>
        <v>Irondale</v>
      </c>
      <c r="AO292" s="15" t="b">
        <f t="shared" si="120"/>
        <v>1</v>
      </c>
    </row>
    <row r="293" spans="1:41" s="31" customFormat="1" ht="12.6" customHeight="1">
      <c r="A293" s="15" t="s">
        <v>691</v>
      </c>
      <c r="B293" s="15"/>
      <c r="C293" s="15" t="s">
        <v>329</v>
      </c>
      <c r="D293" s="15"/>
      <c r="E293" s="24">
        <v>2598.2</v>
      </c>
      <c r="F293" s="24"/>
      <c r="G293" s="24">
        <v>0</v>
      </c>
      <c r="H293" s="24"/>
      <c r="I293" s="24">
        <v>2099</v>
      </c>
      <c r="J293" s="24"/>
      <c r="K293" s="24">
        <v>0</v>
      </c>
      <c r="L293" s="24"/>
      <c r="M293" s="24">
        <v>14988.74</v>
      </c>
      <c r="N293" s="24"/>
      <c r="O293" s="24">
        <v>4046.67</v>
      </c>
      <c r="P293" s="24"/>
      <c r="Q293" s="24">
        <v>6621.43</v>
      </c>
      <c r="R293" s="24"/>
      <c r="S293" s="24">
        <v>0</v>
      </c>
      <c r="T293" s="24"/>
      <c r="U293" s="24">
        <v>0</v>
      </c>
      <c r="V293" s="24"/>
      <c r="W293" s="24">
        <v>0</v>
      </c>
      <c r="X293" s="24"/>
      <c r="Y293" s="24">
        <v>0</v>
      </c>
      <c r="Z293" s="24"/>
      <c r="AA293" s="24">
        <v>0</v>
      </c>
      <c r="AB293" s="24"/>
      <c r="AC293" s="24">
        <v>0</v>
      </c>
      <c r="AD293" s="24"/>
      <c r="AE293" s="24">
        <f t="shared" si="112"/>
        <v>30354.04</v>
      </c>
      <c r="AF293" s="24"/>
      <c r="AG293" s="24">
        <v>-3060.72</v>
      </c>
      <c r="AH293" s="24"/>
      <c r="AI293" s="24">
        <v>0</v>
      </c>
      <c r="AJ293" s="24"/>
      <c r="AK293" s="24">
        <v>-3060.72</v>
      </c>
      <c r="AL293" s="39">
        <f>+'Gov Rev'!AI292-'Gov Exp'!AE293+'Gov Exp'!AI293-'Gov Exp'!AK293</f>
        <v>0</v>
      </c>
      <c r="AM293" s="15" t="str">
        <f>'Gov Rev'!A292</f>
        <v>Ithaca</v>
      </c>
      <c r="AN293" s="15" t="str">
        <f t="shared" si="119"/>
        <v>Ithaca</v>
      </c>
      <c r="AO293" s="15" t="b">
        <f t="shared" si="120"/>
        <v>1</v>
      </c>
    </row>
    <row r="294" spans="1:41" ht="12.75">
      <c r="A294" s="15" t="s">
        <v>223</v>
      </c>
      <c r="C294" s="15" t="s">
        <v>814</v>
      </c>
      <c r="D294" s="28"/>
      <c r="E294" s="36">
        <v>183281.87</v>
      </c>
      <c r="F294" s="36"/>
      <c r="G294" s="36">
        <v>3500</v>
      </c>
      <c r="H294" s="36"/>
      <c r="I294" s="36">
        <v>10184.44</v>
      </c>
      <c r="J294" s="36"/>
      <c r="K294" s="36">
        <v>17287.74</v>
      </c>
      <c r="L294" s="36"/>
      <c r="M294" s="36">
        <v>0</v>
      </c>
      <c r="N294" s="36"/>
      <c r="O294" s="36">
        <v>84724.04</v>
      </c>
      <c r="P294" s="36"/>
      <c r="Q294" s="36">
        <v>87010.83</v>
      </c>
      <c r="R294" s="36"/>
      <c r="S294" s="36">
        <v>516275.89</v>
      </c>
      <c r="T294" s="36"/>
      <c r="U294" s="36">
        <v>76787.52</v>
      </c>
      <c r="V294" s="36"/>
      <c r="W294" s="36">
        <v>63365.7</v>
      </c>
      <c r="X294" s="36"/>
      <c r="Y294" s="36">
        <v>715808.42</v>
      </c>
      <c r="Z294" s="36"/>
      <c r="AA294" s="36">
        <v>0</v>
      </c>
      <c r="AB294" s="36"/>
      <c r="AC294" s="36">
        <v>9244.5</v>
      </c>
      <c r="AD294" s="36"/>
      <c r="AE294" s="36">
        <f aca="true" t="shared" si="122" ref="AE294">SUM(E294:AC294)</f>
        <v>1767470.9500000002</v>
      </c>
      <c r="AF294" s="36"/>
      <c r="AG294" s="36">
        <v>178643.05</v>
      </c>
      <c r="AH294" s="36"/>
      <c r="AI294" s="36">
        <v>1071818.11</v>
      </c>
      <c r="AJ294" s="36"/>
      <c r="AK294" s="36">
        <v>1250461.16</v>
      </c>
      <c r="AL294" s="39">
        <f>+'Gov Rev'!AI293-'Gov Exp'!AE294+'Gov Exp'!AI294-'Gov Exp'!AK294</f>
        <v>0</v>
      </c>
      <c r="AM294" s="15" t="str">
        <f>'Gov Rev'!A293</f>
        <v>Jackson Center</v>
      </c>
      <c r="AN294" s="15" t="str">
        <f t="shared" si="119"/>
        <v>Jackson Center</v>
      </c>
      <c r="AO294" s="15" t="b">
        <f t="shared" si="120"/>
        <v>1</v>
      </c>
    </row>
    <row r="295" spans="1:41" ht="12.6" customHeight="1" hidden="1">
      <c r="A295" s="15" t="s">
        <v>693</v>
      </c>
      <c r="C295" s="15" t="s">
        <v>692</v>
      </c>
      <c r="AE295" s="24">
        <f t="shared" si="112"/>
        <v>0</v>
      </c>
      <c r="AF295" s="24"/>
      <c r="AG295" s="24"/>
      <c r="AH295" s="24"/>
      <c r="AI295" s="24"/>
      <c r="AJ295" s="24"/>
      <c r="AK295" s="24"/>
      <c r="AL295" s="39">
        <f>+'Gov Rev'!AI294-'Gov Exp'!AE295+'Gov Exp'!AI295-'Gov Exp'!AK295</f>
        <v>0</v>
      </c>
      <c r="AM295" s="15" t="str">
        <f>'Gov Rev'!A294</f>
        <v>Jacksonburg</v>
      </c>
      <c r="AN295" s="15" t="str">
        <f t="shared" si="119"/>
        <v>Jacksonburg</v>
      </c>
      <c r="AO295" s="15" t="b">
        <f t="shared" si="120"/>
        <v>1</v>
      </c>
    </row>
    <row r="296" spans="1:41" s="29" customFormat="1" ht="12.75">
      <c r="A296" s="24" t="s">
        <v>84</v>
      </c>
      <c r="B296" s="24"/>
      <c r="C296" s="24" t="s">
        <v>771</v>
      </c>
      <c r="D296" s="73"/>
      <c r="E296" s="36">
        <v>362596.4</v>
      </c>
      <c r="F296" s="36"/>
      <c r="G296" s="36">
        <v>3433.34</v>
      </c>
      <c r="H296" s="36"/>
      <c r="I296" s="36">
        <v>613.64</v>
      </c>
      <c r="J296" s="36"/>
      <c r="K296" s="36">
        <v>3172.24</v>
      </c>
      <c r="L296" s="36"/>
      <c r="M296" s="36">
        <v>559990.98</v>
      </c>
      <c r="N296" s="36"/>
      <c r="O296" s="36">
        <v>127894.42</v>
      </c>
      <c r="P296" s="36"/>
      <c r="Q296" s="36">
        <v>185560.12</v>
      </c>
      <c r="R296" s="36"/>
      <c r="S296" s="36">
        <v>55778.91</v>
      </c>
      <c r="T296" s="36"/>
      <c r="U296" s="36">
        <v>0</v>
      </c>
      <c r="V296" s="36"/>
      <c r="W296" s="36">
        <v>0</v>
      </c>
      <c r="X296" s="36"/>
      <c r="Y296" s="36">
        <v>60000</v>
      </c>
      <c r="Z296" s="36"/>
      <c r="AA296" s="36">
        <v>0</v>
      </c>
      <c r="AB296" s="36"/>
      <c r="AC296" s="36">
        <v>0</v>
      </c>
      <c r="AD296" s="36"/>
      <c r="AE296" s="36">
        <f aca="true" t="shared" si="123" ref="AE296">SUM(E296:AC296)</f>
        <v>1359040.05</v>
      </c>
      <c r="AF296" s="36"/>
      <c r="AG296" s="36">
        <v>86324.76</v>
      </c>
      <c r="AH296" s="36"/>
      <c r="AI296" s="36">
        <v>408688.55</v>
      </c>
      <c r="AJ296" s="36"/>
      <c r="AK296" s="36">
        <v>495013.31</v>
      </c>
      <c r="AL296" s="39">
        <f>+'Gov Rev'!AI295-'Gov Exp'!AE296+'Gov Exp'!AI296-'Gov Exp'!AK296</f>
        <v>0</v>
      </c>
      <c r="AM296" s="15" t="str">
        <f>'Gov Rev'!A295</f>
        <v>Jamestown</v>
      </c>
      <c r="AN296" s="15" t="str">
        <f t="shared" si="119"/>
        <v>Jamestown</v>
      </c>
      <c r="AO296" s="15" t="b">
        <f t="shared" si="120"/>
        <v>1</v>
      </c>
    </row>
    <row r="297" spans="1:41" s="24" customFormat="1" ht="12.6" customHeight="1">
      <c r="A297" s="24" t="s">
        <v>694</v>
      </c>
      <c r="C297" s="24" t="s">
        <v>674</v>
      </c>
      <c r="E297" s="24">
        <v>811354</v>
      </c>
      <c r="G297" s="24">
        <v>0</v>
      </c>
      <c r="I297" s="24">
        <v>310934</v>
      </c>
      <c r="K297" s="24">
        <v>11168</v>
      </c>
      <c r="M297" s="24">
        <v>77890</v>
      </c>
      <c r="O297" s="24">
        <v>760680</v>
      </c>
      <c r="Q297" s="24">
        <v>528617</v>
      </c>
      <c r="S297" s="24">
        <v>0</v>
      </c>
      <c r="U297" s="24">
        <v>0</v>
      </c>
      <c r="W297" s="24">
        <v>0</v>
      </c>
      <c r="Y297" s="24">
        <v>0</v>
      </c>
      <c r="AA297" s="24">
        <v>0</v>
      </c>
      <c r="AC297" s="24">
        <f>80014+4166</f>
        <v>84180</v>
      </c>
      <c r="AE297" s="24">
        <f t="shared" si="112"/>
        <v>2584823</v>
      </c>
      <c r="AG297" s="24">
        <v>108824</v>
      </c>
      <c r="AI297" s="24">
        <v>575843</v>
      </c>
      <c r="AK297" s="24">
        <v>684668</v>
      </c>
      <c r="AL297" s="39">
        <f>+'Gov Rev'!AI296-'Gov Exp'!AE297+'Gov Exp'!AI297-'Gov Exp'!AK297</f>
        <v>-1</v>
      </c>
      <c r="AM297" s="15" t="str">
        <f>'Gov Rev'!A296</f>
        <v xml:space="preserve">Jefferson  </v>
      </c>
      <c r="AN297" s="15" t="str">
        <f t="shared" si="119"/>
        <v xml:space="preserve">Jefferson  </v>
      </c>
      <c r="AO297" s="15" t="b">
        <f t="shared" si="120"/>
        <v>1</v>
      </c>
    </row>
    <row r="298" spans="1:41" s="31" customFormat="1" ht="12.75">
      <c r="A298" s="15" t="s">
        <v>69</v>
      </c>
      <c r="B298" s="15"/>
      <c r="C298" s="15" t="s">
        <v>767</v>
      </c>
      <c r="D298" s="28"/>
      <c r="E298" s="10">
        <v>52017</v>
      </c>
      <c r="F298" s="10"/>
      <c r="G298" s="10">
        <v>1845</v>
      </c>
      <c r="H298" s="10"/>
      <c r="I298" s="10">
        <v>39527</v>
      </c>
      <c r="J298" s="10"/>
      <c r="K298" s="10">
        <v>1424</v>
      </c>
      <c r="L298" s="10"/>
      <c r="M298" s="10">
        <v>0</v>
      </c>
      <c r="N298" s="10"/>
      <c r="O298" s="10">
        <v>42424</v>
      </c>
      <c r="P298" s="10"/>
      <c r="Q298" s="10">
        <v>456302</v>
      </c>
      <c r="R298" s="10"/>
      <c r="S298" s="10">
        <v>3958</v>
      </c>
      <c r="T298" s="10"/>
      <c r="U298" s="10">
        <v>6300</v>
      </c>
      <c r="V298" s="10"/>
      <c r="W298" s="10">
        <v>0</v>
      </c>
      <c r="X298" s="24"/>
      <c r="Y298" s="24">
        <v>0</v>
      </c>
      <c r="Z298" s="24"/>
      <c r="AA298" s="24">
        <v>0</v>
      </c>
      <c r="AB298" s="24"/>
      <c r="AC298" s="24">
        <v>0</v>
      </c>
      <c r="AD298" s="24"/>
      <c r="AE298" s="24">
        <f t="shared" si="112"/>
        <v>603797</v>
      </c>
      <c r="AF298" s="24"/>
      <c r="AG298" s="10">
        <v>18023</v>
      </c>
      <c r="AH298" s="10"/>
      <c r="AI298" s="10">
        <v>117698</v>
      </c>
      <c r="AJ298" s="10"/>
      <c r="AK298" s="10">
        <v>135721</v>
      </c>
      <c r="AL298" s="39">
        <f>+'Gov Rev'!AI297-'Gov Exp'!AE298+'Gov Exp'!AI298-'Gov Exp'!AK298</f>
        <v>0</v>
      </c>
      <c r="AM298" s="15" t="str">
        <f>'Gov Rev'!A297</f>
        <v>Jeffersonville</v>
      </c>
      <c r="AN298" s="15" t="str">
        <f t="shared" si="119"/>
        <v>Jeffersonville</v>
      </c>
      <c r="AO298" s="15" t="b">
        <f t="shared" si="120"/>
        <v>1</v>
      </c>
    </row>
    <row r="299" spans="1:41" s="31" customFormat="1" ht="12.6" customHeight="1">
      <c r="A299" s="15" t="s">
        <v>695</v>
      </c>
      <c r="B299" s="15"/>
      <c r="C299" s="15" t="s">
        <v>388</v>
      </c>
      <c r="D299" s="15"/>
      <c r="E299" s="24">
        <v>27192.79</v>
      </c>
      <c r="F299" s="24"/>
      <c r="G299" s="24">
        <v>0</v>
      </c>
      <c r="H299" s="24"/>
      <c r="I299" s="24">
        <v>9418.24</v>
      </c>
      <c r="J299" s="24"/>
      <c r="K299" s="24">
        <v>7945.24</v>
      </c>
      <c r="L299" s="24"/>
      <c r="M299" s="24">
        <v>12810.2</v>
      </c>
      <c r="N299" s="24"/>
      <c r="O299" s="24">
        <v>4392.62</v>
      </c>
      <c r="P299" s="24"/>
      <c r="Q299" s="24">
        <v>21677.44</v>
      </c>
      <c r="R299" s="24"/>
      <c r="S299" s="24">
        <v>368257.19</v>
      </c>
      <c r="T299" s="24"/>
      <c r="U299" s="24">
        <v>29190.54</v>
      </c>
      <c r="V299" s="24"/>
      <c r="W299" s="24">
        <v>33537.44</v>
      </c>
      <c r="X299" s="24"/>
      <c r="Y299" s="24">
        <v>0</v>
      </c>
      <c r="Z299" s="24"/>
      <c r="AA299" s="24">
        <v>16000</v>
      </c>
      <c r="AB299" s="24"/>
      <c r="AC299" s="24">
        <v>0</v>
      </c>
      <c r="AD299" s="24"/>
      <c r="AE299" s="24">
        <f t="shared" si="112"/>
        <v>530421.7</v>
      </c>
      <c r="AF299" s="24"/>
      <c r="AG299" s="24">
        <v>1022.4</v>
      </c>
      <c r="AH299" s="24"/>
      <c r="AI299" s="24">
        <v>83382.1</v>
      </c>
      <c r="AJ299" s="24"/>
      <c r="AK299" s="24">
        <v>84404.5</v>
      </c>
      <c r="AL299" s="39">
        <f>+'Gov Rev'!AI298-'Gov Exp'!AE299+'Gov Exp'!AI299-'Gov Exp'!AK299</f>
        <v>1.4551915228366852E-10</v>
      </c>
      <c r="AM299" s="15" t="str">
        <f>'Gov Rev'!A298</f>
        <v>Jenera</v>
      </c>
      <c r="AN299" s="15" t="str">
        <f t="shared" si="119"/>
        <v>Jenera</v>
      </c>
      <c r="AO299" s="15" t="b">
        <f t="shared" si="120"/>
        <v>1</v>
      </c>
    </row>
    <row r="300" spans="1:41" ht="12.75">
      <c r="A300" s="15" t="s">
        <v>696</v>
      </c>
      <c r="C300" s="15" t="s">
        <v>669</v>
      </c>
      <c r="D300" s="28"/>
      <c r="E300" s="24">
        <v>11234.63</v>
      </c>
      <c r="G300" s="24">
        <v>639.76</v>
      </c>
      <c r="I300" s="24">
        <v>3130.24</v>
      </c>
      <c r="K300" s="24">
        <v>0</v>
      </c>
      <c r="M300" s="24">
        <v>0</v>
      </c>
      <c r="O300" s="24">
        <v>25192.3</v>
      </c>
      <c r="Q300" s="24">
        <v>51876.32</v>
      </c>
      <c r="S300" s="24">
        <v>0</v>
      </c>
      <c r="U300" s="24">
        <v>0</v>
      </c>
      <c r="W300" s="24">
        <v>199221.33</v>
      </c>
      <c r="Y300" s="24">
        <v>0</v>
      </c>
      <c r="AA300" s="24">
        <v>0</v>
      </c>
      <c r="AC300" s="24">
        <v>5380.83</v>
      </c>
      <c r="AE300" s="24">
        <f t="shared" si="112"/>
        <v>296675.41</v>
      </c>
      <c r="AF300" s="24"/>
      <c r="AG300" s="24">
        <v>-11221.63</v>
      </c>
      <c r="AH300" s="24"/>
      <c r="AI300" s="24">
        <v>117646.26</v>
      </c>
      <c r="AJ300" s="24"/>
      <c r="AK300" s="24">
        <v>106424.63</v>
      </c>
      <c r="AL300" s="39">
        <f>+'Gov Rev'!AI299-'Gov Exp'!AE300+'Gov Exp'!AI300-'Gov Exp'!AK300</f>
        <v>0</v>
      </c>
      <c r="AM300" s="15" t="str">
        <f>'Gov Rev'!A299</f>
        <v>Jeromesville</v>
      </c>
      <c r="AN300" s="15" t="str">
        <f t="shared" si="119"/>
        <v>Jeromesville</v>
      </c>
      <c r="AO300" s="15" t="b">
        <f t="shared" si="120"/>
        <v>1</v>
      </c>
    </row>
    <row r="301" spans="1:41" s="31" customFormat="1" ht="12.75">
      <c r="A301" s="15" t="s">
        <v>697</v>
      </c>
      <c r="B301" s="15"/>
      <c r="C301" s="15" t="s">
        <v>603</v>
      </c>
      <c r="D301" s="15"/>
      <c r="E301" s="36">
        <v>12063.03</v>
      </c>
      <c r="F301" s="36"/>
      <c r="G301" s="36">
        <v>0</v>
      </c>
      <c r="H301" s="36"/>
      <c r="I301" s="36">
        <v>696.46</v>
      </c>
      <c r="J301" s="36"/>
      <c r="K301" s="36">
        <v>150</v>
      </c>
      <c r="L301" s="36"/>
      <c r="M301" s="36">
        <v>0</v>
      </c>
      <c r="N301" s="36"/>
      <c r="O301" s="36">
        <v>17495.22</v>
      </c>
      <c r="P301" s="36"/>
      <c r="Q301" s="36">
        <v>25133.72</v>
      </c>
      <c r="R301" s="36"/>
      <c r="S301" s="36">
        <v>15570.05</v>
      </c>
      <c r="T301" s="36"/>
      <c r="U301" s="36">
        <v>0</v>
      </c>
      <c r="V301" s="36"/>
      <c r="W301" s="36">
        <v>0</v>
      </c>
      <c r="X301" s="36"/>
      <c r="Y301" s="36">
        <v>0</v>
      </c>
      <c r="Z301" s="36"/>
      <c r="AA301" s="36">
        <v>0</v>
      </c>
      <c r="AB301" s="36"/>
      <c r="AC301" s="36">
        <v>0</v>
      </c>
      <c r="AD301" s="36"/>
      <c r="AE301" s="36">
        <f aca="true" t="shared" si="124" ref="AE301:AE302">SUM(E301:AC301)</f>
        <v>71108.48000000001</v>
      </c>
      <c r="AF301" s="36"/>
      <c r="AG301" s="36">
        <v>-796.87</v>
      </c>
      <c r="AH301" s="36"/>
      <c r="AI301" s="36">
        <v>128228.77</v>
      </c>
      <c r="AJ301" s="36"/>
      <c r="AK301" s="36">
        <v>127431.9</v>
      </c>
      <c r="AL301" s="39">
        <f>+'Gov Rev'!AI300-'Gov Exp'!AE301+'Gov Exp'!AI301-'Gov Exp'!AK301</f>
        <v>0</v>
      </c>
      <c r="AM301" s="15" t="str">
        <f>'Gov Rev'!A300</f>
        <v>Jerry City</v>
      </c>
      <c r="AN301" s="15" t="str">
        <f t="shared" si="119"/>
        <v>Jerry City</v>
      </c>
      <c r="AO301" s="15" t="b">
        <f t="shared" si="120"/>
        <v>1</v>
      </c>
    </row>
    <row r="302" spans="1:41" s="31" customFormat="1" ht="12.75">
      <c r="A302" s="15" t="s">
        <v>102</v>
      </c>
      <c r="B302" s="15"/>
      <c r="C302" s="15" t="s">
        <v>776</v>
      </c>
      <c r="D302" s="28"/>
      <c r="E302" s="36">
        <v>48075.12</v>
      </c>
      <c r="F302" s="36"/>
      <c r="G302" s="36">
        <v>0</v>
      </c>
      <c r="H302" s="36"/>
      <c r="I302" s="36">
        <v>23856.84</v>
      </c>
      <c r="J302" s="36"/>
      <c r="K302" s="36">
        <v>0</v>
      </c>
      <c r="L302" s="36"/>
      <c r="M302" s="36">
        <v>0</v>
      </c>
      <c r="N302" s="36"/>
      <c r="O302" s="36">
        <v>47067.05</v>
      </c>
      <c r="P302" s="36"/>
      <c r="Q302" s="36">
        <v>89634.08</v>
      </c>
      <c r="R302" s="36"/>
      <c r="S302" s="36">
        <v>7500</v>
      </c>
      <c r="T302" s="36"/>
      <c r="U302" s="36">
        <v>11510.38</v>
      </c>
      <c r="V302" s="36"/>
      <c r="W302" s="36">
        <v>1195.54</v>
      </c>
      <c r="X302" s="36"/>
      <c r="Y302" s="36">
        <v>16000</v>
      </c>
      <c r="Z302" s="36"/>
      <c r="AA302" s="36">
        <v>5000</v>
      </c>
      <c r="AB302" s="36"/>
      <c r="AC302" s="36">
        <v>990</v>
      </c>
      <c r="AD302" s="36"/>
      <c r="AE302" s="36">
        <f t="shared" si="124"/>
        <v>250829.01000000004</v>
      </c>
      <c r="AF302" s="36"/>
      <c r="AG302" s="36">
        <v>49984.94</v>
      </c>
      <c r="AH302" s="36"/>
      <c r="AI302" s="36">
        <v>137346.38</v>
      </c>
      <c r="AJ302" s="36"/>
      <c r="AK302" s="36">
        <v>187331.32</v>
      </c>
      <c r="AL302" s="39">
        <f>+'Gov Rev'!AI301-'Gov Exp'!AE302+'Gov Exp'!AI302-'Gov Exp'!AK302</f>
        <v>0</v>
      </c>
      <c r="AM302" s="15" t="str">
        <f>'Gov Rev'!A301</f>
        <v>Jewett</v>
      </c>
      <c r="AN302" s="15" t="str">
        <f t="shared" si="119"/>
        <v>Jewett</v>
      </c>
      <c r="AO302" s="15" t="b">
        <f t="shared" si="120"/>
        <v>1</v>
      </c>
    </row>
    <row r="303" spans="1:41" ht="12.75">
      <c r="A303" s="15" t="s">
        <v>131</v>
      </c>
      <c r="C303" s="15" t="s">
        <v>785</v>
      </c>
      <c r="D303" s="28"/>
      <c r="E303" s="24">
        <v>978564</v>
      </c>
      <c r="G303" s="24">
        <v>16000</v>
      </c>
      <c r="I303" s="24">
        <v>24012</v>
      </c>
      <c r="K303" s="24">
        <v>89696</v>
      </c>
      <c r="M303" s="24">
        <v>38566</v>
      </c>
      <c r="O303" s="24">
        <v>217233</v>
      </c>
      <c r="Q303" s="24">
        <v>325644</v>
      </c>
      <c r="S303" s="24">
        <v>216996</v>
      </c>
      <c r="U303" s="24">
        <v>1355312</v>
      </c>
      <c r="W303" s="24">
        <v>15492</v>
      </c>
      <c r="Y303" s="24">
        <v>413005</v>
      </c>
      <c r="AA303" s="24">
        <v>0</v>
      </c>
      <c r="AC303" s="24">
        <v>0</v>
      </c>
      <c r="AE303" s="24">
        <f t="shared" si="112"/>
        <v>3690520</v>
      </c>
      <c r="AF303" s="24"/>
      <c r="AG303" s="24">
        <v>261684</v>
      </c>
      <c r="AH303" s="24"/>
      <c r="AI303" s="24">
        <v>1309145</v>
      </c>
      <c r="AJ303" s="24"/>
      <c r="AK303" s="24">
        <v>1570829</v>
      </c>
      <c r="AL303" s="39">
        <f>+'Gov Rev'!AI302-'Gov Exp'!AE303+'Gov Exp'!AI303-'Gov Exp'!AK303</f>
        <v>-1</v>
      </c>
      <c r="AM303" s="15" t="str">
        <f>'Gov Rev'!A302</f>
        <v>Johnstown</v>
      </c>
      <c r="AN303" s="15" t="str">
        <f t="shared" si="119"/>
        <v>Johnstown</v>
      </c>
      <c r="AO303" s="15" t="b">
        <f t="shared" si="120"/>
        <v>1</v>
      </c>
    </row>
    <row r="304" spans="1:41" ht="12.75">
      <c r="A304" s="15" t="s">
        <v>698</v>
      </c>
      <c r="C304" s="15" t="s">
        <v>501</v>
      </c>
      <c r="E304" s="24">
        <v>64804</v>
      </c>
      <c r="G304" s="24">
        <v>0</v>
      </c>
      <c r="I304" s="24">
        <v>0</v>
      </c>
      <c r="K304" s="24">
        <v>0</v>
      </c>
      <c r="M304" s="24">
        <v>39334</v>
      </c>
      <c r="O304" s="24">
        <v>16267</v>
      </c>
      <c r="Q304" s="24">
        <v>92693</v>
      </c>
      <c r="S304" s="24">
        <v>0</v>
      </c>
      <c r="U304" s="24">
        <v>21430</v>
      </c>
      <c r="W304" s="24">
        <v>1291</v>
      </c>
      <c r="Y304" s="24">
        <v>0</v>
      </c>
      <c r="AA304" s="24">
        <v>0</v>
      </c>
      <c r="AC304" s="24">
        <v>0</v>
      </c>
      <c r="AE304" s="24">
        <f t="shared" si="112"/>
        <v>235819</v>
      </c>
      <c r="AF304" s="24"/>
      <c r="AG304" s="24"/>
      <c r="AH304" s="24"/>
      <c r="AI304" s="24">
        <v>419116</v>
      </c>
      <c r="AJ304" s="24"/>
      <c r="AK304" s="24">
        <v>486956</v>
      </c>
      <c r="AL304" s="39">
        <f>+'Gov Rev'!AI303-'Gov Exp'!AE304+'Gov Exp'!AI304-'Gov Exp'!AK304</f>
        <v>26712</v>
      </c>
      <c r="AM304" s="15" t="str">
        <f>'Gov Rev'!A303</f>
        <v>Junction City</v>
      </c>
      <c r="AN304" s="15" t="str">
        <f t="shared" si="119"/>
        <v>Junction City</v>
      </c>
      <c r="AO304" s="15" t="b">
        <f t="shared" si="120"/>
        <v>1</v>
      </c>
    </row>
    <row r="305" spans="1:41" ht="12.75">
      <c r="A305" s="15" t="s">
        <v>842</v>
      </c>
      <c r="C305" s="15" t="s">
        <v>808</v>
      </c>
      <c r="D305" s="28"/>
      <c r="E305" s="36">
        <v>174976.41</v>
      </c>
      <c r="F305" s="36"/>
      <c r="G305" s="36">
        <v>0</v>
      </c>
      <c r="H305" s="36"/>
      <c r="I305" s="36">
        <v>9909.44</v>
      </c>
      <c r="J305" s="36"/>
      <c r="K305" s="36">
        <v>0</v>
      </c>
      <c r="L305" s="36"/>
      <c r="M305" s="36">
        <v>2490.34</v>
      </c>
      <c r="N305" s="36"/>
      <c r="O305" s="36">
        <v>532075.49</v>
      </c>
      <c r="P305" s="36"/>
      <c r="Q305" s="36">
        <v>287460.77</v>
      </c>
      <c r="R305" s="36"/>
      <c r="S305" s="36">
        <v>29671.47</v>
      </c>
      <c r="T305" s="36"/>
      <c r="U305" s="36">
        <v>263967.53</v>
      </c>
      <c r="V305" s="36"/>
      <c r="W305" s="36">
        <v>25035.53</v>
      </c>
      <c r="X305" s="36"/>
      <c r="Y305" s="36">
        <v>379000</v>
      </c>
      <c r="Z305" s="36"/>
      <c r="AA305" s="36">
        <v>22550.53</v>
      </c>
      <c r="AB305" s="36"/>
      <c r="AC305" s="36">
        <v>0</v>
      </c>
      <c r="AD305" s="36"/>
      <c r="AE305" s="36">
        <f aca="true" t="shared" si="125" ref="AE305">SUM(E305:AC305)</f>
        <v>1727137.51</v>
      </c>
      <c r="AF305" s="36"/>
      <c r="AG305" s="36">
        <v>24359.29</v>
      </c>
      <c r="AH305" s="36"/>
      <c r="AI305" s="36">
        <v>1140026.45</v>
      </c>
      <c r="AJ305" s="36"/>
      <c r="AK305" s="36">
        <v>1164385.74</v>
      </c>
      <c r="AL305" s="39">
        <f>+'Gov Rev'!AI304-'Gov Exp'!AE305+'Gov Exp'!AI305-'Gov Exp'!AK305</f>
        <v>0</v>
      </c>
      <c r="AM305" s="15" t="str">
        <f>'Gov Rev'!A304</f>
        <v>Kalida</v>
      </c>
      <c r="AN305" s="15" t="str">
        <f t="shared" si="119"/>
        <v>Kalida</v>
      </c>
      <c r="AO305" s="15" t="b">
        <f t="shared" si="120"/>
        <v>1</v>
      </c>
    </row>
    <row r="306" spans="1:41" s="31" customFormat="1" ht="12.6" customHeight="1">
      <c r="A306" s="15" t="s">
        <v>699</v>
      </c>
      <c r="B306" s="15"/>
      <c r="C306" s="15" t="s">
        <v>348</v>
      </c>
      <c r="D306" s="15"/>
      <c r="E306" s="24">
        <v>204324.29</v>
      </c>
      <c r="F306" s="24"/>
      <c r="G306" s="24">
        <v>46817.41</v>
      </c>
      <c r="H306" s="24"/>
      <c r="I306" s="24">
        <v>0</v>
      </c>
      <c r="J306" s="24"/>
      <c r="K306" s="24">
        <v>13204.26</v>
      </c>
      <c r="L306" s="24"/>
      <c r="M306" s="24">
        <v>0</v>
      </c>
      <c r="N306" s="24"/>
      <c r="O306" s="24">
        <v>148005.35</v>
      </c>
      <c r="P306" s="24"/>
      <c r="Q306" s="24">
        <v>256782.85</v>
      </c>
      <c r="R306" s="24"/>
      <c r="S306" s="24">
        <v>277321.7</v>
      </c>
      <c r="T306" s="24"/>
      <c r="U306" s="24">
        <v>34185.25</v>
      </c>
      <c r="V306" s="24"/>
      <c r="W306" s="24">
        <v>0</v>
      </c>
      <c r="X306" s="24"/>
      <c r="Y306" s="24">
        <v>35.1</v>
      </c>
      <c r="Z306" s="24"/>
      <c r="AA306" s="24">
        <v>42000</v>
      </c>
      <c r="AB306" s="24"/>
      <c r="AC306" s="24">
        <v>10006.9</v>
      </c>
      <c r="AD306" s="24"/>
      <c r="AE306" s="24">
        <f t="shared" si="112"/>
        <v>1032683.1100000001</v>
      </c>
      <c r="AF306" s="24"/>
      <c r="AG306" s="24">
        <v>-200789.14</v>
      </c>
      <c r="AH306" s="24"/>
      <c r="AI306" s="24">
        <v>1319328.13</v>
      </c>
      <c r="AJ306" s="24"/>
      <c r="AK306" s="24">
        <v>1118538.99</v>
      </c>
      <c r="AL306" s="39">
        <f>+'Gov Rev'!AI305-'Gov Exp'!AE306+'Gov Exp'!AI306-'Gov Exp'!AK306</f>
        <v>0</v>
      </c>
      <c r="AM306" s="15" t="str">
        <f>'Gov Rev'!A305</f>
        <v>Kelley's Island</v>
      </c>
      <c r="AN306" s="15" t="str">
        <f t="shared" si="119"/>
        <v>Kelley's Island</v>
      </c>
      <c r="AO306" s="15" t="b">
        <f t="shared" si="120"/>
        <v>1</v>
      </c>
    </row>
    <row r="307" spans="1:41" s="31" customFormat="1" ht="12.75">
      <c r="A307" s="15" t="s">
        <v>700</v>
      </c>
      <c r="B307" s="15"/>
      <c r="C307" s="15" t="s">
        <v>538</v>
      </c>
      <c r="D307" s="15"/>
      <c r="E307" s="24">
        <v>3801</v>
      </c>
      <c r="F307" s="24"/>
      <c r="G307" s="24">
        <v>895</v>
      </c>
      <c r="H307" s="24"/>
      <c r="I307" s="24">
        <v>0</v>
      </c>
      <c r="J307" s="24"/>
      <c r="K307" s="24">
        <v>0</v>
      </c>
      <c r="L307" s="24"/>
      <c r="M307" s="24">
        <v>8711</v>
      </c>
      <c r="N307" s="24"/>
      <c r="O307" s="24">
        <v>6384</v>
      </c>
      <c r="P307" s="24"/>
      <c r="Q307" s="24">
        <v>11564</v>
      </c>
      <c r="R307" s="24"/>
      <c r="S307" s="24">
        <v>0</v>
      </c>
      <c r="T307" s="24"/>
      <c r="U307" s="24">
        <v>0</v>
      </c>
      <c r="V307" s="24"/>
      <c r="W307" s="24">
        <v>0</v>
      </c>
      <c r="X307" s="24"/>
      <c r="Y307" s="24">
        <v>0</v>
      </c>
      <c r="Z307" s="24"/>
      <c r="AA307" s="24">
        <v>0</v>
      </c>
      <c r="AB307" s="24"/>
      <c r="AC307" s="24">
        <v>0</v>
      </c>
      <c r="AD307" s="24"/>
      <c r="AE307" s="24">
        <f t="shared" si="112"/>
        <v>31355</v>
      </c>
      <c r="AF307" s="24"/>
      <c r="AG307" s="24">
        <v>18812</v>
      </c>
      <c r="AH307" s="24"/>
      <c r="AI307" s="24">
        <v>0</v>
      </c>
      <c r="AJ307" s="24"/>
      <c r="AK307" s="24">
        <v>18812</v>
      </c>
      <c r="AL307" s="39">
        <f>+'Gov Rev'!AI306-'Gov Exp'!AE307+'Gov Exp'!AI307-'Gov Exp'!AK307</f>
        <v>-1</v>
      </c>
      <c r="AM307" s="15" t="str">
        <f>'Gov Rev'!A306</f>
        <v>Kettersville</v>
      </c>
      <c r="AN307" s="15" t="str">
        <f t="shared" si="119"/>
        <v>Kettersville</v>
      </c>
      <c r="AO307" s="15" t="b">
        <f t="shared" si="120"/>
        <v>1</v>
      </c>
    </row>
    <row r="308" spans="1:41" ht="12.75">
      <c r="A308" s="15" t="s">
        <v>904</v>
      </c>
      <c r="C308" s="15" t="s">
        <v>412</v>
      </c>
      <c r="D308" s="28"/>
      <c r="E308" s="24">
        <v>29472</v>
      </c>
      <c r="G308" s="24">
        <v>4786</v>
      </c>
      <c r="I308" s="24">
        <v>16020</v>
      </c>
      <c r="K308" s="24">
        <v>0</v>
      </c>
      <c r="M308" s="24">
        <v>0</v>
      </c>
      <c r="O308" s="24">
        <v>78682</v>
      </c>
      <c r="Q308" s="24">
        <v>42772</v>
      </c>
      <c r="S308" s="24">
        <v>0</v>
      </c>
      <c r="U308" s="24">
        <v>0</v>
      </c>
      <c r="W308" s="24">
        <v>0</v>
      </c>
      <c r="Y308" s="24">
        <v>0</v>
      </c>
      <c r="AA308" s="24">
        <v>0</v>
      </c>
      <c r="AC308" s="24">
        <v>0</v>
      </c>
      <c r="AE308" s="24">
        <f t="shared" si="112"/>
        <v>171732</v>
      </c>
      <c r="AF308" s="24"/>
      <c r="AG308" s="24">
        <v>119676</v>
      </c>
      <c r="AH308" s="24"/>
      <c r="AI308" s="24">
        <v>118730</v>
      </c>
      <c r="AJ308" s="24"/>
      <c r="AK308" s="24">
        <v>238406</v>
      </c>
      <c r="AL308" s="39">
        <f>+'Gov Rev'!AI307-'Gov Exp'!AE308+'Gov Exp'!AI308-'Gov Exp'!AK308</f>
        <v>-1</v>
      </c>
      <c r="AM308" s="15" t="str">
        <f>'Gov Rev'!A307</f>
        <v>Killbuck</v>
      </c>
      <c r="AN308" s="15" t="str">
        <f t="shared" si="119"/>
        <v>Killbuck</v>
      </c>
      <c r="AO308" s="15" t="b">
        <f t="shared" si="120"/>
        <v>1</v>
      </c>
    </row>
    <row r="309" spans="1:41" ht="12.75">
      <c r="A309" s="15" t="s">
        <v>213</v>
      </c>
      <c r="C309" s="15" t="s">
        <v>810</v>
      </c>
      <c r="D309" s="28"/>
      <c r="E309" s="36">
        <v>8049.4</v>
      </c>
      <c r="F309" s="36"/>
      <c r="G309" s="36">
        <v>0</v>
      </c>
      <c r="H309" s="36"/>
      <c r="I309" s="36">
        <v>4948.29</v>
      </c>
      <c r="J309" s="36"/>
      <c r="K309" s="36">
        <v>2803.53</v>
      </c>
      <c r="L309" s="36"/>
      <c r="M309" s="36">
        <v>11948.3</v>
      </c>
      <c r="N309" s="36"/>
      <c r="O309" s="36">
        <v>12204</v>
      </c>
      <c r="P309" s="36"/>
      <c r="Q309" s="36">
        <v>61067.47</v>
      </c>
      <c r="R309" s="36"/>
      <c r="S309" s="36">
        <v>0</v>
      </c>
      <c r="T309" s="36"/>
      <c r="U309" s="36">
        <v>0</v>
      </c>
      <c r="V309" s="36"/>
      <c r="W309" s="36">
        <v>0</v>
      </c>
      <c r="X309" s="36"/>
      <c r="Y309" s="36">
        <v>0</v>
      </c>
      <c r="Z309" s="36"/>
      <c r="AA309" s="36">
        <v>0</v>
      </c>
      <c r="AB309" s="36"/>
      <c r="AC309" s="36">
        <v>1475</v>
      </c>
      <c r="AD309" s="36"/>
      <c r="AE309" s="36">
        <f aca="true" t="shared" si="126" ref="AE309:AE312">SUM(E309:AC309)</f>
        <v>102495.98999999999</v>
      </c>
      <c r="AF309" s="36"/>
      <c r="AG309" s="36">
        <v>49343.92</v>
      </c>
      <c r="AH309" s="36"/>
      <c r="AI309" s="36">
        <v>701182.41</v>
      </c>
      <c r="AJ309" s="36"/>
      <c r="AK309" s="36">
        <v>750526.33</v>
      </c>
      <c r="AL309" s="39">
        <f>+'Gov Rev'!AI308-'Gov Exp'!AE309+'Gov Exp'!AI309-'Gov Exp'!AK309</f>
        <v>0</v>
      </c>
      <c r="AM309" s="15" t="str">
        <f>'Gov Rev'!A308</f>
        <v>Kingston</v>
      </c>
      <c r="AN309" s="15" t="str">
        <f t="shared" si="119"/>
        <v>Kingston</v>
      </c>
      <c r="AO309" s="15" t="b">
        <f t="shared" si="120"/>
        <v>1</v>
      </c>
    </row>
    <row r="310" spans="1:41" s="31" customFormat="1" ht="12.75">
      <c r="A310" s="15" t="s">
        <v>136</v>
      </c>
      <c r="B310" s="15"/>
      <c r="C310" s="15" t="s">
        <v>787</v>
      </c>
      <c r="D310" s="28"/>
      <c r="E310" s="36">
        <v>11710.59</v>
      </c>
      <c r="F310" s="36"/>
      <c r="G310" s="36">
        <v>0</v>
      </c>
      <c r="H310" s="36"/>
      <c r="I310" s="36">
        <v>3000</v>
      </c>
      <c r="J310" s="36"/>
      <c r="K310" s="36">
        <v>0</v>
      </c>
      <c r="L310" s="36"/>
      <c r="M310" s="36">
        <v>0</v>
      </c>
      <c r="N310" s="36"/>
      <c r="O310" s="36">
        <v>22853.18</v>
      </c>
      <c r="P310" s="36"/>
      <c r="Q310" s="36">
        <v>25482.11</v>
      </c>
      <c r="R310" s="36"/>
      <c r="S310" s="36">
        <v>0</v>
      </c>
      <c r="T310" s="36"/>
      <c r="U310" s="36">
        <v>2610</v>
      </c>
      <c r="V310" s="36"/>
      <c r="W310" s="36">
        <v>838</v>
      </c>
      <c r="X310" s="36"/>
      <c r="Y310" s="36">
        <v>0</v>
      </c>
      <c r="Z310" s="36"/>
      <c r="AA310" s="36">
        <v>0</v>
      </c>
      <c r="AB310" s="36"/>
      <c r="AC310" s="36">
        <v>0</v>
      </c>
      <c r="AD310" s="36"/>
      <c r="AE310" s="36">
        <f t="shared" si="126"/>
        <v>66493.88</v>
      </c>
      <c r="AF310" s="36"/>
      <c r="AG310" s="36">
        <v>3218.79</v>
      </c>
      <c r="AH310" s="36"/>
      <c r="AI310" s="36">
        <v>52417.1</v>
      </c>
      <c r="AJ310" s="36"/>
      <c r="AK310" s="36">
        <v>55635.89</v>
      </c>
      <c r="AL310" s="39">
        <f>+'Gov Rev'!AI309-'Gov Exp'!AE310+'Gov Exp'!AI310-'Gov Exp'!AK310</f>
        <v>0</v>
      </c>
      <c r="AM310" s="15" t="str">
        <f>'Gov Rev'!A309</f>
        <v>Kipton</v>
      </c>
      <c r="AN310" s="15" t="str">
        <f t="shared" si="119"/>
        <v>Kipton</v>
      </c>
      <c r="AO310" s="15" t="b">
        <f t="shared" si="120"/>
        <v>1</v>
      </c>
    </row>
    <row r="311" spans="1:41" ht="12.75">
      <c r="A311" s="15" t="s">
        <v>265</v>
      </c>
      <c r="C311" s="15" t="s">
        <v>826</v>
      </c>
      <c r="D311" s="28"/>
      <c r="E311" s="36">
        <v>6767.75</v>
      </c>
      <c r="F311" s="36"/>
      <c r="G311" s="36">
        <v>1044.01</v>
      </c>
      <c r="H311" s="36"/>
      <c r="I311" s="36">
        <v>0</v>
      </c>
      <c r="J311" s="36"/>
      <c r="K311" s="36">
        <v>0</v>
      </c>
      <c r="L311" s="36"/>
      <c r="M311" s="36">
        <v>0</v>
      </c>
      <c r="N311" s="36"/>
      <c r="O311" s="36">
        <v>6117.4</v>
      </c>
      <c r="P311" s="36"/>
      <c r="Q311" s="36">
        <v>16148.73</v>
      </c>
      <c r="R311" s="36"/>
      <c r="S311" s="36">
        <v>0</v>
      </c>
      <c r="T311" s="36"/>
      <c r="U311" s="36">
        <v>0</v>
      </c>
      <c r="V311" s="36"/>
      <c r="W311" s="36">
        <v>0</v>
      </c>
      <c r="X311" s="36"/>
      <c r="Y311" s="36">
        <v>0</v>
      </c>
      <c r="Z311" s="36"/>
      <c r="AA311" s="36">
        <v>0</v>
      </c>
      <c r="AB311" s="36"/>
      <c r="AC311" s="36">
        <v>0</v>
      </c>
      <c r="AD311" s="36"/>
      <c r="AE311" s="36">
        <f t="shared" si="126"/>
        <v>30077.89</v>
      </c>
      <c r="AF311" s="36"/>
      <c r="AG311" s="36">
        <v>-716.14</v>
      </c>
      <c r="AH311" s="36"/>
      <c r="AI311" s="36">
        <v>76156.45</v>
      </c>
      <c r="AJ311" s="36"/>
      <c r="AK311" s="36">
        <v>75440.31</v>
      </c>
      <c r="AL311" s="39">
        <f>+'Gov Rev'!AI310-'Gov Exp'!AE311+'Gov Exp'!AI311-'Gov Exp'!AK311</f>
        <v>0</v>
      </c>
      <c r="AM311" s="15" t="str">
        <f>'Gov Rev'!A310</f>
        <v>Kirby</v>
      </c>
      <c r="AN311" s="15" t="str">
        <f t="shared" si="119"/>
        <v>Kirby</v>
      </c>
      <c r="AO311" s="15" t="b">
        <f t="shared" si="120"/>
        <v>1</v>
      </c>
    </row>
    <row r="312" spans="1:41" ht="12.75">
      <c r="A312" s="15" t="s">
        <v>701</v>
      </c>
      <c r="C312" s="15" t="s">
        <v>439</v>
      </c>
      <c r="E312" s="36">
        <v>27378.84</v>
      </c>
      <c r="F312" s="36"/>
      <c r="G312" s="36">
        <v>0</v>
      </c>
      <c r="H312" s="36"/>
      <c r="I312" s="36">
        <v>0</v>
      </c>
      <c r="J312" s="36"/>
      <c r="K312" s="36">
        <v>462.84</v>
      </c>
      <c r="L312" s="36"/>
      <c r="M312" s="36">
        <v>0</v>
      </c>
      <c r="N312" s="36"/>
      <c r="O312" s="36">
        <v>39972.09</v>
      </c>
      <c r="P312" s="36"/>
      <c r="Q312" s="36">
        <v>99968.09</v>
      </c>
      <c r="R312" s="36"/>
      <c r="S312" s="36">
        <v>0</v>
      </c>
      <c r="T312" s="36"/>
      <c r="U312" s="36">
        <v>0</v>
      </c>
      <c r="V312" s="36"/>
      <c r="W312" s="36">
        <v>0</v>
      </c>
      <c r="X312" s="36"/>
      <c r="Y312" s="36">
        <v>0</v>
      </c>
      <c r="Z312" s="36"/>
      <c r="AA312" s="36">
        <v>0</v>
      </c>
      <c r="AB312" s="36"/>
      <c r="AC312" s="36">
        <v>0</v>
      </c>
      <c r="AD312" s="36"/>
      <c r="AE312" s="36">
        <f t="shared" si="126"/>
        <v>167781.86</v>
      </c>
      <c r="AF312" s="36"/>
      <c r="AG312" s="36">
        <v>-12525.8</v>
      </c>
      <c r="AH312" s="36"/>
      <c r="AI312" s="36">
        <v>55892.75</v>
      </c>
      <c r="AJ312" s="36"/>
      <c r="AK312" s="36">
        <v>43366.95</v>
      </c>
      <c r="AL312" s="39">
        <f>+'Gov Rev'!AI311-'Gov Exp'!AE312+'Gov Exp'!AI312-'Gov Exp'!AK312</f>
        <v>0</v>
      </c>
      <c r="AM312" s="15" t="str">
        <f>'Gov Rev'!A311</f>
        <v>Kirkersville</v>
      </c>
      <c r="AN312" s="15" t="str">
        <f t="shared" si="119"/>
        <v>Kirkersville</v>
      </c>
      <c r="AO312" s="15" t="b">
        <f t="shared" si="120"/>
        <v>1</v>
      </c>
    </row>
    <row r="313" spans="1:41" s="31" customFormat="1" ht="12.75">
      <c r="A313" s="15" t="s">
        <v>921</v>
      </c>
      <c r="B313" s="15"/>
      <c r="C313" s="15" t="s">
        <v>430</v>
      </c>
      <c r="D313" s="15"/>
      <c r="E313" s="24">
        <v>1302999</v>
      </c>
      <c r="F313" s="24"/>
      <c r="G313" s="24">
        <v>17286</v>
      </c>
      <c r="H313" s="24"/>
      <c r="I313" s="24">
        <v>2534</v>
      </c>
      <c r="J313" s="24"/>
      <c r="K313" s="24">
        <v>0</v>
      </c>
      <c r="L313" s="24"/>
      <c r="M313" s="24">
        <v>68587</v>
      </c>
      <c r="N313" s="24"/>
      <c r="O313" s="24">
        <v>817210</v>
      </c>
      <c r="P313" s="24"/>
      <c r="Q313" s="24">
        <v>211455</v>
      </c>
      <c r="R313" s="24"/>
      <c r="S313" s="24">
        <v>170334</v>
      </c>
      <c r="T313" s="24"/>
      <c r="U313" s="24">
        <v>0</v>
      </c>
      <c r="V313" s="24"/>
      <c r="W313" s="24">
        <v>0</v>
      </c>
      <c r="X313" s="24"/>
      <c r="Y313" s="24">
        <v>142138</v>
      </c>
      <c r="Z313" s="24"/>
      <c r="AA313" s="24">
        <v>0</v>
      </c>
      <c r="AB313" s="24"/>
      <c r="AC313" s="24">
        <v>0</v>
      </c>
      <c r="AD313" s="24"/>
      <c r="AE313" s="24">
        <f t="shared" si="112"/>
        <v>2732543</v>
      </c>
      <c r="AF313" s="24"/>
      <c r="AG313" s="24">
        <v>-200854</v>
      </c>
      <c r="AH313" s="24"/>
      <c r="AI313" s="24">
        <v>16795030</v>
      </c>
      <c r="AJ313" s="24"/>
      <c r="AK313" s="24">
        <v>16594176</v>
      </c>
      <c r="AL313" s="39">
        <f>+'Gov Rev'!AI312-'Gov Exp'!AE313+'Gov Exp'!AI313-'Gov Exp'!AK313</f>
        <v>0</v>
      </c>
      <c r="AM313" s="15" t="str">
        <f>'Gov Rev'!A312</f>
        <v>Kirtland Hills</v>
      </c>
      <c r="AN313" s="15" t="str">
        <f t="shared" si="119"/>
        <v>Kirtland Hills</v>
      </c>
      <c r="AO313" s="15" t="b">
        <f t="shared" si="120"/>
        <v>1</v>
      </c>
    </row>
    <row r="314" spans="1:41" ht="12.75">
      <c r="A314" s="15" t="s">
        <v>5</v>
      </c>
      <c r="C314" s="15" t="s">
        <v>746</v>
      </c>
      <c r="D314" s="28"/>
      <c r="E314" s="36">
        <v>13492.56</v>
      </c>
      <c r="F314" s="36"/>
      <c r="G314" s="36">
        <v>0</v>
      </c>
      <c r="H314" s="36"/>
      <c r="I314" s="36">
        <v>0</v>
      </c>
      <c r="J314" s="36"/>
      <c r="K314" s="36">
        <v>0</v>
      </c>
      <c r="L314" s="36"/>
      <c r="M314" s="36">
        <v>4344.28</v>
      </c>
      <c r="N314" s="36"/>
      <c r="O314" s="36">
        <v>18239.92</v>
      </c>
      <c r="P314" s="36"/>
      <c r="Q314" s="36">
        <v>31598.92</v>
      </c>
      <c r="R314" s="36"/>
      <c r="S314" s="36">
        <v>1350.34</v>
      </c>
      <c r="T314" s="36"/>
      <c r="U314" s="36">
        <v>5602.64</v>
      </c>
      <c r="V314" s="36"/>
      <c r="W314" s="36">
        <v>1415.91</v>
      </c>
      <c r="X314" s="36"/>
      <c r="Y314" s="36">
        <v>4000</v>
      </c>
      <c r="Z314" s="36"/>
      <c r="AA314" s="36">
        <v>0</v>
      </c>
      <c r="AB314" s="36"/>
      <c r="AC314" s="36">
        <v>0</v>
      </c>
      <c r="AD314" s="36"/>
      <c r="AE314" s="36">
        <f aca="true" t="shared" si="127" ref="AE314:AE315">SUM(E314:AC314)</f>
        <v>80044.56999999999</v>
      </c>
      <c r="AF314" s="36"/>
      <c r="AG314" s="36">
        <v>-6373.56</v>
      </c>
      <c r="AH314" s="36"/>
      <c r="AI314" s="36">
        <v>28760.24</v>
      </c>
      <c r="AJ314" s="36"/>
      <c r="AK314" s="36">
        <v>22386.68</v>
      </c>
      <c r="AL314" s="39">
        <f>+'Gov Rev'!AI313-'Gov Exp'!AE314+'Gov Exp'!AI314-'Gov Exp'!AK314</f>
        <v>0</v>
      </c>
      <c r="AM314" s="15" t="str">
        <f>'Gov Rev'!A313</f>
        <v>Lafayette</v>
      </c>
      <c r="AN314" s="15" t="str">
        <f t="shared" si="119"/>
        <v>Lafayette</v>
      </c>
      <c r="AO314" s="15" t="b">
        <f t="shared" si="120"/>
        <v>1</v>
      </c>
    </row>
    <row r="315" spans="1:41" s="31" customFormat="1" ht="12.75">
      <c r="A315" s="15" t="s">
        <v>137</v>
      </c>
      <c r="B315" s="15"/>
      <c r="C315" s="15" t="s">
        <v>787</v>
      </c>
      <c r="D315" s="28"/>
      <c r="E315" s="36">
        <v>534875</v>
      </c>
      <c r="F315" s="36"/>
      <c r="G315" s="36">
        <v>7420.74</v>
      </c>
      <c r="H315" s="36"/>
      <c r="I315" s="36">
        <v>86881.11</v>
      </c>
      <c r="J315" s="36"/>
      <c r="K315" s="36">
        <v>45994.46</v>
      </c>
      <c r="L315" s="36"/>
      <c r="M315" s="36">
        <v>151132.67</v>
      </c>
      <c r="N315" s="36"/>
      <c r="O315" s="36">
        <v>68656.11</v>
      </c>
      <c r="P315" s="36"/>
      <c r="Q315" s="36">
        <v>407868.8</v>
      </c>
      <c r="R315" s="36"/>
      <c r="S315" s="36">
        <v>0</v>
      </c>
      <c r="T315" s="36"/>
      <c r="U315" s="36">
        <v>52272.66</v>
      </c>
      <c r="V315" s="36"/>
      <c r="W315" s="36">
        <v>1480.6</v>
      </c>
      <c r="X315" s="36"/>
      <c r="Y315" s="36">
        <v>124676.8</v>
      </c>
      <c r="Z315" s="36"/>
      <c r="AA315" s="36">
        <v>0</v>
      </c>
      <c r="AB315" s="36"/>
      <c r="AC315" s="36">
        <v>0</v>
      </c>
      <c r="AD315" s="36"/>
      <c r="AE315" s="36">
        <f t="shared" si="127"/>
        <v>1481258.95</v>
      </c>
      <c r="AF315" s="36"/>
      <c r="AG315" s="36">
        <v>94715.99</v>
      </c>
      <c r="AH315" s="36"/>
      <c r="AI315" s="36">
        <v>1225680.73</v>
      </c>
      <c r="AJ315" s="36"/>
      <c r="AK315" s="36">
        <v>1320396.72</v>
      </c>
      <c r="AL315" s="39">
        <f>+'Gov Rev'!AI314-'Gov Exp'!AE315+'Gov Exp'!AI315-'Gov Exp'!AK315</f>
        <v>0</v>
      </c>
      <c r="AM315" s="15" t="str">
        <f>'Gov Rev'!A314</f>
        <v>Lagrange</v>
      </c>
      <c r="AN315" s="15" t="str">
        <f t="shared" si="119"/>
        <v>Lagrange</v>
      </c>
      <c r="AO315" s="15" t="b">
        <f t="shared" si="120"/>
        <v>1</v>
      </c>
    </row>
    <row r="316" spans="1:41" s="31" customFormat="1" ht="12.75">
      <c r="A316" s="15" t="s">
        <v>703</v>
      </c>
      <c r="B316" s="15"/>
      <c r="C316" s="15" t="s">
        <v>430</v>
      </c>
      <c r="D316" s="15"/>
      <c r="E316" s="95">
        <v>53317.57</v>
      </c>
      <c r="F316" s="95"/>
      <c r="G316" s="95">
        <v>0</v>
      </c>
      <c r="H316" s="95"/>
      <c r="I316" s="95">
        <v>0</v>
      </c>
      <c r="J316" s="95"/>
      <c r="K316" s="95">
        <v>0</v>
      </c>
      <c r="L316" s="95"/>
      <c r="M316" s="95">
        <v>6122.8</v>
      </c>
      <c r="N316" s="95"/>
      <c r="O316" s="95">
        <v>666</v>
      </c>
      <c r="P316" s="95"/>
      <c r="Q316" s="95">
        <v>70885.8</v>
      </c>
      <c r="R316" s="95"/>
      <c r="S316" s="95">
        <v>0</v>
      </c>
      <c r="T316" s="95"/>
      <c r="U316" s="95">
        <v>16942.41</v>
      </c>
      <c r="V316" s="95"/>
      <c r="W316" s="95">
        <v>5250.07</v>
      </c>
      <c r="X316" s="95"/>
      <c r="Y316" s="95">
        <v>0</v>
      </c>
      <c r="Z316" s="95"/>
      <c r="AA316" s="95">
        <v>0</v>
      </c>
      <c r="AB316" s="95"/>
      <c r="AC316" s="95">
        <v>0</v>
      </c>
      <c r="AD316" s="95"/>
      <c r="AE316" s="95">
        <f aca="true" t="shared" si="128" ref="AE316">SUM(E316:AC316)</f>
        <v>153184.65000000002</v>
      </c>
      <c r="AF316" s="95"/>
      <c r="AG316" s="95">
        <v>-4516.05</v>
      </c>
      <c r="AH316" s="95"/>
      <c r="AI316" s="95">
        <v>255712.13</v>
      </c>
      <c r="AJ316" s="95"/>
      <c r="AK316" s="95">
        <v>251196.08</v>
      </c>
      <c r="AL316" s="39">
        <f>+'Gov Rev'!AI315-'Gov Exp'!AE316+'Gov Exp'!AI316-'Gov Exp'!AK316</f>
        <v>0</v>
      </c>
      <c r="AM316" s="15" t="str">
        <f>'Gov Rev'!A315</f>
        <v>Lakeline</v>
      </c>
      <c r="AN316" s="15" t="str">
        <f t="shared" si="119"/>
        <v>Lakeline</v>
      </c>
      <c r="AO316" s="15" t="b">
        <f t="shared" si="120"/>
        <v>1</v>
      </c>
    </row>
    <row r="317" spans="1:41" s="31" customFormat="1" ht="12.75">
      <c r="A317" s="15" t="s">
        <v>830</v>
      </c>
      <c r="B317" s="15"/>
      <c r="C317" s="15" t="s">
        <v>551</v>
      </c>
      <c r="D317" s="15"/>
      <c r="E317" s="36">
        <v>952973.27</v>
      </c>
      <c r="F317" s="36"/>
      <c r="G317" s="36">
        <v>0</v>
      </c>
      <c r="H317" s="36"/>
      <c r="I317" s="36">
        <v>8995.2</v>
      </c>
      <c r="J317" s="36"/>
      <c r="K317" s="36">
        <v>14759.99</v>
      </c>
      <c r="L317" s="36"/>
      <c r="M317" s="36">
        <v>0</v>
      </c>
      <c r="N317" s="36"/>
      <c r="O317" s="36">
        <v>218861.92</v>
      </c>
      <c r="P317" s="36"/>
      <c r="Q317" s="36">
        <v>271143.57</v>
      </c>
      <c r="R317" s="36"/>
      <c r="S317" s="36">
        <v>0</v>
      </c>
      <c r="T317" s="36"/>
      <c r="U317" s="36">
        <v>5869.91</v>
      </c>
      <c r="V317" s="36"/>
      <c r="W317" s="36">
        <v>0</v>
      </c>
      <c r="X317" s="36"/>
      <c r="Y317" s="36">
        <v>207642.73</v>
      </c>
      <c r="Z317" s="36"/>
      <c r="AA317" s="36">
        <v>0</v>
      </c>
      <c r="AB317" s="36"/>
      <c r="AC317" s="36">
        <v>12007.07</v>
      </c>
      <c r="AD317" s="36"/>
      <c r="AE317" s="36">
        <f aca="true" t="shared" si="129" ref="AE317">SUM(E317:AC317)</f>
        <v>1692253.66</v>
      </c>
      <c r="AF317" s="36"/>
      <c r="AG317" s="36">
        <v>116929.87</v>
      </c>
      <c r="AH317" s="36"/>
      <c r="AI317" s="36">
        <v>-977271.4</v>
      </c>
      <c r="AJ317" s="36"/>
      <c r="AK317" s="36">
        <v>-860341.53</v>
      </c>
      <c r="AL317" s="39">
        <f>+'Gov Rev'!AI316-'Gov Exp'!AE317+'Gov Exp'!AI317-'Gov Exp'!AK317</f>
        <v>0</v>
      </c>
      <c r="AM317" s="15" t="str">
        <f>'Gov Rev'!A316</f>
        <v>Lakemore</v>
      </c>
      <c r="AN317" s="15" t="str">
        <f t="shared" si="119"/>
        <v>Lakemore</v>
      </c>
      <c r="AO317" s="15" t="b">
        <f t="shared" si="120"/>
        <v>1</v>
      </c>
    </row>
    <row r="318" spans="1:41" s="31" customFormat="1" ht="12.75">
      <c r="A318" s="15" t="s">
        <v>702</v>
      </c>
      <c r="B318" s="15"/>
      <c r="C318" s="15" t="s">
        <v>446</v>
      </c>
      <c r="D318" s="15"/>
      <c r="E318" s="95">
        <v>79508.16</v>
      </c>
      <c r="F318" s="95"/>
      <c r="G318" s="95">
        <v>0</v>
      </c>
      <c r="H318" s="95"/>
      <c r="I318" s="95">
        <v>921.07</v>
      </c>
      <c r="J318" s="95"/>
      <c r="K318" s="95">
        <v>0</v>
      </c>
      <c r="L318" s="95"/>
      <c r="M318" s="95">
        <v>4345.31</v>
      </c>
      <c r="N318" s="95"/>
      <c r="O318" s="95">
        <v>97961.18</v>
      </c>
      <c r="P318" s="95"/>
      <c r="Q318" s="95">
        <v>283694.52</v>
      </c>
      <c r="R318" s="95"/>
      <c r="S318" s="95">
        <v>0</v>
      </c>
      <c r="T318" s="95"/>
      <c r="U318" s="95">
        <v>0</v>
      </c>
      <c r="V318" s="95"/>
      <c r="W318" s="95">
        <v>0</v>
      </c>
      <c r="X318" s="95"/>
      <c r="Y318" s="95">
        <v>0</v>
      </c>
      <c r="Z318" s="95"/>
      <c r="AA318" s="95">
        <v>0</v>
      </c>
      <c r="AB318" s="95"/>
      <c r="AC318" s="95">
        <v>0</v>
      </c>
      <c r="AD318" s="95"/>
      <c r="AE318" s="95">
        <f aca="true" t="shared" si="130" ref="AE318">SUM(E318:AC318)</f>
        <v>466430.24</v>
      </c>
      <c r="AF318" s="95"/>
      <c r="AG318" s="95">
        <v>114357.42</v>
      </c>
      <c r="AH318" s="95"/>
      <c r="AI318" s="95">
        <v>394804.26</v>
      </c>
      <c r="AJ318" s="95"/>
      <c r="AK318" s="95">
        <v>509161.68</v>
      </c>
      <c r="AL318" s="39">
        <f>+'Gov Rev'!AI317-'Gov Exp'!AE318+'Gov Exp'!AI318-'Gov Exp'!AK318</f>
        <v>0</v>
      </c>
      <c r="AM318" s="15" t="str">
        <f>'Gov Rev'!A317</f>
        <v>Lakeview</v>
      </c>
      <c r="AN318" s="15" t="str">
        <f t="shared" si="119"/>
        <v>Lakeview</v>
      </c>
      <c r="AO318" s="15" t="b">
        <f t="shared" si="120"/>
        <v>1</v>
      </c>
    </row>
    <row r="319" spans="1:41" s="31" customFormat="1" ht="12.75">
      <c r="A319" s="15" t="s">
        <v>704</v>
      </c>
      <c r="B319" s="15"/>
      <c r="C319" s="15" t="s">
        <v>463</v>
      </c>
      <c r="D319" s="15"/>
      <c r="E319" s="95">
        <v>34067.25</v>
      </c>
      <c r="F319" s="95"/>
      <c r="G319" s="95">
        <v>600.94</v>
      </c>
      <c r="H319" s="95"/>
      <c r="I319" s="95">
        <v>46338.62</v>
      </c>
      <c r="J319" s="95"/>
      <c r="K319" s="95">
        <v>0</v>
      </c>
      <c r="L319" s="95"/>
      <c r="M319" s="95">
        <v>0</v>
      </c>
      <c r="N319" s="95"/>
      <c r="O319" s="95">
        <v>79351.35</v>
      </c>
      <c r="P319" s="95"/>
      <c r="Q319" s="95">
        <v>40510.4</v>
      </c>
      <c r="R319" s="95"/>
      <c r="S319" s="95">
        <v>0</v>
      </c>
      <c r="T319" s="95"/>
      <c r="U319" s="95">
        <v>0</v>
      </c>
      <c r="V319" s="95"/>
      <c r="W319" s="95">
        <v>0</v>
      </c>
      <c r="X319" s="95"/>
      <c r="Y319" s="95">
        <v>0</v>
      </c>
      <c r="Z319" s="95"/>
      <c r="AA319" s="95">
        <v>0</v>
      </c>
      <c r="AB319" s="95"/>
      <c r="AC319" s="95">
        <v>2000</v>
      </c>
      <c r="AD319" s="95"/>
      <c r="AE319" s="95">
        <f aca="true" t="shared" si="131" ref="AE319">SUM(E319:AC319)</f>
        <v>202868.56</v>
      </c>
      <c r="AF319" s="95"/>
      <c r="AG319" s="95">
        <v>-23591.84</v>
      </c>
      <c r="AH319" s="95"/>
      <c r="AI319" s="95">
        <v>43125.56</v>
      </c>
      <c r="AJ319" s="95"/>
      <c r="AK319" s="95">
        <v>19533.72</v>
      </c>
      <c r="AL319" s="39">
        <f>+'Gov Rev'!AI318-'Gov Exp'!AE319+'Gov Exp'!AI319-'Gov Exp'!AK319</f>
        <v>2.9103830456733704E-11</v>
      </c>
      <c r="AM319" s="15" t="str">
        <f>'Gov Rev'!A318</f>
        <v>LaRue</v>
      </c>
      <c r="AN319" s="15" t="str">
        <f t="shared" si="119"/>
        <v>LaRue</v>
      </c>
      <c r="AO319" s="15" t="b">
        <f t="shared" si="120"/>
        <v>1</v>
      </c>
    </row>
    <row r="320" spans="1:41" ht="12.75">
      <c r="A320" s="15" t="s">
        <v>184</v>
      </c>
      <c r="C320" s="15" t="s">
        <v>803</v>
      </c>
      <c r="D320" s="28"/>
      <c r="E320" s="36">
        <v>9972.06</v>
      </c>
      <c r="F320" s="36"/>
      <c r="G320" s="36">
        <v>0</v>
      </c>
      <c r="H320" s="36"/>
      <c r="I320" s="36">
        <v>0</v>
      </c>
      <c r="J320" s="36"/>
      <c r="K320" s="36">
        <v>0</v>
      </c>
      <c r="L320" s="36"/>
      <c r="M320" s="36">
        <v>0</v>
      </c>
      <c r="N320" s="36"/>
      <c r="O320" s="36">
        <v>8267.04</v>
      </c>
      <c r="P320" s="36"/>
      <c r="Q320" s="36">
        <v>20942.86</v>
      </c>
      <c r="R320" s="36"/>
      <c r="S320" s="36">
        <v>881.64</v>
      </c>
      <c r="T320" s="36"/>
      <c r="U320" s="36">
        <v>0</v>
      </c>
      <c r="V320" s="36"/>
      <c r="W320" s="36">
        <v>0</v>
      </c>
      <c r="X320" s="36"/>
      <c r="Y320" s="36">
        <v>500</v>
      </c>
      <c r="Z320" s="36"/>
      <c r="AA320" s="36">
        <v>0</v>
      </c>
      <c r="AB320" s="36"/>
      <c r="AC320" s="36">
        <v>0</v>
      </c>
      <c r="AD320" s="36"/>
      <c r="AE320" s="36">
        <f aca="true" t="shared" si="132" ref="AE320:AE325">SUM(E320:AC320)</f>
        <v>40563.6</v>
      </c>
      <c r="AF320" s="36"/>
      <c r="AG320" s="36">
        <v>14960.69</v>
      </c>
      <c r="AH320" s="36"/>
      <c r="AI320" s="36">
        <v>82069.98</v>
      </c>
      <c r="AJ320" s="36"/>
      <c r="AK320" s="36">
        <v>97030.67</v>
      </c>
      <c r="AL320" s="39">
        <f>+'Gov Rev'!AI319-'Gov Exp'!AE320+'Gov Exp'!AI320-'Gov Exp'!AK320</f>
        <v>0</v>
      </c>
      <c r="AM320" s="15" t="str">
        <f>'Gov Rev'!A319</f>
        <v>Latty</v>
      </c>
      <c r="AN320" s="15" t="str">
        <f t="shared" si="119"/>
        <v>Latty</v>
      </c>
      <c r="AO320" s="15" t="b">
        <f t="shared" si="120"/>
        <v>1</v>
      </c>
    </row>
    <row r="321" spans="1:41" ht="12.75">
      <c r="A321" s="15" t="s">
        <v>162</v>
      </c>
      <c r="C321" s="15" t="s">
        <v>795</v>
      </c>
      <c r="D321" s="28"/>
      <c r="E321" s="36">
        <v>10054.13</v>
      </c>
      <c r="F321" s="36"/>
      <c r="G321" s="36">
        <v>0</v>
      </c>
      <c r="H321" s="36"/>
      <c r="I321" s="36">
        <v>2540</v>
      </c>
      <c r="J321" s="36"/>
      <c r="K321" s="36">
        <v>0</v>
      </c>
      <c r="L321" s="36"/>
      <c r="M321" s="36">
        <v>3435.77</v>
      </c>
      <c r="N321" s="36"/>
      <c r="O321" s="36">
        <v>27214.75</v>
      </c>
      <c r="P321" s="36"/>
      <c r="Q321" s="36">
        <v>22962.61</v>
      </c>
      <c r="R321" s="36"/>
      <c r="S321" s="36">
        <v>0</v>
      </c>
      <c r="T321" s="36"/>
      <c r="U321" s="36">
        <v>4643</v>
      </c>
      <c r="V321" s="36"/>
      <c r="W321" s="36">
        <v>0</v>
      </c>
      <c r="X321" s="36"/>
      <c r="Y321" s="36">
        <v>0</v>
      </c>
      <c r="Z321" s="36"/>
      <c r="AA321" s="36">
        <v>5013.16</v>
      </c>
      <c r="AB321" s="36"/>
      <c r="AC321" s="36">
        <v>1886.73</v>
      </c>
      <c r="AD321" s="36"/>
      <c r="AE321" s="36">
        <f t="shared" si="132"/>
        <v>77750.15000000001</v>
      </c>
      <c r="AF321" s="36"/>
      <c r="AG321" s="36">
        <v>3155.99</v>
      </c>
      <c r="AH321" s="36"/>
      <c r="AI321" s="36">
        <v>119960.73</v>
      </c>
      <c r="AJ321" s="36"/>
      <c r="AK321" s="36">
        <v>123116.72</v>
      </c>
      <c r="AL321" s="39">
        <f>+'Gov Rev'!AI321-'Gov Exp'!AE321+'Gov Exp'!AI321-'Gov Exp'!AK321</f>
        <v>0</v>
      </c>
      <c r="AM321" s="15" t="str">
        <f>'Gov Rev'!A321</f>
        <v>Laura</v>
      </c>
      <c r="AN321" s="15" t="str">
        <f t="shared" si="119"/>
        <v>Laura</v>
      </c>
      <c r="AO321" s="15" t="b">
        <f t="shared" si="120"/>
        <v>1</v>
      </c>
    </row>
    <row r="322" spans="1:41" s="31" customFormat="1" ht="12.75">
      <c r="A322" s="15" t="s">
        <v>111</v>
      </c>
      <c r="B322" s="15"/>
      <c r="C322" s="15" t="s">
        <v>779</v>
      </c>
      <c r="D322" s="28"/>
      <c r="E322" s="36">
        <v>145046.59</v>
      </c>
      <c r="F322" s="36"/>
      <c r="G322" s="36">
        <v>0</v>
      </c>
      <c r="H322" s="36"/>
      <c r="I322" s="36">
        <v>1106.84</v>
      </c>
      <c r="J322" s="36"/>
      <c r="K322" s="36">
        <v>1663.06</v>
      </c>
      <c r="L322" s="36"/>
      <c r="M322" s="36">
        <v>12785.38</v>
      </c>
      <c r="N322" s="36"/>
      <c r="O322" s="36">
        <v>19776.21</v>
      </c>
      <c r="P322" s="36"/>
      <c r="Q322" s="36">
        <v>38531.44</v>
      </c>
      <c r="R322" s="36"/>
      <c r="S322" s="36">
        <v>0</v>
      </c>
      <c r="T322" s="36"/>
      <c r="U322" s="36">
        <v>29034.8</v>
      </c>
      <c r="V322" s="36"/>
      <c r="W322" s="36">
        <v>2901.87</v>
      </c>
      <c r="X322" s="36"/>
      <c r="Y322" s="36">
        <v>0</v>
      </c>
      <c r="Z322" s="36"/>
      <c r="AA322" s="36">
        <v>0</v>
      </c>
      <c r="AB322" s="36"/>
      <c r="AC322" s="36">
        <v>0</v>
      </c>
      <c r="AD322" s="36"/>
      <c r="AE322" s="36">
        <f t="shared" si="132"/>
        <v>250846.18999999997</v>
      </c>
      <c r="AF322" s="36"/>
      <c r="AG322" s="36">
        <v>38089.1</v>
      </c>
      <c r="AH322" s="36"/>
      <c r="AI322" s="36">
        <v>134980.17</v>
      </c>
      <c r="AJ322" s="36"/>
      <c r="AK322" s="36">
        <v>173069.27</v>
      </c>
      <c r="AL322" s="39">
        <f>+'Gov Rev'!AI322-'Gov Exp'!AE322+'Gov Exp'!AI322-'Gov Exp'!AK322</f>
        <v>0</v>
      </c>
      <c r="AM322" s="15" t="str">
        <f>'Gov Rev'!A322</f>
        <v>Laurelville</v>
      </c>
      <c r="AN322" s="15" t="str">
        <f t="shared" si="119"/>
        <v>Laurelville</v>
      </c>
      <c r="AO322" s="15" t="b">
        <f t="shared" si="120"/>
        <v>1</v>
      </c>
    </row>
    <row r="323" spans="1:41" s="31" customFormat="1" ht="12.75">
      <c r="A323" s="15" t="s">
        <v>946</v>
      </c>
      <c r="B323" s="15"/>
      <c r="C323" s="15" t="s">
        <v>409</v>
      </c>
      <c r="D323" s="28"/>
      <c r="E323" s="36">
        <v>260227.98</v>
      </c>
      <c r="F323" s="36"/>
      <c r="G323" s="36">
        <v>0</v>
      </c>
      <c r="H323" s="36"/>
      <c r="I323" s="36">
        <v>0</v>
      </c>
      <c r="J323" s="36"/>
      <c r="K323" s="36">
        <v>0</v>
      </c>
      <c r="L323" s="36"/>
      <c r="M323" s="36">
        <v>0</v>
      </c>
      <c r="N323" s="36"/>
      <c r="O323" s="36">
        <v>68751.13</v>
      </c>
      <c r="P323" s="36"/>
      <c r="Q323" s="36">
        <v>153067.5</v>
      </c>
      <c r="R323" s="36"/>
      <c r="S323" s="36">
        <v>256559.61</v>
      </c>
      <c r="T323" s="36"/>
      <c r="U323" s="36">
        <v>0</v>
      </c>
      <c r="V323" s="36"/>
      <c r="W323" s="36">
        <v>0</v>
      </c>
      <c r="X323" s="36"/>
      <c r="Y323" s="36">
        <v>2781.1</v>
      </c>
      <c r="Z323" s="36"/>
      <c r="AA323" s="36">
        <v>0</v>
      </c>
      <c r="AB323" s="36"/>
      <c r="AC323" s="36">
        <v>37358.31</v>
      </c>
      <c r="AD323" s="36"/>
      <c r="AE323" s="36">
        <f t="shared" si="132"/>
        <v>778745.6299999999</v>
      </c>
      <c r="AF323" s="36"/>
      <c r="AG323" s="36">
        <v>-7366.79</v>
      </c>
      <c r="AH323" s="36"/>
      <c r="AI323" s="36">
        <v>870846.32</v>
      </c>
      <c r="AJ323" s="36"/>
      <c r="AK323" s="36">
        <v>863479.53</v>
      </c>
      <c r="AL323" s="39">
        <f>+'Gov Rev'!AI323-'Gov Exp'!AE323+'Gov Exp'!AI323-'Gov Exp'!AK323</f>
        <v>0</v>
      </c>
      <c r="AM323" s="15" t="str">
        <f>'Gov Rev'!A323</f>
        <v>Leesburg</v>
      </c>
      <c r="AN323" s="15" t="str">
        <f t="shared" si="119"/>
        <v>Leesburg</v>
      </c>
      <c r="AO323" s="15" t="b">
        <f t="shared" si="120"/>
        <v>1</v>
      </c>
    </row>
    <row r="324" spans="1:41" ht="12.75">
      <c r="A324" s="15" t="s">
        <v>29</v>
      </c>
      <c r="C324" s="15" t="s">
        <v>753</v>
      </c>
      <c r="D324" s="28"/>
      <c r="E324" s="36">
        <v>7270.75</v>
      </c>
      <c r="F324" s="36"/>
      <c r="G324" s="36">
        <v>1076.14</v>
      </c>
      <c r="H324" s="36"/>
      <c r="I324" s="36">
        <v>281.07</v>
      </c>
      <c r="J324" s="36"/>
      <c r="K324" s="36">
        <v>1130</v>
      </c>
      <c r="L324" s="36"/>
      <c r="M324" s="36">
        <v>0</v>
      </c>
      <c r="N324" s="36"/>
      <c r="O324" s="36">
        <v>6025.57</v>
      </c>
      <c r="P324" s="36"/>
      <c r="Q324" s="36">
        <v>11095.13</v>
      </c>
      <c r="R324" s="36"/>
      <c r="S324" s="36">
        <v>0</v>
      </c>
      <c r="T324" s="36"/>
      <c r="U324" s="36">
        <v>0</v>
      </c>
      <c r="V324" s="36"/>
      <c r="W324" s="36">
        <v>0</v>
      </c>
      <c r="X324" s="36"/>
      <c r="Y324" s="36">
        <v>0</v>
      </c>
      <c r="Z324" s="36"/>
      <c r="AA324" s="36">
        <v>0</v>
      </c>
      <c r="AB324" s="36"/>
      <c r="AC324" s="36">
        <v>0</v>
      </c>
      <c r="AD324" s="36"/>
      <c r="AE324" s="36">
        <f t="shared" si="132"/>
        <v>26878.659999999996</v>
      </c>
      <c r="AF324" s="36"/>
      <c r="AG324" s="36">
        <v>7889.6</v>
      </c>
      <c r="AH324" s="36"/>
      <c r="AI324" s="36">
        <v>57590.12</v>
      </c>
      <c r="AJ324" s="36"/>
      <c r="AK324" s="36">
        <v>65479.72</v>
      </c>
      <c r="AL324" s="39">
        <f>+'Gov Rev'!AI324-'Gov Exp'!AE324+'Gov Exp'!AI324-'Gov Exp'!AK324</f>
        <v>0</v>
      </c>
      <c r="AM324" s="15" t="str">
        <f>'Gov Rev'!A324</f>
        <v>Leesville</v>
      </c>
      <c r="AN324" s="15" t="str">
        <f t="shared" si="119"/>
        <v>Leesville</v>
      </c>
      <c r="AO324" s="15" t="b">
        <f t="shared" si="120"/>
        <v>1</v>
      </c>
    </row>
    <row r="325" spans="1:41" s="31" customFormat="1" ht="12.75">
      <c r="A325" s="15" t="s">
        <v>43</v>
      </c>
      <c r="B325" s="15"/>
      <c r="C325" s="15" t="s">
        <v>758</v>
      </c>
      <c r="D325" s="28"/>
      <c r="E325" s="36">
        <v>511652.68</v>
      </c>
      <c r="F325" s="36"/>
      <c r="G325" s="36">
        <v>48379.31</v>
      </c>
      <c r="H325" s="36"/>
      <c r="I325" s="36">
        <v>19210.35</v>
      </c>
      <c r="J325" s="36"/>
      <c r="K325" s="36">
        <v>0</v>
      </c>
      <c r="L325" s="36"/>
      <c r="M325" s="36">
        <v>22000</v>
      </c>
      <c r="N325" s="36"/>
      <c r="O325" s="36">
        <v>148851.21</v>
      </c>
      <c r="P325" s="36"/>
      <c r="Q325" s="36">
        <v>177646.75</v>
      </c>
      <c r="R325" s="36"/>
      <c r="S325" s="36">
        <v>576356.48</v>
      </c>
      <c r="T325" s="36"/>
      <c r="U325" s="36">
        <v>42050</v>
      </c>
      <c r="V325" s="36"/>
      <c r="W325" s="36">
        <v>7070.59</v>
      </c>
      <c r="X325" s="36"/>
      <c r="Y325" s="36">
        <v>489416.27</v>
      </c>
      <c r="Z325" s="36"/>
      <c r="AA325" s="36">
        <v>100203.65</v>
      </c>
      <c r="AB325" s="36"/>
      <c r="AC325" s="36">
        <v>0</v>
      </c>
      <c r="AD325" s="36"/>
      <c r="AE325" s="36">
        <f t="shared" si="132"/>
        <v>2142837.29</v>
      </c>
      <c r="AF325" s="36"/>
      <c r="AG325" s="36">
        <v>52887.47</v>
      </c>
      <c r="AH325" s="36"/>
      <c r="AI325" s="36">
        <v>398675.8</v>
      </c>
      <c r="AJ325" s="36"/>
      <c r="AK325" s="36">
        <v>451563.27</v>
      </c>
      <c r="AL325" s="39">
        <f>+'Gov Rev'!AI325-'Gov Exp'!AE325+'Gov Exp'!AI325-'Gov Exp'!AK325</f>
        <v>0</v>
      </c>
      <c r="AM325" s="15" t="str">
        <f>'Gov Rev'!A325</f>
        <v>Leetonia</v>
      </c>
      <c r="AN325" s="15" t="str">
        <f t="shared" si="119"/>
        <v>Leetonia</v>
      </c>
      <c r="AO325" s="15" t="b">
        <f t="shared" si="120"/>
        <v>1</v>
      </c>
    </row>
    <row r="326" spans="1:41" ht="12.75">
      <c r="A326" s="15" t="s">
        <v>905</v>
      </c>
      <c r="C326" s="15" t="s">
        <v>514</v>
      </c>
      <c r="E326" s="24">
        <v>334353</v>
      </c>
      <c r="G326" s="24">
        <v>1019</v>
      </c>
      <c r="I326" s="24">
        <v>119014</v>
      </c>
      <c r="K326" s="24">
        <v>13892</v>
      </c>
      <c r="M326" s="24">
        <v>1140</v>
      </c>
      <c r="O326" s="24">
        <v>209941</v>
      </c>
      <c r="Q326" s="24">
        <v>421524</v>
      </c>
      <c r="S326" s="24">
        <v>28815</v>
      </c>
      <c r="U326" s="24">
        <v>2260457</v>
      </c>
      <c r="W326" s="24">
        <v>629794</v>
      </c>
      <c r="Y326" s="24">
        <v>2031614</v>
      </c>
      <c r="AA326" s="24">
        <v>0</v>
      </c>
      <c r="AC326" s="24">
        <v>146219</v>
      </c>
      <c r="AE326" s="24">
        <f t="shared" si="112"/>
        <v>6197782</v>
      </c>
      <c r="AF326" s="24"/>
      <c r="AG326" s="24">
        <v>2835510</v>
      </c>
      <c r="AH326" s="24"/>
      <c r="AI326" s="24">
        <v>402951</v>
      </c>
      <c r="AJ326" s="24"/>
      <c r="AK326" s="24">
        <v>3238461</v>
      </c>
      <c r="AL326" s="39">
        <f>+'Gov Rev'!AI326-'Gov Exp'!AE326+'Gov Exp'!AI326-'Gov Exp'!AK326</f>
        <v>0</v>
      </c>
      <c r="AM326" s="15" t="str">
        <f>'Gov Rev'!A326</f>
        <v>Leipsic</v>
      </c>
      <c r="AN326" s="15" t="str">
        <f t="shared" si="119"/>
        <v>Leipsic</v>
      </c>
      <c r="AO326" s="15" t="b">
        <f t="shared" si="120"/>
        <v>1</v>
      </c>
    </row>
    <row r="327" spans="1:41" ht="12.75">
      <c r="A327" s="15" t="s">
        <v>509</v>
      </c>
      <c r="C327" s="15" t="s">
        <v>510</v>
      </c>
      <c r="E327" s="24">
        <v>788306.02</v>
      </c>
      <c r="G327" s="24">
        <v>0</v>
      </c>
      <c r="I327" s="24">
        <v>33761.25</v>
      </c>
      <c r="K327" s="24">
        <v>7619.56</v>
      </c>
      <c r="M327" s="24">
        <v>0</v>
      </c>
      <c r="O327" s="24">
        <v>157144.62</v>
      </c>
      <c r="Q327" s="24">
        <v>280234.77</v>
      </c>
      <c r="S327" s="24">
        <v>652990</v>
      </c>
      <c r="U327" s="24">
        <v>79213.82</v>
      </c>
      <c r="W327" s="24">
        <v>13829.17</v>
      </c>
      <c r="Y327" s="24">
        <v>464699.45</v>
      </c>
      <c r="AA327" s="24">
        <v>0</v>
      </c>
      <c r="AC327" s="24">
        <v>0</v>
      </c>
      <c r="AE327" s="24">
        <f t="shared" si="112"/>
        <v>2477798.66</v>
      </c>
      <c r="AF327" s="24"/>
      <c r="AG327" s="24">
        <v>109026.77</v>
      </c>
      <c r="AH327" s="24"/>
      <c r="AI327" s="24">
        <v>856853.15</v>
      </c>
      <c r="AJ327" s="24"/>
      <c r="AK327" s="24">
        <v>965879.92</v>
      </c>
      <c r="AL327" s="39">
        <f>+'Gov Rev'!AI327-'Gov Exp'!AE327+'Gov Exp'!AI327-'Gov Exp'!AK327</f>
        <v>0</v>
      </c>
      <c r="AM327" s="15" t="str">
        <f>'Gov Rev'!A327</f>
        <v>Lewisburg</v>
      </c>
      <c r="AN327" s="15" t="str">
        <f t="shared" si="119"/>
        <v>Lewisburg</v>
      </c>
      <c r="AO327" s="15" t="b">
        <f t="shared" si="120"/>
        <v>1</v>
      </c>
    </row>
    <row r="328" spans="1:41" ht="12.75">
      <c r="A328" s="15" t="s">
        <v>165</v>
      </c>
      <c r="C328" s="15" t="s">
        <v>796</v>
      </c>
      <c r="D328" s="28"/>
      <c r="E328" s="95">
        <v>11220.81</v>
      </c>
      <c r="F328" s="95"/>
      <c r="G328" s="95">
        <v>0</v>
      </c>
      <c r="H328" s="95"/>
      <c r="I328" s="95">
        <v>0</v>
      </c>
      <c r="J328" s="95"/>
      <c r="K328" s="95">
        <v>46.93</v>
      </c>
      <c r="L328" s="95"/>
      <c r="M328" s="95">
        <v>2542.18</v>
      </c>
      <c r="N328" s="95"/>
      <c r="O328" s="95">
        <v>10134.24</v>
      </c>
      <c r="P328" s="95"/>
      <c r="Q328" s="95">
        <v>7198.16</v>
      </c>
      <c r="R328" s="95"/>
      <c r="S328" s="95">
        <v>0</v>
      </c>
      <c r="T328" s="95"/>
      <c r="U328" s="95">
        <v>0</v>
      </c>
      <c r="V328" s="95"/>
      <c r="W328" s="95">
        <v>0</v>
      </c>
      <c r="X328" s="95"/>
      <c r="Y328" s="95">
        <v>0</v>
      </c>
      <c r="Z328" s="95"/>
      <c r="AA328" s="95">
        <v>0</v>
      </c>
      <c r="AB328" s="95"/>
      <c r="AC328" s="95">
        <v>0</v>
      </c>
      <c r="AD328" s="95"/>
      <c r="AE328" s="95">
        <f aca="true" t="shared" si="133" ref="AE328">SUM(E328:AC328)</f>
        <v>31142.32</v>
      </c>
      <c r="AF328" s="95"/>
      <c r="AG328" s="95">
        <v>-1970.71</v>
      </c>
      <c r="AH328" s="95"/>
      <c r="AI328" s="95">
        <v>20969.94</v>
      </c>
      <c r="AJ328" s="95"/>
      <c r="AK328" s="95">
        <v>18999.23</v>
      </c>
      <c r="AL328" s="39">
        <f>+'Gov Rev'!AI328-'Gov Exp'!AE328+'Gov Exp'!AI328-'Gov Exp'!AK328</f>
        <v>0</v>
      </c>
      <c r="AM328" s="15" t="str">
        <f>'Gov Rev'!A328</f>
        <v>Lewisville</v>
      </c>
      <c r="AN328" s="15" t="str">
        <f t="shared" si="119"/>
        <v>Lewisville</v>
      </c>
      <c r="AO328" s="15" t="b">
        <f t="shared" si="120"/>
        <v>1</v>
      </c>
    </row>
    <row r="329" spans="1:41" s="31" customFormat="1" ht="12.75">
      <c r="A329" s="15" t="s">
        <v>521</v>
      </c>
      <c r="B329" s="15"/>
      <c r="C329" s="15" t="s">
        <v>520</v>
      </c>
      <c r="D329" s="15"/>
      <c r="E329" s="24">
        <v>1141472</v>
      </c>
      <c r="F329" s="24"/>
      <c r="G329" s="24">
        <v>0</v>
      </c>
      <c r="H329" s="24"/>
      <c r="I329" s="24">
        <v>575100</v>
      </c>
      <c r="J329" s="24"/>
      <c r="K329" s="24">
        <v>27443</v>
      </c>
      <c r="L329" s="24"/>
      <c r="M329" s="24">
        <v>0</v>
      </c>
      <c r="N329" s="24"/>
      <c r="O329" s="24">
        <v>590411</v>
      </c>
      <c r="P329" s="24"/>
      <c r="Q329" s="24">
        <v>524493</v>
      </c>
      <c r="R329" s="24"/>
      <c r="S329" s="24">
        <v>0</v>
      </c>
      <c r="T329" s="24"/>
      <c r="U329" s="24">
        <v>0</v>
      </c>
      <c r="V329" s="24"/>
      <c r="W329" s="24">
        <v>0</v>
      </c>
      <c r="X329" s="24"/>
      <c r="Y329" s="24">
        <v>0</v>
      </c>
      <c r="Z329" s="24"/>
      <c r="AA329" s="24">
        <v>0</v>
      </c>
      <c r="AB329" s="24"/>
      <c r="AC329" s="24">
        <f>568618+56464</f>
        <v>625082</v>
      </c>
      <c r="AD329" s="24"/>
      <c r="AE329" s="24">
        <f t="shared" si="112"/>
        <v>3484001</v>
      </c>
      <c r="AF329" s="24"/>
      <c r="AG329" s="24">
        <v>-230729</v>
      </c>
      <c r="AH329" s="24"/>
      <c r="AI329" s="24">
        <v>1032867</v>
      </c>
      <c r="AJ329" s="24"/>
      <c r="AK329" s="24">
        <v>0</v>
      </c>
      <c r="AL329" s="39">
        <f>+'Gov Rev'!AI329-'Gov Exp'!AE329+'Gov Exp'!AI329-'Gov Exp'!AK329</f>
        <v>802138</v>
      </c>
      <c r="AM329" s="15" t="str">
        <f>'Gov Rev'!A329</f>
        <v>Lexington</v>
      </c>
      <c r="AN329" s="15" t="str">
        <f t="shared" si="119"/>
        <v>Lexington</v>
      </c>
      <c r="AO329" s="15" t="b">
        <f t="shared" si="120"/>
        <v>1</v>
      </c>
    </row>
    <row r="330" spans="1:41" s="29" customFormat="1" ht="12.75">
      <c r="A330" s="24" t="s">
        <v>106</v>
      </c>
      <c r="B330" s="24"/>
      <c r="C330" s="24" t="s">
        <v>777</v>
      </c>
      <c r="D330" s="73"/>
      <c r="E330" s="36">
        <v>56490.67</v>
      </c>
      <c r="F330" s="36"/>
      <c r="G330" s="36">
        <v>13480.57</v>
      </c>
      <c r="H330" s="36"/>
      <c r="I330" s="36">
        <v>16343.69</v>
      </c>
      <c r="J330" s="36"/>
      <c r="K330" s="36">
        <v>7374.93</v>
      </c>
      <c r="L330" s="36"/>
      <c r="M330" s="36">
        <v>13805.1</v>
      </c>
      <c r="N330" s="36"/>
      <c r="O330" s="36">
        <v>72268.58</v>
      </c>
      <c r="P330" s="36"/>
      <c r="Q330" s="36">
        <v>129288.31</v>
      </c>
      <c r="R330" s="36"/>
      <c r="S330" s="36">
        <v>28061.05</v>
      </c>
      <c r="T330" s="36"/>
      <c r="U330" s="36">
        <v>5027.52</v>
      </c>
      <c r="V330" s="36"/>
      <c r="W330" s="36">
        <v>0</v>
      </c>
      <c r="X330" s="36"/>
      <c r="Y330" s="36">
        <v>4959.65</v>
      </c>
      <c r="Z330" s="36"/>
      <c r="AA330" s="36">
        <v>0</v>
      </c>
      <c r="AB330" s="36"/>
      <c r="AC330" s="36">
        <v>0</v>
      </c>
      <c r="AD330" s="36"/>
      <c r="AE330" s="36">
        <f aca="true" t="shared" si="134" ref="AE330:AE331">SUM(E330:AC330)</f>
        <v>347100.07</v>
      </c>
      <c r="AF330" s="36"/>
      <c r="AG330" s="36">
        <v>49083.9</v>
      </c>
      <c r="AH330" s="36"/>
      <c r="AI330" s="36">
        <v>242800.8</v>
      </c>
      <c r="AJ330" s="36"/>
      <c r="AK330" s="36">
        <v>291884.7</v>
      </c>
      <c r="AL330" s="39">
        <f>+'Gov Rev'!AI330-'Gov Exp'!AE330+'Gov Exp'!AI330-'Gov Exp'!AK330</f>
        <v>0</v>
      </c>
      <c r="AM330" s="15" t="str">
        <f>'Gov Rev'!A330</f>
        <v>Liberty Center</v>
      </c>
      <c r="AN330" s="15" t="str">
        <f t="shared" si="119"/>
        <v>Liberty Center</v>
      </c>
      <c r="AO330" s="15" t="b">
        <f t="shared" si="120"/>
        <v>1</v>
      </c>
    </row>
    <row r="331" spans="1:41" ht="12.75">
      <c r="A331" s="15" t="s">
        <v>226</v>
      </c>
      <c r="C331" s="15" t="s">
        <v>815</v>
      </c>
      <c r="D331" s="28"/>
      <c r="E331" s="36">
        <v>1200</v>
      </c>
      <c r="F331" s="36"/>
      <c r="G331" s="36">
        <v>750</v>
      </c>
      <c r="H331" s="36"/>
      <c r="I331" s="36">
        <v>5308.22</v>
      </c>
      <c r="J331" s="36"/>
      <c r="K331" s="36">
        <v>0</v>
      </c>
      <c r="L331" s="36"/>
      <c r="M331" s="36">
        <v>2960.39</v>
      </c>
      <c r="N331" s="36"/>
      <c r="O331" s="36">
        <v>8286.81</v>
      </c>
      <c r="P331" s="36"/>
      <c r="Q331" s="36">
        <v>9936.22</v>
      </c>
      <c r="R331" s="36"/>
      <c r="S331" s="36">
        <v>0</v>
      </c>
      <c r="T331" s="36"/>
      <c r="U331" s="36">
        <v>0</v>
      </c>
      <c r="V331" s="36"/>
      <c r="W331" s="36">
        <v>0</v>
      </c>
      <c r="X331" s="36"/>
      <c r="Y331" s="36">
        <v>0</v>
      </c>
      <c r="Z331" s="36"/>
      <c r="AA331" s="36">
        <v>0</v>
      </c>
      <c r="AB331" s="36"/>
      <c r="AC331" s="36">
        <v>0</v>
      </c>
      <c r="AD331" s="36"/>
      <c r="AE331" s="36">
        <f t="shared" si="134"/>
        <v>28441.64</v>
      </c>
      <c r="AF331" s="36"/>
      <c r="AG331" s="36">
        <v>-866.91</v>
      </c>
      <c r="AH331" s="36"/>
      <c r="AI331" s="36">
        <v>16386.76</v>
      </c>
      <c r="AJ331" s="36"/>
      <c r="AK331" s="36">
        <v>15519.85</v>
      </c>
      <c r="AL331" s="39">
        <f>+'Gov Rev'!AI331-'Gov Exp'!AE331+'Gov Exp'!AI331-'Gov Exp'!AK331</f>
        <v>0</v>
      </c>
      <c r="AM331" s="15" t="str">
        <f>'Gov Rev'!A331</f>
        <v>Limaville</v>
      </c>
      <c r="AN331" s="15" t="str">
        <f t="shared" si="119"/>
        <v>Limaville</v>
      </c>
      <c r="AO331" s="15" t="b">
        <f t="shared" si="120"/>
        <v>1</v>
      </c>
    </row>
    <row r="332" spans="1:41" s="31" customFormat="1" ht="12.75">
      <c r="A332" s="15" t="s">
        <v>383</v>
      </c>
      <c r="B332" s="15"/>
      <c r="C332" s="15" t="s">
        <v>378</v>
      </c>
      <c r="D332" s="15"/>
      <c r="E332" s="24">
        <v>1202916</v>
      </c>
      <c r="F332" s="24"/>
      <c r="G332" s="24">
        <v>1579</v>
      </c>
      <c r="H332" s="24"/>
      <c r="I332" s="24">
        <v>12188</v>
      </c>
      <c r="J332" s="24"/>
      <c r="K332" s="24">
        <v>45249</v>
      </c>
      <c r="L332" s="24"/>
      <c r="M332" s="24">
        <v>148790</v>
      </c>
      <c r="N332" s="24"/>
      <c r="O332" s="24">
        <v>189041</v>
      </c>
      <c r="P332" s="24"/>
      <c r="Q332" s="24">
        <v>818870</v>
      </c>
      <c r="R332" s="24"/>
      <c r="S332" s="24">
        <v>144495</v>
      </c>
      <c r="T332" s="24"/>
      <c r="U332" s="24">
        <v>0</v>
      </c>
      <c r="V332" s="24"/>
      <c r="W332" s="24">
        <v>0</v>
      </c>
      <c r="X332" s="24"/>
      <c r="Y332" s="24">
        <v>93652</v>
      </c>
      <c r="Z332" s="24"/>
      <c r="AA332" s="24">
        <v>0</v>
      </c>
      <c r="AB332" s="24"/>
      <c r="AC332" s="24">
        <v>0</v>
      </c>
      <c r="AD332" s="24"/>
      <c r="AE332" s="24">
        <f t="shared" si="112"/>
        <v>2656780</v>
      </c>
      <c r="AF332" s="24"/>
      <c r="AG332" s="24">
        <v>22082</v>
      </c>
      <c r="AH332" s="24"/>
      <c r="AI332" s="24">
        <v>1057133</v>
      </c>
      <c r="AJ332" s="24"/>
      <c r="AK332" s="24">
        <v>1079215</v>
      </c>
      <c r="AL332" s="39">
        <f>+'Gov Rev'!AI332-'Gov Exp'!AE332+'Gov Exp'!AI332-'Gov Exp'!AK332</f>
        <v>0</v>
      </c>
      <c r="AM332" s="15" t="str">
        <f>'Gov Rev'!A332</f>
        <v>Lincoln Heights</v>
      </c>
      <c r="AN332" s="15" t="str">
        <f t="shared" si="119"/>
        <v>Lincoln Heights</v>
      </c>
      <c r="AO332" s="15" t="b">
        <f t="shared" si="120"/>
        <v>1</v>
      </c>
    </row>
    <row r="333" spans="1:41" ht="12.75">
      <c r="A333" s="15" t="s">
        <v>215</v>
      </c>
      <c r="C333" s="15" t="s">
        <v>811</v>
      </c>
      <c r="D333" s="28"/>
      <c r="E333" s="95">
        <v>158727.42</v>
      </c>
      <c r="F333" s="95"/>
      <c r="G333" s="95">
        <v>282.1</v>
      </c>
      <c r="H333" s="95"/>
      <c r="I333" s="95">
        <v>5181.4</v>
      </c>
      <c r="J333" s="95"/>
      <c r="K333" s="95">
        <v>14597.51</v>
      </c>
      <c r="L333" s="95"/>
      <c r="M333" s="95">
        <v>10989.22</v>
      </c>
      <c r="N333" s="95"/>
      <c r="O333" s="95">
        <v>21298.56</v>
      </c>
      <c r="P333" s="95"/>
      <c r="Q333" s="95">
        <v>48519.94</v>
      </c>
      <c r="R333" s="95"/>
      <c r="S333" s="95">
        <v>0</v>
      </c>
      <c r="T333" s="95"/>
      <c r="U333" s="95">
        <v>0</v>
      </c>
      <c r="V333" s="95"/>
      <c r="W333" s="95">
        <v>0</v>
      </c>
      <c r="X333" s="95"/>
      <c r="Y333" s="95">
        <v>0</v>
      </c>
      <c r="Z333" s="95"/>
      <c r="AA333" s="95">
        <v>0</v>
      </c>
      <c r="AB333" s="95"/>
      <c r="AC333" s="95">
        <v>0</v>
      </c>
      <c r="AD333" s="95"/>
      <c r="AE333" s="95">
        <f aca="true" t="shared" si="135" ref="AE333">SUM(E333:AC333)</f>
        <v>259596.15000000002</v>
      </c>
      <c r="AF333" s="95"/>
      <c r="AG333" s="95">
        <v>35716.7</v>
      </c>
      <c r="AH333" s="95"/>
      <c r="AI333" s="95">
        <v>508486.98</v>
      </c>
      <c r="AJ333" s="95"/>
      <c r="AK333" s="95">
        <v>544203.68</v>
      </c>
      <c r="AL333" s="39">
        <f>+'Gov Rev'!AI333-'Gov Exp'!AE333+'Gov Exp'!AI333-'Gov Exp'!AK333</f>
        <v>0</v>
      </c>
      <c r="AM333" s="15" t="str">
        <f>'Gov Rev'!A333</f>
        <v>Lindsey</v>
      </c>
      <c r="AN333" s="15" t="str">
        <f t="shared" si="119"/>
        <v>Lindsey</v>
      </c>
      <c r="AO333" s="15" t="b">
        <f t="shared" si="120"/>
        <v>1</v>
      </c>
    </row>
    <row r="334" spans="1:41" s="31" customFormat="1" ht="12.75">
      <c r="A334" s="15" t="s">
        <v>846</v>
      </c>
      <c r="B334" s="15"/>
      <c r="C334" s="15" t="s">
        <v>761</v>
      </c>
      <c r="D334" s="28"/>
      <c r="E334" s="10">
        <v>747127</v>
      </c>
      <c r="F334" s="10"/>
      <c r="G334" s="10">
        <v>0</v>
      </c>
      <c r="H334" s="10"/>
      <c r="I334" s="10">
        <v>0</v>
      </c>
      <c r="J334" s="10"/>
      <c r="K334" s="10">
        <v>0</v>
      </c>
      <c r="L334" s="10"/>
      <c r="M334" s="10">
        <v>13425</v>
      </c>
      <c r="N334" s="10"/>
      <c r="O334" s="10">
        <v>15056</v>
      </c>
      <c r="P334" s="10"/>
      <c r="Q334" s="10">
        <v>399947</v>
      </c>
      <c r="R334" s="10"/>
      <c r="S334" s="10">
        <v>0</v>
      </c>
      <c r="T334" s="10"/>
      <c r="U334" s="10">
        <v>0</v>
      </c>
      <c r="V334" s="10"/>
      <c r="W334" s="10">
        <v>0</v>
      </c>
      <c r="X334" s="24"/>
      <c r="Y334" s="24">
        <v>20770</v>
      </c>
      <c r="Z334" s="24"/>
      <c r="AA334" s="24">
        <v>89048</v>
      </c>
      <c r="AB334" s="24"/>
      <c r="AC334" s="24">
        <v>0</v>
      </c>
      <c r="AD334" s="24"/>
      <c r="AE334" s="24">
        <f t="shared" si="112"/>
        <v>1285373</v>
      </c>
      <c r="AF334" s="24"/>
      <c r="AG334" s="10">
        <v>58652</v>
      </c>
      <c r="AH334" s="10"/>
      <c r="AI334" s="10">
        <v>312380</v>
      </c>
      <c r="AJ334" s="10"/>
      <c r="AK334" s="10">
        <v>371032</v>
      </c>
      <c r="AL334" s="39">
        <f>+'Gov Rev'!AI334-'Gov Exp'!AE334+'Gov Exp'!AI334-'Gov Exp'!AK334</f>
        <v>0</v>
      </c>
      <c r="AM334" s="15" t="str">
        <f>'Gov Rev'!A334</f>
        <v>Linndale</v>
      </c>
      <c r="AN334" s="15" t="str">
        <f t="shared" si="119"/>
        <v>Linndale</v>
      </c>
      <c r="AO334" s="15" t="b">
        <f t="shared" si="120"/>
        <v>1</v>
      </c>
    </row>
    <row r="335" spans="1:41" ht="12.75">
      <c r="A335" s="15" t="s">
        <v>44</v>
      </c>
      <c r="C335" s="15" t="s">
        <v>758</v>
      </c>
      <c r="D335" s="28"/>
      <c r="E335" s="95">
        <v>777713.13</v>
      </c>
      <c r="F335" s="95"/>
      <c r="G335" s="95">
        <v>147309.11</v>
      </c>
      <c r="H335" s="95"/>
      <c r="I335" s="95">
        <v>9736.64</v>
      </c>
      <c r="J335" s="95"/>
      <c r="K335" s="95">
        <v>22919.91</v>
      </c>
      <c r="L335" s="95"/>
      <c r="M335" s="95">
        <v>391651.47</v>
      </c>
      <c r="N335" s="95"/>
      <c r="O335" s="95">
        <v>324280.39</v>
      </c>
      <c r="P335" s="95"/>
      <c r="Q335" s="95">
        <v>296998.45</v>
      </c>
      <c r="R335" s="95"/>
      <c r="S335" s="95">
        <v>30680.65</v>
      </c>
      <c r="T335" s="95"/>
      <c r="U335" s="95">
        <v>139395.09</v>
      </c>
      <c r="V335" s="95"/>
      <c r="W335" s="95">
        <v>51202.31</v>
      </c>
      <c r="X335" s="95"/>
      <c r="Y335" s="95">
        <v>308677.94</v>
      </c>
      <c r="Z335" s="95"/>
      <c r="AA335" s="95">
        <v>13000</v>
      </c>
      <c r="AB335" s="95"/>
      <c r="AC335" s="95">
        <v>0</v>
      </c>
      <c r="AD335" s="95"/>
      <c r="AE335" s="95">
        <f aca="true" t="shared" si="136" ref="AE335:AE336">SUM(E335:AC335)</f>
        <v>2513565.09</v>
      </c>
      <c r="AF335" s="95"/>
      <c r="AG335" s="95">
        <v>14177.57</v>
      </c>
      <c r="AH335" s="95"/>
      <c r="AI335" s="95">
        <v>398382.83</v>
      </c>
      <c r="AJ335" s="95"/>
      <c r="AK335" s="95">
        <v>412560.4</v>
      </c>
      <c r="AL335" s="39">
        <f>+'Gov Rev'!AI335-'Gov Exp'!AE335+'Gov Exp'!AI335-'Gov Exp'!AK335</f>
        <v>0</v>
      </c>
      <c r="AM335" s="15" t="str">
        <f>'Gov Rev'!A335</f>
        <v>Lisbon</v>
      </c>
      <c r="AN335" s="15" t="str">
        <f t="shared" si="119"/>
        <v>Lisbon</v>
      </c>
      <c r="AO335" s="15" t="b">
        <f t="shared" si="120"/>
        <v>1</v>
      </c>
    </row>
    <row r="336" spans="1:41" ht="12.75">
      <c r="A336" s="15" t="s">
        <v>931</v>
      </c>
      <c r="C336" s="15" t="s">
        <v>766</v>
      </c>
      <c r="D336" s="28"/>
      <c r="E336" s="95">
        <v>181443.06</v>
      </c>
      <c r="F336" s="95"/>
      <c r="G336" s="95">
        <v>6025.76</v>
      </c>
      <c r="H336" s="95"/>
      <c r="I336" s="95">
        <v>19413.39</v>
      </c>
      <c r="J336" s="95"/>
      <c r="K336" s="95">
        <v>20505.74</v>
      </c>
      <c r="L336" s="95"/>
      <c r="M336" s="95">
        <v>116463.65</v>
      </c>
      <c r="N336" s="95"/>
      <c r="O336" s="95">
        <v>89602.33</v>
      </c>
      <c r="P336" s="95"/>
      <c r="Q336" s="95">
        <v>323332.27</v>
      </c>
      <c r="R336" s="95"/>
      <c r="S336" s="95">
        <v>761526.92</v>
      </c>
      <c r="T336" s="95"/>
      <c r="U336" s="95">
        <v>0</v>
      </c>
      <c r="V336" s="95"/>
      <c r="W336" s="95">
        <v>0</v>
      </c>
      <c r="X336" s="95"/>
      <c r="Y336" s="95">
        <v>0</v>
      </c>
      <c r="Z336" s="95"/>
      <c r="AA336" s="95">
        <v>49000</v>
      </c>
      <c r="AB336" s="95"/>
      <c r="AC336" s="95">
        <v>1447.78</v>
      </c>
      <c r="AD336" s="95"/>
      <c r="AE336" s="95">
        <f t="shared" si="136"/>
        <v>1568760.9000000001</v>
      </c>
      <c r="AF336" s="95"/>
      <c r="AG336" s="95">
        <v>-65072.67</v>
      </c>
      <c r="AH336" s="95"/>
      <c r="AI336" s="95">
        <v>129818.43</v>
      </c>
      <c r="AJ336" s="95"/>
      <c r="AK336" s="95">
        <v>64745.76</v>
      </c>
      <c r="AL336" s="39">
        <f>+'Gov Rev'!AI336-'Gov Exp'!AE336+'Gov Exp'!AI336-'Gov Exp'!AK336</f>
        <v>-1.673470251262188E-10</v>
      </c>
      <c r="AM336" s="15" t="str">
        <f>'Gov Rev'!A336</f>
        <v>Lithopolis</v>
      </c>
      <c r="AN336" s="15" t="str">
        <f t="shared" si="119"/>
        <v>Lithopolis</v>
      </c>
      <c r="AO336" s="15" t="b">
        <f t="shared" si="120"/>
        <v>1</v>
      </c>
    </row>
    <row r="337" spans="1:41" ht="12.75">
      <c r="A337" s="15" t="s">
        <v>947</v>
      </c>
      <c r="C337" s="15" t="s">
        <v>768</v>
      </c>
      <c r="D337" s="28"/>
      <c r="E337" s="36">
        <v>1236</v>
      </c>
      <c r="F337" s="36"/>
      <c r="G337" s="36">
        <v>0</v>
      </c>
      <c r="H337" s="36"/>
      <c r="I337" s="36">
        <v>15744</v>
      </c>
      <c r="J337" s="36"/>
      <c r="K337" s="36">
        <v>254.2</v>
      </c>
      <c r="L337" s="36"/>
      <c r="M337" s="36">
        <v>18886.26</v>
      </c>
      <c r="N337" s="36"/>
      <c r="O337" s="36">
        <v>9914.5</v>
      </c>
      <c r="P337" s="36"/>
      <c r="Q337" s="36">
        <v>90986.44</v>
      </c>
      <c r="R337" s="36"/>
      <c r="S337" s="36">
        <v>0</v>
      </c>
      <c r="T337" s="36"/>
      <c r="U337" s="36">
        <v>4839.44</v>
      </c>
      <c r="V337" s="36"/>
      <c r="W337" s="36">
        <v>0</v>
      </c>
      <c r="X337" s="36"/>
      <c r="Y337" s="36">
        <v>0</v>
      </c>
      <c r="Z337" s="36"/>
      <c r="AA337" s="36">
        <v>0</v>
      </c>
      <c r="AB337" s="36"/>
      <c r="AC337" s="36">
        <v>0</v>
      </c>
      <c r="AD337" s="36"/>
      <c r="AE337" s="36">
        <f aca="true" t="shared" si="137" ref="AE337">SUM(E337:AC337)</f>
        <v>141860.84</v>
      </c>
      <c r="AF337" s="36"/>
      <c r="AG337" s="36">
        <v>29973.1</v>
      </c>
      <c r="AH337" s="36"/>
      <c r="AI337" s="36">
        <v>431216.54</v>
      </c>
      <c r="AJ337" s="36"/>
      <c r="AK337" s="36">
        <v>461189.64</v>
      </c>
      <c r="AL337" s="39">
        <f>+'Gov Rev'!AI337-'Gov Exp'!AE337+'Gov Exp'!AI337-'Gov Exp'!AK337</f>
        <v>0</v>
      </c>
      <c r="AM337" s="15" t="str">
        <f>'Gov Rev'!A337</f>
        <v>Lockbourne</v>
      </c>
      <c r="AN337" s="15" t="str">
        <f t="shared" si="119"/>
        <v>Lockbourne</v>
      </c>
      <c r="AO337" s="15" t="b">
        <f t="shared" si="120"/>
        <v>1</v>
      </c>
    </row>
    <row r="338" spans="1:41" s="31" customFormat="1" ht="12.75">
      <c r="A338" s="15" t="s">
        <v>539</v>
      </c>
      <c r="B338" s="15"/>
      <c r="C338" s="15" t="s">
        <v>538</v>
      </c>
      <c r="D338" s="15"/>
      <c r="E338" s="24">
        <v>10710.07</v>
      </c>
      <c r="F338" s="24"/>
      <c r="G338" s="24">
        <f>1346.81+197.76</f>
        <v>1544.57</v>
      </c>
      <c r="H338" s="24"/>
      <c r="I338" s="24">
        <v>0</v>
      </c>
      <c r="J338" s="24"/>
      <c r="K338" s="24">
        <v>0</v>
      </c>
      <c r="L338" s="24"/>
      <c r="M338" s="24">
        <v>895.32</v>
      </c>
      <c r="N338" s="24"/>
      <c r="O338" s="24">
        <f>650.09+4597.65</f>
        <v>5247.74</v>
      </c>
      <c r="P338" s="24"/>
      <c r="Q338" s="24">
        <f>6680.65+4289.35</f>
        <v>10970</v>
      </c>
      <c r="R338" s="24"/>
      <c r="S338" s="24">
        <v>0</v>
      </c>
      <c r="T338" s="24"/>
      <c r="U338" s="24">
        <v>1886</v>
      </c>
      <c r="V338" s="24"/>
      <c r="W338" s="24">
        <v>0</v>
      </c>
      <c r="X338" s="24"/>
      <c r="Y338" s="24">
        <v>1886</v>
      </c>
      <c r="Z338" s="24"/>
      <c r="AA338" s="24">
        <v>0</v>
      </c>
      <c r="AB338" s="24"/>
      <c r="AC338" s="24">
        <v>0</v>
      </c>
      <c r="AD338" s="24"/>
      <c r="AE338" s="24">
        <f aca="true" t="shared" si="138" ref="AE338:AE402">SUM(E338:AC338)</f>
        <v>33139.7</v>
      </c>
      <c r="AF338" s="24"/>
      <c r="AG338" s="24"/>
      <c r="AH338" s="24"/>
      <c r="AI338" s="24"/>
      <c r="AJ338" s="24"/>
      <c r="AK338" s="24"/>
      <c r="AL338" s="39">
        <f>+'Gov Rev'!AI338-'Gov Exp'!AE338+'Gov Exp'!AI338-'Gov Exp'!AK338</f>
        <v>224442.02000000002</v>
      </c>
      <c r="AM338" s="15" t="str">
        <f>'Gov Rev'!A338</f>
        <v xml:space="preserve">Lockington </v>
      </c>
      <c r="AN338" s="15" t="str">
        <f t="shared" si="119"/>
        <v xml:space="preserve">Lockington </v>
      </c>
      <c r="AO338" s="15" t="b">
        <f t="shared" si="120"/>
        <v>1</v>
      </c>
    </row>
    <row r="339" spans="1:41" ht="12.75">
      <c r="A339" s="15" t="s">
        <v>95</v>
      </c>
      <c r="C339" s="15" t="s">
        <v>773</v>
      </c>
      <c r="D339" s="28"/>
      <c r="E339" s="92">
        <v>2377444.68</v>
      </c>
      <c r="F339" s="92"/>
      <c r="G339" s="92">
        <v>26606.06</v>
      </c>
      <c r="H339" s="92"/>
      <c r="I339" s="92">
        <v>57094.82</v>
      </c>
      <c r="J339" s="92"/>
      <c r="K339" s="92">
        <v>46255</v>
      </c>
      <c r="L339" s="92"/>
      <c r="M339" s="92">
        <v>1557563.82</v>
      </c>
      <c r="N339" s="92"/>
      <c r="O339" s="92">
        <v>340882.58</v>
      </c>
      <c r="P339" s="92"/>
      <c r="Q339" s="92">
        <v>648275.1</v>
      </c>
      <c r="R339" s="92"/>
      <c r="S339" s="92">
        <v>510099.56</v>
      </c>
      <c r="T339" s="92"/>
      <c r="U339" s="92">
        <v>25000</v>
      </c>
      <c r="V339" s="92"/>
      <c r="W339" s="92">
        <v>149982.57</v>
      </c>
      <c r="X339" s="92"/>
      <c r="Y339" s="92">
        <v>263654.21</v>
      </c>
      <c r="Z339" s="92"/>
      <c r="AA339" s="92">
        <v>0</v>
      </c>
      <c r="AB339" s="92"/>
      <c r="AC339" s="92">
        <v>79690.22</v>
      </c>
      <c r="AD339" s="92"/>
      <c r="AE339" s="92">
        <f aca="true" t="shared" si="139" ref="AE339">SUM(E339:AC339)</f>
        <v>6082548.619999999</v>
      </c>
      <c r="AF339" s="95"/>
      <c r="AG339" s="95">
        <v>286936.98</v>
      </c>
      <c r="AH339" s="95"/>
      <c r="AI339" s="95">
        <v>814643.12</v>
      </c>
      <c r="AJ339" s="95"/>
      <c r="AK339" s="95">
        <v>1101580.1</v>
      </c>
      <c r="AL339" s="39">
        <f>+'Gov Rev'!AI339-'Gov Exp'!AE339+'Gov Exp'!AI339-'Gov Exp'!AK339</f>
        <v>0</v>
      </c>
      <c r="AM339" s="15" t="str">
        <f>'Gov Rev'!A339</f>
        <v>Lockland</v>
      </c>
      <c r="AN339" s="15" t="str">
        <f t="shared" si="119"/>
        <v>Lockland</v>
      </c>
      <c r="AO339" s="15" t="b">
        <f t="shared" si="120"/>
        <v>1</v>
      </c>
    </row>
    <row r="340" spans="1:41" ht="12.75">
      <c r="A340" s="15" t="s">
        <v>969</v>
      </c>
      <c r="C340" s="15" t="s">
        <v>970</v>
      </c>
      <c r="D340" s="28"/>
      <c r="E340" s="10">
        <f>674993.24+350</f>
        <v>675343.24</v>
      </c>
      <c r="F340" s="10"/>
      <c r="G340" s="10">
        <v>0</v>
      </c>
      <c r="H340" s="10"/>
      <c r="I340" s="10">
        <v>17445.31</v>
      </c>
      <c r="J340" s="10"/>
      <c r="K340" s="10">
        <v>13150.05</v>
      </c>
      <c r="L340" s="10"/>
      <c r="M340" s="10">
        <v>0</v>
      </c>
      <c r="N340" s="10"/>
      <c r="O340" s="10">
        <f>107828.08+146733.94</f>
        <v>254562.02000000002</v>
      </c>
      <c r="P340" s="10"/>
      <c r="Q340" s="10">
        <f>244161.48+4535+23.46+63.15</f>
        <v>248783.09</v>
      </c>
      <c r="R340" s="10"/>
      <c r="S340" s="10">
        <f>15129.73+23982.92+2754.94</f>
        <v>41867.59</v>
      </c>
      <c r="T340" s="10"/>
      <c r="U340" s="10">
        <v>1419.96</v>
      </c>
      <c r="V340" s="10"/>
      <c r="W340" s="10">
        <v>0</v>
      </c>
      <c r="Y340" s="24">
        <v>0</v>
      </c>
      <c r="AA340" s="24">
        <v>0</v>
      </c>
      <c r="AC340" s="24">
        <v>0</v>
      </c>
      <c r="AE340" s="24">
        <f>SUM(E340:AC340)</f>
        <v>1252571.2600000002</v>
      </c>
      <c r="AF340" s="24"/>
      <c r="AG340" s="10">
        <f>-116931.46-34791.82+1804.28+4838.28</f>
        <v>-145080.72</v>
      </c>
      <c r="AH340" s="10"/>
      <c r="AI340" s="10">
        <f>352447.89+291525.31+15176.67+129410.37</f>
        <v>788560.24</v>
      </c>
      <c r="AJ340" s="10"/>
      <c r="AK340" s="10">
        <f>235516.43+256733.49+16980.95+134248.65</f>
        <v>643479.52</v>
      </c>
      <c r="AL340" s="39">
        <f>+'Gov Rev'!AI340-'Gov Exp'!AE340+'Gov Exp'!AI340-'Gov Exp'!AK340</f>
        <v>0</v>
      </c>
      <c r="AM340" s="15" t="str">
        <f>'Gov Rev'!A340</f>
        <v>Lodi</v>
      </c>
      <c r="AN340" s="15" t="str">
        <f t="shared" si="119"/>
        <v>Lodi</v>
      </c>
      <c r="AO340" s="15" t="b">
        <f t="shared" si="120"/>
        <v>1</v>
      </c>
    </row>
    <row r="341" spans="1:41" ht="12.75">
      <c r="A341" s="15" t="s">
        <v>557</v>
      </c>
      <c r="C341" s="15" t="s">
        <v>558</v>
      </c>
      <c r="E341" s="24">
        <v>1527124.03</v>
      </c>
      <c r="G341" s="24">
        <v>26785.69</v>
      </c>
      <c r="I341" s="24">
        <v>194347.35</v>
      </c>
      <c r="K341" s="24">
        <v>124251.16</v>
      </c>
      <c r="M341" s="24">
        <v>88644.76</v>
      </c>
      <c r="O341" s="24">
        <v>765293</v>
      </c>
      <c r="Q341" s="24">
        <v>1203987</v>
      </c>
      <c r="S341" s="24">
        <v>0</v>
      </c>
      <c r="U341" s="24">
        <v>821126.92</v>
      </c>
      <c r="W341" s="24">
        <v>0</v>
      </c>
      <c r="Y341" s="24">
        <v>5407410.85</v>
      </c>
      <c r="AA341" s="24">
        <v>0</v>
      </c>
      <c r="AC341" s="24">
        <v>0</v>
      </c>
      <c r="AE341" s="24">
        <f t="shared" si="138"/>
        <v>10158970.76</v>
      </c>
      <c r="AF341" s="24"/>
      <c r="AG341" s="24">
        <v>1709325.84</v>
      </c>
      <c r="AH341" s="24"/>
      <c r="AI341" s="24">
        <v>3798495.93</v>
      </c>
      <c r="AJ341" s="24"/>
      <c r="AK341" s="24">
        <v>5507821.77</v>
      </c>
      <c r="AL341" s="39">
        <f>+'Gov Rev'!AI341-'Gov Exp'!AE341+'Gov Exp'!AI341-'Gov Exp'!AK341</f>
        <v>0</v>
      </c>
      <c r="AM341" s="15" t="str">
        <f>'Gov Rev'!A341</f>
        <v>Lordstown</v>
      </c>
      <c r="AN341" s="15" t="str">
        <f t="shared" si="119"/>
        <v>Lordstown</v>
      </c>
      <c r="AO341" s="15" t="b">
        <f t="shared" si="120"/>
        <v>1</v>
      </c>
    </row>
    <row r="342" spans="1:41" s="31" customFormat="1" ht="12.75">
      <c r="A342" s="15" t="s">
        <v>88</v>
      </c>
      <c r="B342" s="15"/>
      <c r="C342" s="15" t="s">
        <v>772</v>
      </c>
      <c r="D342" s="28"/>
      <c r="E342" s="95">
        <v>17533.67</v>
      </c>
      <c r="F342" s="95"/>
      <c r="G342" s="95">
        <v>23.71</v>
      </c>
      <c r="H342" s="95"/>
      <c r="I342" s="95">
        <v>109.11</v>
      </c>
      <c r="J342" s="95"/>
      <c r="K342" s="95">
        <v>0</v>
      </c>
      <c r="L342" s="95"/>
      <c r="M342" s="95">
        <v>0</v>
      </c>
      <c r="N342" s="95"/>
      <c r="O342" s="95">
        <v>20341.55</v>
      </c>
      <c r="P342" s="95"/>
      <c r="Q342" s="95">
        <v>38243.77</v>
      </c>
      <c r="R342" s="95"/>
      <c r="S342" s="95">
        <v>6617.78</v>
      </c>
      <c r="T342" s="95"/>
      <c r="U342" s="95">
        <v>16191.06</v>
      </c>
      <c r="V342" s="95"/>
      <c r="W342" s="95">
        <v>969.4</v>
      </c>
      <c r="X342" s="95"/>
      <c r="Y342" s="95">
        <v>0</v>
      </c>
      <c r="Z342" s="95"/>
      <c r="AA342" s="95">
        <v>0</v>
      </c>
      <c r="AB342" s="95"/>
      <c r="AC342" s="95">
        <v>0</v>
      </c>
      <c r="AD342" s="95"/>
      <c r="AE342" s="95">
        <f aca="true" t="shared" si="140" ref="AE342">SUM(E342:AC342)</f>
        <v>100030.04999999999</v>
      </c>
      <c r="AF342" s="95"/>
      <c r="AG342" s="95">
        <v>8994.74</v>
      </c>
      <c r="AH342" s="95"/>
      <c r="AI342" s="95">
        <v>51318.1</v>
      </c>
      <c r="AJ342" s="95"/>
      <c r="AK342" s="95">
        <v>60312.84</v>
      </c>
      <c r="AL342" s="39">
        <f>+'Gov Rev'!AI342-'Gov Exp'!AE342+'Gov Exp'!AI342-'Gov Exp'!AK342</f>
        <v>0</v>
      </c>
      <c r="AM342" s="15" t="str">
        <f>'Gov Rev'!A342</f>
        <v>Lore City</v>
      </c>
      <c r="AN342" s="15" t="str">
        <f t="shared" si="119"/>
        <v>Lore City</v>
      </c>
      <c r="AO342" s="15" t="b">
        <f t="shared" si="120"/>
        <v>1</v>
      </c>
    </row>
    <row r="343" spans="1:41" s="31" customFormat="1" ht="12.75">
      <c r="A343" s="15" t="s">
        <v>924</v>
      </c>
      <c r="B343" s="15"/>
      <c r="C343" s="15" t="s">
        <v>669</v>
      </c>
      <c r="D343" s="28"/>
      <c r="E343" s="92">
        <v>786910</v>
      </c>
      <c r="F343" s="92"/>
      <c r="G343" s="92">
        <v>6035</v>
      </c>
      <c r="H343" s="92"/>
      <c r="I343" s="92">
        <v>51065</v>
      </c>
      <c r="J343" s="92"/>
      <c r="K343" s="92">
        <v>604586</v>
      </c>
      <c r="L343" s="92"/>
      <c r="M343" s="92">
        <v>0</v>
      </c>
      <c r="N343" s="92"/>
      <c r="O343" s="92">
        <v>216099</v>
      </c>
      <c r="P343" s="92"/>
      <c r="Q343" s="92">
        <v>668306</v>
      </c>
      <c r="R343" s="92"/>
      <c r="S343" s="92">
        <v>270063</v>
      </c>
      <c r="T343" s="92"/>
      <c r="U343" s="92">
        <v>132258</v>
      </c>
      <c r="V343" s="92"/>
      <c r="W343" s="92">
        <v>48098</v>
      </c>
      <c r="X343" s="92"/>
      <c r="Y343" s="92">
        <v>1013150</v>
      </c>
      <c r="Z343" s="92"/>
      <c r="AA343" s="92">
        <v>106842</v>
      </c>
      <c r="AB343" s="92"/>
      <c r="AC343" s="92">
        <v>2605</v>
      </c>
      <c r="AD343" s="92"/>
      <c r="AE343" s="92">
        <f aca="true" t="shared" si="141" ref="AE343">SUM(E343:AC343)</f>
        <v>3906017</v>
      </c>
      <c r="AF343" s="24"/>
      <c r="AG343" s="24">
        <v>-85902</v>
      </c>
      <c r="AH343" s="24"/>
      <c r="AI343" s="24">
        <v>473318</v>
      </c>
      <c r="AJ343" s="24"/>
      <c r="AK343" s="24">
        <v>387416</v>
      </c>
      <c r="AL343" s="39">
        <f>+'Gov Rev'!AI343-'Gov Exp'!AE343+'Gov Exp'!AI343-'Gov Exp'!AK343</f>
        <v>0</v>
      </c>
      <c r="AM343" s="15" t="str">
        <f>'Gov Rev'!A343</f>
        <v>Loudonville</v>
      </c>
      <c r="AN343" s="15" t="str">
        <f aca="true" t="shared" si="142" ref="AN343">A343</f>
        <v>Loudonville</v>
      </c>
      <c r="AO343" s="15" t="b">
        <f aca="true" t="shared" si="143" ref="AO343">AM343=AN343</f>
        <v>1</v>
      </c>
    </row>
    <row r="344" spans="1:41" s="31" customFormat="1" ht="12.75">
      <c r="A344" s="15"/>
      <c r="B344" s="15"/>
      <c r="C344" s="15"/>
      <c r="D344" s="15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83" t="s">
        <v>864</v>
      </c>
      <c r="AF344" s="24"/>
      <c r="AG344" s="24"/>
      <c r="AH344" s="24"/>
      <c r="AI344" s="24"/>
      <c r="AJ344" s="24"/>
      <c r="AK344" s="24"/>
      <c r="AL344" s="39"/>
      <c r="AM344" s="15"/>
      <c r="AN344" s="15"/>
      <c r="AO344" s="15"/>
    </row>
    <row r="345" spans="1:41" ht="12.75">
      <c r="A345" s="15" t="s">
        <v>245</v>
      </c>
      <c r="C345" s="15" t="s">
        <v>822</v>
      </c>
      <c r="D345" s="28"/>
      <c r="E345" s="94">
        <v>19919.58</v>
      </c>
      <c r="F345" s="94"/>
      <c r="G345" s="94">
        <v>1597.34</v>
      </c>
      <c r="H345" s="94"/>
      <c r="I345" s="94">
        <v>2526.48</v>
      </c>
      <c r="J345" s="94"/>
      <c r="K345" s="94">
        <v>91.16</v>
      </c>
      <c r="L345" s="94"/>
      <c r="M345" s="94">
        <v>0</v>
      </c>
      <c r="N345" s="94"/>
      <c r="O345" s="94">
        <v>34301.61</v>
      </c>
      <c r="P345" s="94"/>
      <c r="Q345" s="94">
        <v>54800.86</v>
      </c>
      <c r="R345" s="94"/>
      <c r="S345" s="94">
        <v>0</v>
      </c>
      <c r="T345" s="94"/>
      <c r="U345" s="94">
        <v>0</v>
      </c>
      <c r="V345" s="94"/>
      <c r="W345" s="94">
        <v>0</v>
      </c>
      <c r="X345" s="94"/>
      <c r="Y345" s="94">
        <v>3600</v>
      </c>
      <c r="Z345" s="94"/>
      <c r="AA345" s="94">
        <v>0</v>
      </c>
      <c r="AB345" s="94"/>
      <c r="AC345" s="94">
        <v>2200</v>
      </c>
      <c r="AD345" s="94"/>
      <c r="AE345" s="94">
        <f aca="true" t="shared" si="144" ref="AE345:AE347">SUM(E345:AC345)</f>
        <v>119037.03</v>
      </c>
      <c r="AF345" s="36"/>
      <c r="AG345" s="36">
        <v>-23245.21</v>
      </c>
      <c r="AH345" s="36"/>
      <c r="AI345" s="36">
        <v>80506.21</v>
      </c>
      <c r="AJ345" s="36"/>
      <c r="AK345" s="36">
        <v>57261</v>
      </c>
      <c r="AL345" s="39">
        <f>+'Gov Rev'!AI344-'Gov Exp'!AE345+'Gov Exp'!AI345-'Gov Exp'!AK345</f>
        <v>0</v>
      </c>
      <c r="AM345" s="15" t="str">
        <f>'Gov Rev'!A344</f>
        <v>Lowell</v>
      </c>
      <c r="AN345" s="15" t="str">
        <f t="shared" si="119"/>
        <v>Lowell</v>
      </c>
      <c r="AO345" s="15" t="b">
        <f t="shared" si="120"/>
        <v>1</v>
      </c>
    </row>
    <row r="346" spans="1:41" ht="12.75">
      <c r="A346" s="15" t="s">
        <v>853</v>
      </c>
      <c r="C346" s="15" t="s">
        <v>790</v>
      </c>
      <c r="D346" s="28"/>
      <c r="E346" s="36">
        <v>338744.28</v>
      </c>
      <c r="F346" s="36"/>
      <c r="G346" s="36">
        <v>4531.28</v>
      </c>
      <c r="H346" s="36"/>
      <c r="I346" s="36">
        <v>0</v>
      </c>
      <c r="J346" s="36"/>
      <c r="K346" s="36">
        <v>6066.42</v>
      </c>
      <c r="L346" s="36"/>
      <c r="M346" s="36">
        <v>0</v>
      </c>
      <c r="N346" s="36"/>
      <c r="O346" s="36">
        <v>165573.98</v>
      </c>
      <c r="P346" s="36"/>
      <c r="Q346" s="36">
        <v>180329.16</v>
      </c>
      <c r="R346" s="36"/>
      <c r="S346" s="36">
        <v>3595.42</v>
      </c>
      <c r="T346" s="36"/>
      <c r="U346" s="36">
        <v>13882.52</v>
      </c>
      <c r="V346" s="36"/>
      <c r="W346" s="36">
        <v>827.42</v>
      </c>
      <c r="X346" s="36"/>
      <c r="Y346" s="36">
        <v>71600</v>
      </c>
      <c r="Z346" s="36"/>
      <c r="AA346" s="36">
        <v>0</v>
      </c>
      <c r="AB346" s="36"/>
      <c r="AC346" s="36">
        <v>86916.76</v>
      </c>
      <c r="AD346" s="36"/>
      <c r="AE346" s="36">
        <f t="shared" si="144"/>
        <v>872067.2400000002</v>
      </c>
      <c r="AF346" s="36"/>
      <c r="AG346" s="36">
        <v>10945.11</v>
      </c>
      <c r="AH346" s="36"/>
      <c r="AI346" s="36">
        <v>107938.37</v>
      </c>
      <c r="AJ346" s="36"/>
      <c r="AK346" s="36">
        <v>118883.48</v>
      </c>
      <c r="AL346" s="39">
        <f>+'Gov Rev'!AI345-'Gov Exp'!AE346+'Gov Exp'!AI346-'Gov Exp'!AK346</f>
        <v>-2.473825588822365E-10</v>
      </c>
      <c r="AM346" s="15" t="str">
        <f>'Gov Rev'!A345</f>
        <v>Lowellville</v>
      </c>
      <c r="AN346" s="15" t="str">
        <f t="shared" si="119"/>
        <v>Lowellville</v>
      </c>
      <c r="AO346" s="15" t="b">
        <f t="shared" si="120"/>
        <v>1</v>
      </c>
    </row>
    <row r="347" spans="1:41" ht="12.75">
      <c r="A347" s="15" t="s">
        <v>246</v>
      </c>
      <c r="C347" s="15" t="s">
        <v>822</v>
      </c>
      <c r="D347" s="28"/>
      <c r="E347" s="36">
        <v>3272.79</v>
      </c>
      <c r="F347" s="36"/>
      <c r="G347" s="36">
        <v>119.55</v>
      </c>
      <c r="H347" s="36"/>
      <c r="I347" s="36">
        <v>5984.12</v>
      </c>
      <c r="J347" s="36"/>
      <c r="K347" s="36">
        <v>0</v>
      </c>
      <c r="L347" s="36"/>
      <c r="M347" s="36">
        <v>0</v>
      </c>
      <c r="N347" s="36"/>
      <c r="O347" s="36">
        <v>8820.79</v>
      </c>
      <c r="P347" s="36"/>
      <c r="Q347" s="36">
        <v>24295.13</v>
      </c>
      <c r="R347" s="36"/>
      <c r="S347" s="36">
        <v>0</v>
      </c>
      <c r="T347" s="36"/>
      <c r="U347" s="36">
        <v>0</v>
      </c>
      <c r="V347" s="36"/>
      <c r="W347" s="36">
        <v>0</v>
      </c>
      <c r="X347" s="36"/>
      <c r="Y347" s="36">
        <v>0</v>
      </c>
      <c r="Z347" s="36"/>
      <c r="AA347" s="36">
        <v>0</v>
      </c>
      <c r="AB347" s="36"/>
      <c r="AC347" s="36">
        <v>0</v>
      </c>
      <c r="AD347" s="36"/>
      <c r="AE347" s="36">
        <f t="shared" si="144"/>
        <v>42492.380000000005</v>
      </c>
      <c r="AF347" s="36"/>
      <c r="AG347" s="36">
        <v>-2886.51</v>
      </c>
      <c r="AH347" s="36"/>
      <c r="AI347" s="36">
        <v>49001.66</v>
      </c>
      <c r="AJ347" s="36"/>
      <c r="AK347" s="36">
        <v>46115.15</v>
      </c>
      <c r="AL347" s="39">
        <f>+'Gov Rev'!AI346-'Gov Exp'!AE347+'Gov Exp'!AI347-'Gov Exp'!AK347</f>
        <v>0</v>
      </c>
      <c r="AM347" s="15" t="str">
        <f>'Gov Rev'!A346</f>
        <v>Lower Salem</v>
      </c>
      <c r="AN347" s="15" t="str">
        <f t="shared" si="119"/>
        <v>Lower Salem</v>
      </c>
      <c r="AO347" s="15" t="b">
        <f t="shared" si="120"/>
        <v>1</v>
      </c>
    </row>
    <row r="348" spans="1:41" s="31" customFormat="1" ht="12.75">
      <c r="A348" s="15" t="s">
        <v>455</v>
      </c>
      <c r="B348" s="15"/>
      <c r="C348" s="15" t="s">
        <v>520</v>
      </c>
      <c r="D348" s="15"/>
      <c r="E348" s="24">
        <v>25000</v>
      </c>
      <c r="F348" s="24"/>
      <c r="G348" s="24">
        <v>2319</v>
      </c>
      <c r="H348" s="24"/>
      <c r="I348" s="24">
        <v>0</v>
      </c>
      <c r="J348" s="24"/>
      <c r="K348" s="24">
        <v>3301</v>
      </c>
      <c r="L348" s="24"/>
      <c r="M348" s="24">
        <v>0</v>
      </c>
      <c r="N348" s="24"/>
      <c r="O348" s="24">
        <v>32350</v>
      </c>
      <c r="P348" s="24"/>
      <c r="Q348" s="24">
        <v>35804</v>
      </c>
      <c r="R348" s="24"/>
      <c r="S348" s="24">
        <v>31685</v>
      </c>
      <c r="T348" s="24"/>
      <c r="U348" s="24">
        <v>0</v>
      </c>
      <c r="V348" s="24"/>
      <c r="W348" s="24">
        <v>0</v>
      </c>
      <c r="X348" s="24"/>
      <c r="Y348" s="24">
        <v>5000</v>
      </c>
      <c r="Z348" s="24"/>
      <c r="AA348" s="24">
        <v>0</v>
      </c>
      <c r="AB348" s="24"/>
      <c r="AC348" s="24">
        <v>167666</v>
      </c>
      <c r="AD348" s="24"/>
      <c r="AE348" s="24">
        <f t="shared" si="138"/>
        <v>303125</v>
      </c>
      <c r="AF348" s="24"/>
      <c r="AG348" s="24">
        <v>60735</v>
      </c>
      <c r="AH348" s="24"/>
      <c r="AI348" s="24">
        <v>48860</v>
      </c>
      <c r="AJ348" s="24"/>
      <c r="AK348" s="24">
        <v>109595</v>
      </c>
      <c r="AL348" s="39">
        <f>+'Gov Rev'!AI347-'Gov Exp'!AE348+'Gov Exp'!AI348-'Gov Exp'!AK348</f>
        <v>0</v>
      </c>
      <c r="AM348" s="15" t="str">
        <f>'Gov Rev'!A347</f>
        <v>Lucas</v>
      </c>
      <c r="AN348" s="15" t="str">
        <f t="shared" si="119"/>
        <v>Lucas</v>
      </c>
      <c r="AO348" s="15" t="b">
        <f t="shared" si="120"/>
        <v>1</v>
      </c>
    </row>
    <row r="349" spans="1:41" s="31" customFormat="1" ht="12.75">
      <c r="A349" s="15" t="s">
        <v>606</v>
      </c>
      <c r="B349" s="15"/>
      <c r="C349" s="15" t="s">
        <v>603</v>
      </c>
      <c r="D349" s="15"/>
      <c r="E349" s="96">
        <v>124470.56</v>
      </c>
      <c r="F349" s="96"/>
      <c r="G349" s="96">
        <v>0</v>
      </c>
      <c r="H349" s="96"/>
      <c r="I349" s="96">
        <v>8696.48</v>
      </c>
      <c r="J349" s="96"/>
      <c r="K349" s="96">
        <v>82696.1</v>
      </c>
      <c r="L349" s="96"/>
      <c r="M349" s="96">
        <v>73463.26</v>
      </c>
      <c r="N349" s="96"/>
      <c r="O349" s="96">
        <v>52204.53</v>
      </c>
      <c r="P349" s="96"/>
      <c r="Q349" s="96">
        <v>68274.81</v>
      </c>
      <c r="R349" s="96"/>
      <c r="S349" s="96">
        <v>31783.69</v>
      </c>
      <c r="T349" s="96"/>
      <c r="U349" s="96">
        <v>0</v>
      </c>
      <c r="V349" s="96"/>
      <c r="W349" s="96">
        <v>0</v>
      </c>
      <c r="X349" s="96"/>
      <c r="Y349" s="96">
        <v>37792.22</v>
      </c>
      <c r="Z349" s="96"/>
      <c r="AA349" s="96">
        <v>0</v>
      </c>
      <c r="AB349" s="96"/>
      <c r="AC349" s="96">
        <v>0</v>
      </c>
      <c r="AD349" s="96"/>
      <c r="AE349" s="96">
        <f aca="true" t="shared" si="145" ref="AE349">SUM(E349:AC349)</f>
        <v>479381.65</v>
      </c>
      <c r="AF349" s="95"/>
      <c r="AG349" s="95">
        <v>-40640.25</v>
      </c>
      <c r="AH349" s="95"/>
      <c r="AI349" s="95">
        <v>331701.73</v>
      </c>
      <c r="AJ349" s="95"/>
      <c r="AK349" s="95">
        <v>291061.48</v>
      </c>
      <c r="AL349" s="39">
        <f>+'Gov Rev'!AI348-'Gov Exp'!AE349+'Gov Exp'!AI349-'Gov Exp'!AK349</f>
        <v>0</v>
      </c>
      <c r="AM349" s="15" t="str">
        <f>'Gov Rev'!A348</f>
        <v>Luckey</v>
      </c>
      <c r="AN349" s="15" t="str">
        <f t="shared" si="119"/>
        <v>Luckey</v>
      </c>
      <c r="AO349" s="15" t="b">
        <f t="shared" si="120"/>
        <v>1</v>
      </c>
    </row>
    <row r="350" spans="1:41" s="31" customFormat="1" ht="12.75">
      <c r="A350" s="15" t="s">
        <v>110</v>
      </c>
      <c r="B350" s="15"/>
      <c r="C350" s="15" t="s">
        <v>778</v>
      </c>
      <c r="D350" s="28"/>
      <c r="E350" s="36">
        <v>136319.77</v>
      </c>
      <c r="F350" s="36"/>
      <c r="G350" s="36">
        <v>3512.66</v>
      </c>
      <c r="H350" s="36"/>
      <c r="I350" s="36">
        <v>13764.24</v>
      </c>
      <c r="J350" s="36"/>
      <c r="K350" s="36">
        <v>0</v>
      </c>
      <c r="L350" s="36"/>
      <c r="M350" s="36">
        <v>2509.5</v>
      </c>
      <c r="N350" s="36"/>
      <c r="O350" s="36">
        <v>142925.96</v>
      </c>
      <c r="P350" s="36"/>
      <c r="Q350" s="36">
        <v>113169.63</v>
      </c>
      <c r="R350" s="36"/>
      <c r="S350" s="36">
        <v>35537.61</v>
      </c>
      <c r="T350" s="36"/>
      <c r="U350" s="36">
        <v>139833.26</v>
      </c>
      <c r="V350" s="36"/>
      <c r="W350" s="36">
        <v>45606.62</v>
      </c>
      <c r="X350" s="36"/>
      <c r="Y350" s="36">
        <v>0</v>
      </c>
      <c r="Z350" s="36"/>
      <c r="AA350" s="36">
        <v>21284</v>
      </c>
      <c r="AB350" s="36"/>
      <c r="AC350" s="36">
        <v>0</v>
      </c>
      <c r="AD350" s="36"/>
      <c r="AE350" s="36">
        <f aca="true" t="shared" si="146" ref="AE350:AE353">SUM(E350:AC350)</f>
        <v>654463.25</v>
      </c>
      <c r="AF350" s="36"/>
      <c r="AG350" s="36">
        <v>110562.4</v>
      </c>
      <c r="AH350" s="36"/>
      <c r="AI350" s="36">
        <v>157142.29</v>
      </c>
      <c r="AJ350" s="36"/>
      <c r="AK350" s="36">
        <v>267704.69</v>
      </c>
      <c r="AL350" s="39">
        <f>+'Gov Rev'!AI349-'Gov Exp'!AE350+'Gov Exp'!AI350-'Gov Exp'!AK350</f>
        <v>0</v>
      </c>
      <c r="AM350" s="15" t="str">
        <f>'Gov Rev'!A349</f>
        <v>Lynchburg</v>
      </c>
      <c r="AN350" s="15" t="str">
        <f t="shared" si="119"/>
        <v>Lynchburg</v>
      </c>
      <c r="AO350" s="15" t="b">
        <f t="shared" si="120"/>
        <v>1</v>
      </c>
    </row>
    <row r="351" spans="1:41" s="31" customFormat="1" ht="12.75">
      <c r="A351" s="15" t="s">
        <v>78</v>
      </c>
      <c r="B351" s="15"/>
      <c r="C351" s="15" t="s">
        <v>769</v>
      </c>
      <c r="D351" s="28"/>
      <c r="E351" s="36">
        <v>14447.91</v>
      </c>
      <c r="F351" s="36"/>
      <c r="G351" s="36">
        <v>0</v>
      </c>
      <c r="H351" s="36"/>
      <c r="I351" s="36">
        <v>7536.46</v>
      </c>
      <c r="J351" s="36"/>
      <c r="K351" s="36">
        <v>400</v>
      </c>
      <c r="L351" s="36"/>
      <c r="M351" s="36">
        <v>2790.24</v>
      </c>
      <c r="N351" s="36"/>
      <c r="O351" s="36">
        <v>41277.71</v>
      </c>
      <c r="P351" s="36"/>
      <c r="Q351" s="36">
        <v>86154.16</v>
      </c>
      <c r="R351" s="36"/>
      <c r="S351" s="36">
        <v>0</v>
      </c>
      <c r="T351" s="36"/>
      <c r="U351" s="36">
        <v>0</v>
      </c>
      <c r="V351" s="36"/>
      <c r="W351" s="36">
        <v>0</v>
      </c>
      <c r="X351" s="36"/>
      <c r="Y351" s="36">
        <v>0</v>
      </c>
      <c r="Z351" s="36"/>
      <c r="AA351" s="36">
        <v>0</v>
      </c>
      <c r="AB351" s="36"/>
      <c r="AC351" s="36">
        <v>0</v>
      </c>
      <c r="AD351" s="36"/>
      <c r="AE351" s="36">
        <f t="shared" si="146"/>
        <v>152606.48</v>
      </c>
      <c r="AF351" s="36"/>
      <c r="AG351" s="36">
        <v>18216.1</v>
      </c>
      <c r="AH351" s="36"/>
      <c r="AI351" s="36">
        <v>255470.9</v>
      </c>
      <c r="AJ351" s="36"/>
      <c r="AK351" s="36">
        <v>273687</v>
      </c>
      <c r="AL351" s="39">
        <f>+'Gov Rev'!AI350-'Gov Exp'!AE351+'Gov Exp'!AI351-'Gov Exp'!AK351</f>
        <v>0</v>
      </c>
      <c r="AM351" s="15" t="str">
        <f>'Gov Rev'!A350</f>
        <v>Lyons</v>
      </c>
      <c r="AN351" s="15" t="str">
        <f t="shared" si="119"/>
        <v>Lyons</v>
      </c>
      <c r="AO351" s="15" t="b">
        <f t="shared" si="120"/>
        <v>1</v>
      </c>
    </row>
    <row r="352" spans="1:41" s="31" customFormat="1" ht="12.75">
      <c r="A352" s="15" t="s">
        <v>432</v>
      </c>
      <c r="B352" s="15"/>
      <c r="C352" s="15" t="s">
        <v>430</v>
      </c>
      <c r="D352" s="15"/>
      <c r="E352" s="36">
        <v>734302.4</v>
      </c>
      <c r="F352" s="36"/>
      <c r="G352" s="36">
        <v>32785.15</v>
      </c>
      <c r="H352" s="36"/>
      <c r="I352" s="36">
        <v>166720.02</v>
      </c>
      <c r="J352" s="36"/>
      <c r="K352" s="36">
        <v>0</v>
      </c>
      <c r="L352" s="36"/>
      <c r="M352" s="36">
        <v>92373.36</v>
      </c>
      <c r="N352" s="36"/>
      <c r="O352" s="36">
        <v>303861.61</v>
      </c>
      <c r="P352" s="36"/>
      <c r="Q352" s="36">
        <v>433570.23</v>
      </c>
      <c r="R352" s="36"/>
      <c r="S352" s="36">
        <v>480539.38</v>
      </c>
      <c r="T352" s="36"/>
      <c r="U352" s="36">
        <v>0</v>
      </c>
      <c r="V352" s="36"/>
      <c r="W352" s="36">
        <v>0</v>
      </c>
      <c r="X352" s="36"/>
      <c r="Y352" s="36">
        <v>217091.17</v>
      </c>
      <c r="Z352" s="36"/>
      <c r="AA352" s="36">
        <v>110000</v>
      </c>
      <c r="AB352" s="36"/>
      <c r="AC352" s="36">
        <v>0</v>
      </c>
      <c r="AD352" s="36"/>
      <c r="AE352" s="36">
        <f t="shared" si="146"/>
        <v>2571243.32</v>
      </c>
      <c r="AF352" s="36"/>
      <c r="AG352" s="36">
        <v>-43295.35</v>
      </c>
      <c r="AH352" s="36"/>
      <c r="AI352" s="36">
        <v>786491.57</v>
      </c>
      <c r="AJ352" s="36"/>
      <c r="AK352" s="36">
        <v>743196.22</v>
      </c>
      <c r="AL352" s="39">
        <f>+'Gov Rev'!AI351-'Gov Exp'!AE352+'Gov Exp'!AI352-'Gov Exp'!AK352</f>
        <v>0</v>
      </c>
      <c r="AM352" s="15" t="str">
        <f>'Gov Rev'!A351</f>
        <v>Madison</v>
      </c>
      <c r="AN352" s="15" t="str">
        <f aca="true" t="shared" si="147" ref="AN352:AN416">A352</f>
        <v>Madison</v>
      </c>
      <c r="AO352" s="15" t="b">
        <f aca="true" t="shared" si="148" ref="AO352:AO416">AM352=AN352</f>
        <v>1</v>
      </c>
    </row>
    <row r="353" spans="1:41" ht="12.75">
      <c r="A353" s="15" t="s">
        <v>236</v>
      </c>
      <c r="C353" s="15" t="s">
        <v>819</v>
      </c>
      <c r="D353" s="28"/>
      <c r="E353" s="36">
        <v>3742.11</v>
      </c>
      <c r="F353" s="36"/>
      <c r="G353" s="36">
        <v>0</v>
      </c>
      <c r="H353" s="36"/>
      <c r="I353" s="36">
        <v>649.26</v>
      </c>
      <c r="J353" s="36"/>
      <c r="K353" s="36">
        <v>0</v>
      </c>
      <c r="L353" s="36"/>
      <c r="M353" s="36">
        <v>0</v>
      </c>
      <c r="N353" s="36"/>
      <c r="O353" s="36">
        <v>55657.04</v>
      </c>
      <c r="P353" s="36"/>
      <c r="Q353" s="36">
        <v>16541.86</v>
      </c>
      <c r="R353" s="36"/>
      <c r="S353" s="36">
        <v>624.6</v>
      </c>
      <c r="T353" s="36"/>
      <c r="U353" s="36">
        <v>0</v>
      </c>
      <c r="V353" s="36"/>
      <c r="W353" s="36">
        <v>0</v>
      </c>
      <c r="X353" s="36"/>
      <c r="Y353" s="36">
        <v>0</v>
      </c>
      <c r="Z353" s="36"/>
      <c r="AA353" s="36">
        <v>0</v>
      </c>
      <c r="AB353" s="36"/>
      <c r="AC353" s="36">
        <v>25.99</v>
      </c>
      <c r="AD353" s="36"/>
      <c r="AE353" s="36">
        <f t="shared" si="146"/>
        <v>77240.86000000002</v>
      </c>
      <c r="AF353" s="36"/>
      <c r="AG353" s="36">
        <v>-28394.1</v>
      </c>
      <c r="AH353" s="36"/>
      <c r="AI353" s="36">
        <v>153886.02</v>
      </c>
      <c r="AJ353" s="36"/>
      <c r="AK353" s="36">
        <v>125491.92</v>
      </c>
      <c r="AL353" s="39">
        <f>+'Gov Rev'!AI352-'Gov Exp'!AE353+'Gov Exp'!AI353-'Gov Exp'!AK353</f>
        <v>0</v>
      </c>
      <c r="AM353" s="15" t="str">
        <f>'Gov Rev'!A352</f>
        <v>Magnetic Springs</v>
      </c>
      <c r="AN353" s="15" t="str">
        <f t="shared" si="147"/>
        <v>Magnetic Springs</v>
      </c>
      <c r="AO353" s="15" t="b">
        <f t="shared" si="148"/>
        <v>1</v>
      </c>
    </row>
    <row r="354" spans="1:41" s="24" customFormat="1" ht="12.75">
      <c r="A354" s="24" t="s">
        <v>546</v>
      </c>
      <c r="C354" s="24" t="s">
        <v>542</v>
      </c>
      <c r="E354" s="24">
        <v>223907.22</v>
      </c>
      <c r="G354" s="24">
        <v>17878.05</v>
      </c>
      <c r="I354" s="24">
        <v>15332.19</v>
      </c>
      <c r="K354" s="24">
        <v>0</v>
      </c>
      <c r="M354" s="24">
        <v>9844.52</v>
      </c>
      <c r="O354" s="24">
        <v>51075.64</v>
      </c>
      <c r="Q354" s="24">
        <v>111175.12</v>
      </c>
      <c r="S354" s="24">
        <v>5000</v>
      </c>
      <c r="U354" s="24">
        <f>63175.86+1577.5</f>
        <v>64753.36</v>
      </c>
      <c r="W354" s="24">
        <v>21824.14</v>
      </c>
      <c r="Y354" s="24">
        <v>180369.55</v>
      </c>
      <c r="AA354" s="24">
        <v>0</v>
      </c>
      <c r="AC354" s="24">
        <f>665.06+43134</f>
        <v>43799.06</v>
      </c>
      <c r="AE354" s="24">
        <f t="shared" si="138"/>
        <v>744958.8500000001</v>
      </c>
      <c r="AG354" s="24">
        <v>27353.07</v>
      </c>
      <c r="AI354" s="24">
        <v>238776.07</v>
      </c>
      <c r="AK354" s="24">
        <v>266129.24</v>
      </c>
      <c r="AL354" s="39">
        <f>+'Gov Rev'!AI353-'Gov Exp'!AE354+'Gov Exp'!AI354-'Gov Exp'!AK354</f>
        <v>-0.4800000000395812</v>
      </c>
      <c r="AM354" s="15" t="str">
        <f>'Gov Rev'!A353</f>
        <v>Magnolia</v>
      </c>
      <c r="AN354" s="15" t="str">
        <f t="shared" si="147"/>
        <v>Magnolia</v>
      </c>
      <c r="AO354" s="15" t="b">
        <f t="shared" si="148"/>
        <v>1</v>
      </c>
    </row>
    <row r="355" spans="1:41" ht="12.75">
      <c r="A355" s="15" t="s">
        <v>242</v>
      </c>
      <c r="C355" s="15" t="s">
        <v>821</v>
      </c>
      <c r="D355" s="28"/>
      <c r="E355" s="36">
        <v>140616.05</v>
      </c>
      <c r="F355" s="36"/>
      <c r="G355" s="36">
        <v>0</v>
      </c>
      <c r="H355" s="36"/>
      <c r="I355" s="36">
        <v>0</v>
      </c>
      <c r="J355" s="36"/>
      <c r="K355" s="36">
        <v>652.1</v>
      </c>
      <c r="L355" s="36"/>
      <c r="M355" s="36">
        <v>71024.47</v>
      </c>
      <c r="N355" s="36"/>
      <c r="O355" s="36">
        <v>60592.79</v>
      </c>
      <c r="P355" s="36"/>
      <c r="Q355" s="36">
        <v>192234.2</v>
      </c>
      <c r="R355" s="36"/>
      <c r="S355" s="36">
        <v>34778.92</v>
      </c>
      <c r="T355" s="36"/>
      <c r="U355" s="36">
        <v>26398.29</v>
      </c>
      <c r="V355" s="36"/>
      <c r="W355" s="36">
        <v>5312.68</v>
      </c>
      <c r="X355" s="36"/>
      <c r="Y355" s="36">
        <v>0</v>
      </c>
      <c r="Z355" s="36"/>
      <c r="AA355" s="36">
        <v>0</v>
      </c>
      <c r="AB355" s="36"/>
      <c r="AC355" s="36">
        <v>0</v>
      </c>
      <c r="AD355" s="36"/>
      <c r="AE355" s="36">
        <f aca="true" t="shared" si="149" ref="AE355:AE360">SUM(E355:AC355)</f>
        <v>531609.5</v>
      </c>
      <c r="AF355" s="36"/>
      <c r="AG355" s="36">
        <v>1265.49</v>
      </c>
      <c r="AH355" s="36"/>
      <c r="AI355" s="36">
        <v>479966.44</v>
      </c>
      <c r="AJ355" s="36"/>
      <c r="AK355" s="36">
        <v>481231.93</v>
      </c>
      <c r="AL355" s="39">
        <f>+'Gov Rev'!AI354-'Gov Exp'!AE355+'Gov Exp'!AI355-'Gov Exp'!AK355</f>
        <v>0</v>
      </c>
      <c r="AM355" s="15" t="str">
        <f>'Gov Rev'!A354</f>
        <v>Maineville</v>
      </c>
      <c r="AN355" s="15" t="str">
        <f t="shared" si="147"/>
        <v>Maineville</v>
      </c>
      <c r="AO355" s="15" t="b">
        <f t="shared" si="148"/>
        <v>1</v>
      </c>
    </row>
    <row r="356" spans="1:41" s="31" customFormat="1" ht="12.75">
      <c r="A356" s="15" t="s">
        <v>107</v>
      </c>
      <c r="B356" s="15"/>
      <c r="C356" s="15" t="s">
        <v>777</v>
      </c>
      <c r="D356" s="28"/>
      <c r="E356" s="36">
        <v>9958.36</v>
      </c>
      <c r="F356" s="36"/>
      <c r="G356" s="36">
        <v>0</v>
      </c>
      <c r="H356" s="36"/>
      <c r="I356" s="36">
        <v>2449.65</v>
      </c>
      <c r="J356" s="36"/>
      <c r="K356" s="36">
        <v>780</v>
      </c>
      <c r="L356" s="36"/>
      <c r="M356" s="36">
        <v>2195.2</v>
      </c>
      <c r="N356" s="36"/>
      <c r="O356" s="36">
        <v>17073.27</v>
      </c>
      <c r="P356" s="36"/>
      <c r="Q356" s="36">
        <v>54103.13</v>
      </c>
      <c r="R356" s="36"/>
      <c r="S356" s="36">
        <v>83758.92</v>
      </c>
      <c r="T356" s="36"/>
      <c r="U356" s="36">
        <v>0</v>
      </c>
      <c r="V356" s="36"/>
      <c r="W356" s="36">
        <v>0</v>
      </c>
      <c r="X356" s="36"/>
      <c r="Y356" s="36">
        <v>60000</v>
      </c>
      <c r="Z356" s="36"/>
      <c r="AA356" s="36">
        <v>0</v>
      </c>
      <c r="AB356" s="36"/>
      <c r="AC356" s="36">
        <v>580</v>
      </c>
      <c r="AD356" s="36"/>
      <c r="AE356" s="36">
        <f t="shared" si="149"/>
        <v>230898.53</v>
      </c>
      <c r="AF356" s="36"/>
      <c r="AG356" s="36">
        <v>-8286.83</v>
      </c>
      <c r="AH356" s="36"/>
      <c r="AI356" s="36">
        <v>275728.53</v>
      </c>
      <c r="AJ356" s="36"/>
      <c r="AK356" s="36">
        <v>267441.7</v>
      </c>
      <c r="AL356" s="39">
        <f>+'Gov Rev'!AI355-'Gov Exp'!AE356+'Gov Exp'!AI356-'Gov Exp'!AK356</f>
        <v>0</v>
      </c>
      <c r="AM356" s="15" t="str">
        <f>'Gov Rev'!A355</f>
        <v>Malinta</v>
      </c>
      <c r="AN356" s="15" t="str">
        <f t="shared" si="147"/>
        <v>Malinta</v>
      </c>
      <c r="AO356" s="15" t="b">
        <f t="shared" si="148"/>
        <v>1</v>
      </c>
    </row>
    <row r="357" spans="1:41" s="31" customFormat="1" ht="12.75">
      <c r="A357" s="15" t="s">
        <v>948</v>
      </c>
      <c r="B357" s="15"/>
      <c r="C357" s="15" t="s">
        <v>798</v>
      </c>
      <c r="D357" s="28"/>
      <c r="E357" s="36">
        <v>6589.92</v>
      </c>
      <c r="F357" s="36"/>
      <c r="G357" s="36">
        <v>0</v>
      </c>
      <c r="H357" s="36"/>
      <c r="I357" s="36">
        <v>0</v>
      </c>
      <c r="J357" s="36"/>
      <c r="K357" s="36">
        <v>0</v>
      </c>
      <c r="L357" s="36"/>
      <c r="M357" s="36">
        <v>0</v>
      </c>
      <c r="N357" s="36"/>
      <c r="O357" s="36">
        <v>31638.46</v>
      </c>
      <c r="P357" s="36"/>
      <c r="Q357" s="36">
        <v>158645.17</v>
      </c>
      <c r="R357" s="36"/>
      <c r="S357" s="36">
        <v>0</v>
      </c>
      <c r="T357" s="36"/>
      <c r="U357" s="36">
        <v>0</v>
      </c>
      <c r="V357" s="36"/>
      <c r="W357" s="36">
        <v>0</v>
      </c>
      <c r="X357" s="36"/>
      <c r="Y357" s="36">
        <v>0</v>
      </c>
      <c r="Z357" s="36"/>
      <c r="AA357" s="36">
        <v>0</v>
      </c>
      <c r="AB357" s="36"/>
      <c r="AC357" s="36">
        <v>0</v>
      </c>
      <c r="AD357" s="36"/>
      <c r="AE357" s="36">
        <f t="shared" si="149"/>
        <v>196873.55000000002</v>
      </c>
      <c r="AF357" s="36"/>
      <c r="AG357" s="36">
        <v>20629.09</v>
      </c>
      <c r="AH357" s="36"/>
      <c r="AI357" s="36">
        <v>85358.27</v>
      </c>
      <c r="AJ357" s="36"/>
      <c r="AK357" s="36">
        <v>105987.36</v>
      </c>
      <c r="AL357" s="39">
        <f>+'Gov Rev'!AI356-'Gov Exp'!AE357+'Gov Exp'!AI357-'Gov Exp'!AK357</f>
        <v>0</v>
      </c>
      <c r="AM357" s="15" t="str">
        <f>'Gov Rev'!A356</f>
        <v>Malta</v>
      </c>
      <c r="AN357" s="15" t="str">
        <f t="shared" si="147"/>
        <v>Malta</v>
      </c>
      <c r="AO357" s="15" t="b">
        <f t="shared" si="148"/>
        <v>1</v>
      </c>
    </row>
    <row r="358" spans="1:41" ht="12.75">
      <c r="A358" s="15" t="s">
        <v>30</v>
      </c>
      <c r="C358" s="15" t="s">
        <v>753</v>
      </c>
      <c r="D358" s="28"/>
      <c r="E358" s="36">
        <v>51629.13</v>
      </c>
      <c r="F358" s="36"/>
      <c r="G358" s="36">
        <v>7375.38</v>
      </c>
      <c r="H358" s="36"/>
      <c r="I358" s="36">
        <v>39543.19</v>
      </c>
      <c r="J358" s="36"/>
      <c r="K358" s="36">
        <v>0</v>
      </c>
      <c r="L358" s="36"/>
      <c r="M358" s="36">
        <v>0</v>
      </c>
      <c r="N358" s="36"/>
      <c r="O358" s="36">
        <v>88388</v>
      </c>
      <c r="P358" s="36"/>
      <c r="Q358" s="36">
        <v>134534.64</v>
      </c>
      <c r="R358" s="36"/>
      <c r="S358" s="36">
        <v>0</v>
      </c>
      <c r="T358" s="36"/>
      <c r="U358" s="36">
        <v>3832.5</v>
      </c>
      <c r="V358" s="36"/>
      <c r="W358" s="36">
        <v>637.5</v>
      </c>
      <c r="X358" s="36"/>
      <c r="Y358" s="36">
        <v>10000</v>
      </c>
      <c r="Z358" s="36"/>
      <c r="AA358" s="36">
        <v>0</v>
      </c>
      <c r="AB358" s="36"/>
      <c r="AC358" s="36">
        <v>0</v>
      </c>
      <c r="AD358" s="36"/>
      <c r="AE358" s="36">
        <f t="shared" si="149"/>
        <v>335940.34</v>
      </c>
      <c r="AF358" s="36"/>
      <c r="AG358" s="36">
        <v>82285.84</v>
      </c>
      <c r="AH358" s="36"/>
      <c r="AI358" s="36">
        <v>136729.61</v>
      </c>
      <c r="AJ358" s="36"/>
      <c r="AK358" s="36">
        <v>219015.45</v>
      </c>
      <c r="AL358" s="39">
        <f>+'Gov Rev'!AI357-'Gov Exp'!AE358+'Gov Exp'!AI358-'Gov Exp'!AK358</f>
        <v>0</v>
      </c>
      <c r="AM358" s="15" t="str">
        <f>'Gov Rev'!A357</f>
        <v>Malvern</v>
      </c>
      <c r="AN358" s="15" t="str">
        <f t="shared" si="147"/>
        <v>Malvern</v>
      </c>
      <c r="AO358" s="15" t="b">
        <f t="shared" si="148"/>
        <v>1</v>
      </c>
    </row>
    <row r="359" spans="1:41" ht="12.75">
      <c r="A359" s="15" t="s">
        <v>932</v>
      </c>
      <c r="C359" s="15" t="s">
        <v>662</v>
      </c>
      <c r="D359" s="28"/>
      <c r="E359" s="36">
        <v>444956.36</v>
      </c>
      <c r="F359" s="36"/>
      <c r="G359" s="36">
        <v>0</v>
      </c>
      <c r="H359" s="36"/>
      <c r="I359" s="36">
        <v>489.98</v>
      </c>
      <c r="J359" s="36"/>
      <c r="K359" s="36">
        <v>2550</v>
      </c>
      <c r="L359" s="36"/>
      <c r="M359" s="36">
        <v>0</v>
      </c>
      <c r="N359" s="36"/>
      <c r="O359" s="36">
        <v>66464.38</v>
      </c>
      <c r="P359" s="36"/>
      <c r="Q359" s="36">
        <v>103184.58</v>
      </c>
      <c r="R359" s="36"/>
      <c r="S359" s="36">
        <v>55596.59</v>
      </c>
      <c r="T359" s="36"/>
      <c r="U359" s="36">
        <v>50183</v>
      </c>
      <c r="V359" s="36"/>
      <c r="W359" s="36">
        <v>11623.67</v>
      </c>
      <c r="X359" s="36"/>
      <c r="Y359" s="36">
        <v>118000</v>
      </c>
      <c r="Z359" s="36"/>
      <c r="AA359" s="36">
        <v>0</v>
      </c>
      <c r="AB359" s="36"/>
      <c r="AC359" s="36">
        <v>20700</v>
      </c>
      <c r="AD359" s="36"/>
      <c r="AE359" s="36">
        <f t="shared" si="149"/>
        <v>873748.5599999999</v>
      </c>
      <c r="AF359" s="36"/>
      <c r="AG359" s="36">
        <v>133382.16</v>
      </c>
      <c r="AH359" s="36"/>
      <c r="AI359" s="36">
        <v>139677.19</v>
      </c>
      <c r="AJ359" s="36"/>
      <c r="AK359" s="36">
        <v>273059.35</v>
      </c>
      <c r="AL359" s="39">
        <f>+'Gov Rev'!AI358-'Gov Exp'!AE359+'Gov Exp'!AI359-'Gov Exp'!AK359</f>
        <v>0</v>
      </c>
      <c r="AM359" s="15" t="str">
        <f>'Gov Rev'!A358</f>
        <v>Manchester</v>
      </c>
      <c r="AN359" s="15" t="str">
        <f t="shared" si="147"/>
        <v>Manchester</v>
      </c>
      <c r="AO359" s="15" t="b">
        <f t="shared" si="148"/>
        <v>1</v>
      </c>
    </row>
    <row r="360" spans="1:41" s="24" customFormat="1" ht="12.75">
      <c r="A360" s="24" t="s">
        <v>195</v>
      </c>
      <c r="C360" s="24" t="s">
        <v>806</v>
      </c>
      <c r="D360" s="73"/>
      <c r="E360" s="36">
        <v>407153.76</v>
      </c>
      <c r="F360" s="36"/>
      <c r="G360" s="36">
        <v>10729.37</v>
      </c>
      <c r="H360" s="36"/>
      <c r="I360" s="36">
        <v>24128.63</v>
      </c>
      <c r="J360" s="36"/>
      <c r="K360" s="36">
        <v>5723.49</v>
      </c>
      <c r="L360" s="36"/>
      <c r="M360" s="36">
        <v>0</v>
      </c>
      <c r="N360" s="36"/>
      <c r="O360" s="36">
        <v>185408.37</v>
      </c>
      <c r="P360" s="36"/>
      <c r="Q360" s="36">
        <v>199134.05</v>
      </c>
      <c r="R360" s="36"/>
      <c r="S360" s="36">
        <v>24943.46</v>
      </c>
      <c r="T360" s="36"/>
      <c r="U360" s="36">
        <v>41776</v>
      </c>
      <c r="V360" s="36"/>
      <c r="W360" s="36">
        <v>22473.31</v>
      </c>
      <c r="X360" s="36"/>
      <c r="Y360" s="36">
        <v>0</v>
      </c>
      <c r="Z360" s="36"/>
      <c r="AA360" s="36">
        <v>25689.58</v>
      </c>
      <c r="AB360" s="36"/>
      <c r="AC360" s="36">
        <v>170.83</v>
      </c>
      <c r="AD360" s="36"/>
      <c r="AE360" s="36">
        <f t="shared" si="149"/>
        <v>947330.8499999999</v>
      </c>
      <c r="AF360" s="36"/>
      <c r="AG360" s="36">
        <v>9437.37</v>
      </c>
      <c r="AH360" s="36"/>
      <c r="AI360" s="36">
        <v>203531.99</v>
      </c>
      <c r="AJ360" s="36"/>
      <c r="AK360" s="36">
        <v>212969.36</v>
      </c>
      <c r="AL360" s="39">
        <f>+'Gov Rev'!AI359-'Gov Exp'!AE360+'Gov Exp'!AI360-'Gov Exp'!AK360</f>
        <v>0</v>
      </c>
      <c r="AM360" s="15" t="str">
        <f>'Gov Rev'!A359</f>
        <v>Mantua</v>
      </c>
      <c r="AN360" s="15" t="str">
        <f t="shared" si="147"/>
        <v>Mantua</v>
      </c>
      <c r="AO360" s="15" t="b">
        <f t="shared" si="148"/>
        <v>1</v>
      </c>
    </row>
    <row r="361" spans="1:41" s="31" customFormat="1" ht="12.75">
      <c r="A361" s="15" t="s">
        <v>73</v>
      </c>
      <c r="B361" s="15"/>
      <c r="C361" s="15" t="s">
        <v>768</v>
      </c>
      <c r="D361" s="28"/>
      <c r="E361" s="95">
        <v>407596.7</v>
      </c>
      <c r="F361" s="95"/>
      <c r="G361" s="95">
        <v>8704.59</v>
      </c>
      <c r="H361" s="95"/>
      <c r="I361" s="95">
        <v>81524.37</v>
      </c>
      <c r="J361" s="95"/>
      <c r="K361" s="95">
        <v>738</v>
      </c>
      <c r="L361" s="95"/>
      <c r="M361" s="95">
        <v>91796.06</v>
      </c>
      <c r="N361" s="95"/>
      <c r="O361" s="95">
        <v>57859.25</v>
      </c>
      <c r="P361" s="95"/>
      <c r="Q361" s="95">
        <v>300187.76</v>
      </c>
      <c r="R361" s="95"/>
      <c r="S361" s="95">
        <v>26444.44</v>
      </c>
      <c r="T361" s="95"/>
      <c r="U361" s="95">
        <v>101934.76</v>
      </c>
      <c r="V361" s="95"/>
      <c r="W361" s="95">
        <v>57950</v>
      </c>
      <c r="X361" s="95"/>
      <c r="Y361" s="95">
        <v>162889.95</v>
      </c>
      <c r="Z361" s="95"/>
      <c r="AA361" s="95">
        <v>0</v>
      </c>
      <c r="AB361" s="95"/>
      <c r="AC361" s="95">
        <v>0</v>
      </c>
      <c r="AD361" s="95"/>
      <c r="AE361" s="95">
        <f aca="true" t="shared" si="150" ref="AE361">SUM(E361:AC361)</f>
        <v>1297625.88</v>
      </c>
      <c r="AF361" s="95"/>
      <c r="AG361" s="95">
        <v>-140416.92</v>
      </c>
      <c r="AH361" s="95"/>
      <c r="AI361" s="95">
        <v>2227957.28</v>
      </c>
      <c r="AJ361" s="95"/>
      <c r="AK361" s="95">
        <v>2087540.36</v>
      </c>
      <c r="AL361" s="39">
        <f>+'Gov Rev'!AI360-'Gov Exp'!AE361+'Gov Exp'!AI361-'Gov Exp'!AK361</f>
        <v>0</v>
      </c>
      <c r="AM361" s="15" t="str">
        <f>'Gov Rev'!A360</f>
        <v>Marble Cliff</v>
      </c>
      <c r="AN361" s="15" t="str">
        <f t="shared" si="147"/>
        <v>Marble Cliff</v>
      </c>
      <c r="AO361" s="15" t="b">
        <f t="shared" si="148"/>
        <v>1</v>
      </c>
    </row>
    <row r="362" spans="1:41" ht="12.75">
      <c r="A362" s="15" t="s">
        <v>841</v>
      </c>
      <c r="C362" s="15" t="s">
        <v>802</v>
      </c>
      <c r="D362" s="28"/>
      <c r="E362" s="36">
        <v>397125.56</v>
      </c>
      <c r="F362" s="36"/>
      <c r="G362" s="36">
        <v>17842.48</v>
      </c>
      <c r="H362" s="36"/>
      <c r="I362" s="36">
        <v>36715.55</v>
      </c>
      <c r="J362" s="36"/>
      <c r="K362" s="36">
        <v>17073.25</v>
      </c>
      <c r="L362" s="36"/>
      <c r="M362" s="36">
        <v>0</v>
      </c>
      <c r="N362" s="36"/>
      <c r="O362" s="36">
        <v>106650.09</v>
      </c>
      <c r="P362" s="36"/>
      <c r="Q362" s="36">
        <v>107294</v>
      </c>
      <c r="R362" s="36"/>
      <c r="S362" s="36">
        <v>604520.67</v>
      </c>
      <c r="T362" s="36"/>
      <c r="U362" s="36">
        <v>10000</v>
      </c>
      <c r="V362" s="36"/>
      <c r="W362" s="36">
        <v>11631</v>
      </c>
      <c r="X362" s="36"/>
      <c r="Y362" s="36">
        <v>42137</v>
      </c>
      <c r="Z362" s="36"/>
      <c r="AA362" s="36">
        <v>16480</v>
      </c>
      <c r="AB362" s="36"/>
      <c r="AC362" s="36">
        <v>2086.38</v>
      </c>
      <c r="AD362" s="36"/>
      <c r="AE362" s="36">
        <f aca="true" t="shared" si="151" ref="AE362:AE363">SUM(E362:AC362)</f>
        <v>1369555.98</v>
      </c>
      <c r="AF362" s="36"/>
      <c r="AG362" s="36">
        <v>320904.33</v>
      </c>
      <c r="AH362" s="36"/>
      <c r="AI362" s="36">
        <v>1797483.66</v>
      </c>
      <c r="AJ362" s="36"/>
      <c r="AK362" s="36">
        <v>2118387.99</v>
      </c>
      <c r="AL362" s="39">
        <f>+'Gov Rev'!AI361-'Gov Exp'!AE362+'Gov Exp'!AI362-'Gov Exp'!AK362</f>
        <v>0</v>
      </c>
      <c r="AM362" s="15" t="str">
        <f>'Gov Rev'!A361</f>
        <v>Marblehead</v>
      </c>
      <c r="AN362" s="15" t="str">
        <f t="shared" si="147"/>
        <v>Marblehead</v>
      </c>
      <c r="AO362" s="15" t="b">
        <f t="shared" si="148"/>
        <v>1</v>
      </c>
    </row>
    <row r="363" spans="1:41" ht="12.75">
      <c r="A363" s="15" t="s">
        <v>173</v>
      </c>
      <c r="C363" s="15" t="s">
        <v>243</v>
      </c>
      <c r="E363" s="36">
        <v>0</v>
      </c>
      <c r="F363" s="36"/>
      <c r="G363" s="36">
        <v>0</v>
      </c>
      <c r="H363" s="36"/>
      <c r="I363" s="36">
        <v>0</v>
      </c>
      <c r="J363" s="36"/>
      <c r="K363" s="36">
        <v>0</v>
      </c>
      <c r="L363" s="36"/>
      <c r="M363" s="36">
        <v>0</v>
      </c>
      <c r="N363" s="36"/>
      <c r="O363" s="36">
        <v>40642.14</v>
      </c>
      <c r="P363" s="36"/>
      <c r="Q363" s="36">
        <v>26473.07</v>
      </c>
      <c r="R363" s="36"/>
      <c r="S363" s="36">
        <v>9732.55</v>
      </c>
      <c r="T363" s="36"/>
      <c r="U363" s="36">
        <v>0</v>
      </c>
      <c r="V363" s="36"/>
      <c r="W363" s="36">
        <v>0</v>
      </c>
      <c r="X363" s="36"/>
      <c r="Y363" s="36">
        <v>0</v>
      </c>
      <c r="Z363" s="36"/>
      <c r="AA363" s="36">
        <v>0</v>
      </c>
      <c r="AB363" s="36"/>
      <c r="AC363" s="36">
        <v>0</v>
      </c>
      <c r="AD363" s="36"/>
      <c r="AE363" s="36">
        <f t="shared" si="151"/>
        <v>76847.76</v>
      </c>
      <c r="AF363" s="36"/>
      <c r="AG363" s="36">
        <v>-29725.09</v>
      </c>
      <c r="AH363" s="36"/>
      <c r="AI363" s="36">
        <v>127231.22</v>
      </c>
      <c r="AJ363" s="36"/>
      <c r="AK363" s="36">
        <v>97506.13</v>
      </c>
      <c r="AL363" s="39">
        <f>+'Gov Rev'!AI362-'Gov Exp'!AE363+'Gov Exp'!AI363-'Gov Exp'!AK363</f>
        <v>0</v>
      </c>
      <c r="AM363" s="15" t="str">
        <f>'Gov Rev'!A362</f>
        <v>Marengo</v>
      </c>
      <c r="AN363" s="15" t="str">
        <f t="shared" si="147"/>
        <v>Marengo</v>
      </c>
      <c r="AO363" s="15" t="b">
        <f t="shared" si="148"/>
        <v>1</v>
      </c>
    </row>
    <row r="364" spans="1:41" ht="12.75">
      <c r="A364" s="15" t="s">
        <v>384</v>
      </c>
      <c r="C364" s="15" t="s">
        <v>378</v>
      </c>
      <c r="E364" s="24">
        <v>1841204</v>
      </c>
      <c r="G364" s="24">
        <v>7417</v>
      </c>
      <c r="I364" s="24">
        <v>754623</v>
      </c>
      <c r="K364" s="24">
        <v>139386</v>
      </c>
      <c r="M364" s="24">
        <v>266821</v>
      </c>
      <c r="O364" s="24">
        <v>169265</v>
      </c>
      <c r="Q364" s="24">
        <v>593347</v>
      </c>
      <c r="S364" s="24">
        <v>0</v>
      </c>
      <c r="U364" s="24">
        <v>0</v>
      </c>
      <c r="W364" s="24">
        <v>0</v>
      </c>
      <c r="Y364" s="24">
        <v>0</v>
      </c>
      <c r="AA364" s="24">
        <v>0</v>
      </c>
      <c r="AC364" s="24">
        <v>0</v>
      </c>
      <c r="AE364" s="24">
        <f t="shared" si="138"/>
        <v>3772063</v>
      </c>
      <c r="AF364" s="24"/>
      <c r="AG364" s="24">
        <v>197870</v>
      </c>
      <c r="AH364" s="24"/>
      <c r="AI364" s="24">
        <v>1824195</v>
      </c>
      <c r="AJ364" s="24"/>
      <c r="AK364" s="24">
        <v>2022065</v>
      </c>
      <c r="AL364" s="39">
        <f>+'Gov Rev'!AI363-'Gov Exp'!AE364+'Gov Exp'!AI364-'Gov Exp'!AK364</f>
        <v>0</v>
      </c>
      <c r="AM364" s="15" t="str">
        <f>'Gov Rev'!A363</f>
        <v>Mariemont</v>
      </c>
      <c r="AN364" s="15" t="str">
        <f t="shared" si="147"/>
        <v>Mariemont</v>
      </c>
      <c r="AO364" s="15" t="b">
        <f t="shared" si="148"/>
        <v>1</v>
      </c>
    </row>
    <row r="365" spans="1:41" ht="12.75" hidden="1">
      <c r="A365" s="15" t="s">
        <v>588</v>
      </c>
      <c r="C365" s="15" t="s">
        <v>587</v>
      </c>
      <c r="AE365" s="24">
        <f t="shared" si="138"/>
        <v>0</v>
      </c>
      <c r="AF365" s="24"/>
      <c r="AG365" s="24"/>
      <c r="AH365" s="24"/>
      <c r="AI365" s="24"/>
      <c r="AJ365" s="24"/>
      <c r="AK365" s="24"/>
      <c r="AL365" s="39">
        <f>+'Gov Rev'!AI364-'Gov Exp'!AE365+'Gov Exp'!AI365-'Gov Exp'!AK365</f>
        <v>0</v>
      </c>
      <c r="AM365" s="15" t="str">
        <f>'Gov Rev'!A364</f>
        <v>Marksburg</v>
      </c>
      <c r="AN365" s="15" t="str">
        <f t="shared" si="147"/>
        <v>Marksburg</v>
      </c>
      <c r="AO365" s="15" t="b">
        <f t="shared" si="148"/>
        <v>1</v>
      </c>
    </row>
    <row r="366" spans="1:41" ht="12.75">
      <c r="A366" s="15" t="s">
        <v>683</v>
      </c>
      <c r="C366" s="15" t="s">
        <v>590</v>
      </c>
      <c r="E366" s="24">
        <v>111993.46</v>
      </c>
      <c r="G366" s="24">
        <v>1856.68</v>
      </c>
      <c r="I366" s="24">
        <v>12862.27</v>
      </c>
      <c r="K366" s="24">
        <v>0</v>
      </c>
      <c r="M366" s="24">
        <v>0</v>
      </c>
      <c r="O366" s="24">
        <v>33106.92</v>
      </c>
      <c r="Q366" s="24">
        <v>69331.63</v>
      </c>
      <c r="S366" s="24">
        <v>7247.43</v>
      </c>
      <c r="U366" s="24">
        <v>0</v>
      </c>
      <c r="W366" s="24">
        <v>0</v>
      </c>
      <c r="Y366" s="24">
        <v>54000</v>
      </c>
      <c r="AA366" s="24">
        <v>0</v>
      </c>
      <c r="AC366" s="24">
        <v>579.74</v>
      </c>
      <c r="AE366" s="24">
        <f t="shared" si="138"/>
        <v>290978.13</v>
      </c>
      <c r="AF366" s="24"/>
      <c r="AG366" s="24">
        <v>4442.63</v>
      </c>
      <c r="AH366" s="24"/>
      <c r="AI366" s="24">
        <v>342034.81</v>
      </c>
      <c r="AJ366" s="24"/>
      <c r="AK366" s="24">
        <v>346477.44</v>
      </c>
      <c r="AL366" s="39">
        <f>+'Gov Rev'!AI365-'Gov Exp'!AE366+'Gov Exp'!AI366-'Gov Exp'!AK366</f>
        <v>0</v>
      </c>
      <c r="AM366" s="15" t="str">
        <f>'Gov Rev'!A365</f>
        <v>Marshallville</v>
      </c>
      <c r="AN366" s="15" t="str">
        <f t="shared" si="147"/>
        <v>Marshallville</v>
      </c>
      <c r="AO366" s="15" t="b">
        <f t="shared" si="148"/>
        <v>1</v>
      </c>
    </row>
    <row r="367" spans="1:41" ht="12.75">
      <c r="A367" s="15" t="s">
        <v>123</v>
      </c>
      <c r="C367" s="15" t="s">
        <v>782</v>
      </c>
      <c r="D367" s="28"/>
      <c r="E367" s="36">
        <v>220</v>
      </c>
      <c r="F367" s="36"/>
      <c r="G367" s="36">
        <v>2120.3</v>
      </c>
      <c r="H367" s="36"/>
      <c r="I367" s="36">
        <v>423.49</v>
      </c>
      <c r="J367" s="36"/>
      <c r="K367" s="36">
        <v>0</v>
      </c>
      <c r="L367" s="36"/>
      <c r="M367" s="36">
        <v>1674.76</v>
      </c>
      <c r="N367" s="36"/>
      <c r="O367" s="36">
        <v>1907.37</v>
      </c>
      <c r="P367" s="36"/>
      <c r="Q367" s="36">
        <v>18731.27</v>
      </c>
      <c r="R367" s="36"/>
      <c r="S367" s="36">
        <v>0</v>
      </c>
      <c r="T367" s="36"/>
      <c r="U367" s="36">
        <v>0</v>
      </c>
      <c r="V367" s="36"/>
      <c r="W367" s="36">
        <v>0</v>
      </c>
      <c r="X367" s="36"/>
      <c r="Y367" s="36">
        <v>0</v>
      </c>
      <c r="Z367" s="36"/>
      <c r="AA367" s="36">
        <v>0</v>
      </c>
      <c r="AB367" s="36"/>
      <c r="AC367" s="36">
        <v>0</v>
      </c>
      <c r="AD367" s="36"/>
      <c r="AE367" s="36">
        <f aca="true" t="shared" si="152" ref="AE367:AE369">SUM(E367:AC367)</f>
        <v>25077.190000000002</v>
      </c>
      <c r="AF367" s="36"/>
      <c r="AG367" s="36">
        <v>2362.34</v>
      </c>
      <c r="AH367" s="36"/>
      <c r="AI367" s="36">
        <v>8859.92</v>
      </c>
      <c r="AJ367" s="36"/>
      <c r="AK367" s="36">
        <v>11222.26</v>
      </c>
      <c r="AL367" s="39">
        <f>+'Gov Rev'!AI366-'Gov Exp'!AE367+'Gov Exp'!AI367-'Gov Exp'!AK367</f>
        <v>0</v>
      </c>
      <c r="AM367" s="15" t="str">
        <f>'Gov Rev'!A366</f>
        <v>Martinsburg</v>
      </c>
      <c r="AN367" s="15" t="str">
        <f t="shared" si="147"/>
        <v>Martinsburg</v>
      </c>
      <c r="AO367" s="15" t="b">
        <f t="shared" si="148"/>
        <v>1</v>
      </c>
    </row>
    <row r="368" spans="1:41" s="72" customFormat="1" ht="12.6" customHeight="1">
      <c r="A368" s="39" t="s">
        <v>301</v>
      </c>
      <c r="B368" s="39"/>
      <c r="C368" s="39" t="s">
        <v>299</v>
      </c>
      <c r="D368" s="39"/>
      <c r="E368" s="36">
        <v>7205.07</v>
      </c>
      <c r="F368" s="36"/>
      <c r="G368" s="36">
        <v>0</v>
      </c>
      <c r="H368" s="36"/>
      <c r="I368" s="36">
        <v>0</v>
      </c>
      <c r="J368" s="36"/>
      <c r="K368" s="36">
        <v>0</v>
      </c>
      <c r="L368" s="36"/>
      <c r="M368" s="36">
        <v>0</v>
      </c>
      <c r="N368" s="36"/>
      <c r="O368" s="36">
        <v>3400</v>
      </c>
      <c r="P368" s="36"/>
      <c r="Q368" s="36">
        <v>44948.88</v>
      </c>
      <c r="R368" s="36"/>
      <c r="S368" s="36">
        <v>0</v>
      </c>
      <c r="T368" s="36"/>
      <c r="U368" s="36">
        <v>0</v>
      </c>
      <c r="V368" s="36"/>
      <c r="W368" s="36">
        <v>0</v>
      </c>
      <c r="X368" s="36"/>
      <c r="Y368" s="36">
        <v>0</v>
      </c>
      <c r="Z368" s="36"/>
      <c r="AA368" s="36">
        <v>0</v>
      </c>
      <c r="AB368" s="36"/>
      <c r="AC368" s="36">
        <v>0</v>
      </c>
      <c r="AD368" s="36"/>
      <c r="AE368" s="36">
        <f t="shared" si="152"/>
        <v>55553.95</v>
      </c>
      <c r="AF368" s="36"/>
      <c r="AG368" s="36">
        <v>-2603.24</v>
      </c>
      <c r="AH368" s="36"/>
      <c r="AI368" s="36">
        <v>40041.16</v>
      </c>
      <c r="AJ368" s="36"/>
      <c r="AK368" s="36">
        <v>37437.92</v>
      </c>
      <c r="AL368" s="39">
        <f>+'Gov Rev'!AI367-'Gov Exp'!AE368+'Gov Exp'!AI368-'Gov Exp'!AK368</f>
        <v>0</v>
      </c>
      <c r="AM368" s="15" t="str">
        <f>'Gov Rev'!A367</f>
        <v>Martinsville</v>
      </c>
      <c r="AN368" s="15" t="str">
        <f t="shared" si="147"/>
        <v>Martinsville</v>
      </c>
      <c r="AO368" s="15" t="b">
        <f t="shared" si="148"/>
        <v>1</v>
      </c>
    </row>
    <row r="369" spans="1:41" ht="12.75">
      <c r="A369" s="15" t="s">
        <v>247</v>
      </c>
      <c r="C369" s="15" t="s">
        <v>822</v>
      </c>
      <c r="D369" s="28"/>
      <c r="E369" s="36">
        <v>45177.29</v>
      </c>
      <c r="F369" s="36"/>
      <c r="G369" s="36">
        <v>1989.06</v>
      </c>
      <c r="H369" s="36"/>
      <c r="I369" s="36">
        <v>9258.2</v>
      </c>
      <c r="J369" s="36"/>
      <c r="K369" s="36">
        <v>0</v>
      </c>
      <c r="L369" s="36"/>
      <c r="M369" s="36">
        <v>11940.93</v>
      </c>
      <c r="N369" s="36"/>
      <c r="O369" s="36">
        <v>45605.05</v>
      </c>
      <c r="P369" s="36"/>
      <c r="Q369" s="36">
        <v>48141.78</v>
      </c>
      <c r="R369" s="36"/>
      <c r="S369" s="36">
        <v>7922.76</v>
      </c>
      <c r="T369" s="36"/>
      <c r="U369" s="36">
        <v>0</v>
      </c>
      <c r="V369" s="36"/>
      <c r="W369" s="36">
        <v>0</v>
      </c>
      <c r="X369" s="36"/>
      <c r="Y369" s="36">
        <v>0</v>
      </c>
      <c r="Z369" s="36"/>
      <c r="AA369" s="36">
        <v>0</v>
      </c>
      <c r="AB369" s="36"/>
      <c r="AC369" s="36">
        <v>0</v>
      </c>
      <c r="AD369" s="36"/>
      <c r="AE369" s="36">
        <f t="shared" si="152"/>
        <v>170035.07</v>
      </c>
      <c r="AF369" s="36"/>
      <c r="AG369" s="36">
        <v>-17494.79</v>
      </c>
      <c r="AH369" s="36"/>
      <c r="AI369" s="36">
        <v>117213.31</v>
      </c>
      <c r="AJ369" s="36"/>
      <c r="AK369" s="36">
        <v>99718.52</v>
      </c>
      <c r="AL369" s="39">
        <f>+'Gov Rev'!AI368-'Gov Exp'!AE369+'Gov Exp'!AI369-'Gov Exp'!AK369</f>
        <v>0</v>
      </c>
      <c r="AM369" s="15" t="str">
        <f>'Gov Rev'!A368</f>
        <v>Matamoras</v>
      </c>
      <c r="AN369" s="15" t="str">
        <f t="shared" si="147"/>
        <v>Matamoras</v>
      </c>
      <c r="AO369" s="15" t="b">
        <f t="shared" si="148"/>
        <v>1</v>
      </c>
    </row>
    <row r="370" spans="1:41" s="31" customFormat="1" ht="12.6" customHeight="1">
      <c r="A370" s="15" t="s">
        <v>322</v>
      </c>
      <c r="B370" s="15"/>
      <c r="C370" s="15" t="s">
        <v>316</v>
      </c>
      <c r="D370" s="15"/>
      <c r="E370" s="24">
        <v>5361210</v>
      </c>
      <c r="F370" s="24"/>
      <c r="G370" s="24">
        <v>14726</v>
      </c>
      <c r="H370" s="24"/>
      <c r="I370" s="24">
        <v>923088</v>
      </c>
      <c r="J370" s="24"/>
      <c r="K370" s="24">
        <v>374593</v>
      </c>
      <c r="L370" s="24"/>
      <c r="M370" s="24">
        <v>245284</v>
      </c>
      <c r="N370" s="24"/>
      <c r="O370" s="24">
        <v>2134222</v>
      </c>
      <c r="P370" s="24"/>
      <c r="Q370" s="24">
        <v>2386524</v>
      </c>
      <c r="R370" s="24"/>
      <c r="S370" s="24">
        <v>2277047</v>
      </c>
      <c r="T370" s="24"/>
      <c r="U370" s="24">
        <v>4590890</v>
      </c>
      <c r="V370" s="24"/>
      <c r="W370" s="24">
        <v>421933</v>
      </c>
      <c r="X370" s="24"/>
      <c r="Y370" s="24">
        <v>1745697</v>
      </c>
      <c r="Z370" s="24"/>
      <c r="AA370" s="24">
        <v>0</v>
      </c>
      <c r="AB370" s="24"/>
      <c r="AC370" s="24">
        <v>0</v>
      </c>
      <c r="AD370" s="24"/>
      <c r="AE370" s="24">
        <f t="shared" si="138"/>
        <v>20475214</v>
      </c>
      <c r="AF370" s="24"/>
      <c r="AG370" s="24">
        <v>3858326</v>
      </c>
      <c r="AH370" s="24"/>
      <c r="AI370" s="24">
        <v>4646388</v>
      </c>
      <c r="AJ370" s="24"/>
      <c r="AK370" s="24">
        <v>8504714</v>
      </c>
      <c r="AL370" s="39">
        <f>+'Gov Rev'!AI369-'Gov Exp'!AE370+'Gov Exp'!AI370-'Gov Exp'!AK370</f>
        <v>0</v>
      </c>
      <c r="AM370" s="15" t="str">
        <f>'Gov Rev'!A369</f>
        <v>Mayfield</v>
      </c>
      <c r="AN370" s="15" t="str">
        <f t="shared" si="147"/>
        <v>Mayfield</v>
      </c>
      <c r="AO370" s="15" t="b">
        <f t="shared" si="148"/>
        <v>1</v>
      </c>
    </row>
    <row r="371" spans="1:41" ht="12.75">
      <c r="A371" s="15" t="s">
        <v>302</v>
      </c>
      <c r="C371" s="15" t="s">
        <v>82</v>
      </c>
      <c r="E371" s="36">
        <v>261885.72</v>
      </c>
      <c r="F371" s="36"/>
      <c r="G371" s="36">
        <v>540.06</v>
      </c>
      <c r="H371" s="36"/>
      <c r="I371" s="36">
        <v>30931.43</v>
      </c>
      <c r="J371" s="36"/>
      <c r="K371" s="36">
        <v>0</v>
      </c>
      <c r="L371" s="36"/>
      <c r="M371" s="36">
        <v>0</v>
      </c>
      <c r="N371" s="36"/>
      <c r="O371" s="36">
        <v>123175.16</v>
      </c>
      <c r="P371" s="36"/>
      <c r="Q371" s="36">
        <v>138668</v>
      </c>
      <c r="R371" s="36"/>
      <c r="S371" s="36">
        <v>140900.88</v>
      </c>
      <c r="T371" s="36"/>
      <c r="U371" s="36">
        <v>68713.04</v>
      </c>
      <c r="V371" s="36"/>
      <c r="W371" s="36">
        <v>2652.98</v>
      </c>
      <c r="X371" s="36"/>
      <c r="Y371" s="36">
        <v>0</v>
      </c>
      <c r="Z371" s="36"/>
      <c r="AA371" s="36">
        <v>0</v>
      </c>
      <c r="AB371" s="36"/>
      <c r="AC371" s="36">
        <v>160</v>
      </c>
      <c r="AD371" s="36"/>
      <c r="AE371" s="36">
        <f aca="true" t="shared" si="153" ref="AE371:AE372">SUM(E371:AC371)</f>
        <v>767627.27</v>
      </c>
      <c r="AF371" s="36"/>
      <c r="AG371" s="36">
        <v>66102.81</v>
      </c>
      <c r="AH371" s="36"/>
      <c r="AI371" s="36">
        <v>372480.13</v>
      </c>
      <c r="AJ371" s="36"/>
      <c r="AK371" s="36">
        <v>438582.94</v>
      </c>
      <c r="AL371" s="39">
        <f>+'Gov Rev'!AI370-'Gov Exp'!AE371+'Gov Exp'!AI371-'Gov Exp'!AK371</f>
        <v>0</v>
      </c>
      <c r="AM371" s="15" t="str">
        <f>'Gov Rev'!A370</f>
        <v>McArthur</v>
      </c>
      <c r="AN371" s="15" t="str">
        <f t="shared" si="147"/>
        <v>McArthur</v>
      </c>
      <c r="AO371" s="15" t="b">
        <f t="shared" si="148"/>
        <v>1</v>
      </c>
    </row>
    <row r="372" spans="1:41" ht="12.75">
      <c r="A372" s="15" t="s">
        <v>108</v>
      </c>
      <c r="C372" s="15" t="s">
        <v>777</v>
      </c>
      <c r="D372" s="28"/>
      <c r="E372" s="36">
        <v>11332.41</v>
      </c>
      <c r="F372" s="36"/>
      <c r="G372" s="36">
        <v>0</v>
      </c>
      <c r="H372" s="36"/>
      <c r="I372" s="36">
        <v>2281.31</v>
      </c>
      <c r="J372" s="36"/>
      <c r="K372" s="36">
        <v>62.56</v>
      </c>
      <c r="L372" s="36"/>
      <c r="M372" s="36">
        <v>0</v>
      </c>
      <c r="N372" s="36"/>
      <c r="O372" s="36">
        <v>60233.58</v>
      </c>
      <c r="P372" s="36"/>
      <c r="Q372" s="36">
        <v>86956.42</v>
      </c>
      <c r="R372" s="36"/>
      <c r="S372" s="36">
        <v>0</v>
      </c>
      <c r="T372" s="36"/>
      <c r="U372" s="36">
        <v>4218.54</v>
      </c>
      <c r="V372" s="36"/>
      <c r="W372" s="36">
        <v>4926.74</v>
      </c>
      <c r="X372" s="36"/>
      <c r="Y372" s="36">
        <v>67187.88</v>
      </c>
      <c r="Z372" s="36"/>
      <c r="AA372" s="36">
        <v>0</v>
      </c>
      <c r="AB372" s="36"/>
      <c r="AC372" s="36">
        <v>0</v>
      </c>
      <c r="AD372" s="36"/>
      <c r="AE372" s="36">
        <f t="shared" si="153"/>
        <v>237199.44</v>
      </c>
      <c r="AF372" s="36"/>
      <c r="AG372" s="36">
        <v>23622.17</v>
      </c>
      <c r="AH372" s="36"/>
      <c r="AI372" s="36">
        <v>42176.5</v>
      </c>
      <c r="AJ372" s="36"/>
      <c r="AK372" s="36">
        <v>65798.67</v>
      </c>
      <c r="AL372" s="39">
        <f>+'Gov Rev'!AI371-'Gov Exp'!AE372+'Gov Exp'!AI372-'Gov Exp'!AK372</f>
        <v>0</v>
      </c>
      <c r="AM372" s="15" t="str">
        <f>'Gov Rev'!A371</f>
        <v>Mcclure</v>
      </c>
      <c r="AN372" s="15" t="str">
        <f t="shared" si="147"/>
        <v>Mcclure</v>
      </c>
      <c r="AO372" s="15" t="b">
        <f t="shared" si="148"/>
        <v>1</v>
      </c>
    </row>
    <row r="373" spans="1:41" s="31" customFormat="1" ht="12.75">
      <c r="A373" s="15" t="s">
        <v>389</v>
      </c>
      <c r="B373" s="15"/>
      <c r="C373" s="15" t="s">
        <v>388</v>
      </c>
      <c r="D373" s="15"/>
      <c r="E373" s="24">
        <v>233043</v>
      </c>
      <c r="F373" s="24"/>
      <c r="G373" s="24">
        <v>51116</v>
      </c>
      <c r="H373" s="24"/>
      <c r="I373" s="24">
        <v>91023</v>
      </c>
      <c r="J373" s="24"/>
      <c r="K373" s="24">
        <v>12644</v>
      </c>
      <c r="L373" s="24"/>
      <c r="M373" s="24">
        <v>30798</v>
      </c>
      <c r="N373" s="24"/>
      <c r="O373" s="24">
        <v>323934</v>
      </c>
      <c r="P373" s="24"/>
      <c r="Q373" s="24">
        <v>341451</v>
      </c>
      <c r="R373" s="24"/>
      <c r="S373" s="24">
        <v>129605</v>
      </c>
      <c r="T373" s="24"/>
      <c r="U373" s="24">
        <v>58125</v>
      </c>
      <c r="V373" s="24"/>
      <c r="W373" s="24">
        <v>27463</v>
      </c>
      <c r="X373" s="24"/>
      <c r="Y373" s="24">
        <v>20457</v>
      </c>
      <c r="Z373" s="24"/>
      <c r="AA373" s="24">
        <v>0</v>
      </c>
      <c r="AB373" s="24"/>
      <c r="AC373" s="24">
        <v>0</v>
      </c>
      <c r="AD373" s="24"/>
      <c r="AE373" s="24">
        <f t="shared" si="138"/>
        <v>1319659</v>
      </c>
      <c r="AF373" s="24"/>
      <c r="AG373" s="24">
        <v>-39591</v>
      </c>
      <c r="AH373" s="24"/>
      <c r="AI373" s="24">
        <v>1695083</v>
      </c>
      <c r="AJ373" s="24"/>
      <c r="AK373" s="24">
        <v>1655492</v>
      </c>
      <c r="AL373" s="39">
        <f>+'Gov Rev'!AI372-'Gov Exp'!AE373+'Gov Exp'!AI373-'Gov Exp'!AK373</f>
        <v>0</v>
      </c>
      <c r="AM373" s="15" t="str">
        <f>'Gov Rev'!A372</f>
        <v>McComb</v>
      </c>
      <c r="AN373" s="15" t="str">
        <f t="shared" si="147"/>
        <v>McComb</v>
      </c>
      <c r="AO373" s="15" t="b">
        <f t="shared" si="148"/>
        <v>1</v>
      </c>
    </row>
    <row r="374" spans="1:41" ht="12.75">
      <c r="A374" s="15" t="s">
        <v>168</v>
      </c>
      <c r="C374" s="15" t="s">
        <v>798</v>
      </c>
      <c r="D374" s="28"/>
      <c r="E374" s="36">
        <v>337718.18</v>
      </c>
      <c r="F374" s="36"/>
      <c r="G374" s="36">
        <v>10042.54</v>
      </c>
      <c r="H374" s="36"/>
      <c r="I374" s="36">
        <v>58267.36</v>
      </c>
      <c r="J374" s="36"/>
      <c r="K374" s="36">
        <v>0</v>
      </c>
      <c r="L374" s="36"/>
      <c r="M374" s="36">
        <v>0</v>
      </c>
      <c r="N374" s="36"/>
      <c r="O374" s="36">
        <v>126611.58</v>
      </c>
      <c r="P374" s="36"/>
      <c r="Q374" s="36">
        <v>213814.33</v>
      </c>
      <c r="R374" s="36"/>
      <c r="S374" s="36">
        <v>330526.9</v>
      </c>
      <c r="T374" s="36"/>
      <c r="U374" s="36">
        <v>2192.88</v>
      </c>
      <c r="V374" s="36"/>
      <c r="W374" s="36">
        <v>317.46</v>
      </c>
      <c r="X374" s="36"/>
      <c r="Y374" s="36">
        <v>31750</v>
      </c>
      <c r="Z374" s="36"/>
      <c r="AA374" s="36">
        <v>0</v>
      </c>
      <c r="AB374" s="36"/>
      <c r="AC374" s="36">
        <v>29108.14</v>
      </c>
      <c r="AD374" s="36"/>
      <c r="AE374" s="36">
        <f aca="true" t="shared" si="154" ref="AE374">SUM(E374:AC374)</f>
        <v>1140349.3699999996</v>
      </c>
      <c r="AF374" s="36"/>
      <c r="AG374" s="36">
        <v>2296.04</v>
      </c>
      <c r="AH374" s="36"/>
      <c r="AI374" s="36">
        <v>375909.67</v>
      </c>
      <c r="AJ374" s="36"/>
      <c r="AK374" s="36">
        <v>378205.71</v>
      </c>
      <c r="AL374" s="39">
        <f>+'Gov Rev'!AI373-'Gov Exp'!AE374+'Gov Exp'!AI374-'Gov Exp'!AK374</f>
        <v>0</v>
      </c>
      <c r="AM374" s="15" t="str">
        <f>'Gov Rev'!A373</f>
        <v>Mcconnelsville</v>
      </c>
      <c r="AN374" s="15" t="str">
        <f t="shared" si="147"/>
        <v>Mcconnelsville</v>
      </c>
      <c r="AO374" s="15" t="b">
        <f t="shared" si="148"/>
        <v>1</v>
      </c>
    </row>
    <row r="375" spans="1:41" ht="12.75">
      <c r="A375" s="15" t="s">
        <v>560</v>
      </c>
      <c r="C375" s="15" t="s">
        <v>559</v>
      </c>
      <c r="E375" s="24">
        <v>499684</v>
      </c>
      <c r="G375" s="24">
        <v>4339</v>
      </c>
      <c r="I375" s="24">
        <v>20623</v>
      </c>
      <c r="K375" s="24">
        <v>3590</v>
      </c>
      <c r="M375" s="24">
        <v>143425</v>
      </c>
      <c r="O375" s="24">
        <v>262170</v>
      </c>
      <c r="Q375" s="24">
        <v>428806</v>
      </c>
      <c r="S375" s="24">
        <v>244249</v>
      </c>
      <c r="U375" s="24">
        <v>0</v>
      </c>
      <c r="W375" s="24">
        <v>0</v>
      </c>
      <c r="Y375" s="24">
        <v>0</v>
      </c>
      <c r="AA375" s="24">
        <v>0</v>
      </c>
      <c r="AC375" s="24">
        <v>0</v>
      </c>
      <c r="AE375" s="24">
        <f t="shared" si="138"/>
        <v>1606886</v>
      </c>
      <c r="AF375" s="24"/>
      <c r="AG375" s="24">
        <v>-24578</v>
      </c>
      <c r="AH375" s="24"/>
      <c r="AI375" s="24">
        <v>211528</v>
      </c>
      <c r="AJ375" s="24"/>
      <c r="AK375" s="24">
        <v>186950</v>
      </c>
      <c r="AL375" s="39">
        <f>+'Gov Rev'!AI374-'Gov Exp'!AE375+'Gov Exp'!AI375-'Gov Exp'!AK375</f>
        <v>-1</v>
      </c>
      <c r="AM375" s="15" t="str">
        <f>'Gov Rev'!A374</f>
        <v>McDonald</v>
      </c>
      <c r="AN375" s="15" t="str">
        <f t="shared" si="147"/>
        <v>McDonald</v>
      </c>
      <c r="AO375" s="15" t="b">
        <f t="shared" si="148"/>
        <v>1</v>
      </c>
    </row>
    <row r="376" spans="1:41" ht="12.75">
      <c r="A376" s="15" t="s">
        <v>399</v>
      </c>
      <c r="C376" s="15" t="s">
        <v>396</v>
      </c>
      <c r="E376" s="24">
        <f>44518.34+6827.26</f>
        <v>51345.6</v>
      </c>
      <c r="G376" s="24">
        <v>1426</v>
      </c>
      <c r="I376" s="24">
        <v>124.71</v>
      </c>
      <c r="K376" s="24">
        <v>0</v>
      </c>
      <c r="M376" s="24">
        <f>1786.47+6703.35</f>
        <v>8489.82</v>
      </c>
      <c r="O376" s="24">
        <f>1973.84+2811.29</f>
        <v>4785.13</v>
      </c>
      <c r="Q376" s="24">
        <f>37215.69+2705.91</f>
        <v>39921.600000000006</v>
      </c>
      <c r="S376" s="24">
        <f>2583+2000</f>
        <v>4583</v>
      </c>
      <c r="U376" s="24">
        <v>0</v>
      </c>
      <c r="W376" s="24">
        <v>0</v>
      </c>
      <c r="Y376" s="24">
        <v>0</v>
      </c>
      <c r="AA376" s="24">
        <v>0</v>
      </c>
      <c r="AC376" s="24">
        <v>0</v>
      </c>
      <c r="AE376" s="24">
        <f t="shared" si="138"/>
        <v>110675.86</v>
      </c>
      <c r="AF376" s="24"/>
      <c r="AG376" s="24">
        <f>8423.07+9665.27</f>
        <v>18088.34</v>
      </c>
      <c r="AH376" s="24"/>
      <c r="AI376" s="24">
        <f>75594.81+145077.76</f>
        <v>220672.57</v>
      </c>
      <c r="AJ376" s="24"/>
      <c r="AK376" s="24">
        <f>84017.88+154743.03</f>
        <v>238760.91</v>
      </c>
      <c r="AL376" s="39">
        <f>+'Gov Rev'!AI375-'Gov Exp'!AE376+'Gov Exp'!AI376-'Gov Exp'!AK376</f>
        <v>0</v>
      </c>
      <c r="AM376" s="15" t="str">
        <f>'Gov Rev'!A375</f>
        <v>Mcguffey</v>
      </c>
      <c r="AN376" s="15" t="str">
        <f t="shared" si="147"/>
        <v>Mcguffey</v>
      </c>
      <c r="AO376" s="15" t="b">
        <f t="shared" si="148"/>
        <v>1</v>
      </c>
    </row>
    <row r="377" spans="1:41" ht="12.6" customHeight="1" hidden="1">
      <c r="A377" s="15" t="s">
        <v>286</v>
      </c>
      <c r="C377" s="15" t="s">
        <v>287</v>
      </c>
      <c r="AE377" s="24">
        <f t="shared" si="138"/>
        <v>0</v>
      </c>
      <c r="AF377" s="24"/>
      <c r="AG377" s="24"/>
      <c r="AH377" s="24"/>
      <c r="AI377" s="24"/>
      <c r="AJ377" s="24"/>
      <c r="AK377" s="24"/>
      <c r="AL377" s="39">
        <f>+'Gov Rev'!AI376-'Gov Exp'!AE377+'Gov Exp'!AI377-'Gov Exp'!AK377</f>
        <v>0</v>
      </c>
      <c r="AM377" s="15" t="str">
        <f>'Gov Rev'!A376</f>
        <v>Mechanicsburg</v>
      </c>
      <c r="AN377" s="15" t="str">
        <f t="shared" si="147"/>
        <v>Mechanicsburg</v>
      </c>
      <c r="AO377" s="15" t="b">
        <f t="shared" si="148"/>
        <v>1</v>
      </c>
    </row>
    <row r="378" spans="1:41" ht="12.75">
      <c r="A378" s="15" t="s">
        <v>185</v>
      </c>
      <c r="C378" s="15" t="s">
        <v>803</v>
      </c>
      <c r="D378" s="28"/>
      <c r="E378" s="36">
        <v>21444.84</v>
      </c>
      <c r="F378" s="36"/>
      <c r="G378" s="36">
        <v>0</v>
      </c>
      <c r="H378" s="36"/>
      <c r="I378" s="36">
        <v>121.65</v>
      </c>
      <c r="J378" s="36"/>
      <c r="K378" s="36">
        <v>0</v>
      </c>
      <c r="L378" s="36"/>
      <c r="M378" s="36">
        <v>0</v>
      </c>
      <c r="N378" s="36"/>
      <c r="O378" s="36">
        <v>1345.11</v>
      </c>
      <c r="P378" s="36"/>
      <c r="Q378" s="36">
        <v>22820.63</v>
      </c>
      <c r="R378" s="36"/>
      <c r="S378" s="36">
        <v>0</v>
      </c>
      <c r="T378" s="36"/>
      <c r="U378" s="36">
        <v>1527.34</v>
      </c>
      <c r="V378" s="36"/>
      <c r="W378" s="36">
        <v>189</v>
      </c>
      <c r="X378" s="36"/>
      <c r="Y378" s="36">
        <v>4826</v>
      </c>
      <c r="Z378" s="36"/>
      <c r="AA378" s="36">
        <v>0</v>
      </c>
      <c r="AB378" s="36"/>
      <c r="AC378" s="36">
        <v>0</v>
      </c>
      <c r="AD378" s="36"/>
      <c r="AE378" s="36">
        <f aca="true" t="shared" si="155" ref="AE378">SUM(E378:AC378)</f>
        <v>52274.57</v>
      </c>
      <c r="AF378" s="36"/>
      <c r="AG378" s="36">
        <v>17149.89</v>
      </c>
      <c r="AH378" s="36"/>
      <c r="AI378" s="36">
        <v>35449.89</v>
      </c>
      <c r="AJ378" s="36"/>
      <c r="AK378" s="36">
        <v>52599.78</v>
      </c>
      <c r="AL378" s="39">
        <f>+'Gov Rev'!AI377-'Gov Exp'!AE378+'Gov Exp'!AI378-'Gov Exp'!AK378</f>
        <v>0</v>
      </c>
      <c r="AM378" s="15" t="str">
        <f>'Gov Rev'!A377</f>
        <v>Melrose</v>
      </c>
      <c r="AN378" s="15" t="str">
        <f t="shared" si="147"/>
        <v>Melrose</v>
      </c>
      <c r="AO378" s="15" t="b">
        <f t="shared" si="148"/>
        <v>1</v>
      </c>
    </row>
    <row r="379" spans="1:41" ht="12.75">
      <c r="A379" s="15" t="s">
        <v>847</v>
      </c>
      <c r="C379" s="15" t="s">
        <v>794</v>
      </c>
      <c r="D379" s="28"/>
      <c r="E379" s="95">
        <v>11745.63</v>
      </c>
      <c r="F379" s="95"/>
      <c r="G379" s="95">
        <v>11749.49</v>
      </c>
      <c r="H379" s="95"/>
      <c r="I379" s="95">
        <v>2010.5</v>
      </c>
      <c r="J379" s="95"/>
      <c r="K379" s="95">
        <v>0</v>
      </c>
      <c r="L379" s="95"/>
      <c r="M379" s="95">
        <v>940</v>
      </c>
      <c r="N379" s="95"/>
      <c r="O379" s="95">
        <v>40785.57</v>
      </c>
      <c r="P379" s="95"/>
      <c r="Q379" s="95">
        <v>31375.54</v>
      </c>
      <c r="R379" s="95"/>
      <c r="S379" s="95">
        <v>29829.41</v>
      </c>
      <c r="T379" s="95"/>
      <c r="U379" s="95">
        <v>0</v>
      </c>
      <c r="V379" s="95"/>
      <c r="W379" s="95">
        <v>0</v>
      </c>
      <c r="X379" s="95"/>
      <c r="Y379" s="95">
        <v>0</v>
      </c>
      <c r="Z379" s="95"/>
      <c r="AA379" s="95">
        <v>0</v>
      </c>
      <c r="AB379" s="95"/>
      <c r="AC379" s="95">
        <v>0</v>
      </c>
      <c r="AD379" s="95"/>
      <c r="AE379" s="95">
        <f aca="true" t="shared" si="156" ref="AE379">SUM(E379:AC379)</f>
        <v>128436.14000000001</v>
      </c>
      <c r="AF379" s="95"/>
      <c r="AG379" s="95">
        <v>14146.56</v>
      </c>
      <c r="AH379" s="95"/>
      <c r="AI379" s="95">
        <v>57761.09</v>
      </c>
      <c r="AJ379" s="95"/>
      <c r="AK379" s="95">
        <v>71907.65</v>
      </c>
      <c r="AL379" s="39">
        <f>+'Gov Rev'!AI378-'Gov Exp'!AE379+'Gov Exp'!AI379-'Gov Exp'!AK379</f>
        <v>0</v>
      </c>
      <c r="AM379" s="15" t="str">
        <f>'Gov Rev'!A378</f>
        <v>Mendon</v>
      </c>
      <c r="AN379" s="15" t="str">
        <f t="shared" si="147"/>
        <v>Mendon</v>
      </c>
      <c r="AO379" s="15" t="b">
        <f t="shared" si="148"/>
        <v>1</v>
      </c>
    </row>
    <row r="380" spans="1:41" s="31" customFormat="1" ht="12.75">
      <c r="A380" s="15" t="s">
        <v>361</v>
      </c>
      <c r="B380" s="15"/>
      <c r="C380" s="15" t="s">
        <v>358</v>
      </c>
      <c r="D380" s="15"/>
      <c r="E380" s="24">
        <v>15736</v>
      </c>
      <c r="F380" s="24"/>
      <c r="G380" s="24">
        <v>0</v>
      </c>
      <c r="H380" s="24"/>
      <c r="I380" s="24">
        <v>25300</v>
      </c>
      <c r="J380" s="24"/>
      <c r="K380" s="24">
        <v>11801</v>
      </c>
      <c r="L380" s="24"/>
      <c r="M380" s="24">
        <v>0</v>
      </c>
      <c r="N380" s="24"/>
      <c r="O380" s="24">
        <v>21503</v>
      </c>
      <c r="P380" s="24"/>
      <c r="Q380" s="24">
        <v>171228</v>
      </c>
      <c r="R380" s="24"/>
      <c r="S380" s="24">
        <v>50540</v>
      </c>
      <c r="T380" s="24"/>
      <c r="U380" s="24">
        <v>4020</v>
      </c>
      <c r="V380" s="24"/>
      <c r="W380" s="24">
        <v>0</v>
      </c>
      <c r="X380" s="24"/>
      <c r="Y380" s="24">
        <v>80000</v>
      </c>
      <c r="Z380" s="24"/>
      <c r="AA380" s="24">
        <v>0</v>
      </c>
      <c r="AB380" s="24"/>
      <c r="AC380" s="24">
        <v>0</v>
      </c>
      <c r="AD380" s="24"/>
      <c r="AE380" s="24">
        <f t="shared" si="138"/>
        <v>380128</v>
      </c>
      <c r="AF380" s="24"/>
      <c r="AG380" s="24">
        <v>-11242</v>
      </c>
      <c r="AH380" s="24"/>
      <c r="AI380" s="24">
        <v>250631</v>
      </c>
      <c r="AJ380" s="24"/>
      <c r="AK380" s="24">
        <v>239389</v>
      </c>
      <c r="AL380" s="39">
        <f>+'Gov Rev'!AI379-'Gov Exp'!AE380+'Gov Exp'!AI380-'Gov Exp'!AK380</f>
        <v>1</v>
      </c>
      <c r="AM380" s="15" t="str">
        <f>'Gov Rev'!A379</f>
        <v>Metamora</v>
      </c>
      <c r="AN380" s="15" t="str">
        <f t="shared" si="147"/>
        <v>Metamora</v>
      </c>
      <c r="AO380" s="15" t="b">
        <f t="shared" si="148"/>
        <v>1</v>
      </c>
    </row>
    <row r="381" spans="1:41" ht="12.75">
      <c r="A381" s="15" t="s">
        <v>227</v>
      </c>
      <c r="C381" s="15" t="s">
        <v>815</v>
      </c>
      <c r="D381" s="28"/>
      <c r="E381" s="95">
        <v>9890.17</v>
      </c>
      <c r="F381" s="95"/>
      <c r="G381" s="95">
        <v>2280</v>
      </c>
      <c r="H381" s="95"/>
      <c r="I381" s="95">
        <v>0</v>
      </c>
      <c r="J381" s="95"/>
      <c r="K381" s="95">
        <v>3536.44</v>
      </c>
      <c r="L381" s="95"/>
      <c r="M381" s="95">
        <v>18938.99</v>
      </c>
      <c r="N381" s="95"/>
      <c r="O381" s="95">
        <v>0</v>
      </c>
      <c r="P381" s="95"/>
      <c r="Q381" s="95">
        <v>55133.23</v>
      </c>
      <c r="R381" s="95"/>
      <c r="S381" s="95">
        <v>17048</v>
      </c>
      <c r="T381" s="95"/>
      <c r="U381" s="95">
        <v>0</v>
      </c>
      <c r="V381" s="95"/>
      <c r="W381" s="95">
        <v>0</v>
      </c>
      <c r="X381" s="95"/>
      <c r="Y381" s="95">
        <v>0</v>
      </c>
      <c r="Z381" s="95"/>
      <c r="AA381" s="95">
        <v>0</v>
      </c>
      <c r="AB381" s="95"/>
      <c r="AC381" s="95">
        <v>336.82</v>
      </c>
      <c r="AD381" s="95"/>
      <c r="AE381" s="95">
        <f aca="true" t="shared" si="157" ref="AE381">SUM(E381:AC381)</f>
        <v>107163.65000000002</v>
      </c>
      <c r="AF381" s="95"/>
      <c r="AG381" s="95">
        <v>42864.15</v>
      </c>
      <c r="AH381" s="95"/>
      <c r="AI381" s="95">
        <v>329320.83</v>
      </c>
      <c r="AJ381" s="95"/>
      <c r="AK381" s="95">
        <v>372184.98</v>
      </c>
      <c r="AL381" s="39">
        <f>+'Gov Rev'!AI380-'Gov Exp'!AE381+'Gov Exp'!AI381-'Gov Exp'!AK381</f>
        <v>0</v>
      </c>
      <c r="AM381" s="15" t="str">
        <f>'Gov Rev'!A380</f>
        <v>Meyers Lake</v>
      </c>
      <c r="AN381" s="15" t="str">
        <f t="shared" si="147"/>
        <v>Meyers Lake</v>
      </c>
      <c r="AO381" s="15" t="b">
        <f t="shared" si="148"/>
        <v>1</v>
      </c>
    </row>
    <row r="382" spans="1:41" ht="12.75">
      <c r="A382" s="15" t="s">
        <v>949</v>
      </c>
      <c r="C382" s="15" t="s">
        <v>574</v>
      </c>
      <c r="D382" s="28"/>
      <c r="E382" s="36">
        <v>97052.82</v>
      </c>
      <c r="F382" s="36"/>
      <c r="G382" s="36">
        <v>3573.28</v>
      </c>
      <c r="H382" s="36"/>
      <c r="I382" s="36">
        <v>0</v>
      </c>
      <c r="J382" s="36"/>
      <c r="K382" s="36">
        <v>6887</v>
      </c>
      <c r="L382" s="36"/>
      <c r="M382" s="36">
        <v>0</v>
      </c>
      <c r="N382" s="36"/>
      <c r="O382" s="36">
        <v>36531.95</v>
      </c>
      <c r="P382" s="36"/>
      <c r="Q382" s="36">
        <v>76254</v>
      </c>
      <c r="R382" s="36"/>
      <c r="S382" s="36">
        <v>0</v>
      </c>
      <c r="T382" s="36"/>
      <c r="U382" s="36">
        <v>4406.79</v>
      </c>
      <c r="V382" s="36"/>
      <c r="W382" s="36">
        <v>4468.96</v>
      </c>
      <c r="X382" s="36"/>
      <c r="Y382" s="36">
        <v>0</v>
      </c>
      <c r="Z382" s="36"/>
      <c r="AA382" s="36">
        <v>0</v>
      </c>
      <c r="AB382" s="36"/>
      <c r="AC382" s="36">
        <v>0</v>
      </c>
      <c r="AD382" s="36"/>
      <c r="AE382" s="36">
        <f aca="true" t="shared" si="158" ref="AE382">SUM(E382:AC382)</f>
        <v>229174.8</v>
      </c>
      <c r="AF382" s="36"/>
      <c r="AG382" s="36">
        <v>45573.43</v>
      </c>
      <c r="AH382" s="36"/>
      <c r="AI382" s="36">
        <v>168030.91</v>
      </c>
      <c r="AJ382" s="36"/>
      <c r="AK382" s="36">
        <v>213604.34</v>
      </c>
      <c r="AL382" s="39">
        <f>+'Gov Rev'!AI381-'Gov Exp'!AE382+'Gov Exp'!AI382-'Gov Exp'!AK382</f>
        <v>0</v>
      </c>
      <c r="AM382" s="15" t="str">
        <f>'Gov Rev'!A381</f>
        <v>Middle Point</v>
      </c>
      <c r="AN382" s="15" t="str">
        <f t="shared" si="147"/>
        <v>Middle Point</v>
      </c>
      <c r="AO382" s="15" t="b">
        <f t="shared" si="148"/>
        <v>1</v>
      </c>
    </row>
    <row r="383" spans="1:41" ht="12.75">
      <c r="A383" s="15" t="s">
        <v>367</v>
      </c>
      <c r="C383" s="15" t="s">
        <v>368</v>
      </c>
      <c r="E383" s="24">
        <v>1206075</v>
      </c>
      <c r="G383" s="24">
        <v>108479</v>
      </c>
      <c r="I383" s="24">
        <v>325101</v>
      </c>
      <c r="K383" s="24">
        <v>101280</v>
      </c>
      <c r="M383" s="24">
        <v>11336</v>
      </c>
      <c r="O383" s="24">
        <v>269399</v>
      </c>
      <c r="Q383" s="24">
        <v>614917</v>
      </c>
      <c r="S383" s="24">
        <v>97332</v>
      </c>
      <c r="U383" s="24">
        <v>941117</v>
      </c>
      <c r="W383" s="24">
        <v>103912</v>
      </c>
      <c r="Y383" s="24">
        <v>1189500</v>
      </c>
      <c r="AA383" s="24">
        <v>0</v>
      </c>
      <c r="AC383" s="24">
        <v>0</v>
      </c>
      <c r="AE383" s="24">
        <f t="shared" si="138"/>
        <v>4968448</v>
      </c>
      <c r="AF383" s="24"/>
      <c r="AG383" s="24">
        <v>-259135</v>
      </c>
      <c r="AH383" s="24"/>
      <c r="AI383" s="24">
        <v>3402485</v>
      </c>
      <c r="AJ383" s="24"/>
      <c r="AK383" s="24">
        <v>3143350</v>
      </c>
      <c r="AL383" s="39">
        <f>+'Gov Rev'!AI382-'Gov Exp'!AE383+'Gov Exp'!AI383-'Gov Exp'!AK383</f>
        <v>0</v>
      </c>
      <c r="AM383" s="15" t="str">
        <f>'Gov Rev'!A382</f>
        <v>Middlefield</v>
      </c>
      <c r="AN383" s="15" t="str">
        <f t="shared" si="147"/>
        <v>Middlefield</v>
      </c>
      <c r="AO383" s="15" t="b">
        <f t="shared" si="148"/>
        <v>1</v>
      </c>
    </row>
    <row r="384" spans="1:41" ht="12.75">
      <c r="A384" s="15" t="s">
        <v>156</v>
      </c>
      <c r="C384" s="15" t="s">
        <v>464</v>
      </c>
      <c r="E384" s="36">
        <v>434720.93</v>
      </c>
      <c r="F384" s="36"/>
      <c r="G384" s="36">
        <v>0</v>
      </c>
      <c r="H384" s="36"/>
      <c r="I384" s="36">
        <v>49713.06</v>
      </c>
      <c r="J384" s="36"/>
      <c r="K384" s="36">
        <v>0</v>
      </c>
      <c r="L384" s="36"/>
      <c r="M384" s="36">
        <v>170716.42</v>
      </c>
      <c r="N384" s="36"/>
      <c r="O384" s="36">
        <v>113224.63</v>
      </c>
      <c r="P384" s="36"/>
      <c r="Q384" s="36">
        <v>151478.21</v>
      </c>
      <c r="R384" s="36"/>
      <c r="S384" s="36">
        <v>560895.34</v>
      </c>
      <c r="T384" s="36"/>
      <c r="U384" s="36">
        <v>103317.92</v>
      </c>
      <c r="V384" s="36"/>
      <c r="W384" s="36">
        <v>11641.07</v>
      </c>
      <c r="X384" s="36"/>
      <c r="Y384" s="36">
        <v>500</v>
      </c>
      <c r="Z384" s="36"/>
      <c r="AA384" s="36">
        <v>0</v>
      </c>
      <c r="AB384" s="36"/>
      <c r="AC384" s="36">
        <v>142.22</v>
      </c>
      <c r="AD384" s="36"/>
      <c r="AE384" s="36">
        <f aca="true" t="shared" si="159" ref="AE384:AE386">SUM(E384:AC384)</f>
        <v>1596349.7999999998</v>
      </c>
      <c r="AF384" s="36"/>
      <c r="AG384" s="36">
        <v>114438.01</v>
      </c>
      <c r="AH384" s="36"/>
      <c r="AI384" s="36">
        <v>211775.48</v>
      </c>
      <c r="AJ384" s="36"/>
      <c r="AK384" s="36">
        <v>326213.49</v>
      </c>
      <c r="AL384" s="39">
        <f>+'Gov Rev'!AI383-'Gov Exp'!AE384+'Gov Exp'!AI384-'Gov Exp'!AK384</f>
        <v>0</v>
      </c>
      <c r="AM384" s="15" t="str">
        <f>'Gov Rev'!A383</f>
        <v>Middleport</v>
      </c>
      <c r="AN384" s="15" t="str">
        <f t="shared" si="147"/>
        <v>Middleport</v>
      </c>
      <c r="AO384" s="15" t="b">
        <f t="shared" si="148"/>
        <v>1</v>
      </c>
    </row>
    <row r="385" spans="1:41" ht="12.75">
      <c r="A385" s="15" t="s">
        <v>906</v>
      </c>
      <c r="C385" s="15" t="s">
        <v>299</v>
      </c>
      <c r="D385" s="28"/>
      <c r="E385" s="36">
        <v>3729.8</v>
      </c>
      <c r="F385" s="36"/>
      <c r="G385" s="36">
        <v>0</v>
      </c>
      <c r="H385" s="36"/>
      <c r="I385" s="36">
        <v>0</v>
      </c>
      <c r="J385" s="36"/>
      <c r="K385" s="36">
        <v>0</v>
      </c>
      <c r="L385" s="36"/>
      <c r="M385" s="36">
        <v>488.65</v>
      </c>
      <c r="N385" s="36"/>
      <c r="O385" s="36">
        <v>7714.87</v>
      </c>
      <c r="P385" s="36"/>
      <c r="Q385" s="36">
        <v>22377.24</v>
      </c>
      <c r="R385" s="36"/>
      <c r="S385" s="36">
        <v>13232.2</v>
      </c>
      <c r="T385" s="36"/>
      <c r="U385" s="36">
        <v>0</v>
      </c>
      <c r="V385" s="36"/>
      <c r="W385" s="36">
        <v>0</v>
      </c>
      <c r="X385" s="36"/>
      <c r="Y385" s="36">
        <v>0</v>
      </c>
      <c r="Z385" s="36"/>
      <c r="AA385" s="36">
        <v>8300</v>
      </c>
      <c r="AB385" s="36"/>
      <c r="AC385" s="36">
        <v>0</v>
      </c>
      <c r="AD385" s="36"/>
      <c r="AE385" s="36">
        <f t="shared" si="159"/>
        <v>55842.759999999995</v>
      </c>
      <c r="AF385" s="36"/>
      <c r="AG385" s="36">
        <v>12370.04</v>
      </c>
      <c r="AH385" s="36"/>
      <c r="AI385" s="36">
        <v>91510.19</v>
      </c>
      <c r="AJ385" s="36"/>
      <c r="AK385" s="36">
        <v>103880.23</v>
      </c>
      <c r="AL385" s="39">
        <f>+'Gov Rev'!AI384-'Gov Exp'!AE385+'Gov Exp'!AI385-'Gov Exp'!AK385</f>
        <v>0</v>
      </c>
      <c r="AM385" s="15" t="str">
        <f>'Gov Rev'!A384</f>
        <v>Midland</v>
      </c>
      <c r="AN385" s="15" t="str">
        <f t="shared" si="147"/>
        <v>Midland</v>
      </c>
      <c r="AO385" s="15" t="b">
        <f t="shared" si="148"/>
        <v>1</v>
      </c>
    </row>
    <row r="386" spans="1:41" ht="12.75">
      <c r="A386" s="15" t="s">
        <v>233</v>
      </c>
      <c r="C386" s="15" t="s">
        <v>818</v>
      </c>
      <c r="D386" s="28"/>
      <c r="E386" s="36">
        <v>52080.08</v>
      </c>
      <c r="F386" s="36"/>
      <c r="G386" s="36">
        <v>0</v>
      </c>
      <c r="H386" s="36"/>
      <c r="I386" s="36">
        <v>6912.52</v>
      </c>
      <c r="J386" s="36"/>
      <c r="K386" s="36">
        <v>0</v>
      </c>
      <c r="L386" s="36"/>
      <c r="M386" s="36">
        <v>18730.58</v>
      </c>
      <c r="N386" s="36"/>
      <c r="O386" s="36">
        <v>77190.14</v>
      </c>
      <c r="P386" s="36"/>
      <c r="Q386" s="36">
        <v>125889.99</v>
      </c>
      <c r="R386" s="36"/>
      <c r="S386" s="36">
        <v>0</v>
      </c>
      <c r="T386" s="36"/>
      <c r="U386" s="36">
        <v>0</v>
      </c>
      <c r="V386" s="36"/>
      <c r="W386" s="36">
        <v>0</v>
      </c>
      <c r="X386" s="36"/>
      <c r="Y386" s="36">
        <v>12052.44</v>
      </c>
      <c r="Z386" s="36"/>
      <c r="AA386" s="36">
        <v>8000</v>
      </c>
      <c r="AB386" s="36"/>
      <c r="AC386" s="36">
        <v>0</v>
      </c>
      <c r="AD386" s="36"/>
      <c r="AE386" s="36">
        <f t="shared" si="159"/>
        <v>300855.75</v>
      </c>
      <c r="AF386" s="36"/>
      <c r="AG386" s="36">
        <v>38511</v>
      </c>
      <c r="AH386" s="36"/>
      <c r="AI386" s="36">
        <v>77618.12</v>
      </c>
      <c r="AJ386" s="36"/>
      <c r="AK386" s="36">
        <v>116129.12</v>
      </c>
      <c r="AL386" s="39">
        <f>+'Gov Rev'!AI385-'Gov Exp'!AE386+'Gov Exp'!AI386-'Gov Exp'!AK386</f>
        <v>0</v>
      </c>
      <c r="AM386" s="15" t="str">
        <f>'Gov Rev'!A385</f>
        <v>Midvale</v>
      </c>
      <c r="AN386" s="15" t="str">
        <f t="shared" si="147"/>
        <v>Midvale</v>
      </c>
      <c r="AO386" s="15" t="b">
        <f t="shared" si="148"/>
        <v>1</v>
      </c>
    </row>
    <row r="387" spans="1:41" s="31" customFormat="1" ht="12.75">
      <c r="A387" s="15" t="s">
        <v>459</v>
      </c>
      <c r="B387" s="15"/>
      <c r="C387" s="15" t="s">
        <v>432</v>
      </c>
      <c r="D387" s="15"/>
      <c r="E387" s="24">
        <v>0</v>
      </c>
      <c r="F387" s="24"/>
      <c r="G387" s="24">
        <v>0</v>
      </c>
      <c r="H387" s="24"/>
      <c r="I387" s="24">
        <v>8835.22</v>
      </c>
      <c r="J387" s="24"/>
      <c r="K387" s="24">
        <v>0</v>
      </c>
      <c r="L387" s="24"/>
      <c r="M387" s="24">
        <v>4316.64</v>
      </c>
      <c r="N387" s="24"/>
      <c r="O387" s="24">
        <f>12105.71+39136.88</f>
        <v>51242.59</v>
      </c>
      <c r="P387" s="24"/>
      <c r="Q387" s="24">
        <v>28069.26</v>
      </c>
      <c r="R387" s="24"/>
      <c r="S387" s="24">
        <v>0</v>
      </c>
      <c r="T387" s="24"/>
      <c r="U387" s="24">
        <v>0</v>
      </c>
      <c r="V387" s="24"/>
      <c r="W387" s="24">
        <v>0</v>
      </c>
      <c r="X387" s="24"/>
      <c r="Y387" s="24">
        <v>0</v>
      </c>
      <c r="Z387" s="24"/>
      <c r="AA387" s="24">
        <v>0</v>
      </c>
      <c r="AB387" s="24"/>
      <c r="AC387" s="24">
        <v>0</v>
      </c>
      <c r="AD387" s="37"/>
      <c r="AE387" s="24">
        <f t="shared" si="138"/>
        <v>92463.70999999999</v>
      </c>
      <c r="AF387" s="24"/>
      <c r="AG387" s="24">
        <v>-22160.33</v>
      </c>
      <c r="AH387" s="24"/>
      <c r="AI387" s="24"/>
      <c r="AJ387" s="24"/>
      <c r="AK387" s="24"/>
      <c r="AL387" s="39">
        <f>+'Gov Rev'!AI386-'Gov Exp'!AE387+'Gov Exp'!AI387-'Gov Exp'!AK387</f>
        <v>-32389.929999999993</v>
      </c>
      <c r="AM387" s="15" t="str">
        <f>'Gov Rev'!A386</f>
        <v>Midway</v>
      </c>
      <c r="AN387" s="15" t="str">
        <f t="shared" si="147"/>
        <v>Midway</v>
      </c>
      <c r="AO387" s="15" t="b">
        <f t="shared" si="148"/>
        <v>1</v>
      </c>
    </row>
    <row r="388" spans="1:41" ht="12.75">
      <c r="A388" s="15" t="s">
        <v>8</v>
      </c>
      <c r="C388" s="15" t="s">
        <v>669</v>
      </c>
      <c r="D388" s="28"/>
      <c r="E388" s="36">
        <v>20400.01</v>
      </c>
      <c r="F388" s="36"/>
      <c r="G388" s="36">
        <v>950</v>
      </c>
      <c r="H388" s="36"/>
      <c r="I388" s="36">
        <v>40.95</v>
      </c>
      <c r="J388" s="36"/>
      <c r="K388" s="36">
        <v>3581.45</v>
      </c>
      <c r="L388" s="36"/>
      <c r="M388" s="36">
        <v>0</v>
      </c>
      <c r="N388" s="36"/>
      <c r="O388" s="36">
        <v>25235.3</v>
      </c>
      <c r="P388" s="36"/>
      <c r="Q388" s="36">
        <v>32094.3</v>
      </c>
      <c r="R388" s="36"/>
      <c r="S388" s="36">
        <v>0</v>
      </c>
      <c r="T388" s="36"/>
      <c r="U388" s="36">
        <v>0</v>
      </c>
      <c r="V388" s="36"/>
      <c r="W388" s="36">
        <v>0</v>
      </c>
      <c r="X388" s="36"/>
      <c r="Y388" s="36">
        <v>0</v>
      </c>
      <c r="Z388" s="36"/>
      <c r="AA388" s="36">
        <v>0</v>
      </c>
      <c r="AB388" s="36"/>
      <c r="AC388" s="36">
        <v>0</v>
      </c>
      <c r="AD388" s="36"/>
      <c r="AE388" s="36">
        <f aca="true" t="shared" si="160" ref="AE388">SUM(E388:AC388)</f>
        <v>82302.01</v>
      </c>
      <c r="AF388" s="36"/>
      <c r="AG388" s="36">
        <v>2902.24</v>
      </c>
      <c r="AH388" s="36"/>
      <c r="AI388" s="36">
        <v>60180.87</v>
      </c>
      <c r="AJ388" s="36"/>
      <c r="AK388" s="36">
        <v>63083.11</v>
      </c>
      <c r="AL388" s="39">
        <f>+'Gov Rev'!AI387-'Gov Exp'!AE388+'Gov Exp'!AI388-'Gov Exp'!AK388</f>
        <v>0</v>
      </c>
      <c r="AM388" s="15" t="str">
        <f>'Gov Rev'!A387</f>
        <v>Mifflin</v>
      </c>
      <c r="AN388" s="15" t="str">
        <f t="shared" si="147"/>
        <v>Mifflin</v>
      </c>
      <c r="AO388" s="15" t="b">
        <f t="shared" si="148"/>
        <v>1</v>
      </c>
    </row>
    <row r="389" spans="1:41" s="31" customFormat="1" ht="12.6" customHeight="1">
      <c r="A389" s="15" t="s">
        <v>347</v>
      </c>
      <c r="B389" s="15"/>
      <c r="C389" s="15" t="s">
        <v>348</v>
      </c>
      <c r="D389" s="15"/>
      <c r="E389" s="24">
        <v>361760</v>
      </c>
      <c r="F389" s="24"/>
      <c r="G389" s="24">
        <v>0</v>
      </c>
      <c r="H389" s="24"/>
      <c r="I389" s="24">
        <v>14311</v>
      </c>
      <c r="J389" s="24"/>
      <c r="K389" s="24">
        <v>2644</v>
      </c>
      <c r="L389" s="24"/>
      <c r="M389" s="24">
        <v>0</v>
      </c>
      <c r="N389" s="24"/>
      <c r="O389" s="24">
        <v>229777</v>
      </c>
      <c r="P389" s="24"/>
      <c r="Q389" s="24">
        <v>107579</v>
      </c>
      <c r="R389" s="24"/>
      <c r="S389" s="24">
        <v>0</v>
      </c>
      <c r="T389" s="24"/>
      <c r="U389" s="24">
        <v>4000</v>
      </c>
      <c r="V389" s="24"/>
      <c r="W389" s="24">
        <v>2760</v>
      </c>
      <c r="X389" s="24"/>
      <c r="Y389" s="24">
        <v>50862</v>
      </c>
      <c r="Z389" s="24"/>
      <c r="AA389" s="24">
        <v>0</v>
      </c>
      <c r="AB389" s="24"/>
      <c r="AC389" s="24">
        <v>0</v>
      </c>
      <c r="AD389" s="24"/>
      <c r="AE389" s="24">
        <f t="shared" si="138"/>
        <v>773693</v>
      </c>
      <c r="AF389" s="24"/>
      <c r="AG389" s="24">
        <v>189021</v>
      </c>
      <c r="AH389" s="24"/>
      <c r="AI389" s="24">
        <v>861656</v>
      </c>
      <c r="AJ389" s="24"/>
      <c r="AK389" s="24">
        <v>1050677</v>
      </c>
      <c r="AL389" s="39">
        <f>+'Gov Rev'!AI388-'Gov Exp'!AE389+'Gov Exp'!AI389-'Gov Exp'!AK389</f>
        <v>0</v>
      </c>
      <c r="AM389" s="15" t="str">
        <f>'Gov Rev'!A388</f>
        <v>Milan</v>
      </c>
      <c r="AN389" s="15" t="str">
        <f t="shared" si="147"/>
        <v>Milan</v>
      </c>
      <c r="AO389" s="15" t="b">
        <f t="shared" si="148"/>
        <v>1</v>
      </c>
    </row>
    <row r="390" spans="1:41" ht="12.75">
      <c r="A390" s="15" t="s">
        <v>237</v>
      </c>
      <c r="C390" s="15" t="s">
        <v>819</v>
      </c>
      <c r="D390" s="28"/>
      <c r="E390" s="36">
        <v>34042.95</v>
      </c>
      <c r="F390" s="36"/>
      <c r="G390" s="36">
        <v>0</v>
      </c>
      <c r="H390" s="36"/>
      <c r="I390" s="36">
        <v>8252.22</v>
      </c>
      <c r="J390" s="36"/>
      <c r="K390" s="36">
        <v>10368.88</v>
      </c>
      <c r="L390" s="36"/>
      <c r="M390" s="36">
        <v>19836.79</v>
      </c>
      <c r="N390" s="36"/>
      <c r="O390" s="36">
        <v>41375.9</v>
      </c>
      <c r="P390" s="36"/>
      <c r="Q390" s="36">
        <v>48363.38</v>
      </c>
      <c r="R390" s="36"/>
      <c r="S390" s="36">
        <v>517844.67</v>
      </c>
      <c r="T390" s="36"/>
      <c r="U390" s="36">
        <v>0</v>
      </c>
      <c r="V390" s="36"/>
      <c r="W390" s="36">
        <v>6936.94</v>
      </c>
      <c r="X390" s="36"/>
      <c r="Y390" s="36">
        <v>44938.87</v>
      </c>
      <c r="Z390" s="36"/>
      <c r="AA390" s="36">
        <v>85000</v>
      </c>
      <c r="AB390" s="36"/>
      <c r="AC390" s="36">
        <v>10000</v>
      </c>
      <c r="AD390" s="36"/>
      <c r="AE390" s="36">
        <f aca="true" t="shared" si="161" ref="AE390:AE391">SUM(E390:AC390)</f>
        <v>826960.6</v>
      </c>
      <c r="AF390" s="36"/>
      <c r="AG390" s="36">
        <v>-167872.79</v>
      </c>
      <c r="AH390" s="36"/>
      <c r="AI390" s="36">
        <v>366961.98</v>
      </c>
      <c r="AJ390" s="36"/>
      <c r="AK390" s="36">
        <v>199089.19</v>
      </c>
      <c r="AL390" s="39">
        <f>+'Gov Rev'!AI389-'Gov Exp'!AE390+'Gov Exp'!AI390-'Gov Exp'!AK390</f>
        <v>0</v>
      </c>
      <c r="AM390" s="15" t="str">
        <f>'Gov Rev'!A389</f>
        <v>Milford Center</v>
      </c>
      <c r="AN390" s="15" t="str">
        <f t="shared" si="147"/>
        <v>Milford Center</v>
      </c>
      <c r="AO390" s="15" t="b">
        <f t="shared" si="148"/>
        <v>1</v>
      </c>
    </row>
    <row r="391" spans="1:41" ht="12.75">
      <c r="A391" s="15" t="s">
        <v>258</v>
      </c>
      <c r="C391" s="15" t="s">
        <v>825</v>
      </c>
      <c r="D391" s="28"/>
      <c r="E391" s="36">
        <v>78089.39</v>
      </c>
      <c r="F391" s="36"/>
      <c r="G391" s="36">
        <v>0</v>
      </c>
      <c r="H391" s="36"/>
      <c r="I391" s="36">
        <v>25490.49</v>
      </c>
      <c r="J391" s="36"/>
      <c r="K391" s="36">
        <v>4381.57</v>
      </c>
      <c r="L391" s="36"/>
      <c r="M391" s="36">
        <v>66455.04</v>
      </c>
      <c r="N391" s="36"/>
      <c r="O391" s="36">
        <v>98141.56</v>
      </c>
      <c r="P391" s="36"/>
      <c r="Q391" s="36">
        <v>90511.36</v>
      </c>
      <c r="R391" s="36"/>
      <c r="S391" s="36">
        <v>32375.73</v>
      </c>
      <c r="T391" s="36"/>
      <c r="U391" s="36">
        <v>19129.02</v>
      </c>
      <c r="V391" s="36"/>
      <c r="W391" s="36">
        <v>0</v>
      </c>
      <c r="X391" s="36"/>
      <c r="Y391" s="36">
        <v>205938.62</v>
      </c>
      <c r="Z391" s="36"/>
      <c r="AA391" s="36">
        <v>0</v>
      </c>
      <c r="AB391" s="36"/>
      <c r="AC391" s="36">
        <v>0</v>
      </c>
      <c r="AD391" s="36"/>
      <c r="AE391" s="36">
        <f t="shared" si="161"/>
        <v>620512.78</v>
      </c>
      <c r="AF391" s="36"/>
      <c r="AG391" s="36">
        <v>-33090.85</v>
      </c>
      <c r="AH391" s="36"/>
      <c r="AI391" s="36">
        <v>697870.64</v>
      </c>
      <c r="AJ391" s="36"/>
      <c r="AK391" s="36">
        <v>664779.79</v>
      </c>
      <c r="AL391" s="39">
        <f>+'Gov Rev'!AI390-'Gov Exp'!AE391+'Gov Exp'!AI391-'Gov Exp'!AK391</f>
        <v>0</v>
      </c>
      <c r="AM391" s="15" t="str">
        <f>'Gov Rev'!A390</f>
        <v>Millbury</v>
      </c>
      <c r="AN391" s="15" t="str">
        <f t="shared" si="147"/>
        <v>Millbury</v>
      </c>
      <c r="AO391" s="15" t="b">
        <f t="shared" si="148"/>
        <v>1</v>
      </c>
    </row>
    <row r="392" spans="1:41" ht="12.75">
      <c r="A392" s="15" t="s">
        <v>70</v>
      </c>
      <c r="C392" s="15" t="s">
        <v>767</v>
      </c>
      <c r="D392" s="28"/>
      <c r="E392" s="95">
        <v>4000</v>
      </c>
      <c r="F392" s="95"/>
      <c r="G392" s="95">
        <v>0</v>
      </c>
      <c r="H392" s="95"/>
      <c r="I392" s="95">
        <v>104.5</v>
      </c>
      <c r="J392" s="95"/>
      <c r="K392" s="95">
        <v>0</v>
      </c>
      <c r="L392" s="95"/>
      <c r="M392" s="95">
        <v>2311.22</v>
      </c>
      <c r="N392" s="95"/>
      <c r="O392" s="95">
        <v>342.78</v>
      </c>
      <c r="P392" s="95"/>
      <c r="Q392" s="95">
        <v>10835.3</v>
      </c>
      <c r="R392" s="95"/>
      <c r="S392" s="95">
        <v>0</v>
      </c>
      <c r="T392" s="95"/>
      <c r="U392" s="95">
        <v>0</v>
      </c>
      <c r="V392" s="95"/>
      <c r="W392" s="95">
        <v>0</v>
      </c>
      <c r="X392" s="95"/>
      <c r="Y392" s="95">
        <v>0</v>
      </c>
      <c r="Z392" s="95"/>
      <c r="AA392" s="95">
        <v>0</v>
      </c>
      <c r="AB392" s="95"/>
      <c r="AC392" s="95">
        <v>0</v>
      </c>
      <c r="AD392" s="95"/>
      <c r="AE392" s="95">
        <f aca="true" t="shared" si="162" ref="AE392">SUM(E392:AC392)</f>
        <v>17593.8</v>
      </c>
      <c r="AF392" s="95"/>
      <c r="AG392" s="95">
        <v>4127.46</v>
      </c>
      <c r="AH392" s="95"/>
      <c r="AI392" s="95">
        <v>8053.81</v>
      </c>
      <c r="AJ392" s="95"/>
      <c r="AK392" s="95">
        <v>12181.27</v>
      </c>
      <c r="AL392" s="39">
        <f>+'Gov Rev'!AI391-'Gov Exp'!AE392+'Gov Exp'!AI392-'Gov Exp'!AK392</f>
        <v>0</v>
      </c>
      <c r="AM392" s="15" t="str">
        <f>'Gov Rev'!A391</f>
        <v>Milledgeville</v>
      </c>
      <c r="AN392" s="15" t="str">
        <f t="shared" si="147"/>
        <v>Milledgeville</v>
      </c>
      <c r="AO392" s="15" t="b">
        <f t="shared" si="148"/>
        <v>1</v>
      </c>
    </row>
    <row r="393" spans="1:41" ht="12.75">
      <c r="A393" s="15" t="s">
        <v>206</v>
      </c>
      <c r="C393" s="15" t="s">
        <v>808</v>
      </c>
      <c r="D393" s="28"/>
      <c r="E393" s="36">
        <v>4464.7</v>
      </c>
      <c r="F393" s="36"/>
      <c r="G393" s="36">
        <v>0</v>
      </c>
      <c r="H393" s="36"/>
      <c r="I393" s="36">
        <v>0</v>
      </c>
      <c r="J393" s="36"/>
      <c r="K393" s="36">
        <v>321.53</v>
      </c>
      <c r="L393" s="36"/>
      <c r="M393" s="36">
        <v>6553.69</v>
      </c>
      <c r="N393" s="36"/>
      <c r="O393" s="36">
        <v>32018.77</v>
      </c>
      <c r="P393" s="36"/>
      <c r="Q393" s="36">
        <v>28960.33</v>
      </c>
      <c r="R393" s="36"/>
      <c r="S393" s="36">
        <v>0</v>
      </c>
      <c r="T393" s="36"/>
      <c r="U393" s="36">
        <v>14464.87</v>
      </c>
      <c r="V393" s="36"/>
      <c r="W393" s="36">
        <v>2878.45</v>
      </c>
      <c r="X393" s="36"/>
      <c r="Y393" s="36">
        <v>0</v>
      </c>
      <c r="Z393" s="36"/>
      <c r="AA393" s="36">
        <v>0</v>
      </c>
      <c r="AB393" s="36"/>
      <c r="AC393" s="36">
        <v>89.35</v>
      </c>
      <c r="AD393" s="36"/>
      <c r="AE393" s="36">
        <f aca="true" t="shared" si="163" ref="AE393:AE395">SUM(E393:AC393)</f>
        <v>89751.69</v>
      </c>
      <c r="AF393" s="36"/>
      <c r="AG393" s="36">
        <v>14482.84</v>
      </c>
      <c r="AH393" s="36"/>
      <c r="AI393" s="36">
        <v>197709.75</v>
      </c>
      <c r="AJ393" s="36"/>
      <c r="AK393" s="36">
        <v>212192.59</v>
      </c>
      <c r="AL393" s="39">
        <f>+'Gov Rev'!AI392-'Gov Exp'!AE393+'Gov Exp'!AI393-'Gov Exp'!AK393</f>
        <v>0</v>
      </c>
      <c r="AM393" s="15" t="str">
        <f>'Gov Rev'!A392</f>
        <v>Miller City</v>
      </c>
      <c r="AN393" s="15" t="str">
        <f t="shared" si="147"/>
        <v>Miller City</v>
      </c>
      <c r="AO393" s="15" t="b">
        <f t="shared" si="148"/>
        <v>1</v>
      </c>
    </row>
    <row r="394" spans="1:41" ht="12.75">
      <c r="A394" s="15" t="s">
        <v>414</v>
      </c>
      <c r="C394" s="15" t="s">
        <v>412</v>
      </c>
      <c r="E394" s="36">
        <v>747465.48</v>
      </c>
      <c r="F394" s="36"/>
      <c r="G394" s="36">
        <v>49624.78</v>
      </c>
      <c r="H394" s="36"/>
      <c r="I394" s="36">
        <v>73970.78</v>
      </c>
      <c r="J394" s="36"/>
      <c r="K394" s="36">
        <v>45682.99</v>
      </c>
      <c r="L394" s="36"/>
      <c r="M394" s="36">
        <v>0</v>
      </c>
      <c r="N394" s="36"/>
      <c r="O394" s="36">
        <v>446523.1</v>
      </c>
      <c r="P394" s="36"/>
      <c r="Q394" s="36">
        <v>368173.49</v>
      </c>
      <c r="R394" s="36"/>
      <c r="S394" s="36">
        <v>3441.23</v>
      </c>
      <c r="T394" s="36"/>
      <c r="U394" s="36">
        <v>3318.94</v>
      </c>
      <c r="V394" s="36"/>
      <c r="W394" s="36">
        <v>0</v>
      </c>
      <c r="X394" s="36"/>
      <c r="Y394" s="36">
        <v>220000</v>
      </c>
      <c r="Z394" s="36"/>
      <c r="AA394" s="36">
        <v>0</v>
      </c>
      <c r="AB394" s="36"/>
      <c r="AC394" s="36">
        <v>0</v>
      </c>
      <c r="AD394" s="36"/>
      <c r="AE394" s="36">
        <f t="shared" si="163"/>
        <v>1958200.7899999998</v>
      </c>
      <c r="AF394" s="36"/>
      <c r="AG394" s="36">
        <v>-65630.89</v>
      </c>
      <c r="AH394" s="36"/>
      <c r="AI394" s="36">
        <v>471044.5</v>
      </c>
      <c r="AJ394" s="36"/>
      <c r="AK394" s="36">
        <v>405413.61</v>
      </c>
      <c r="AL394" s="39">
        <f>+'Gov Rev'!AI393-'Gov Exp'!AE394+'Gov Exp'!AI394-'Gov Exp'!AK394</f>
        <v>0</v>
      </c>
      <c r="AM394" s="15" t="str">
        <f>'Gov Rev'!A393</f>
        <v>Millersburg</v>
      </c>
      <c r="AN394" s="15" t="str">
        <f t="shared" si="147"/>
        <v>Millersburg</v>
      </c>
      <c r="AO394" s="15" t="b">
        <f t="shared" si="148"/>
        <v>1</v>
      </c>
    </row>
    <row r="395" spans="1:41" ht="12.75">
      <c r="A395" s="15" t="s">
        <v>63</v>
      </c>
      <c r="C395" s="15" t="s">
        <v>766</v>
      </c>
      <c r="D395" s="28"/>
      <c r="E395" s="36">
        <v>743913.43</v>
      </c>
      <c r="F395" s="36"/>
      <c r="G395" s="36">
        <v>4652.1</v>
      </c>
      <c r="H395" s="36"/>
      <c r="I395" s="36">
        <v>44366.75</v>
      </c>
      <c r="J395" s="36"/>
      <c r="K395" s="36">
        <v>0</v>
      </c>
      <c r="L395" s="36"/>
      <c r="M395" s="36">
        <v>0</v>
      </c>
      <c r="N395" s="36"/>
      <c r="O395" s="36">
        <v>100810.71</v>
      </c>
      <c r="P395" s="36"/>
      <c r="Q395" s="36">
        <v>86386.23</v>
      </c>
      <c r="R395" s="36"/>
      <c r="S395" s="36">
        <v>420216.46</v>
      </c>
      <c r="T395" s="36"/>
      <c r="U395" s="36">
        <v>73591.59</v>
      </c>
      <c r="V395" s="36"/>
      <c r="W395" s="36">
        <v>7182.45</v>
      </c>
      <c r="X395" s="36"/>
      <c r="Y395" s="36">
        <v>13061.47</v>
      </c>
      <c r="Z395" s="36"/>
      <c r="AA395" s="36">
        <v>0</v>
      </c>
      <c r="AB395" s="36"/>
      <c r="AC395" s="36">
        <v>0</v>
      </c>
      <c r="AD395" s="36"/>
      <c r="AE395" s="36">
        <f t="shared" si="163"/>
        <v>1494181.19</v>
      </c>
      <c r="AF395" s="36"/>
      <c r="AG395" s="36">
        <v>-37695</v>
      </c>
      <c r="AH395" s="36"/>
      <c r="AI395" s="36">
        <v>397475.71</v>
      </c>
      <c r="AJ395" s="36"/>
      <c r="AK395" s="36">
        <v>359780.71</v>
      </c>
      <c r="AL395" s="39">
        <f>+'Gov Rev'!AI394-'Gov Exp'!AE395+'Gov Exp'!AI395-'Gov Exp'!AK395</f>
        <v>0</v>
      </c>
      <c r="AM395" s="15" t="str">
        <f>'Gov Rev'!A394</f>
        <v>Millersport</v>
      </c>
      <c r="AN395" s="15" t="str">
        <f t="shared" si="147"/>
        <v>Millersport</v>
      </c>
      <c r="AO395" s="15" t="b">
        <f t="shared" si="148"/>
        <v>1</v>
      </c>
    </row>
    <row r="396" spans="1:41" ht="12.75" hidden="1">
      <c r="A396" s="15" t="s">
        <v>26</v>
      </c>
      <c r="C396" s="15" t="s">
        <v>752</v>
      </c>
      <c r="D396" s="28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AE396" s="24">
        <f t="shared" si="138"/>
        <v>0</v>
      </c>
      <c r="AF396" s="24"/>
      <c r="AG396" s="10"/>
      <c r="AH396" s="10"/>
      <c r="AI396" s="10"/>
      <c r="AJ396" s="10"/>
      <c r="AK396" s="10"/>
      <c r="AL396" s="39" t="e">
        <f>+#REF!-'Gov Exp'!AE396+'Gov Exp'!AI396-'Gov Exp'!AK396</f>
        <v>#REF!</v>
      </c>
      <c r="AM396" s="15" t="e">
        <f>#REF!</f>
        <v>#REF!</v>
      </c>
      <c r="AN396" s="15" t="str">
        <f t="shared" si="147"/>
        <v>Millville</v>
      </c>
      <c r="AO396" s="15" t="e">
        <f t="shared" si="148"/>
        <v>#REF!</v>
      </c>
    </row>
    <row r="397" spans="1:41" ht="12.75" hidden="1">
      <c r="A397" s="15" t="s">
        <v>684</v>
      </c>
      <c r="C397" s="15" t="s">
        <v>603</v>
      </c>
      <c r="AE397" s="24">
        <f t="shared" si="138"/>
        <v>0</v>
      </c>
      <c r="AF397" s="24"/>
      <c r="AG397" s="24"/>
      <c r="AH397" s="24"/>
      <c r="AI397" s="24"/>
      <c r="AJ397" s="24"/>
      <c r="AK397" s="24"/>
      <c r="AL397" s="39">
        <f>+'Gov Rev'!AI397-'Gov Exp'!AE397+'Gov Exp'!AI397-'Gov Exp'!AK397</f>
        <v>0</v>
      </c>
      <c r="AM397" s="15" t="str">
        <f>'Gov Rev'!A397</f>
        <v>Milton Center</v>
      </c>
      <c r="AN397" s="15" t="str">
        <f t="shared" si="147"/>
        <v>Milton Center</v>
      </c>
      <c r="AO397" s="15" t="b">
        <f t="shared" si="148"/>
        <v>1</v>
      </c>
    </row>
    <row r="398" spans="1:41" ht="12.75">
      <c r="A398" s="15" t="s">
        <v>476</v>
      </c>
      <c r="C398" s="15" t="s">
        <v>474</v>
      </c>
      <c r="E398" s="24">
        <v>911</v>
      </c>
      <c r="G398" s="24">
        <v>142</v>
      </c>
      <c r="I398" s="24">
        <v>0</v>
      </c>
      <c r="K398" s="24">
        <v>0</v>
      </c>
      <c r="M398" s="24">
        <v>387</v>
      </c>
      <c r="O398" s="24">
        <v>755</v>
      </c>
      <c r="Q398" s="24">
        <v>3635</v>
      </c>
      <c r="S398" s="24">
        <v>0</v>
      </c>
      <c r="U398" s="24">
        <v>0</v>
      </c>
      <c r="W398" s="24">
        <v>0</v>
      </c>
      <c r="Y398" s="24">
        <v>0</v>
      </c>
      <c r="AA398" s="24">
        <v>0</v>
      </c>
      <c r="AC398" s="24">
        <v>0</v>
      </c>
      <c r="AE398" s="24">
        <f t="shared" si="138"/>
        <v>5830</v>
      </c>
      <c r="AF398" s="24"/>
      <c r="AG398" s="24">
        <v>-836</v>
      </c>
      <c r="AH398" s="24"/>
      <c r="AI398" s="24">
        <v>15144</v>
      </c>
      <c r="AJ398" s="24"/>
      <c r="AK398" s="24">
        <v>14308</v>
      </c>
      <c r="AL398" s="39">
        <f>+'Gov Rev'!AI398-'Gov Exp'!AE398+'Gov Exp'!AI398-'Gov Exp'!AK398</f>
        <v>0</v>
      </c>
      <c r="AM398" s="15" t="str">
        <f>'Gov Rev'!A398</f>
        <v>Miltonsburg</v>
      </c>
      <c r="AN398" s="15" t="str">
        <f t="shared" si="147"/>
        <v>Miltonsburg</v>
      </c>
      <c r="AO398" s="15" t="b">
        <f t="shared" si="148"/>
        <v>1</v>
      </c>
    </row>
    <row r="399" spans="1:41" ht="12.75">
      <c r="A399" s="15" t="s">
        <v>234</v>
      </c>
      <c r="C399" s="15" t="s">
        <v>818</v>
      </c>
      <c r="D399" s="28"/>
      <c r="E399" s="36">
        <v>23735.61</v>
      </c>
      <c r="F399" s="36"/>
      <c r="G399" s="36">
        <v>234.46</v>
      </c>
      <c r="H399" s="36"/>
      <c r="I399" s="36">
        <v>14098.66</v>
      </c>
      <c r="J399" s="36"/>
      <c r="K399" s="36">
        <v>3265.4</v>
      </c>
      <c r="L399" s="36"/>
      <c r="M399" s="36">
        <v>22593.5</v>
      </c>
      <c r="N399" s="36"/>
      <c r="O399" s="36">
        <v>37106.91</v>
      </c>
      <c r="P399" s="36"/>
      <c r="Q399" s="36">
        <v>65675.88</v>
      </c>
      <c r="R399" s="36"/>
      <c r="S399" s="36">
        <v>223917.49</v>
      </c>
      <c r="T399" s="36"/>
      <c r="U399" s="36">
        <v>38991.87</v>
      </c>
      <c r="V399" s="36"/>
      <c r="W399" s="36">
        <v>9932.09</v>
      </c>
      <c r="X399" s="36"/>
      <c r="Y399" s="36">
        <v>0</v>
      </c>
      <c r="Z399" s="36"/>
      <c r="AA399" s="36">
        <v>0</v>
      </c>
      <c r="AB399" s="36"/>
      <c r="AC399" s="36">
        <v>15978.38</v>
      </c>
      <c r="AD399" s="36"/>
      <c r="AE399" s="36">
        <f aca="true" t="shared" si="164" ref="AE399">SUM(E399:AC399)</f>
        <v>455530.25000000006</v>
      </c>
      <c r="AF399" s="36"/>
      <c r="AG399" s="36">
        <v>25235.19</v>
      </c>
      <c r="AH399" s="36"/>
      <c r="AI399" s="36">
        <v>277785.37</v>
      </c>
      <c r="AJ399" s="36"/>
      <c r="AK399" s="36">
        <v>303020.56</v>
      </c>
      <c r="AL399" s="39">
        <f>+'Gov Rev'!AI399-'Gov Exp'!AE399+'Gov Exp'!AI399-'Gov Exp'!AK399</f>
        <v>0</v>
      </c>
      <c r="AM399" s="15" t="str">
        <f>'Gov Rev'!A399</f>
        <v>Mineral City</v>
      </c>
      <c r="AN399" s="15" t="str">
        <f t="shared" si="147"/>
        <v>Mineral City</v>
      </c>
      <c r="AO399" s="15" t="b">
        <f t="shared" si="148"/>
        <v>1</v>
      </c>
    </row>
    <row r="400" spans="1:41" ht="12.75">
      <c r="A400" s="15" t="s">
        <v>547</v>
      </c>
      <c r="C400" s="15" t="s">
        <v>542</v>
      </c>
      <c r="E400" s="24">
        <v>1252740</v>
      </c>
      <c r="G400" s="24">
        <v>162000</v>
      </c>
      <c r="I400" s="24">
        <v>111009</v>
      </c>
      <c r="K400" s="24">
        <v>277</v>
      </c>
      <c r="M400" s="24">
        <v>10298</v>
      </c>
      <c r="O400" s="24">
        <v>840803</v>
      </c>
      <c r="Q400" s="24">
        <v>2449687</v>
      </c>
      <c r="S400" s="24">
        <v>0</v>
      </c>
      <c r="U400" s="24">
        <v>0</v>
      </c>
      <c r="W400" s="24">
        <v>0</v>
      </c>
      <c r="Y400" s="24">
        <v>0</v>
      </c>
      <c r="AA400" s="24">
        <v>0</v>
      </c>
      <c r="AC400" s="24">
        <v>156980</v>
      </c>
      <c r="AE400" s="24">
        <f t="shared" si="138"/>
        <v>4983794</v>
      </c>
      <c r="AF400" s="24"/>
      <c r="AG400" s="24">
        <v>175286</v>
      </c>
      <c r="AH400" s="24"/>
      <c r="AI400" s="24">
        <v>4142244</v>
      </c>
      <c r="AJ400" s="24"/>
      <c r="AK400" s="24">
        <v>4317530</v>
      </c>
      <c r="AL400" s="39">
        <f>+'Gov Rev'!AI400-'Gov Exp'!AE400+'Gov Exp'!AI400-'Gov Exp'!AK400</f>
        <v>0</v>
      </c>
      <c r="AM400" s="15" t="str">
        <f>'Gov Rev'!A400</f>
        <v xml:space="preserve">Minerva  </v>
      </c>
      <c r="AN400" s="15" t="str">
        <f t="shared" si="147"/>
        <v xml:space="preserve">Minerva  </v>
      </c>
      <c r="AO400" s="15" t="b">
        <f t="shared" si="148"/>
        <v>1</v>
      </c>
    </row>
    <row r="401" spans="1:41" s="31" customFormat="1" ht="12.75">
      <c r="A401" s="15" t="s">
        <v>74</v>
      </c>
      <c r="B401" s="15"/>
      <c r="C401" s="15" t="s">
        <v>768</v>
      </c>
      <c r="D401" s="28"/>
      <c r="E401" s="36">
        <v>670985.31</v>
      </c>
      <c r="F401" s="36"/>
      <c r="G401" s="36">
        <v>0</v>
      </c>
      <c r="H401" s="36"/>
      <c r="I401" s="36">
        <v>116245.35</v>
      </c>
      <c r="J401" s="36"/>
      <c r="K401" s="36">
        <v>2630.03</v>
      </c>
      <c r="L401" s="36"/>
      <c r="M401" s="36">
        <v>131504.93</v>
      </c>
      <c r="N401" s="36"/>
      <c r="O401" s="36">
        <v>144735.34</v>
      </c>
      <c r="P401" s="36"/>
      <c r="Q401" s="36">
        <v>266193.96</v>
      </c>
      <c r="R401" s="36"/>
      <c r="S401" s="36">
        <v>1278.5</v>
      </c>
      <c r="T401" s="36"/>
      <c r="U401" s="36">
        <v>102277.83</v>
      </c>
      <c r="V401" s="36"/>
      <c r="W401" s="36">
        <v>26198.02</v>
      </c>
      <c r="X401" s="36"/>
      <c r="Y401" s="36">
        <v>0</v>
      </c>
      <c r="Z401" s="36"/>
      <c r="AA401" s="36">
        <v>0</v>
      </c>
      <c r="AB401" s="36"/>
      <c r="AC401" s="36">
        <v>0</v>
      </c>
      <c r="AD401" s="36"/>
      <c r="AE401" s="36">
        <f aca="true" t="shared" si="165" ref="AE401">SUM(E401:AC401)</f>
        <v>1462049.2700000003</v>
      </c>
      <c r="AF401" s="36"/>
      <c r="AG401" s="36">
        <v>-34442.75</v>
      </c>
      <c r="AH401" s="36"/>
      <c r="AI401" s="36">
        <v>648601.87</v>
      </c>
      <c r="AJ401" s="36"/>
      <c r="AK401" s="36">
        <v>614159.12</v>
      </c>
      <c r="AL401" s="39">
        <f>+'Gov Rev'!AI401-'Gov Exp'!AE401+'Gov Exp'!AI401-'Gov Exp'!AK401</f>
        <v>0</v>
      </c>
      <c r="AM401" s="15" t="str">
        <f>'Gov Rev'!A401</f>
        <v>Minerva Park</v>
      </c>
      <c r="AN401" s="15" t="str">
        <f t="shared" si="147"/>
        <v>Minerva Park</v>
      </c>
      <c r="AO401" s="15" t="b">
        <f t="shared" si="148"/>
        <v>1</v>
      </c>
    </row>
    <row r="402" spans="1:41" s="31" customFormat="1" ht="12.75">
      <c r="A402" s="15" t="s">
        <v>423</v>
      </c>
      <c r="B402" s="15"/>
      <c r="C402" s="15" t="s">
        <v>420</v>
      </c>
      <c r="D402" s="15"/>
      <c r="E402" s="24">
        <v>758521.24</v>
      </c>
      <c r="F402" s="24"/>
      <c r="G402" s="24">
        <v>13476.4</v>
      </c>
      <c r="H402" s="24"/>
      <c r="I402" s="24">
        <v>80302.06</v>
      </c>
      <c r="J402" s="24"/>
      <c r="K402" s="24">
        <v>22182.47</v>
      </c>
      <c r="L402" s="24"/>
      <c r="M402" s="24">
        <v>405040.74</v>
      </c>
      <c r="N402" s="24"/>
      <c r="O402" s="24">
        <v>249437.99</v>
      </c>
      <c r="P402" s="24"/>
      <c r="Q402" s="24">
        <v>413022.24</v>
      </c>
      <c r="R402" s="24"/>
      <c r="S402" s="24">
        <v>326044.92</v>
      </c>
      <c r="T402" s="24"/>
      <c r="U402" s="24">
        <v>38685.33</v>
      </c>
      <c r="V402" s="24"/>
      <c r="W402" s="24">
        <v>5438.43</v>
      </c>
      <c r="X402" s="24"/>
      <c r="Y402" s="24">
        <v>12000</v>
      </c>
      <c r="Z402" s="24"/>
      <c r="AA402" s="24">
        <v>0</v>
      </c>
      <c r="AB402" s="24"/>
      <c r="AC402" s="24">
        <v>512.46</v>
      </c>
      <c r="AD402" s="24"/>
      <c r="AE402" s="24">
        <f t="shared" si="138"/>
        <v>2324664.2800000003</v>
      </c>
      <c r="AF402" s="24"/>
      <c r="AG402" s="24">
        <v>-127977.82</v>
      </c>
      <c r="AH402" s="24"/>
      <c r="AI402" s="24">
        <v>2433774.5</v>
      </c>
      <c r="AJ402" s="24"/>
      <c r="AK402" s="24">
        <v>2305796.68</v>
      </c>
      <c r="AL402" s="39">
        <f>+'Gov Rev'!AI402-'Gov Exp'!AE402+'Gov Exp'!AI402-'Gov Exp'!AK402</f>
        <v>0</v>
      </c>
      <c r="AM402" s="15" t="str">
        <f>'Gov Rev'!A402</f>
        <v>Mingo Junction</v>
      </c>
      <c r="AN402" s="15" t="str">
        <f t="shared" si="147"/>
        <v>Mingo Junction</v>
      </c>
      <c r="AO402" s="15" t="b">
        <f t="shared" si="148"/>
        <v>1</v>
      </c>
    </row>
    <row r="403" spans="1:41" ht="12.6" customHeight="1">
      <c r="A403" s="15" t="s">
        <v>276</v>
      </c>
      <c r="C403" s="15" t="s">
        <v>275</v>
      </c>
      <c r="E403" s="24">
        <v>634321</v>
      </c>
      <c r="G403" s="24">
        <v>0</v>
      </c>
      <c r="I403" s="24">
        <v>153312</v>
      </c>
      <c r="K403" s="24">
        <v>23166</v>
      </c>
      <c r="M403" s="24">
        <v>0</v>
      </c>
      <c r="O403" s="24">
        <v>515347</v>
      </c>
      <c r="Q403" s="24">
        <v>436409</v>
      </c>
      <c r="S403" s="24">
        <v>3379044</v>
      </c>
      <c r="U403" s="24">
        <v>30565</v>
      </c>
      <c r="W403" s="24">
        <v>9427</v>
      </c>
      <c r="Y403" s="24">
        <v>4121785</v>
      </c>
      <c r="AA403" s="24">
        <v>0</v>
      </c>
      <c r="AC403" s="24">
        <v>0</v>
      </c>
      <c r="AE403" s="24">
        <f aca="true" t="shared" si="166" ref="AE403:AE469">SUM(E403:AC403)</f>
        <v>9303376</v>
      </c>
      <c r="AF403" s="24"/>
      <c r="AG403" s="24">
        <v>-674055</v>
      </c>
      <c r="AH403" s="24"/>
      <c r="AI403" s="24">
        <v>3099068</v>
      </c>
      <c r="AJ403" s="24"/>
      <c r="AK403" s="24">
        <v>2425013</v>
      </c>
      <c r="AL403" s="39">
        <f>+'Gov Rev'!AI403-'Gov Exp'!AE403+'Gov Exp'!AI403-'Gov Exp'!AK403</f>
        <v>0</v>
      </c>
      <c r="AM403" s="15" t="str">
        <f>'Gov Rev'!A403</f>
        <v>Minster</v>
      </c>
      <c r="AN403" s="15" t="str">
        <f t="shared" si="147"/>
        <v>Minster</v>
      </c>
      <c r="AO403" s="15" t="b">
        <f t="shared" si="148"/>
        <v>1</v>
      </c>
    </row>
    <row r="404" spans="1:41" s="72" customFormat="1" ht="12.75">
      <c r="A404" s="39" t="s">
        <v>552</v>
      </c>
      <c r="B404" s="39"/>
      <c r="C404" s="39" t="s">
        <v>551</v>
      </c>
      <c r="D404" s="39"/>
      <c r="E404" s="24">
        <v>1316469</v>
      </c>
      <c r="F404" s="24"/>
      <c r="G404" s="24">
        <v>40578</v>
      </c>
      <c r="H404" s="24"/>
      <c r="I404" s="24">
        <v>86523</v>
      </c>
      <c r="J404" s="24"/>
      <c r="K404" s="24">
        <v>0</v>
      </c>
      <c r="L404" s="24"/>
      <c r="M404" s="24">
        <v>21408</v>
      </c>
      <c r="N404" s="24"/>
      <c r="O404" s="24">
        <v>1198787</v>
      </c>
      <c r="P404" s="24"/>
      <c r="Q404" s="24">
        <v>531895</v>
      </c>
      <c r="R404" s="24"/>
      <c r="S404" s="24">
        <v>54378</v>
      </c>
      <c r="T404" s="24"/>
      <c r="U404" s="24">
        <v>975000</v>
      </c>
      <c r="V404" s="24"/>
      <c r="W404" s="24">
        <v>24044</v>
      </c>
      <c r="X404" s="24"/>
      <c r="Y404" s="24">
        <v>2027439</v>
      </c>
      <c r="Z404" s="24"/>
      <c r="AA404" s="24">
        <v>0</v>
      </c>
      <c r="AB404" s="24"/>
      <c r="AC404" s="24">
        <v>0</v>
      </c>
      <c r="AD404" s="24"/>
      <c r="AE404" s="24">
        <f t="shared" si="166"/>
        <v>6276521</v>
      </c>
      <c r="AF404" s="24"/>
      <c r="AG404" s="24">
        <v>60983</v>
      </c>
      <c r="AH404" s="24"/>
      <c r="AI404" s="24">
        <v>864825</v>
      </c>
      <c r="AJ404" s="24"/>
      <c r="AK404" s="24">
        <v>-816334</v>
      </c>
      <c r="AL404" s="39">
        <f>+'Gov Rev'!AI404-'Gov Exp'!AE404+'Gov Exp'!AI404-'Gov Exp'!AK404</f>
        <v>1742142</v>
      </c>
      <c r="AM404" s="15" t="str">
        <f>'Gov Rev'!A404</f>
        <v>Mogadore</v>
      </c>
      <c r="AN404" s="15" t="str">
        <f t="shared" si="147"/>
        <v>Mogadore</v>
      </c>
      <c r="AO404" s="15" t="b">
        <f t="shared" si="148"/>
        <v>1</v>
      </c>
    </row>
    <row r="405" spans="1:41" s="31" customFormat="1" ht="12.75">
      <c r="A405" s="15" t="s">
        <v>415</v>
      </c>
      <c r="B405" s="15"/>
      <c r="C405" s="15" t="s">
        <v>416</v>
      </c>
      <c r="D405" s="15"/>
      <c r="E405" s="92">
        <v>369217</v>
      </c>
      <c r="F405" s="92"/>
      <c r="G405" s="92">
        <v>1292</v>
      </c>
      <c r="H405" s="92"/>
      <c r="I405" s="92">
        <v>42711</v>
      </c>
      <c r="J405" s="92"/>
      <c r="K405" s="92">
        <v>10724</v>
      </c>
      <c r="L405" s="92"/>
      <c r="M405" s="92">
        <v>0</v>
      </c>
      <c r="N405" s="92"/>
      <c r="O405" s="92">
        <v>136691</v>
      </c>
      <c r="P405" s="92"/>
      <c r="Q405" s="92">
        <v>154536</v>
      </c>
      <c r="R405" s="92"/>
      <c r="S405" s="92">
        <v>190544</v>
      </c>
      <c r="T405" s="92"/>
      <c r="U405" s="92">
        <v>0</v>
      </c>
      <c r="V405" s="92"/>
      <c r="W405" s="92">
        <v>0</v>
      </c>
      <c r="X405" s="92"/>
      <c r="Y405" s="92">
        <v>223492</v>
      </c>
      <c r="Z405" s="92"/>
      <c r="AA405" s="92">
        <v>564000</v>
      </c>
      <c r="AB405" s="92"/>
      <c r="AC405" s="92">
        <v>3983</v>
      </c>
      <c r="AD405" s="92"/>
      <c r="AE405" s="92">
        <f t="shared" si="166"/>
        <v>1697190</v>
      </c>
      <c r="AF405" s="24"/>
      <c r="AG405" s="24">
        <v>-410860</v>
      </c>
      <c r="AH405" s="24"/>
      <c r="AI405" s="24">
        <v>2066764</v>
      </c>
      <c r="AJ405" s="24"/>
      <c r="AK405" s="24">
        <v>1655904</v>
      </c>
      <c r="AL405" s="39">
        <f>+'Gov Rev'!AI405-'Gov Exp'!AE405+'Gov Exp'!AI405-'Gov Exp'!AK405</f>
        <v>0</v>
      </c>
      <c r="AM405" s="15" t="str">
        <f>'Gov Rev'!A405</f>
        <v>Monroeville</v>
      </c>
      <c r="AN405" s="15" t="str">
        <f t="shared" si="147"/>
        <v>Monroeville</v>
      </c>
      <c r="AO405" s="15" t="b">
        <f t="shared" si="148"/>
        <v>1</v>
      </c>
    </row>
    <row r="406" spans="1:41" ht="12.75">
      <c r="A406" s="15" t="s">
        <v>160</v>
      </c>
      <c r="C406" s="15" t="s">
        <v>794</v>
      </c>
      <c r="D406" s="28"/>
      <c r="E406" s="36">
        <v>5699.26</v>
      </c>
      <c r="F406" s="36"/>
      <c r="G406" s="36">
        <v>1083.63</v>
      </c>
      <c r="H406" s="36"/>
      <c r="I406" s="36">
        <v>0</v>
      </c>
      <c r="J406" s="36"/>
      <c r="K406" s="36">
        <v>0</v>
      </c>
      <c r="L406" s="36"/>
      <c r="M406" s="36">
        <v>0</v>
      </c>
      <c r="N406" s="36"/>
      <c r="O406" s="36">
        <v>6107.96</v>
      </c>
      <c r="P406" s="36"/>
      <c r="Q406" s="36">
        <v>11640.54</v>
      </c>
      <c r="R406" s="36"/>
      <c r="S406" s="36">
        <v>414.9</v>
      </c>
      <c r="T406" s="36"/>
      <c r="U406" s="36">
        <v>0</v>
      </c>
      <c r="V406" s="36"/>
      <c r="W406" s="36">
        <v>0</v>
      </c>
      <c r="X406" s="36"/>
      <c r="Y406" s="36">
        <v>0</v>
      </c>
      <c r="Z406" s="36"/>
      <c r="AA406" s="36">
        <v>0</v>
      </c>
      <c r="AB406" s="36"/>
      <c r="AC406" s="36">
        <v>0</v>
      </c>
      <c r="AD406" s="36"/>
      <c r="AE406" s="36">
        <f aca="true" t="shared" si="167" ref="AE406">SUM(E406:AC406)</f>
        <v>24946.29</v>
      </c>
      <c r="AF406" s="36"/>
      <c r="AG406" s="36">
        <v>13707.75</v>
      </c>
      <c r="AH406" s="36"/>
      <c r="AI406" s="36">
        <v>35268.51</v>
      </c>
      <c r="AJ406" s="36"/>
      <c r="AK406" s="36">
        <v>48976.26</v>
      </c>
      <c r="AL406" s="39">
        <f>+'Gov Rev'!AI406-'Gov Exp'!AE406+'Gov Exp'!AI406-'Gov Exp'!AK406</f>
        <v>0</v>
      </c>
      <c r="AM406" s="15" t="str">
        <f>'Gov Rev'!A406</f>
        <v>Montezuma</v>
      </c>
      <c r="AN406" s="15" t="str">
        <f t="shared" si="147"/>
        <v>Montezuma</v>
      </c>
      <c r="AO406" s="15" t="b">
        <f t="shared" si="148"/>
        <v>1</v>
      </c>
    </row>
    <row r="407" spans="1:41" s="31" customFormat="1" ht="12.75">
      <c r="A407" s="15" t="s">
        <v>599</v>
      </c>
      <c r="B407" s="15"/>
      <c r="C407" s="15" t="s">
        <v>598</v>
      </c>
      <c r="D407" s="15"/>
      <c r="E407" s="24">
        <v>745384</v>
      </c>
      <c r="F407" s="24"/>
      <c r="G407" s="24">
        <v>21789</v>
      </c>
      <c r="H407" s="24"/>
      <c r="I407" s="24">
        <v>205983</v>
      </c>
      <c r="J407" s="24"/>
      <c r="K407" s="24">
        <v>0</v>
      </c>
      <c r="L407" s="24"/>
      <c r="M407" s="24">
        <v>385241</v>
      </c>
      <c r="N407" s="24"/>
      <c r="O407" s="24">
        <v>412296</v>
      </c>
      <c r="P407" s="24"/>
      <c r="Q407" s="24">
        <v>214438</v>
      </c>
      <c r="R407" s="24"/>
      <c r="S407" s="24">
        <v>689033</v>
      </c>
      <c r="T407" s="24"/>
      <c r="U407" s="24">
        <v>619243</v>
      </c>
      <c r="V407" s="24"/>
      <c r="W407" s="24">
        <v>42776</v>
      </c>
      <c r="X407" s="24"/>
      <c r="Y407" s="24">
        <v>45000</v>
      </c>
      <c r="Z407" s="24"/>
      <c r="AA407" s="24">
        <v>0</v>
      </c>
      <c r="AB407" s="24"/>
      <c r="AC407" s="24">
        <v>0</v>
      </c>
      <c r="AD407" s="24"/>
      <c r="AE407" s="24">
        <f t="shared" si="166"/>
        <v>3381183</v>
      </c>
      <c r="AF407" s="24"/>
      <c r="AG407" s="24">
        <v>543910</v>
      </c>
      <c r="AH407" s="24"/>
      <c r="AI407" s="24">
        <v>2850643</v>
      </c>
      <c r="AJ407" s="24"/>
      <c r="AK407" s="24">
        <v>3394553</v>
      </c>
      <c r="AL407" s="39">
        <f>+'Gov Rev'!AI407-'Gov Exp'!AE407+'Gov Exp'!AI407-'Gov Exp'!AK407</f>
        <v>0</v>
      </c>
      <c r="AM407" s="15" t="str">
        <f>'Gov Rev'!A407</f>
        <v>Montpelier</v>
      </c>
      <c r="AN407" s="15" t="str">
        <f t="shared" si="147"/>
        <v>Montpelier</v>
      </c>
      <c r="AO407" s="15" t="b">
        <f t="shared" si="148"/>
        <v>1</v>
      </c>
    </row>
    <row r="408" spans="1:41" s="29" customFormat="1" ht="12.6" customHeight="1">
      <c r="A408" s="24" t="s">
        <v>323</v>
      </c>
      <c r="B408" s="24"/>
      <c r="C408" s="24" t="s">
        <v>316</v>
      </c>
      <c r="D408" s="24"/>
      <c r="E408" s="24">
        <v>1846027</v>
      </c>
      <c r="F408" s="24"/>
      <c r="G408" s="24">
        <v>17529</v>
      </c>
      <c r="H408" s="24"/>
      <c r="I408" s="24">
        <v>0</v>
      </c>
      <c r="J408" s="24"/>
      <c r="K408" s="24">
        <v>90976</v>
      </c>
      <c r="L408" s="24"/>
      <c r="M408" s="24">
        <v>1456793</v>
      </c>
      <c r="N408" s="24"/>
      <c r="O408" s="24">
        <v>834791</v>
      </c>
      <c r="P408" s="24"/>
      <c r="Q408" s="24">
        <v>1720127</v>
      </c>
      <c r="R408" s="24"/>
      <c r="S408" s="24">
        <v>1365061</v>
      </c>
      <c r="T408" s="24"/>
      <c r="U408" s="24">
        <v>870963</v>
      </c>
      <c r="V408" s="24"/>
      <c r="W408" s="24">
        <v>27518</v>
      </c>
      <c r="X408" s="24"/>
      <c r="Y408" s="24">
        <v>2651541</v>
      </c>
      <c r="Z408" s="24"/>
      <c r="AA408" s="24">
        <v>0</v>
      </c>
      <c r="AB408" s="24"/>
      <c r="AC408" s="24">
        <v>0</v>
      </c>
      <c r="AD408" s="24"/>
      <c r="AE408" s="24">
        <f t="shared" si="166"/>
        <v>10881326</v>
      </c>
      <c r="AF408" s="24"/>
      <c r="AG408" s="24">
        <v>-226570</v>
      </c>
      <c r="AH408" s="24"/>
      <c r="AI408" s="24">
        <v>8695598</v>
      </c>
      <c r="AJ408" s="24"/>
      <c r="AK408" s="24">
        <v>8469028</v>
      </c>
      <c r="AL408" s="39">
        <f>+'Gov Rev'!AI408-'Gov Exp'!AE408+'Gov Exp'!AI408-'Gov Exp'!AK408</f>
        <v>0</v>
      </c>
      <c r="AM408" s="15" t="str">
        <f>'Gov Rev'!A408</f>
        <v>Moreland Hills</v>
      </c>
      <c r="AN408" s="15" t="str">
        <f t="shared" si="147"/>
        <v>Moreland Hills</v>
      </c>
      <c r="AO408" s="15" t="b">
        <f t="shared" si="148"/>
        <v>1</v>
      </c>
    </row>
    <row r="409" spans="1:41" s="29" customFormat="1" ht="12.6" customHeight="1">
      <c r="A409" s="24" t="s">
        <v>950</v>
      </c>
      <c r="B409" s="24"/>
      <c r="C409" s="24" t="s">
        <v>463</v>
      </c>
      <c r="D409" s="24"/>
      <c r="E409" s="36">
        <v>7381.56</v>
      </c>
      <c r="F409" s="36"/>
      <c r="G409" s="36">
        <v>2953.6</v>
      </c>
      <c r="H409" s="36"/>
      <c r="I409" s="36">
        <v>2937.86</v>
      </c>
      <c r="J409" s="36"/>
      <c r="K409" s="36">
        <v>0</v>
      </c>
      <c r="L409" s="36"/>
      <c r="M409" s="36">
        <v>0</v>
      </c>
      <c r="N409" s="36"/>
      <c r="O409" s="36">
        <v>44393.76</v>
      </c>
      <c r="P409" s="36"/>
      <c r="Q409" s="36">
        <v>15168.16</v>
      </c>
      <c r="R409" s="36"/>
      <c r="S409" s="36">
        <v>0</v>
      </c>
      <c r="T409" s="36"/>
      <c r="U409" s="36">
        <v>0</v>
      </c>
      <c r="V409" s="36"/>
      <c r="W409" s="36">
        <v>0</v>
      </c>
      <c r="X409" s="36"/>
      <c r="Y409" s="36">
        <v>0</v>
      </c>
      <c r="Z409" s="36"/>
      <c r="AA409" s="36">
        <v>0</v>
      </c>
      <c r="AB409" s="36"/>
      <c r="AC409" s="36">
        <v>0</v>
      </c>
      <c r="AD409" s="36"/>
      <c r="AE409" s="36">
        <f aca="true" t="shared" si="168" ref="AE409:AE410">SUM(E409:AC409)</f>
        <v>72834.94</v>
      </c>
      <c r="AF409" s="36"/>
      <c r="AG409" s="36">
        <v>-17306.95</v>
      </c>
      <c r="AH409" s="36"/>
      <c r="AI409" s="36">
        <v>66547.9</v>
      </c>
      <c r="AJ409" s="36"/>
      <c r="AK409" s="36">
        <v>49240.95</v>
      </c>
      <c r="AL409" s="39">
        <f>+'Gov Rev'!AI409-'Gov Exp'!AE409+'Gov Exp'!AI409-'Gov Exp'!AK409</f>
        <v>0</v>
      </c>
      <c r="AM409" s="15" t="str">
        <f>'Gov Rev'!A409</f>
        <v>Morral</v>
      </c>
      <c r="AN409" s="15" t="str">
        <f t="shared" si="147"/>
        <v>Morral</v>
      </c>
      <c r="AO409" s="15" t="b">
        <f t="shared" si="148"/>
        <v>1</v>
      </c>
    </row>
    <row r="410" spans="1:41" s="24" customFormat="1" ht="12.75">
      <c r="A410" s="24" t="s">
        <v>18</v>
      </c>
      <c r="C410" s="24" t="s">
        <v>750</v>
      </c>
      <c r="D410" s="73"/>
      <c r="E410" s="92">
        <v>35514.95</v>
      </c>
      <c r="F410" s="92"/>
      <c r="G410" s="92">
        <v>934.86</v>
      </c>
      <c r="H410" s="92"/>
      <c r="I410" s="92">
        <v>4160.07</v>
      </c>
      <c r="J410" s="92"/>
      <c r="K410" s="92">
        <v>0</v>
      </c>
      <c r="L410" s="92"/>
      <c r="M410" s="92">
        <v>0</v>
      </c>
      <c r="N410" s="92"/>
      <c r="O410" s="92">
        <v>13850.73</v>
      </c>
      <c r="P410" s="92"/>
      <c r="Q410" s="92">
        <v>24566.08</v>
      </c>
      <c r="R410" s="92"/>
      <c r="S410" s="92">
        <v>0</v>
      </c>
      <c r="T410" s="92"/>
      <c r="U410" s="92">
        <v>17731.31</v>
      </c>
      <c r="V410" s="92"/>
      <c r="W410" s="92">
        <v>13149.09</v>
      </c>
      <c r="X410" s="92"/>
      <c r="Y410" s="92">
        <v>0</v>
      </c>
      <c r="Z410" s="92"/>
      <c r="AA410" s="92">
        <v>0</v>
      </c>
      <c r="AB410" s="92"/>
      <c r="AC410" s="92">
        <v>0</v>
      </c>
      <c r="AD410" s="92"/>
      <c r="AE410" s="92">
        <f t="shared" si="168"/>
        <v>109907.09</v>
      </c>
      <c r="AF410" s="36"/>
      <c r="AG410" s="36">
        <v>10785.13</v>
      </c>
      <c r="AH410" s="36"/>
      <c r="AI410" s="36">
        <v>117649.32</v>
      </c>
      <c r="AJ410" s="36"/>
      <c r="AK410" s="36">
        <v>128434.45</v>
      </c>
      <c r="AL410" s="39">
        <f>+'Gov Rev'!AI410-'Gov Exp'!AE410+'Gov Exp'!AI410-'Gov Exp'!AK410</f>
        <v>0</v>
      </c>
      <c r="AM410" s="15" t="str">
        <f>'Gov Rev'!A410</f>
        <v>Morristown</v>
      </c>
      <c r="AN410" s="15" t="str">
        <f aca="true" t="shared" si="169" ref="AN410">A410</f>
        <v>Morristown</v>
      </c>
      <c r="AO410" s="15" t="b">
        <f aca="true" t="shared" si="170" ref="AO410">AM410=AN410</f>
        <v>1</v>
      </c>
    </row>
    <row r="411" spans="4:41" s="24" customFormat="1" ht="12.75">
      <c r="D411" s="73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AE411" s="83" t="s">
        <v>864</v>
      </c>
      <c r="AG411" s="10"/>
      <c r="AH411" s="10"/>
      <c r="AI411" s="10"/>
      <c r="AJ411" s="10"/>
      <c r="AK411" s="10"/>
      <c r="AL411" s="39"/>
      <c r="AM411" s="15"/>
      <c r="AN411" s="15"/>
      <c r="AO411" s="15"/>
    </row>
    <row r="412" spans="1:41" ht="12.75">
      <c r="A412" s="15" t="s">
        <v>243</v>
      </c>
      <c r="C412" s="15" t="s">
        <v>821</v>
      </c>
      <c r="D412" s="28"/>
      <c r="E412" s="94">
        <v>218194.81</v>
      </c>
      <c r="F412" s="94"/>
      <c r="G412" s="94">
        <v>719.94</v>
      </c>
      <c r="H412" s="94"/>
      <c r="I412" s="94">
        <v>1124.37</v>
      </c>
      <c r="J412" s="94"/>
      <c r="K412" s="94">
        <v>4079.87</v>
      </c>
      <c r="L412" s="94"/>
      <c r="M412" s="94">
        <v>118375.2</v>
      </c>
      <c r="N412" s="94"/>
      <c r="O412" s="94">
        <v>571202.06</v>
      </c>
      <c r="P412" s="94"/>
      <c r="Q412" s="94">
        <v>222735.71</v>
      </c>
      <c r="R412" s="94"/>
      <c r="S412" s="94">
        <v>0</v>
      </c>
      <c r="T412" s="94"/>
      <c r="U412" s="94">
        <v>9458.62</v>
      </c>
      <c r="V412" s="94"/>
      <c r="W412" s="94">
        <v>4467.22</v>
      </c>
      <c r="X412" s="94"/>
      <c r="Y412" s="94">
        <v>0</v>
      </c>
      <c r="Z412" s="94"/>
      <c r="AA412" s="94">
        <v>0</v>
      </c>
      <c r="AB412" s="94"/>
      <c r="AC412" s="94">
        <v>0</v>
      </c>
      <c r="AD412" s="94"/>
      <c r="AE412" s="94">
        <f aca="true" t="shared" si="171" ref="AE412:AE413">SUM(E412:AC412)</f>
        <v>1150357.8</v>
      </c>
      <c r="AF412" s="36"/>
      <c r="AG412" s="36">
        <v>48043.3</v>
      </c>
      <c r="AH412" s="36"/>
      <c r="AI412" s="36">
        <v>255120.65</v>
      </c>
      <c r="AJ412" s="36"/>
      <c r="AK412" s="36">
        <v>303163.95</v>
      </c>
      <c r="AL412" s="39">
        <f>+'Gov Rev'!AI411-'Gov Exp'!AE412+'Gov Exp'!AI412-'Gov Exp'!AK412</f>
        <v>0</v>
      </c>
      <c r="AM412" s="15" t="str">
        <f>'Gov Rev'!A411</f>
        <v>Morrow</v>
      </c>
      <c r="AN412" s="15" t="str">
        <f t="shared" si="147"/>
        <v>Morrow</v>
      </c>
      <c r="AO412" s="15" t="b">
        <f t="shared" si="148"/>
        <v>1</v>
      </c>
    </row>
    <row r="413" spans="1:41" ht="12.6" customHeight="1">
      <c r="A413" s="15" t="s">
        <v>298</v>
      </c>
      <c r="C413" s="15" t="s">
        <v>295</v>
      </c>
      <c r="E413" s="36">
        <v>59527.67</v>
      </c>
      <c r="F413" s="36"/>
      <c r="G413" s="36">
        <v>8460.93</v>
      </c>
      <c r="H413" s="36"/>
      <c r="I413" s="36">
        <v>252199.87</v>
      </c>
      <c r="J413" s="36"/>
      <c r="K413" s="36">
        <v>2768.8</v>
      </c>
      <c r="L413" s="36"/>
      <c r="M413" s="36">
        <v>27706.61</v>
      </c>
      <c r="N413" s="36"/>
      <c r="O413" s="36">
        <v>7581.83</v>
      </c>
      <c r="P413" s="36"/>
      <c r="Q413" s="36">
        <v>304315.79</v>
      </c>
      <c r="R413" s="36"/>
      <c r="S413" s="36">
        <v>1125</v>
      </c>
      <c r="T413" s="36"/>
      <c r="U413" s="36">
        <v>25511.84</v>
      </c>
      <c r="V413" s="36"/>
      <c r="W413" s="36">
        <v>10826.36</v>
      </c>
      <c r="X413" s="36"/>
      <c r="Y413" s="36">
        <v>0</v>
      </c>
      <c r="Z413" s="36"/>
      <c r="AA413" s="36">
        <v>0</v>
      </c>
      <c r="AB413" s="36"/>
      <c r="AC413" s="36">
        <v>0</v>
      </c>
      <c r="AD413" s="36"/>
      <c r="AE413" s="36">
        <f t="shared" si="171"/>
        <v>700024.7</v>
      </c>
      <c r="AF413" s="36"/>
      <c r="AG413" s="36">
        <v>340442</v>
      </c>
      <c r="AH413" s="36"/>
      <c r="AI413" s="36">
        <v>953300.81</v>
      </c>
      <c r="AJ413" s="36"/>
      <c r="AK413" s="36">
        <v>1293742.81</v>
      </c>
      <c r="AL413" s="39">
        <f>+'Gov Rev'!AI412-'Gov Exp'!AE413+'Gov Exp'!AI413-'Gov Exp'!AK413</f>
        <v>0</v>
      </c>
      <c r="AM413" s="15" t="str">
        <f>'Gov Rev'!A412</f>
        <v>Moscow</v>
      </c>
      <c r="AN413" s="15" t="str">
        <f t="shared" si="147"/>
        <v>Moscow</v>
      </c>
      <c r="AO413" s="15" t="b">
        <f t="shared" si="148"/>
        <v>1</v>
      </c>
    </row>
    <row r="414" spans="1:41" ht="12.75">
      <c r="A414" s="15" t="s">
        <v>249</v>
      </c>
      <c r="C414" s="15" t="s">
        <v>823</v>
      </c>
      <c r="D414" s="28"/>
      <c r="E414" s="95">
        <v>89082.42</v>
      </c>
      <c r="F414" s="95"/>
      <c r="G414" s="95">
        <v>3627.98</v>
      </c>
      <c r="H414" s="95"/>
      <c r="I414" s="95">
        <v>3431.66</v>
      </c>
      <c r="J414" s="95"/>
      <c r="K414" s="95">
        <v>0</v>
      </c>
      <c r="L414" s="95"/>
      <c r="M414" s="95">
        <v>0</v>
      </c>
      <c r="N414" s="95"/>
      <c r="O414" s="95">
        <v>85284.85</v>
      </c>
      <c r="P414" s="95"/>
      <c r="Q414" s="95">
        <v>72035.89</v>
      </c>
      <c r="R414" s="95"/>
      <c r="S414" s="95">
        <v>0</v>
      </c>
      <c r="T414" s="95"/>
      <c r="U414" s="95">
        <v>0</v>
      </c>
      <c r="V414" s="95"/>
      <c r="W414" s="95">
        <v>0</v>
      </c>
      <c r="X414" s="95"/>
      <c r="Y414" s="95">
        <v>45000</v>
      </c>
      <c r="Z414" s="95"/>
      <c r="AA414" s="95">
        <v>0</v>
      </c>
      <c r="AB414" s="95"/>
      <c r="AC414" s="95">
        <v>0</v>
      </c>
      <c r="AD414" s="95"/>
      <c r="AE414" s="95">
        <f aca="true" t="shared" si="172" ref="AE414:AE415">SUM(E414:AC414)</f>
        <v>298462.8</v>
      </c>
      <c r="AF414" s="95"/>
      <c r="AG414" s="95">
        <v>-28562.26</v>
      </c>
      <c r="AH414" s="95"/>
      <c r="AI414" s="95">
        <v>182543.96</v>
      </c>
      <c r="AJ414" s="95"/>
      <c r="AK414" s="95">
        <v>153981.7</v>
      </c>
      <c r="AL414" s="39">
        <f>+'Gov Rev'!AI413-'Gov Exp'!AE414+'Gov Exp'!AI414-'Gov Exp'!AK414</f>
        <v>0</v>
      </c>
      <c r="AM414" s="15" t="str">
        <f>'Gov Rev'!A413</f>
        <v>Mount Eaton</v>
      </c>
      <c r="AN414" s="15" t="str">
        <f t="shared" si="147"/>
        <v>Mount Eaton</v>
      </c>
      <c r="AO414" s="15" t="b">
        <f t="shared" si="148"/>
        <v>1</v>
      </c>
    </row>
    <row r="415" spans="1:41" s="31" customFormat="1" ht="12.75">
      <c r="A415" s="15" t="s">
        <v>141</v>
      </c>
      <c r="B415" s="15"/>
      <c r="C415" s="15" t="s">
        <v>789</v>
      </c>
      <c r="D415" s="28"/>
      <c r="E415" s="95">
        <v>417824.07</v>
      </c>
      <c r="F415" s="95"/>
      <c r="G415" s="95">
        <v>0</v>
      </c>
      <c r="H415" s="95"/>
      <c r="I415" s="95">
        <v>6705.51</v>
      </c>
      <c r="J415" s="95"/>
      <c r="K415" s="95">
        <v>8957.72</v>
      </c>
      <c r="L415" s="95"/>
      <c r="M415" s="95">
        <v>334.97</v>
      </c>
      <c r="N415" s="95"/>
      <c r="O415" s="95">
        <v>84609.89</v>
      </c>
      <c r="P415" s="95"/>
      <c r="Q415" s="95">
        <v>224063</v>
      </c>
      <c r="R415" s="95"/>
      <c r="S415" s="95">
        <v>17959.15</v>
      </c>
      <c r="T415" s="95"/>
      <c r="U415" s="95">
        <v>0</v>
      </c>
      <c r="V415" s="95"/>
      <c r="W415" s="95">
        <v>0</v>
      </c>
      <c r="X415" s="95"/>
      <c r="Y415" s="95">
        <v>0</v>
      </c>
      <c r="Z415" s="95"/>
      <c r="AA415" s="95">
        <v>0</v>
      </c>
      <c r="AB415" s="95"/>
      <c r="AC415" s="95">
        <v>0</v>
      </c>
      <c r="AD415" s="95"/>
      <c r="AE415" s="95">
        <f t="shared" si="172"/>
        <v>760454.3099999999</v>
      </c>
      <c r="AF415" s="95"/>
      <c r="AG415" s="95">
        <v>97657.87</v>
      </c>
      <c r="AH415" s="95"/>
      <c r="AI415" s="95">
        <v>106923.46</v>
      </c>
      <c r="AJ415" s="95"/>
      <c r="AK415" s="95">
        <v>204581.33</v>
      </c>
      <c r="AL415" s="39">
        <f>+'Gov Rev'!AI414-'Gov Exp'!AE415+'Gov Exp'!AI415-'Gov Exp'!AK415</f>
        <v>0</v>
      </c>
      <c r="AM415" s="15" t="str">
        <f>'Gov Rev'!A414</f>
        <v>Mount Sterling</v>
      </c>
      <c r="AN415" s="15" t="str">
        <f t="shared" si="147"/>
        <v>Mount Sterling</v>
      </c>
      <c r="AO415" s="15" t="b">
        <f t="shared" si="148"/>
        <v>1</v>
      </c>
    </row>
    <row r="416" spans="1:41" s="31" customFormat="1" ht="12.75" hidden="1">
      <c r="A416" s="15" t="s">
        <v>99</v>
      </c>
      <c r="B416" s="15"/>
      <c r="C416" s="15" t="s">
        <v>775</v>
      </c>
      <c r="D416" s="28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24"/>
      <c r="Y416" s="24"/>
      <c r="Z416" s="24"/>
      <c r="AA416" s="24"/>
      <c r="AB416" s="24"/>
      <c r="AC416" s="24"/>
      <c r="AD416" s="24"/>
      <c r="AE416" s="24">
        <f t="shared" si="166"/>
        <v>0</v>
      </c>
      <c r="AF416" s="24"/>
      <c r="AG416" s="10"/>
      <c r="AH416" s="10"/>
      <c r="AI416" s="10"/>
      <c r="AJ416" s="10"/>
      <c r="AK416" s="10"/>
      <c r="AL416" s="39">
        <f>+'Gov Rev'!AI415-'Gov Exp'!AE416+'Gov Exp'!AI416-'Gov Exp'!AK416</f>
        <v>0</v>
      </c>
      <c r="AM416" s="15" t="str">
        <f>'Gov Rev'!A415</f>
        <v>Mount Victory</v>
      </c>
      <c r="AN416" s="15" t="str">
        <f t="shared" si="147"/>
        <v>Mount Victory</v>
      </c>
      <c r="AO416" s="15" t="b">
        <f t="shared" si="148"/>
        <v>1</v>
      </c>
    </row>
    <row r="417" spans="1:41" s="31" customFormat="1" ht="12.75">
      <c r="A417" s="15" t="s">
        <v>410</v>
      </c>
      <c r="B417" s="15"/>
      <c r="C417" s="15" t="s">
        <v>409</v>
      </c>
      <c r="D417" s="15"/>
      <c r="E417" s="95">
        <v>28864.23</v>
      </c>
      <c r="F417" s="95"/>
      <c r="G417" s="95">
        <v>0</v>
      </c>
      <c r="H417" s="95"/>
      <c r="I417" s="95">
        <v>420.11</v>
      </c>
      <c r="J417" s="95"/>
      <c r="K417" s="95">
        <v>0</v>
      </c>
      <c r="L417" s="95"/>
      <c r="M417" s="95">
        <v>16404.01</v>
      </c>
      <c r="N417" s="95"/>
      <c r="O417" s="95">
        <v>28101.47</v>
      </c>
      <c r="P417" s="95"/>
      <c r="Q417" s="95">
        <v>36554.38</v>
      </c>
      <c r="R417" s="95"/>
      <c r="S417" s="95">
        <v>0</v>
      </c>
      <c r="T417" s="95"/>
      <c r="U417" s="95">
        <v>17564.31</v>
      </c>
      <c r="V417" s="95"/>
      <c r="W417" s="95">
        <v>27290.27</v>
      </c>
      <c r="X417" s="95"/>
      <c r="Y417" s="95">
        <v>0</v>
      </c>
      <c r="Z417" s="95"/>
      <c r="AA417" s="95">
        <v>0</v>
      </c>
      <c r="AB417" s="95"/>
      <c r="AC417" s="95">
        <v>0</v>
      </c>
      <c r="AD417" s="95"/>
      <c r="AE417" s="95">
        <f aca="true" t="shared" si="173" ref="AE417">SUM(E417:AC417)</f>
        <v>155198.78</v>
      </c>
      <c r="AF417" s="95"/>
      <c r="AG417" s="95">
        <v>-30116.74</v>
      </c>
      <c r="AH417" s="95"/>
      <c r="AI417" s="95">
        <v>221467.94</v>
      </c>
      <c r="AJ417" s="95"/>
      <c r="AK417" s="95">
        <v>191351.2</v>
      </c>
      <c r="AL417" s="39">
        <f>+'Gov Rev'!AI416-'Gov Exp'!AE417+'Gov Exp'!AI417-'Gov Exp'!AK417</f>
        <v>0</v>
      </c>
      <c r="AM417" s="15" t="str">
        <f>'Gov Rev'!A416</f>
        <v>Mowrystown</v>
      </c>
      <c r="AN417" s="15" t="str">
        <f aca="true" t="shared" si="174" ref="AN417:AN483">A417</f>
        <v>Mowrystown</v>
      </c>
      <c r="AO417" s="15" t="b">
        <f aca="true" t="shared" si="175" ref="AO417:AO483">AM417=AN417</f>
        <v>1</v>
      </c>
    </row>
    <row r="418" spans="1:41" s="31" customFormat="1" ht="12.75">
      <c r="A418" s="15" t="s">
        <v>390</v>
      </c>
      <c r="B418" s="15"/>
      <c r="C418" s="15" t="s">
        <v>388</v>
      </c>
      <c r="D418" s="15"/>
      <c r="E418" s="36">
        <v>6500</v>
      </c>
      <c r="F418" s="36"/>
      <c r="G418" s="36">
        <v>3170</v>
      </c>
      <c r="H418" s="36"/>
      <c r="I418" s="36">
        <v>1693.14</v>
      </c>
      <c r="J418" s="36"/>
      <c r="K418" s="36">
        <v>110</v>
      </c>
      <c r="L418" s="36"/>
      <c r="M418" s="36">
        <v>379.46</v>
      </c>
      <c r="N418" s="36"/>
      <c r="O418" s="36">
        <v>26973.28</v>
      </c>
      <c r="P418" s="36"/>
      <c r="Q418" s="36">
        <v>50877.1</v>
      </c>
      <c r="R418" s="36"/>
      <c r="S418" s="36">
        <v>134.56</v>
      </c>
      <c r="T418" s="36"/>
      <c r="U418" s="36">
        <v>4369.44</v>
      </c>
      <c r="V418" s="36"/>
      <c r="W418" s="36">
        <v>175.08</v>
      </c>
      <c r="X418" s="36"/>
      <c r="Y418" s="36">
        <v>14680</v>
      </c>
      <c r="Z418" s="36"/>
      <c r="AA418" s="36">
        <v>0</v>
      </c>
      <c r="AB418" s="36"/>
      <c r="AC418" s="36">
        <v>4992.13</v>
      </c>
      <c r="AD418" s="36"/>
      <c r="AE418" s="36">
        <f aca="true" t="shared" si="176" ref="AE418">SUM(E418:AC418)</f>
        <v>114054.19</v>
      </c>
      <c r="AF418" s="36"/>
      <c r="AG418" s="36">
        <v>75.61</v>
      </c>
      <c r="AH418" s="36"/>
      <c r="AI418" s="36">
        <v>67742.29</v>
      </c>
      <c r="AJ418" s="36"/>
      <c r="AK418" s="36">
        <v>67817.9</v>
      </c>
      <c r="AL418" s="39">
        <f>+'Gov Rev'!AI417-'Gov Exp'!AE418+'Gov Exp'!AI418-'Gov Exp'!AK418</f>
        <v>0</v>
      </c>
      <c r="AM418" s="15" t="str">
        <f>'Gov Rev'!A417</f>
        <v>Mt. Blanchard</v>
      </c>
      <c r="AN418" s="15" t="str">
        <f t="shared" si="174"/>
        <v>Mt. Blanchard</v>
      </c>
      <c r="AO418" s="15" t="b">
        <f t="shared" si="175"/>
        <v>1</v>
      </c>
    </row>
    <row r="419" spans="1:41" s="31" customFormat="1" ht="12.75">
      <c r="A419" s="15" t="s">
        <v>391</v>
      </c>
      <c r="B419" s="15"/>
      <c r="C419" s="15" t="s">
        <v>388</v>
      </c>
      <c r="D419" s="15"/>
      <c r="E419" s="24">
        <v>26146.84</v>
      </c>
      <c r="F419" s="24"/>
      <c r="G419" s="24">
        <v>913.76</v>
      </c>
      <c r="H419" s="24"/>
      <c r="I419" s="24">
        <v>5454.15</v>
      </c>
      <c r="J419" s="24"/>
      <c r="K419" s="24">
        <v>0</v>
      </c>
      <c r="L419" s="24"/>
      <c r="M419" s="24">
        <v>11453.96</v>
      </c>
      <c r="N419" s="24"/>
      <c r="O419" s="24">
        <v>352.3</v>
      </c>
      <c r="P419" s="24"/>
      <c r="Q419" s="24">
        <v>31064.06</v>
      </c>
      <c r="R419" s="24"/>
      <c r="S419" s="24">
        <v>0</v>
      </c>
      <c r="T419" s="24"/>
      <c r="U419" s="24">
        <v>0</v>
      </c>
      <c r="V419" s="24"/>
      <c r="W419" s="24">
        <v>0</v>
      </c>
      <c r="X419" s="24"/>
      <c r="Y419" s="24">
        <v>0</v>
      </c>
      <c r="Z419" s="24"/>
      <c r="AA419" s="24">
        <v>0</v>
      </c>
      <c r="AB419" s="24"/>
      <c r="AC419" s="24">
        <v>0</v>
      </c>
      <c r="AD419" s="24"/>
      <c r="AE419" s="24">
        <f t="shared" si="166"/>
        <v>75385.07</v>
      </c>
      <c r="AF419" s="24"/>
      <c r="AG419" s="24">
        <f>-11977+753.53</f>
        <v>-11223.47</v>
      </c>
      <c r="AH419" s="24"/>
      <c r="AI419" s="24">
        <f>27279.9+75231.56</f>
        <v>102511.45999999999</v>
      </c>
      <c r="AJ419" s="24"/>
      <c r="AK419" s="24">
        <f>15302.9+75985.09</f>
        <v>91287.98999999999</v>
      </c>
      <c r="AL419" s="39">
        <f>+'Gov Rev'!AI418-'Gov Exp'!AE419+'Gov Exp'!AI419-'Gov Exp'!AK419</f>
        <v>-130</v>
      </c>
      <c r="AM419" s="15" t="str">
        <f>'Gov Rev'!A418</f>
        <v>Mt. Cory</v>
      </c>
      <c r="AN419" s="15" t="str">
        <f t="shared" si="174"/>
        <v>Mt. Cory</v>
      </c>
      <c r="AO419" s="15" t="b">
        <f t="shared" si="175"/>
        <v>1</v>
      </c>
    </row>
    <row r="420" spans="1:41" s="31" customFormat="1" ht="12.75">
      <c r="A420" s="15" t="s">
        <v>483</v>
      </c>
      <c r="B420" s="15"/>
      <c r="C420" s="15" t="s">
        <v>243</v>
      </c>
      <c r="D420" s="15"/>
      <c r="E420" s="24">
        <f>497444+582505</f>
        <v>1079949</v>
      </c>
      <c r="F420" s="24"/>
      <c r="G420" s="24">
        <v>3332</v>
      </c>
      <c r="H420" s="24"/>
      <c r="I420" s="24">
        <v>0</v>
      </c>
      <c r="J420" s="24"/>
      <c r="K420" s="24">
        <v>26941</v>
      </c>
      <c r="L420" s="24"/>
      <c r="M420" s="24">
        <v>53813</v>
      </c>
      <c r="N420" s="24"/>
      <c r="O420" s="24">
        <v>173405</v>
      </c>
      <c r="P420" s="24"/>
      <c r="Q420" s="24">
        <v>358493</v>
      </c>
      <c r="R420" s="24"/>
      <c r="S420" s="24">
        <f>369631+792</f>
        <v>370423</v>
      </c>
      <c r="T420" s="24"/>
      <c r="U420" s="24">
        <v>0</v>
      </c>
      <c r="V420" s="24"/>
      <c r="W420" s="24">
        <v>0</v>
      </c>
      <c r="X420" s="24"/>
      <c r="Y420" s="24">
        <f>341831+5000</f>
        <v>346831</v>
      </c>
      <c r="Z420" s="24"/>
      <c r="AA420" s="24">
        <v>0</v>
      </c>
      <c r="AB420" s="24"/>
      <c r="AC420" s="24">
        <v>0</v>
      </c>
      <c r="AD420" s="24"/>
      <c r="AE420" s="24">
        <f t="shared" si="166"/>
        <v>2413187</v>
      </c>
      <c r="AF420" s="24"/>
      <c r="AG420" s="24">
        <f>-33240+2269+13998</f>
        <v>-16973</v>
      </c>
      <c r="AH420" s="24"/>
      <c r="AI420" s="24">
        <f>2442127+332038+367+333446</f>
        <v>3107978</v>
      </c>
      <c r="AJ420" s="24"/>
      <c r="AK420" s="24">
        <f>2408886+334308+367+347444</f>
        <v>3091005</v>
      </c>
      <c r="AL420" s="39">
        <f>+'Gov Rev'!AI419-'Gov Exp'!AE420+'Gov Exp'!AI420-'Gov Exp'!AK420</f>
        <v>2710</v>
      </c>
      <c r="AM420" s="15" t="str">
        <f>'Gov Rev'!A419</f>
        <v>Mt. Giliad</v>
      </c>
      <c r="AN420" s="15" t="str">
        <f t="shared" si="174"/>
        <v>Mt. Giliad</v>
      </c>
      <c r="AO420" s="15" t="b">
        <f t="shared" si="175"/>
        <v>1</v>
      </c>
    </row>
    <row r="421" spans="1:41" ht="12.75">
      <c r="A421" s="15" t="s">
        <v>24</v>
      </c>
      <c r="C421" s="15" t="s">
        <v>751</v>
      </c>
      <c r="D421" s="28"/>
      <c r="E421" s="36">
        <v>2701627.11</v>
      </c>
      <c r="F421" s="36"/>
      <c r="G421" s="36">
        <v>6102.52</v>
      </c>
      <c r="H421" s="36"/>
      <c r="I421" s="36">
        <v>144881.89</v>
      </c>
      <c r="J421" s="36"/>
      <c r="K421" s="36">
        <v>56971.88</v>
      </c>
      <c r="L421" s="36"/>
      <c r="M421" s="36">
        <v>91045.35</v>
      </c>
      <c r="N421" s="36"/>
      <c r="O421" s="36">
        <v>1122231</v>
      </c>
      <c r="P421" s="36"/>
      <c r="Q421" s="36">
        <v>326080.67</v>
      </c>
      <c r="R421" s="36"/>
      <c r="S421" s="36">
        <v>2248.34</v>
      </c>
      <c r="T421" s="36"/>
      <c r="U421" s="36">
        <v>2392992.07</v>
      </c>
      <c r="V421" s="36"/>
      <c r="W421" s="36">
        <v>295414.48</v>
      </c>
      <c r="X421" s="36"/>
      <c r="Y421" s="36">
        <v>351023.21</v>
      </c>
      <c r="Z421" s="36"/>
      <c r="AA421" s="36">
        <v>10000</v>
      </c>
      <c r="AB421" s="36"/>
      <c r="AC421" s="36">
        <v>13921.35</v>
      </c>
      <c r="AD421" s="36"/>
      <c r="AE421" s="36">
        <f aca="true" t="shared" si="177" ref="AE421">SUM(E421:AC421)</f>
        <v>7514539.87</v>
      </c>
      <c r="AF421" s="36"/>
      <c r="AG421" s="36">
        <v>-763943.18</v>
      </c>
      <c r="AH421" s="36"/>
      <c r="AI421" s="36">
        <v>2820134.94</v>
      </c>
      <c r="AJ421" s="36"/>
      <c r="AK421" s="36">
        <v>2056191.76</v>
      </c>
      <c r="AL421" s="39">
        <f>+'Gov Rev'!AI420-'Gov Exp'!AE421+'Gov Exp'!AI421-'Gov Exp'!AK421</f>
        <v>0</v>
      </c>
      <c r="AM421" s="15" t="str">
        <f>'Gov Rev'!A420</f>
        <v>Mt. Orab</v>
      </c>
      <c r="AN421" s="15" t="str">
        <f t="shared" si="174"/>
        <v>Mt. Orab</v>
      </c>
      <c r="AO421" s="15" t="b">
        <f t="shared" si="175"/>
        <v>1</v>
      </c>
    </row>
    <row r="422" spans="1:41" ht="12.75" hidden="1">
      <c r="A422" s="15" t="s">
        <v>112</v>
      </c>
      <c r="C422" s="15" t="s">
        <v>779</v>
      </c>
      <c r="D422" s="28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AE422" s="24">
        <f t="shared" si="166"/>
        <v>0</v>
      </c>
      <c r="AF422" s="24"/>
      <c r="AG422" s="10"/>
      <c r="AH422" s="10"/>
      <c r="AI422" s="10"/>
      <c r="AJ422" s="10"/>
      <c r="AK422" s="10"/>
      <c r="AL422" s="39">
        <f>+'Gov Rev'!AI421-'Gov Exp'!AE422+'Gov Exp'!AI422-'Gov Exp'!AK422</f>
        <v>0</v>
      </c>
      <c r="AM422" s="15" t="str">
        <f>'Gov Rev'!A421</f>
        <v>Murray City</v>
      </c>
      <c r="AN422" s="15" t="str">
        <f t="shared" si="174"/>
        <v>Murray City</v>
      </c>
      <c r="AO422" s="15" t="b">
        <f t="shared" si="175"/>
        <v>1</v>
      </c>
    </row>
    <row r="423" spans="1:41" ht="12.6" customHeight="1">
      <c r="A423" s="15" t="s">
        <v>288</v>
      </c>
      <c r="C423" s="15" t="s">
        <v>287</v>
      </c>
      <c r="E423" s="36">
        <v>3282.17</v>
      </c>
      <c r="F423" s="36"/>
      <c r="G423" s="36">
        <v>0</v>
      </c>
      <c r="H423" s="36"/>
      <c r="I423" s="36">
        <v>0</v>
      </c>
      <c r="J423" s="36"/>
      <c r="K423" s="36">
        <v>0</v>
      </c>
      <c r="L423" s="36"/>
      <c r="M423" s="36">
        <v>0</v>
      </c>
      <c r="N423" s="36"/>
      <c r="O423" s="36">
        <v>550</v>
      </c>
      <c r="P423" s="36"/>
      <c r="Q423" s="36">
        <v>5974.34</v>
      </c>
      <c r="R423" s="36"/>
      <c r="S423" s="36">
        <v>0</v>
      </c>
      <c r="T423" s="36"/>
      <c r="U423" s="36">
        <v>0</v>
      </c>
      <c r="V423" s="36"/>
      <c r="W423" s="36">
        <v>0</v>
      </c>
      <c r="X423" s="36"/>
      <c r="Y423" s="36">
        <v>0</v>
      </c>
      <c r="Z423" s="36"/>
      <c r="AA423" s="36">
        <v>0</v>
      </c>
      <c r="AB423" s="36"/>
      <c r="AC423" s="36">
        <v>0</v>
      </c>
      <c r="AD423" s="36"/>
      <c r="AE423" s="36">
        <f aca="true" t="shared" si="178" ref="AE423:AE424">SUM(E423:AC423)</f>
        <v>9806.51</v>
      </c>
      <c r="AF423" s="36"/>
      <c r="AG423" s="36">
        <v>3647.24</v>
      </c>
      <c r="AH423" s="36"/>
      <c r="AI423" s="36">
        <v>53650.6</v>
      </c>
      <c r="AJ423" s="36"/>
      <c r="AK423" s="36">
        <v>57297.84</v>
      </c>
      <c r="AL423" s="39">
        <f>+'Gov Rev'!AI422-'Gov Exp'!AE423+'Gov Exp'!AI423-'Gov Exp'!AK423</f>
        <v>0</v>
      </c>
      <c r="AM423" s="15" t="str">
        <f>'Gov Rev'!A422</f>
        <v>Mutual</v>
      </c>
      <c r="AN423" s="15" t="str">
        <f t="shared" si="174"/>
        <v>Mutual</v>
      </c>
      <c r="AO423" s="15" t="b">
        <f t="shared" si="175"/>
        <v>1</v>
      </c>
    </row>
    <row r="424" spans="1:41" ht="12.6" customHeight="1">
      <c r="A424" s="15" t="s">
        <v>951</v>
      </c>
      <c r="C424" s="15" t="s">
        <v>412</v>
      </c>
      <c r="E424" s="36">
        <v>15671.46</v>
      </c>
      <c r="F424" s="36"/>
      <c r="G424" s="36">
        <v>753.48</v>
      </c>
      <c r="H424" s="36"/>
      <c r="I424" s="36">
        <v>0</v>
      </c>
      <c r="J424" s="36"/>
      <c r="K424" s="36">
        <v>0</v>
      </c>
      <c r="L424" s="36"/>
      <c r="M424" s="36">
        <v>0</v>
      </c>
      <c r="N424" s="36"/>
      <c r="O424" s="36">
        <v>11997.09</v>
      </c>
      <c r="P424" s="36"/>
      <c r="Q424" s="36">
        <v>31508.77</v>
      </c>
      <c r="R424" s="36"/>
      <c r="S424" s="36">
        <v>3765</v>
      </c>
      <c r="T424" s="36"/>
      <c r="U424" s="36">
        <v>10212.51</v>
      </c>
      <c r="V424" s="36"/>
      <c r="W424" s="36">
        <v>1197.69</v>
      </c>
      <c r="X424" s="36"/>
      <c r="Y424" s="36">
        <v>0</v>
      </c>
      <c r="Z424" s="36"/>
      <c r="AA424" s="36">
        <v>28000</v>
      </c>
      <c r="AB424" s="36"/>
      <c r="AC424" s="36">
        <v>0</v>
      </c>
      <c r="AD424" s="36"/>
      <c r="AE424" s="36">
        <f t="shared" si="178"/>
        <v>103106</v>
      </c>
      <c r="AF424" s="36"/>
      <c r="AG424" s="36">
        <v>-6102.8</v>
      </c>
      <c r="AH424" s="36"/>
      <c r="AI424" s="36">
        <v>46865.78</v>
      </c>
      <c r="AJ424" s="36"/>
      <c r="AK424" s="36">
        <v>40762.98</v>
      </c>
      <c r="AL424" s="39">
        <f>+'Gov Rev'!AI423-'Gov Exp'!AE424+'Gov Exp'!AI424-'Gov Exp'!AK424</f>
        <v>0</v>
      </c>
      <c r="AM424" s="15" t="str">
        <f>'Gov Rev'!A423</f>
        <v>Nashville</v>
      </c>
      <c r="AN424" s="15" t="str">
        <f t="shared" si="174"/>
        <v>Nashville</v>
      </c>
      <c r="AO424" s="15" t="b">
        <f t="shared" si="175"/>
        <v>1</v>
      </c>
    </row>
    <row r="425" spans="1:41" s="31" customFormat="1" ht="12.75">
      <c r="A425" s="15" t="s">
        <v>548</v>
      </c>
      <c r="B425" s="15"/>
      <c r="C425" s="15" t="s">
        <v>542</v>
      </c>
      <c r="D425" s="15"/>
      <c r="E425" s="24">
        <v>455686</v>
      </c>
      <c r="F425" s="24"/>
      <c r="G425" s="24">
        <v>56338</v>
      </c>
      <c r="H425" s="24"/>
      <c r="I425" s="24">
        <v>25358</v>
      </c>
      <c r="J425" s="24"/>
      <c r="K425" s="24">
        <v>4403</v>
      </c>
      <c r="L425" s="24"/>
      <c r="M425" s="24">
        <v>2222</v>
      </c>
      <c r="N425" s="24"/>
      <c r="O425" s="24">
        <v>256795</v>
      </c>
      <c r="P425" s="24"/>
      <c r="Q425" s="24">
        <v>210937</v>
      </c>
      <c r="R425" s="24"/>
      <c r="S425" s="24">
        <v>281728</v>
      </c>
      <c r="T425" s="24"/>
      <c r="U425" s="24">
        <v>0</v>
      </c>
      <c r="V425" s="24"/>
      <c r="W425" s="24">
        <v>0</v>
      </c>
      <c r="X425" s="24"/>
      <c r="Y425" s="24">
        <v>800000</v>
      </c>
      <c r="Z425" s="24"/>
      <c r="AA425" s="24">
        <v>0</v>
      </c>
      <c r="AB425" s="24"/>
      <c r="AC425" s="24">
        <v>15634</v>
      </c>
      <c r="AD425" s="24"/>
      <c r="AE425" s="24">
        <f t="shared" si="166"/>
        <v>2109101</v>
      </c>
      <c r="AF425" s="24"/>
      <c r="AG425" s="24">
        <v>5428</v>
      </c>
      <c r="AH425" s="24"/>
      <c r="AI425" s="24">
        <v>1227886</v>
      </c>
      <c r="AJ425" s="24"/>
      <c r="AK425" s="24">
        <v>1233314</v>
      </c>
      <c r="AL425" s="39">
        <f>+'Gov Rev'!AI424-'Gov Exp'!AE425+'Gov Exp'!AI425-'Gov Exp'!AK425</f>
        <v>-725</v>
      </c>
      <c r="AM425" s="15" t="str">
        <f>'Gov Rev'!A424</f>
        <v>Navarre</v>
      </c>
      <c r="AN425" s="15" t="str">
        <f t="shared" si="174"/>
        <v>Navarre</v>
      </c>
      <c r="AO425" s="15" t="b">
        <f t="shared" si="175"/>
        <v>1</v>
      </c>
    </row>
    <row r="426" spans="1:41" s="31" customFormat="1" ht="12.6" customHeight="1">
      <c r="A426" s="15" t="s">
        <v>309</v>
      </c>
      <c r="B426" s="15"/>
      <c r="C426" s="15" t="s">
        <v>308</v>
      </c>
      <c r="D426" s="15"/>
      <c r="E426" s="24">
        <v>550</v>
      </c>
      <c r="F426" s="24"/>
      <c r="G426" s="24">
        <v>300</v>
      </c>
      <c r="H426" s="24"/>
      <c r="I426" s="24">
        <v>0</v>
      </c>
      <c r="J426" s="24"/>
      <c r="K426" s="24">
        <v>62</v>
      </c>
      <c r="L426" s="24"/>
      <c r="M426" s="24">
        <v>10182</v>
      </c>
      <c r="N426" s="24"/>
      <c r="O426" s="24">
        <v>0</v>
      </c>
      <c r="P426" s="24"/>
      <c r="Q426" s="24">
        <v>9257</v>
      </c>
      <c r="R426" s="24"/>
      <c r="S426" s="24">
        <v>0</v>
      </c>
      <c r="T426" s="24"/>
      <c r="U426" s="24">
        <v>0</v>
      </c>
      <c r="V426" s="24"/>
      <c r="W426" s="24">
        <v>0</v>
      </c>
      <c r="X426" s="24"/>
      <c r="Y426" s="24">
        <v>0</v>
      </c>
      <c r="Z426" s="24"/>
      <c r="AA426" s="24">
        <v>0</v>
      </c>
      <c r="AB426" s="24"/>
      <c r="AC426" s="24">
        <v>0</v>
      </c>
      <c r="AD426" s="24"/>
      <c r="AE426" s="24">
        <f t="shared" si="166"/>
        <v>20351</v>
      </c>
      <c r="AF426" s="24"/>
      <c r="AG426" s="24"/>
      <c r="AH426" s="24"/>
      <c r="AI426" s="24">
        <v>24632</v>
      </c>
      <c r="AJ426" s="24"/>
      <c r="AK426" s="24">
        <v>24632</v>
      </c>
      <c r="AL426" s="39">
        <f>+'Gov Rev'!AI425-'Gov Exp'!AE426+'Gov Exp'!AI426-'Gov Exp'!AK426</f>
        <v>1923</v>
      </c>
      <c r="AM426" s="15" t="str">
        <f>'Gov Rev'!A425</f>
        <v>Nellie</v>
      </c>
      <c r="AN426" s="15" t="str">
        <f t="shared" si="174"/>
        <v>Nellie</v>
      </c>
      <c r="AO426" s="15" t="b">
        <f t="shared" si="175"/>
        <v>1</v>
      </c>
    </row>
    <row r="427" spans="1:41" ht="12.75">
      <c r="A427" s="15" t="s">
        <v>612</v>
      </c>
      <c r="C427" s="15" t="s">
        <v>611</v>
      </c>
      <c r="E427" s="24">
        <v>7901.48</v>
      </c>
      <c r="G427" s="24">
        <v>3404.48</v>
      </c>
      <c r="I427" s="24">
        <v>1499.28</v>
      </c>
      <c r="K427" s="24">
        <v>289.93</v>
      </c>
      <c r="M427" s="24">
        <v>0</v>
      </c>
      <c r="O427" s="24">
        <v>16074.92</v>
      </c>
      <c r="Q427" s="24">
        <v>49623.49</v>
      </c>
      <c r="S427" s="24">
        <v>14950</v>
      </c>
      <c r="U427" s="24">
        <v>83988.64</v>
      </c>
      <c r="W427" s="24">
        <v>0</v>
      </c>
      <c r="Y427" s="24">
        <v>85320</v>
      </c>
      <c r="AA427" s="24">
        <v>0</v>
      </c>
      <c r="AC427" s="24">
        <f>799.6+157507</f>
        <v>158306.6</v>
      </c>
      <c r="AE427" s="24">
        <f t="shared" si="166"/>
        <v>421358.81999999995</v>
      </c>
      <c r="AF427" s="24"/>
      <c r="AG427" s="24">
        <v>-20965.24</v>
      </c>
      <c r="AH427" s="24"/>
      <c r="AI427" s="24">
        <v>359202.61</v>
      </c>
      <c r="AJ427" s="24"/>
      <c r="AK427" s="24">
        <v>338237.37</v>
      </c>
      <c r="AL427" s="39">
        <f>+'Gov Rev'!AI426-'Gov Exp'!AE427+'Gov Exp'!AI427-'Gov Exp'!AK427</f>
        <v>0.3399999999674037</v>
      </c>
      <c r="AM427" s="15" t="str">
        <f>'Gov Rev'!A426</f>
        <v>Nevada</v>
      </c>
      <c r="AN427" s="15" t="str">
        <f t="shared" si="174"/>
        <v>Nevada</v>
      </c>
      <c r="AO427" s="15" t="b">
        <f t="shared" si="175"/>
        <v>1</v>
      </c>
    </row>
    <row r="428" spans="1:41" ht="12.75">
      <c r="A428" s="15" t="s">
        <v>37</v>
      </c>
      <c r="C428" s="15" t="s">
        <v>756</v>
      </c>
      <c r="D428" s="28"/>
      <c r="E428" s="36">
        <v>2633.96</v>
      </c>
      <c r="F428" s="36"/>
      <c r="G428" s="36">
        <v>0</v>
      </c>
      <c r="H428" s="36"/>
      <c r="I428" s="36">
        <v>2194.61</v>
      </c>
      <c r="J428" s="36"/>
      <c r="K428" s="36">
        <v>0</v>
      </c>
      <c r="L428" s="36"/>
      <c r="M428" s="36">
        <v>4980</v>
      </c>
      <c r="N428" s="36"/>
      <c r="O428" s="36">
        <v>7882.6</v>
      </c>
      <c r="P428" s="36"/>
      <c r="Q428" s="36">
        <v>22831.6</v>
      </c>
      <c r="R428" s="36"/>
      <c r="S428" s="36">
        <v>0</v>
      </c>
      <c r="T428" s="36"/>
      <c r="U428" s="36">
        <v>0</v>
      </c>
      <c r="V428" s="36"/>
      <c r="W428" s="36">
        <v>0</v>
      </c>
      <c r="X428" s="36"/>
      <c r="Y428" s="36">
        <v>0</v>
      </c>
      <c r="Z428" s="36"/>
      <c r="AA428" s="36">
        <v>0</v>
      </c>
      <c r="AB428" s="36"/>
      <c r="AC428" s="36">
        <v>0</v>
      </c>
      <c r="AD428" s="36"/>
      <c r="AE428" s="36">
        <f aca="true" t="shared" si="179" ref="AE428">SUM(E428:AC428)</f>
        <v>40522.77</v>
      </c>
      <c r="AF428" s="36"/>
      <c r="AG428" s="36">
        <v>-6302.79</v>
      </c>
      <c r="AH428" s="36"/>
      <c r="AI428" s="36">
        <v>62234.01</v>
      </c>
      <c r="AJ428" s="36"/>
      <c r="AK428" s="36">
        <v>55931.22</v>
      </c>
      <c r="AL428" s="39">
        <f>+'Gov Rev'!AI427-'Gov Exp'!AE428+'Gov Exp'!AI428-'Gov Exp'!AK428</f>
        <v>0</v>
      </c>
      <c r="AM428" s="15" t="str">
        <f>'Gov Rev'!A427</f>
        <v>Neville</v>
      </c>
      <c r="AN428" s="15" t="str">
        <f t="shared" si="174"/>
        <v>Neville</v>
      </c>
      <c r="AO428" s="15" t="b">
        <f t="shared" si="175"/>
        <v>1</v>
      </c>
    </row>
    <row r="429" spans="1:41" s="31" customFormat="1" ht="12.6" customHeight="1" hidden="1">
      <c r="A429" s="15" t="s">
        <v>355</v>
      </c>
      <c r="B429" s="15"/>
      <c r="C429" s="15" t="s">
        <v>353</v>
      </c>
      <c r="D429" s="15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>
        <f t="shared" si="166"/>
        <v>0</v>
      </c>
      <c r="AF429" s="24"/>
      <c r="AG429" s="24"/>
      <c r="AH429" s="24"/>
      <c r="AI429" s="24"/>
      <c r="AJ429" s="24"/>
      <c r="AK429" s="24"/>
      <c r="AL429" s="39">
        <f>+'Gov Rev'!AI428-'Gov Exp'!AE429+'Gov Exp'!AI429-'Gov Exp'!AK429</f>
        <v>0</v>
      </c>
      <c r="AM429" s="15" t="str">
        <f>'Gov Rev'!A428</f>
        <v>New Albany</v>
      </c>
      <c r="AN429" s="15" t="str">
        <f t="shared" si="174"/>
        <v>New Albany</v>
      </c>
      <c r="AO429" s="15" t="b">
        <f t="shared" si="175"/>
        <v>1</v>
      </c>
    </row>
    <row r="430" spans="1:41" ht="12.75">
      <c r="A430" s="15" t="s">
        <v>103</v>
      </c>
      <c r="C430" s="15" t="s">
        <v>776</v>
      </c>
      <c r="D430" s="28"/>
      <c r="E430" s="36">
        <v>23175.35</v>
      </c>
      <c r="F430" s="36"/>
      <c r="G430" s="36">
        <v>4336.7</v>
      </c>
      <c r="H430" s="36"/>
      <c r="I430" s="36">
        <v>0</v>
      </c>
      <c r="J430" s="36"/>
      <c r="K430" s="36">
        <v>0</v>
      </c>
      <c r="L430" s="36"/>
      <c r="M430" s="36">
        <v>0</v>
      </c>
      <c r="N430" s="36"/>
      <c r="O430" s="36">
        <v>23289.17</v>
      </c>
      <c r="P430" s="36"/>
      <c r="Q430" s="36">
        <v>33995.13</v>
      </c>
      <c r="R430" s="36"/>
      <c r="S430" s="36">
        <v>0</v>
      </c>
      <c r="T430" s="36"/>
      <c r="U430" s="36">
        <v>0</v>
      </c>
      <c r="V430" s="36"/>
      <c r="W430" s="36">
        <v>0</v>
      </c>
      <c r="X430" s="36"/>
      <c r="Y430" s="36">
        <v>0</v>
      </c>
      <c r="Z430" s="36"/>
      <c r="AA430" s="36">
        <v>0</v>
      </c>
      <c r="AB430" s="36"/>
      <c r="AC430" s="36">
        <v>0</v>
      </c>
      <c r="AD430" s="36"/>
      <c r="AE430" s="36">
        <f aca="true" t="shared" si="180" ref="AE430">SUM(E430:AC430)</f>
        <v>84796.35</v>
      </c>
      <c r="AF430" s="36"/>
      <c r="AG430" s="36">
        <v>-3344.62</v>
      </c>
      <c r="AH430" s="36"/>
      <c r="AI430" s="36">
        <v>44163.75</v>
      </c>
      <c r="AJ430" s="36"/>
      <c r="AK430" s="36">
        <v>40819.13</v>
      </c>
      <c r="AL430" s="39">
        <f>+'Gov Rev'!AI429-'Gov Exp'!AE430+'Gov Exp'!AI430-'Gov Exp'!AK430</f>
        <v>0</v>
      </c>
      <c r="AM430" s="15" t="str">
        <f>'Gov Rev'!A429</f>
        <v>New Athens</v>
      </c>
      <c r="AN430" s="15" t="str">
        <f t="shared" si="174"/>
        <v>New Athens</v>
      </c>
      <c r="AO430" s="15" t="b">
        <f t="shared" si="175"/>
        <v>1</v>
      </c>
    </row>
    <row r="431" spans="1:41" ht="12.75">
      <c r="A431" s="15" t="s">
        <v>109</v>
      </c>
      <c r="C431" s="15" t="s">
        <v>777</v>
      </c>
      <c r="D431" s="28"/>
      <c r="E431" s="95">
        <v>0</v>
      </c>
      <c r="F431" s="95"/>
      <c r="G431" s="95">
        <v>0</v>
      </c>
      <c r="H431" s="95"/>
      <c r="I431" s="95">
        <v>0</v>
      </c>
      <c r="J431" s="95"/>
      <c r="K431" s="95">
        <v>0</v>
      </c>
      <c r="L431" s="95"/>
      <c r="M431" s="95">
        <v>4629.87</v>
      </c>
      <c r="N431" s="95"/>
      <c r="O431" s="95">
        <v>340.67</v>
      </c>
      <c r="P431" s="95"/>
      <c r="Q431" s="95">
        <v>8383.77</v>
      </c>
      <c r="R431" s="95"/>
      <c r="S431" s="95">
        <v>0</v>
      </c>
      <c r="T431" s="95"/>
      <c r="U431" s="95">
        <v>0</v>
      </c>
      <c r="V431" s="95"/>
      <c r="W431" s="95">
        <v>0</v>
      </c>
      <c r="X431" s="95"/>
      <c r="Y431" s="95">
        <v>0</v>
      </c>
      <c r="Z431" s="95"/>
      <c r="AA431" s="95">
        <v>0</v>
      </c>
      <c r="AB431" s="95"/>
      <c r="AC431" s="95">
        <v>0</v>
      </c>
      <c r="AD431" s="95"/>
      <c r="AE431" s="95">
        <f aca="true" t="shared" si="181" ref="AE431">SUM(E431:AC431)</f>
        <v>13354.310000000001</v>
      </c>
      <c r="AF431" s="95"/>
      <c r="AG431" s="95">
        <v>1914.99</v>
      </c>
      <c r="AH431" s="95"/>
      <c r="AI431" s="95">
        <v>3028.56</v>
      </c>
      <c r="AJ431" s="95"/>
      <c r="AK431" s="95">
        <v>4943.55</v>
      </c>
      <c r="AL431" s="39">
        <f>+'Gov Rev'!AI430-'Gov Exp'!AE431+'Gov Exp'!AI431-'Gov Exp'!AK431</f>
        <v>0</v>
      </c>
      <c r="AM431" s="15" t="str">
        <f>'Gov Rev'!A430</f>
        <v>New Bavaria</v>
      </c>
      <c r="AN431" s="15" t="str">
        <f t="shared" si="174"/>
        <v>New Bavaria</v>
      </c>
      <c r="AO431" s="15" t="b">
        <f t="shared" si="175"/>
        <v>1</v>
      </c>
    </row>
    <row r="432" spans="1:41" ht="12.75">
      <c r="A432" s="15" t="s">
        <v>149</v>
      </c>
      <c r="C432" s="15" t="s">
        <v>463</v>
      </c>
      <c r="E432" s="36">
        <v>12320.54</v>
      </c>
      <c r="F432" s="36"/>
      <c r="G432" s="36">
        <v>0</v>
      </c>
      <c r="H432" s="36"/>
      <c r="I432" s="36">
        <v>0</v>
      </c>
      <c r="J432" s="36"/>
      <c r="K432" s="36">
        <v>0</v>
      </c>
      <c r="L432" s="36"/>
      <c r="M432" s="36">
        <v>0</v>
      </c>
      <c r="N432" s="36"/>
      <c r="O432" s="36">
        <v>16506.3</v>
      </c>
      <c r="P432" s="36"/>
      <c r="Q432" s="36">
        <v>28539.34</v>
      </c>
      <c r="R432" s="36"/>
      <c r="S432" s="36">
        <v>0</v>
      </c>
      <c r="T432" s="36"/>
      <c r="U432" s="36">
        <v>0</v>
      </c>
      <c r="V432" s="36"/>
      <c r="W432" s="36">
        <v>0</v>
      </c>
      <c r="X432" s="36"/>
      <c r="Y432" s="36">
        <v>51044.43</v>
      </c>
      <c r="Z432" s="36"/>
      <c r="AA432" s="36">
        <v>0</v>
      </c>
      <c r="AB432" s="36"/>
      <c r="AC432" s="36">
        <v>2705</v>
      </c>
      <c r="AD432" s="36"/>
      <c r="AE432" s="36">
        <f aca="true" t="shared" si="182" ref="AE432:AE433">SUM(E432:AC432)</f>
        <v>111115.61</v>
      </c>
      <c r="AF432" s="36"/>
      <c r="AG432" s="36">
        <v>-38969.65</v>
      </c>
      <c r="AH432" s="36"/>
      <c r="AI432" s="36">
        <v>150469</v>
      </c>
      <c r="AJ432" s="36"/>
      <c r="AK432" s="36">
        <v>111499.35</v>
      </c>
      <c r="AL432" s="39">
        <f>+'Gov Rev'!AI431-'Gov Exp'!AE432+'Gov Exp'!AI432-'Gov Exp'!AK432</f>
        <v>0</v>
      </c>
      <c r="AM432" s="15" t="str">
        <f>'Gov Rev'!A431</f>
        <v>New Bloomington</v>
      </c>
      <c r="AN432" s="15" t="str">
        <f t="shared" si="174"/>
        <v>New Bloomington</v>
      </c>
      <c r="AO432" s="15" t="b">
        <f t="shared" si="175"/>
        <v>1</v>
      </c>
    </row>
    <row r="433" spans="1:41" s="31" customFormat="1" ht="12.75">
      <c r="A433" s="15" t="s">
        <v>530</v>
      </c>
      <c r="B433" s="15"/>
      <c r="C433" s="15" t="s">
        <v>531</v>
      </c>
      <c r="D433" s="15"/>
      <c r="E433" s="36">
        <v>776736.12</v>
      </c>
      <c r="F433" s="36"/>
      <c r="G433" s="36">
        <v>20119.28</v>
      </c>
      <c r="H433" s="36"/>
      <c r="I433" s="36">
        <v>19808.56</v>
      </c>
      <c r="J433" s="36"/>
      <c r="K433" s="36">
        <v>35784.92</v>
      </c>
      <c r="L433" s="36"/>
      <c r="M433" s="36">
        <v>276861.08</v>
      </c>
      <c r="N433" s="36"/>
      <c r="O433" s="36">
        <v>138383.58</v>
      </c>
      <c r="P433" s="36"/>
      <c r="Q433" s="36">
        <v>987832.25</v>
      </c>
      <c r="R433" s="36"/>
      <c r="S433" s="36">
        <v>120480.91</v>
      </c>
      <c r="T433" s="36"/>
      <c r="U433" s="36">
        <v>140259.17</v>
      </c>
      <c r="V433" s="36"/>
      <c r="W433" s="36">
        <v>22471.27</v>
      </c>
      <c r="X433" s="36"/>
      <c r="Y433" s="36">
        <v>161081.15</v>
      </c>
      <c r="Z433" s="36"/>
      <c r="AA433" s="36">
        <v>0</v>
      </c>
      <c r="AB433" s="36"/>
      <c r="AC433" s="36">
        <v>0</v>
      </c>
      <c r="AD433" s="36"/>
      <c r="AE433" s="36">
        <f t="shared" si="182"/>
        <v>2699818.29</v>
      </c>
      <c r="AF433" s="36"/>
      <c r="AG433" s="36">
        <v>299324.82</v>
      </c>
      <c r="AH433" s="36"/>
      <c r="AI433" s="36">
        <v>726020.81</v>
      </c>
      <c r="AJ433" s="36"/>
      <c r="AK433" s="36">
        <v>1025345.63</v>
      </c>
      <c r="AL433" s="39">
        <f>+'Gov Rev'!AI432-'Gov Exp'!AE433+'Gov Exp'!AI433-'Gov Exp'!AK433</f>
        <v>0</v>
      </c>
      <c r="AM433" s="15" t="str">
        <f>'Gov Rev'!A432</f>
        <v>New Boston</v>
      </c>
      <c r="AN433" s="15" t="str">
        <f t="shared" si="174"/>
        <v>New Boston</v>
      </c>
      <c r="AO433" s="15" t="b">
        <f t="shared" si="175"/>
        <v>1</v>
      </c>
    </row>
    <row r="434" spans="1:41" ht="12.6" customHeight="1">
      <c r="A434" s="15" t="s">
        <v>277</v>
      </c>
      <c r="C434" s="15" t="s">
        <v>275</v>
      </c>
      <c r="E434" s="24">
        <v>806655</v>
      </c>
      <c r="G434" s="24">
        <v>295</v>
      </c>
      <c r="I434" s="24">
        <v>190165</v>
      </c>
      <c r="K434" s="24">
        <v>0</v>
      </c>
      <c r="M434" s="24">
        <v>0</v>
      </c>
      <c r="O434" s="24">
        <v>583058</v>
      </c>
      <c r="Q434" s="24">
        <v>438122</v>
      </c>
      <c r="S434" s="24">
        <v>1512060</v>
      </c>
      <c r="U434" s="24">
        <v>0</v>
      </c>
      <c r="W434" s="24">
        <v>0</v>
      </c>
      <c r="Y434" s="24">
        <v>439000</v>
      </c>
      <c r="AA434" s="24">
        <v>0</v>
      </c>
      <c r="AC434" s="24">
        <v>0</v>
      </c>
      <c r="AE434" s="24">
        <f t="shared" si="166"/>
        <v>3969355</v>
      </c>
      <c r="AF434" s="24"/>
      <c r="AG434" s="24">
        <v>-223322</v>
      </c>
      <c r="AH434" s="24"/>
      <c r="AI434" s="24">
        <v>2025481</v>
      </c>
      <c r="AJ434" s="24"/>
      <c r="AK434" s="24">
        <v>1802159</v>
      </c>
      <c r="AL434" s="39">
        <f>+'Gov Rev'!AI433-'Gov Exp'!AE434+'Gov Exp'!AI434-'Gov Exp'!AK434</f>
        <v>0</v>
      </c>
      <c r="AM434" s="15" t="str">
        <f>'Gov Rev'!A433</f>
        <v>New Bremen</v>
      </c>
      <c r="AN434" s="15" t="str">
        <f t="shared" si="174"/>
        <v>New Bremen</v>
      </c>
      <c r="AO434" s="15" t="b">
        <f t="shared" si="175"/>
        <v>1</v>
      </c>
    </row>
    <row r="435" spans="1:41" s="31" customFormat="1" ht="12.75">
      <c r="A435" s="15" t="s">
        <v>487</v>
      </c>
      <c r="B435" s="15"/>
      <c r="C435" s="15" t="s">
        <v>485</v>
      </c>
      <c r="D435" s="15"/>
      <c r="E435" s="24">
        <v>458015.7</v>
      </c>
      <c r="F435" s="24"/>
      <c r="G435" s="24">
        <v>0</v>
      </c>
      <c r="H435" s="24"/>
      <c r="I435" s="24">
        <v>22938.39</v>
      </c>
      <c r="J435" s="24"/>
      <c r="K435" s="24">
        <v>0</v>
      </c>
      <c r="L435" s="24"/>
      <c r="M435" s="24">
        <v>0</v>
      </c>
      <c r="N435" s="24"/>
      <c r="O435" s="24">
        <v>200848.39</v>
      </c>
      <c r="P435" s="24"/>
      <c r="Q435" s="24">
        <v>290427.43</v>
      </c>
      <c r="R435" s="24"/>
      <c r="S435" s="24">
        <v>1117812.52</v>
      </c>
      <c r="T435" s="24"/>
      <c r="U435" s="24">
        <v>193270.42</v>
      </c>
      <c r="V435" s="24"/>
      <c r="W435" s="24">
        <v>586771.89</v>
      </c>
      <c r="X435" s="24"/>
      <c r="Y435" s="24">
        <v>276684</v>
      </c>
      <c r="Z435" s="24"/>
      <c r="AA435" s="24">
        <v>0</v>
      </c>
      <c r="AB435" s="24"/>
      <c r="AC435" s="24">
        <f>5762.9+694915</f>
        <v>700677.9</v>
      </c>
      <c r="AD435" s="24"/>
      <c r="AE435" s="24">
        <f t="shared" si="166"/>
        <v>3847446.64</v>
      </c>
      <c r="AF435" s="24"/>
      <c r="AG435" s="24">
        <v>102052.08</v>
      </c>
      <c r="AH435" s="24"/>
      <c r="AI435" s="24">
        <v>695677.37</v>
      </c>
      <c r="AJ435" s="24"/>
      <c r="AK435" s="24">
        <v>797729.45</v>
      </c>
      <c r="AL435" s="39">
        <f>+'Gov Rev'!AI434-'Gov Exp'!AE435+'Gov Exp'!AI435-'Gov Exp'!AK435</f>
        <v>-1.1600000004982576</v>
      </c>
      <c r="AM435" s="15" t="str">
        <f>'Gov Rev'!A434</f>
        <v>New Concord</v>
      </c>
      <c r="AN435" s="15" t="str">
        <f t="shared" si="174"/>
        <v>New Concord</v>
      </c>
      <c r="AO435" s="15" t="b">
        <f t="shared" si="175"/>
        <v>1</v>
      </c>
    </row>
    <row r="436" spans="1:41" s="39" customFormat="1" ht="12.75">
      <c r="A436" s="39" t="s">
        <v>189</v>
      </c>
      <c r="C436" s="39" t="s">
        <v>804</v>
      </c>
      <c r="D436" s="71"/>
      <c r="E436" s="36">
        <v>14379.77</v>
      </c>
      <c r="F436" s="36"/>
      <c r="G436" s="36">
        <v>28222.07</v>
      </c>
      <c r="H436" s="36"/>
      <c r="I436" s="36">
        <v>11805.56</v>
      </c>
      <c r="J436" s="36"/>
      <c r="K436" s="36">
        <v>173.02</v>
      </c>
      <c r="L436" s="36"/>
      <c r="M436" s="36">
        <v>0</v>
      </c>
      <c r="N436" s="36"/>
      <c r="O436" s="36">
        <v>49638.58</v>
      </c>
      <c r="P436" s="36"/>
      <c r="Q436" s="36">
        <v>39159.51</v>
      </c>
      <c r="R436" s="36"/>
      <c r="S436" s="36">
        <v>5885.3</v>
      </c>
      <c r="T436" s="36"/>
      <c r="U436" s="36">
        <v>0</v>
      </c>
      <c r="V436" s="36"/>
      <c r="W436" s="36">
        <v>0</v>
      </c>
      <c r="X436" s="36"/>
      <c r="Y436" s="36">
        <v>0</v>
      </c>
      <c r="Z436" s="36"/>
      <c r="AA436" s="36">
        <v>0</v>
      </c>
      <c r="AB436" s="36"/>
      <c r="AC436" s="36">
        <v>0</v>
      </c>
      <c r="AD436" s="36"/>
      <c r="AE436" s="36">
        <f aca="true" t="shared" si="183" ref="AE436:AE437">SUM(E436:AC436)</f>
        <v>149263.81</v>
      </c>
      <c r="AF436" s="36"/>
      <c r="AG436" s="36">
        <v>7775.04</v>
      </c>
      <c r="AH436" s="36"/>
      <c r="AI436" s="36">
        <v>195184.95</v>
      </c>
      <c r="AJ436" s="36"/>
      <c r="AK436" s="36">
        <v>202959.99</v>
      </c>
      <c r="AL436" s="39">
        <f>+'Gov Rev'!AI435-'Gov Exp'!AE436+'Gov Exp'!AI436-'Gov Exp'!AK436</f>
        <v>0</v>
      </c>
      <c r="AM436" s="15" t="str">
        <f>'Gov Rev'!A435</f>
        <v>New Holland</v>
      </c>
      <c r="AN436" s="15" t="str">
        <f t="shared" si="174"/>
        <v>New Holland</v>
      </c>
      <c r="AO436" s="15" t="b">
        <f t="shared" si="175"/>
        <v>1</v>
      </c>
    </row>
    <row r="437" spans="1:41" ht="12.75">
      <c r="A437" s="15" t="s">
        <v>12</v>
      </c>
      <c r="C437" s="15" t="s">
        <v>749</v>
      </c>
      <c r="D437" s="28"/>
      <c r="E437" s="36">
        <v>123349.67</v>
      </c>
      <c r="F437" s="36"/>
      <c r="G437" s="36">
        <v>51.9</v>
      </c>
      <c r="H437" s="36"/>
      <c r="I437" s="36">
        <v>36968.4</v>
      </c>
      <c r="J437" s="36"/>
      <c r="K437" s="36">
        <v>0</v>
      </c>
      <c r="L437" s="36"/>
      <c r="M437" s="36">
        <v>23215</v>
      </c>
      <c r="N437" s="36"/>
      <c r="O437" s="36">
        <v>26741.42</v>
      </c>
      <c r="P437" s="36"/>
      <c r="Q437" s="36">
        <v>202021.19</v>
      </c>
      <c r="R437" s="36"/>
      <c r="S437" s="36">
        <v>33993.52</v>
      </c>
      <c r="T437" s="36"/>
      <c r="U437" s="36">
        <v>75160.63</v>
      </c>
      <c r="V437" s="36"/>
      <c r="W437" s="36">
        <v>9505.88</v>
      </c>
      <c r="X437" s="36"/>
      <c r="Y437" s="36">
        <v>101277.33</v>
      </c>
      <c r="Z437" s="36"/>
      <c r="AA437" s="36">
        <v>6000</v>
      </c>
      <c r="AB437" s="36"/>
      <c r="AC437" s="36">
        <v>0</v>
      </c>
      <c r="AD437" s="36"/>
      <c r="AE437" s="36">
        <f t="shared" si="183"/>
        <v>638284.94</v>
      </c>
      <c r="AF437" s="36"/>
      <c r="AG437" s="36">
        <v>82577.27</v>
      </c>
      <c r="AH437" s="36"/>
      <c r="AI437" s="36">
        <v>460793.17</v>
      </c>
      <c r="AJ437" s="36"/>
      <c r="AK437" s="36">
        <v>543370.44</v>
      </c>
      <c r="AL437" s="39">
        <f>+'Gov Rev'!AI436-'Gov Exp'!AE437+'Gov Exp'!AI437-'Gov Exp'!AK437</f>
        <v>0</v>
      </c>
      <c r="AM437" s="15" t="str">
        <f>'Gov Rev'!A436</f>
        <v>New Knoxville</v>
      </c>
      <c r="AN437" s="15" t="str">
        <f t="shared" si="174"/>
        <v>New Knoxville</v>
      </c>
      <c r="AO437" s="15" t="b">
        <f t="shared" si="175"/>
        <v>1</v>
      </c>
    </row>
    <row r="438" spans="1:41" s="31" customFormat="1" ht="12.75">
      <c r="A438" s="15" t="s">
        <v>481</v>
      </c>
      <c r="B438" s="15"/>
      <c r="C438" s="15" t="s">
        <v>479</v>
      </c>
      <c r="D438" s="15"/>
      <c r="E438" s="24">
        <v>1322946</v>
      </c>
      <c r="F438" s="24"/>
      <c r="G438" s="24">
        <v>0</v>
      </c>
      <c r="H438" s="24"/>
      <c r="I438" s="24">
        <v>98780</v>
      </c>
      <c r="J438" s="24"/>
      <c r="K438" s="24">
        <v>25828</v>
      </c>
      <c r="L438" s="24"/>
      <c r="M438" s="24">
        <v>0</v>
      </c>
      <c r="N438" s="24"/>
      <c r="O438" s="24">
        <v>127288</v>
      </c>
      <c r="P438" s="24"/>
      <c r="Q438" s="24">
        <v>311177</v>
      </c>
      <c r="R438" s="24"/>
      <c r="S438" s="24">
        <v>708207</v>
      </c>
      <c r="T438" s="24"/>
      <c r="U438" s="24">
        <v>710000</v>
      </c>
      <c r="V438" s="24"/>
      <c r="W438" s="24">
        <v>60935</v>
      </c>
      <c r="X438" s="24"/>
      <c r="Y438" s="24">
        <v>861310</v>
      </c>
      <c r="Z438" s="24"/>
      <c r="AA438" s="24">
        <v>0</v>
      </c>
      <c r="AB438" s="24"/>
      <c r="AC438" s="24">
        <v>44087</v>
      </c>
      <c r="AD438" s="24"/>
      <c r="AE438" s="24">
        <f t="shared" si="166"/>
        <v>4270558</v>
      </c>
      <c r="AF438" s="24"/>
      <c r="AG438" s="24">
        <v>308214</v>
      </c>
      <c r="AH438" s="24"/>
      <c r="AI438" s="24">
        <v>1968022</v>
      </c>
      <c r="AJ438" s="24"/>
      <c r="AK438" s="24">
        <v>2276236</v>
      </c>
      <c r="AL438" s="39">
        <f>+'Gov Rev'!AI437-'Gov Exp'!AE438+'Gov Exp'!AI438-'Gov Exp'!AK438</f>
        <v>0</v>
      </c>
      <c r="AM438" s="15" t="str">
        <f>'Gov Rev'!A437</f>
        <v>New Lebanon</v>
      </c>
      <c r="AN438" s="15" t="str">
        <f t="shared" si="174"/>
        <v>New Lebanon</v>
      </c>
      <c r="AO438" s="15" t="b">
        <f t="shared" si="175"/>
        <v>1</v>
      </c>
    </row>
    <row r="439" spans="1:41" s="31" customFormat="1" ht="12.75">
      <c r="A439" s="15" t="s">
        <v>417</v>
      </c>
      <c r="B439" s="15"/>
      <c r="C439" s="15" t="s">
        <v>416</v>
      </c>
      <c r="D439" s="15"/>
      <c r="E439" s="24">
        <v>307870</v>
      </c>
      <c r="F439" s="24"/>
      <c r="G439" s="24">
        <v>1816</v>
      </c>
      <c r="H439" s="24"/>
      <c r="I439" s="24">
        <v>0</v>
      </c>
      <c r="J439" s="24"/>
      <c r="K439" s="24">
        <v>2941</v>
      </c>
      <c r="L439" s="24"/>
      <c r="M439" s="24">
        <v>0</v>
      </c>
      <c r="N439" s="24"/>
      <c r="O439" s="24">
        <v>245501</v>
      </c>
      <c r="P439" s="24"/>
      <c r="Q439" s="24">
        <v>208128</v>
      </c>
      <c r="R439" s="24"/>
      <c r="S439" s="24">
        <f>6400+59121</f>
        <v>65521</v>
      </c>
      <c r="T439" s="24"/>
      <c r="U439" s="24">
        <v>0</v>
      </c>
      <c r="V439" s="24"/>
      <c r="W439" s="24">
        <v>0</v>
      </c>
      <c r="X439" s="24"/>
      <c r="Y439" s="24">
        <f>23207+357981</f>
        <v>381188</v>
      </c>
      <c r="Z439" s="24"/>
      <c r="AA439" s="24">
        <v>90000</v>
      </c>
      <c r="AB439" s="24"/>
      <c r="AC439" s="24">
        <v>0</v>
      </c>
      <c r="AD439" s="24"/>
      <c r="AE439" s="24">
        <f t="shared" si="166"/>
        <v>1302965</v>
      </c>
      <c r="AF439" s="24"/>
      <c r="AG439" s="24">
        <f>12642-12408-6626</f>
        <v>-6392</v>
      </c>
      <c r="AH439" s="24"/>
      <c r="AI439" s="24">
        <f>438590+513268+162277</f>
        <v>1114135</v>
      </c>
      <c r="AJ439" s="24"/>
      <c r="AK439" s="24">
        <f>451232+500860+155651</f>
        <v>1107743</v>
      </c>
      <c r="AL439" s="39">
        <f>+'Gov Rev'!AI438-'Gov Exp'!AE439+'Gov Exp'!AI439-'Gov Exp'!AK439</f>
        <v>0</v>
      </c>
      <c r="AM439" s="15" t="str">
        <f>'Gov Rev'!A438</f>
        <v>New London</v>
      </c>
      <c r="AN439" s="15" t="str">
        <f t="shared" si="174"/>
        <v>New London</v>
      </c>
      <c r="AO439" s="15" t="b">
        <f t="shared" si="175"/>
        <v>1</v>
      </c>
    </row>
    <row r="440" spans="1:41" ht="12.75">
      <c r="A440" s="15" t="s">
        <v>53</v>
      </c>
      <c r="C440" s="15" t="s">
        <v>762</v>
      </c>
      <c r="D440" s="28"/>
      <c r="E440" s="36">
        <v>74269.09</v>
      </c>
      <c r="F440" s="36"/>
      <c r="G440" s="36">
        <v>0</v>
      </c>
      <c r="H440" s="36"/>
      <c r="I440" s="36">
        <v>384.46</v>
      </c>
      <c r="J440" s="36"/>
      <c r="K440" s="36">
        <v>79093.93</v>
      </c>
      <c r="L440" s="36"/>
      <c r="M440" s="36">
        <v>68694.25</v>
      </c>
      <c r="N440" s="36"/>
      <c r="O440" s="36">
        <v>192123.92</v>
      </c>
      <c r="P440" s="36"/>
      <c r="Q440" s="36">
        <v>30032.73</v>
      </c>
      <c r="R440" s="36"/>
      <c r="S440" s="36">
        <v>0</v>
      </c>
      <c r="T440" s="36"/>
      <c r="U440" s="36">
        <v>0</v>
      </c>
      <c r="V440" s="36"/>
      <c r="W440" s="36">
        <v>0</v>
      </c>
      <c r="X440" s="36"/>
      <c r="Y440" s="36">
        <v>0</v>
      </c>
      <c r="Z440" s="36"/>
      <c r="AA440" s="36">
        <v>0</v>
      </c>
      <c r="AB440" s="36"/>
      <c r="AC440" s="36">
        <v>0</v>
      </c>
      <c r="AD440" s="36"/>
      <c r="AE440" s="36">
        <f aca="true" t="shared" si="184" ref="AE440:AE443">SUM(E440:AC440)</f>
        <v>444598.38</v>
      </c>
      <c r="AF440" s="36"/>
      <c r="AG440" s="36">
        <v>-3137.31</v>
      </c>
      <c r="AH440" s="36"/>
      <c r="AI440" s="36">
        <v>519230.66</v>
      </c>
      <c r="AJ440" s="36"/>
      <c r="AK440" s="36">
        <v>516093.35</v>
      </c>
      <c r="AL440" s="39">
        <f>+'Gov Rev'!AI439-'Gov Exp'!AE440+'Gov Exp'!AI440-'Gov Exp'!AK440</f>
        <v>0</v>
      </c>
      <c r="AM440" s="15" t="str">
        <f>'Gov Rev'!A439</f>
        <v>New Madison</v>
      </c>
      <c r="AN440" s="15" t="str">
        <f t="shared" si="174"/>
        <v>New Madison</v>
      </c>
      <c r="AO440" s="15" t="b">
        <f t="shared" si="175"/>
        <v>1</v>
      </c>
    </row>
    <row r="441" spans="1:41" ht="12.75">
      <c r="A441" s="15" t="s">
        <v>952</v>
      </c>
      <c r="C441" s="15" t="s">
        <v>519</v>
      </c>
      <c r="D441" s="28"/>
      <c r="E441" s="36">
        <v>157288.29</v>
      </c>
      <c r="F441" s="36"/>
      <c r="G441" s="36">
        <v>481.84</v>
      </c>
      <c r="H441" s="36"/>
      <c r="I441" s="36">
        <v>35241.7</v>
      </c>
      <c r="J441" s="36"/>
      <c r="K441" s="36">
        <v>0</v>
      </c>
      <c r="L441" s="36"/>
      <c r="M441" s="36">
        <v>5828.06</v>
      </c>
      <c r="N441" s="36"/>
      <c r="O441" s="36">
        <v>117802.25</v>
      </c>
      <c r="P441" s="36"/>
      <c r="Q441" s="36">
        <v>135011.69</v>
      </c>
      <c r="R441" s="36"/>
      <c r="S441" s="36">
        <v>73701.42</v>
      </c>
      <c r="T441" s="36"/>
      <c r="U441" s="36">
        <v>46965.55</v>
      </c>
      <c r="V441" s="36"/>
      <c r="W441" s="36">
        <v>13895.15</v>
      </c>
      <c r="X441" s="36"/>
      <c r="Y441" s="36">
        <v>0</v>
      </c>
      <c r="Z441" s="36"/>
      <c r="AA441" s="36">
        <v>628.16</v>
      </c>
      <c r="AB441" s="36"/>
      <c r="AC441" s="36">
        <v>0</v>
      </c>
      <c r="AD441" s="36"/>
      <c r="AE441" s="36">
        <f t="shared" si="184"/>
        <v>586844.1100000001</v>
      </c>
      <c r="AF441" s="36"/>
      <c r="AG441" s="36">
        <v>136687.08</v>
      </c>
      <c r="AH441" s="36"/>
      <c r="AI441" s="36">
        <v>526132.21</v>
      </c>
      <c r="AJ441" s="36"/>
      <c r="AK441" s="36">
        <v>662819.29</v>
      </c>
      <c r="AL441" s="39">
        <f>+'Gov Rev'!AI440-'Gov Exp'!AE441+'Gov Exp'!AI441-'Gov Exp'!AK441</f>
        <v>0</v>
      </c>
      <c r="AM441" s="15" t="str">
        <f>'Gov Rev'!A440</f>
        <v>New Miami</v>
      </c>
      <c r="AN441" s="15" t="str">
        <f t="shared" si="174"/>
        <v>New Miami</v>
      </c>
      <c r="AO441" s="15" t="b">
        <f t="shared" si="175"/>
        <v>1</v>
      </c>
    </row>
    <row r="442" spans="1:41" ht="12.75">
      <c r="A442" s="15" t="s">
        <v>145</v>
      </c>
      <c r="C442" s="15" t="s">
        <v>790</v>
      </c>
      <c r="D442" s="28"/>
      <c r="E442" s="36">
        <v>414747.14</v>
      </c>
      <c r="F442" s="36"/>
      <c r="G442" s="36">
        <v>6747</v>
      </c>
      <c r="H442" s="36"/>
      <c r="I442" s="36">
        <v>2591.52</v>
      </c>
      <c r="J442" s="36"/>
      <c r="K442" s="36">
        <v>4200.7</v>
      </c>
      <c r="L442" s="36"/>
      <c r="M442" s="36">
        <v>2565.6</v>
      </c>
      <c r="N442" s="36"/>
      <c r="O442" s="36">
        <v>69907.36</v>
      </c>
      <c r="P442" s="36"/>
      <c r="Q442" s="36">
        <v>132717.88</v>
      </c>
      <c r="R442" s="36"/>
      <c r="S442" s="36">
        <v>66809.85</v>
      </c>
      <c r="T442" s="36"/>
      <c r="U442" s="36">
        <v>0</v>
      </c>
      <c r="V442" s="36"/>
      <c r="W442" s="36">
        <v>0</v>
      </c>
      <c r="X442" s="36"/>
      <c r="Y442" s="36">
        <v>50000</v>
      </c>
      <c r="Z442" s="36"/>
      <c r="AA442" s="36">
        <v>92000</v>
      </c>
      <c r="AB442" s="36"/>
      <c r="AC442" s="36">
        <v>0</v>
      </c>
      <c r="AD442" s="36"/>
      <c r="AE442" s="36">
        <f t="shared" si="184"/>
        <v>842287.0499999999</v>
      </c>
      <c r="AF442" s="36"/>
      <c r="AG442" s="36">
        <v>158801.72</v>
      </c>
      <c r="AH442" s="36"/>
      <c r="AI442" s="36">
        <v>423354.35</v>
      </c>
      <c r="AJ442" s="36"/>
      <c r="AK442" s="36">
        <v>582156.07</v>
      </c>
      <c r="AL442" s="39">
        <f>+'Gov Rev'!AI441-'Gov Exp'!AE442+'Gov Exp'!AI442-'Gov Exp'!AK442</f>
        <v>0</v>
      </c>
      <c r="AM442" s="15" t="str">
        <f>'Gov Rev'!A441</f>
        <v>New Middleton</v>
      </c>
      <c r="AN442" s="15" t="str">
        <f t="shared" si="174"/>
        <v>New Middleton</v>
      </c>
      <c r="AO442" s="15" t="b">
        <f t="shared" si="175"/>
        <v>1</v>
      </c>
    </row>
    <row r="443" spans="1:41" ht="12.75">
      <c r="A443" s="15" t="s">
        <v>511</v>
      </c>
      <c r="C443" s="15" t="s">
        <v>510</v>
      </c>
      <c r="E443" s="36">
        <v>136120.11</v>
      </c>
      <c r="F443" s="36"/>
      <c r="G443" s="36">
        <v>0</v>
      </c>
      <c r="H443" s="36"/>
      <c r="I443" s="36">
        <v>0</v>
      </c>
      <c r="J443" s="36"/>
      <c r="K443" s="36">
        <v>2223.95</v>
      </c>
      <c r="L443" s="36"/>
      <c r="M443" s="36">
        <v>0</v>
      </c>
      <c r="N443" s="36"/>
      <c r="O443" s="36">
        <v>51723.38</v>
      </c>
      <c r="P443" s="36"/>
      <c r="Q443" s="36">
        <v>62037.91</v>
      </c>
      <c r="R443" s="36"/>
      <c r="S443" s="36">
        <v>500</v>
      </c>
      <c r="T443" s="36"/>
      <c r="U443" s="36">
        <v>15803.09</v>
      </c>
      <c r="V443" s="36"/>
      <c r="W443" s="36">
        <v>6225.39</v>
      </c>
      <c r="X443" s="36"/>
      <c r="Y443" s="36">
        <v>106483.37</v>
      </c>
      <c r="Z443" s="36"/>
      <c r="AA443" s="36">
        <v>0</v>
      </c>
      <c r="AB443" s="36"/>
      <c r="AC443" s="36">
        <v>0</v>
      </c>
      <c r="AD443" s="36"/>
      <c r="AE443" s="36">
        <f t="shared" si="184"/>
        <v>381117.2</v>
      </c>
      <c r="AF443" s="36"/>
      <c r="AG443" s="36">
        <v>54949.32</v>
      </c>
      <c r="AH443" s="36"/>
      <c r="AI443" s="36">
        <v>90648.94</v>
      </c>
      <c r="AJ443" s="36"/>
      <c r="AK443" s="36">
        <v>145598.26</v>
      </c>
      <c r="AL443" s="39">
        <f>+'Gov Rev'!AI442-'Gov Exp'!AE443+'Gov Exp'!AI443-'Gov Exp'!AK443</f>
        <v>0</v>
      </c>
      <c r="AM443" s="15" t="str">
        <f>'Gov Rev'!A442</f>
        <v>New Paris</v>
      </c>
      <c r="AN443" s="15" t="str">
        <f t="shared" si="174"/>
        <v>New Paris</v>
      </c>
      <c r="AO443" s="15" t="b">
        <f t="shared" si="175"/>
        <v>1</v>
      </c>
    </row>
    <row r="444" spans="1:41" s="24" customFormat="1" ht="12.75">
      <c r="A444" s="24" t="s">
        <v>38</v>
      </c>
      <c r="C444" s="24" t="s">
        <v>756</v>
      </c>
      <c r="D444" s="73"/>
      <c r="E444" s="95">
        <v>1090160.19</v>
      </c>
      <c r="F444" s="95"/>
      <c r="G444" s="95">
        <v>24525.07</v>
      </c>
      <c r="H444" s="95"/>
      <c r="I444" s="95">
        <v>13010.59</v>
      </c>
      <c r="J444" s="95"/>
      <c r="K444" s="95">
        <v>48225.65</v>
      </c>
      <c r="L444" s="95"/>
      <c r="M444" s="95">
        <v>36194</v>
      </c>
      <c r="N444" s="95"/>
      <c r="O444" s="95">
        <v>236052.45</v>
      </c>
      <c r="P444" s="95"/>
      <c r="Q444" s="95">
        <v>425435.26</v>
      </c>
      <c r="R444" s="95"/>
      <c r="S444" s="95">
        <v>201687.32</v>
      </c>
      <c r="T444" s="95"/>
      <c r="U444" s="95">
        <v>56605.22</v>
      </c>
      <c r="V444" s="95"/>
      <c r="W444" s="95">
        <v>11947.59</v>
      </c>
      <c r="X444" s="95"/>
      <c r="Y444" s="95">
        <v>172096.94</v>
      </c>
      <c r="Z444" s="95"/>
      <c r="AA444" s="95">
        <v>318347.3</v>
      </c>
      <c r="AB444" s="95"/>
      <c r="AC444" s="95">
        <v>0</v>
      </c>
      <c r="AD444" s="95"/>
      <c r="AE444" s="95">
        <f aca="true" t="shared" si="185" ref="AE444">SUM(E444:AC444)</f>
        <v>2634287.5799999996</v>
      </c>
      <c r="AF444" s="95"/>
      <c r="AG444" s="95">
        <v>291676.51</v>
      </c>
      <c r="AH444" s="95"/>
      <c r="AI444" s="95">
        <v>608417.12</v>
      </c>
      <c r="AJ444" s="95"/>
      <c r="AK444" s="95">
        <v>900093.63</v>
      </c>
      <c r="AL444" s="39">
        <f>+'Gov Rev'!AI443-'Gov Exp'!AE444+'Gov Exp'!AI444-'Gov Exp'!AK444</f>
        <v>0</v>
      </c>
      <c r="AM444" s="15" t="str">
        <f>'Gov Rev'!A443</f>
        <v>New Richmond</v>
      </c>
      <c r="AN444" s="15" t="str">
        <f t="shared" si="174"/>
        <v>New Richmond</v>
      </c>
      <c r="AO444" s="15" t="b">
        <f t="shared" si="175"/>
        <v>1</v>
      </c>
    </row>
    <row r="445" spans="1:41" ht="12.75">
      <c r="A445" s="15" t="s">
        <v>220</v>
      </c>
      <c r="C445" s="15" t="s">
        <v>813</v>
      </c>
      <c r="D445" s="28"/>
      <c r="E445" s="36">
        <v>23854.14</v>
      </c>
      <c r="F445" s="36"/>
      <c r="G445" s="36">
        <v>0</v>
      </c>
      <c r="H445" s="36"/>
      <c r="I445" s="36">
        <v>900</v>
      </c>
      <c r="J445" s="36"/>
      <c r="K445" s="36">
        <v>0</v>
      </c>
      <c r="L445" s="36"/>
      <c r="M445" s="36">
        <v>11906.27</v>
      </c>
      <c r="N445" s="36"/>
      <c r="O445" s="36">
        <v>7369.77</v>
      </c>
      <c r="P445" s="36"/>
      <c r="Q445" s="36">
        <v>69221.29</v>
      </c>
      <c r="R445" s="36"/>
      <c r="S445" s="36">
        <v>0</v>
      </c>
      <c r="T445" s="36"/>
      <c r="U445" s="36">
        <v>0</v>
      </c>
      <c r="V445" s="36"/>
      <c r="W445" s="36">
        <v>0</v>
      </c>
      <c r="X445" s="36"/>
      <c r="Y445" s="36">
        <v>0</v>
      </c>
      <c r="Z445" s="36"/>
      <c r="AA445" s="36">
        <v>0</v>
      </c>
      <c r="AB445" s="36"/>
      <c r="AC445" s="36">
        <v>0</v>
      </c>
      <c r="AD445" s="36"/>
      <c r="AE445" s="36">
        <f aca="true" t="shared" si="186" ref="AE445">SUM(E445:AC445)</f>
        <v>113251.47</v>
      </c>
      <c r="AF445" s="36"/>
      <c r="AG445" s="36">
        <v>194725.4</v>
      </c>
      <c r="AH445" s="36"/>
      <c r="AI445" s="36">
        <v>160136.55</v>
      </c>
      <c r="AJ445" s="36"/>
      <c r="AK445" s="36">
        <v>354861.95</v>
      </c>
      <c r="AL445" s="39">
        <f>+'Gov Rev'!AI444-'Gov Exp'!AE445+'Gov Exp'!AI445-'Gov Exp'!AK445</f>
        <v>0</v>
      </c>
      <c r="AM445" s="15" t="str">
        <f>'Gov Rev'!A444</f>
        <v>New Riegel</v>
      </c>
      <c r="AN445" s="15" t="str">
        <f t="shared" si="174"/>
        <v>New Riegel</v>
      </c>
      <c r="AO445" s="15" t="b">
        <f t="shared" si="175"/>
        <v>1</v>
      </c>
    </row>
    <row r="446" spans="1:41" ht="12.75">
      <c r="A446" s="15" t="s">
        <v>707</v>
      </c>
      <c r="C446" s="15" t="s">
        <v>501</v>
      </c>
      <c r="E446" s="24">
        <v>64635</v>
      </c>
      <c r="G446" s="24">
        <v>0</v>
      </c>
      <c r="I446" s="24">
        <v>3585</v>
      </c>
      <c r="K446" s="24">
        <v>0</v>
      </c>
      <c r="M446" s="24">
        <v>24395</v>
      </c>
      <c r="O446" s="24">
        <v>14803</v>
      </c>
      <c r="Q446" s="24">
        <v>69730</v>
      </c>
      <c r="S446" s="24">
        <v>0</v>
      </c>
      <c r="U446" s="24">
        <v>0</v>
      </c>
      <c r="W446" s="24">
        <v>0</v>
      </c>
      <c r="Y446" s="24">
        <v>0</v>
      </c>
      <c r="AA446" s="24">
        <v>0</v>
      </c>
      <c r="AC446" s="24">
        <v>0</v>
      </c>
      <c r="AE446" s="24">
        <f t="shared" si="166"/>
        <v>177148</v>
      </c>
      <c r="AF446" s="24"/>
      <c r="AG446" s="24">
        <v>16417</v>
      </c>
      <c r="AH446" s="24"/>
      <c r="AI446" s="24">
        <v>56479</v>
      </c>
      <c r="AJ446" s="24"/>
      <c r="AK446" s="24">
        <v>72896</v>
      </c>
      <c r="AL446" s="39">
        <f>+'Gov Rev'!AI445-'Gov Exp'!AE446+'Gov Exp'!AI446-'Gov Exp'!AK446</f>
        <v>0</v>
      </c>
      <c r="AM446" s="15" t="str">
        <f>'Gov Rev'!A445</f>
        <v>New Straitsville</v>
      </c>
      <c r="AN446" s="15" t="str">
        <f t="shared" si="174"/>
        <v>New Straitsville</v>
      </c>
      <c r="AO446" s="15" t="b">
        <f t="shared" si="175"/>
        <v>1</v>
      </c>
    </row>
    <row r="447" spans="1:41" ht="12.75">
      <c r="A447" s="15" t="s">
        <v>41</v>
      </c>
      <c r="C447" s="15" t="s">
        <v>757</v>
      </c>
      <c r="D447" s="28"/>
      <c r="E447" s="36">
        <v>60974.77</v>
      </c>
      <c r="F447" s="36"/>
      <c r="G447" s="36">
        <v>0</v>
      </c>
      <c r="H447" s="36"/>
      <c r="I447" s="36">
        <v>0</v>
      </c>
      <c r="J447" s="36"/>
      <c r="K447" s="36">
        <v>0</v>
      </c>
      <c r="L447" s="36"/>
      <c r="M447" s="36">
        <v>2734.71</v>
      </c>
      <c r="N447" s="36"/>
      <c r="O447" s="36">
        <v>39754.8</v>
      </c>
      <c r="P447" s="36"/>
      <c r="Q447" s="36">
        <v>39672.49</v>
      </c>
      <c r="R447" s="36"/>
      <c r="S447" s="36">
        <v>236801.68</v>
      </c>
      <c r="T447" s="36"/>
      <c r="U447" s="36">
        <v>0</v>
      </c>
      <c r="V447" s="36"/>
      <c r="W447" s="36">
        <v>0</v>
      </c>
      <c r="X447" s="36"/>
      <c r="Y447" s="36">
        <v>0</v>
      </c>
      <c r="Z447" s="36"/>
      <c r="AA447" s="36">
        <v>5337</v>
      </c>
      <c r="AB447" s="36"/>
      <c r="AC447" s="36">
        <v>0</v>
      </c>
      <c r="AD447" s="36"/>
      <c r="AE447" s="36">
        <f aca="true" t="shared" si="187" ref="AE447:AE449">SUM(E447:AC447)</f>
        <v>385275.44999999995</v>
      </c>
      <c r="AF447" s="36"/>
      <c r="AG447" s="36">
        <v>29247.44</v>
      </c>
      <c r="AH447" s="36"/>
      <c r="AI447" s="36">
        <v>160984.04</v>
      </c>
      <c r="AJ447" s="36"/>
      <c r="AK447" s="36">
        <v>190231.48</v>
      </c>
      <c r="AL447" s="39">
        <f>+'Gov Rev'!AI446-'Gov Exp'!AE447+'Gov Exp'!AI447-'Gov Exp'!AK447</f>
        <v>0</v>
      </c>
      <c r="AM447" s="15" t="str">
        <f>'Gov Rev'!A446</f>
        <v>New Vienna</v>
      </c>
      <c r="AN447" s="15" t="str">
        <f t="shared" si="174"/>
        <v>New Vienna</v>
      </c>
      <c r="AO447" s="15" t="b">
        <f t="shared" si="175"/>
        <v>1</v>
      </c>
    </row>
    <row r="448" spans="1:41" s="31" customFormat="1" ht="12.6" customHeight="1">
      <c r="A448" s="15" t="s">
        <v>313</v>
      </c>
      <c r="B448" s="15"/>
      <c r="C448" s="15" t="s">
        <v>312</v>
      </c>
      <c r="D448" s="15"/>
      <c r="E448" s="36">
        <v>129455.87</v>
      </c>
      <c r="F448" s="36"/>
      <c r="G448" s="36">
        <v>4827.84</v>
      </c>
      <c r="H448" s="36"/>
      <c r="I448" s="36">
        <v>22814.34</v>
      </c>
      <c r="J448" s="36"/>
      <c r="K448" s="36">
        <v>723.6</v>
      </c>
      <c r="L448" s="36"/>
      <c r="M448" s="36">
        <v>0</v>
      </c>
      <c r="N448" s="36"/>
      <c r="O448" s="36">
        <v>116455.78</v>
      </c>
      <c r="P448" s="36"/>
      <c r="Q448" s="36">
        <v>151023.21</v>
      </c>
      <c r="R448" s="36"/>
      <c r="S448" s="36">
        <v>12790</v>
      </c>
      <c r="T448" s="36"/>
      <c r="U448" s="36">
        <v>0</v>
      </c>
      <c r="V448" s="36"/>
      <c r="W448" s="36">
        <v>0</v>
      </c>
      <c r="X448" s="36"/>
      <c r="Y448" s="36">
        <v>60000</v>
      </c>
      <c r="Z448" s="36"/>
      <c r="AA448" s="36">
        <v>26384.8</v>
      </c>
      <c r="AB448" s="36"/>
      <c r="AC448" s="36">
        <v>0</v>
      </c>
      <c r="AD448" s="36"/>
      <c r="AE448" s="36">
        <f t="shared" si="187"/>
        <v>524475.4400000001</v>
      </c>
      <c r="AF448" s="36"/>
      <c r="AG448" s="36">
        <v>358132.94</v>
      </c>
      <c r="AH448" s="36"/>
      <c r="AI448" s="36">
        <v>414562.65</v>
      </c>
      <c r="AJ448" s="36"/>
      <c r="AK448" s="36">
        <v>772695.59</v>
      </c>
      <c r="AL448" s="39">
        <f>+'Gov Rev'!AI447-'Gov Exp'!AE448+'Gov Exp'!AI448-'Gov Exp'!AK448</f>
        <v>0</v>
      </c>
      <c r="AM448" s="15" t="str">
        <f>'Gov Rev'!A447</f>
        <v>New Washington</v>
      </c>
      <c r="AN448" s="15" t="str">
        <f t="shared" si="174"/>
        <v>New Washington</v>
      </c>
      <c r="AO448" s="15" t="b">
        <f t="shared" si="175"/>
        <v>1</v>
      </c>
    </row>
    <row r="449" spans="1:41" ht="12.75">
      <c r="A449" s="15" t="s">
        <v>854</v>
      </c>
      <c r="C449" s="15" t="s">
        <v>758</v>
      </c>
      <c r="D449" s="28"/>
      <c r="E449" s="36">
        <v>245883.9</v>
      </c>
      <c r="F449" s="36"/>
      <c r="G449" s="36">
        <v>0</v>
      </c>
      <c r="H449" s="36"/>
      <c r="I449" s="36">
        <v>10553.48</v>
      </c>
      <c r="J449" s="36"/>
      <c r="K449" s="36">
        <v>0</v>
      </c>
      <c r="L449" s="36"/>
      <c r="M449" s="36">
        <v>0</v>
      </c>
      <c r="N449" s="36"/>
      <c r="O449" s="36">
        <v>73972.06</v>
      </c>
      <c r="P449" s="36"/>
      <c r="Q449" s="36">
        <v>58415.07</v>
      </c>
      <c r="R449" s="36"/>
      <c r="S449" s="36">
        <v>35709.5</v>
      </c>
      <c r="T449" s="36"/>
      <c r="U449" s="36">
        <v>19730.41</v>
      </c>
      <c r="V449" s="36"/>
      <c r="W449" s="36">
        <v>2966.64</v>
      </c>
      <c r="X449" s="36"/>
      <c r="Y449" s="36">
        <v>0</v>
      </c>
      <c r="Z449" s="36"/>
      <c r="AA449" s="36">
        <v>0</v>
      </c>
      <c r="AB449" s="36"/>
      <c r="AC449" s="36">
        <v>0</v>
      </c>
      <c r="AD449" s="36"/>
      <c r="AE449" s="36">
        <f t="shared" si="187"/>
        <v>447231.06</v>
      </c>
      <c r="AF449" s="36"/>
      <c r="AG449" s="36">
        <v>-33609.98</v>
      </c>
      <c r="AH449" s="36"/>
      <c r="AI449" s="36">
        <v>285704.34</v>
      </c>
      <c r="AJ449" s="36"/>
      <c r="AK449" s="36">
        <v>252094.36</v>
      </c>
      <c r="AL449" s="39">
        <f>+'Gov Rev'!AI448-'Gov Exp'!AE449+'Gov Exp'!AI449-'Gov Exp'!AK449</f>
        <v>0</v>
      </c>
      <c r="AM449" s="15" t="str">
        <f>'Gov Rev'!A448</f>
        <v>New Waterford</v>
      </c>
      <c r="AN449" s="15" t="str">
        <f t="shared" si="174"/>
        <v>New Waterford</v>
      </c>
      <c r="AO449" s="15" t="b">
        <f t="shared" si="175"/>
        <v>1</v>
      </c>
    </row>
    <row r="450" spans="1:41" s="31" customFormat="1" ht="12" customHeight="1">
      <c r="A450" s="15" t="s">
        <v>333</v>
      </c>
      <c r="B450" s="15"/>
      <c r="C450" s="15" t="s">
        <v>329</v>
      </c>
      <c r="D450" s="15"/>
      <c r="E450" s="24">
        <v>6691</v>
      </c>
      <c r="F450" s="24"/>
      <c r="G450" s="24">
        <v>548</v>
      </c>
      <c r="H450" s="24"/>
      <c r="I450" s="24">
        <v>2020</v>
      </c>
      <c r="J450" s="24"/>
      <c r="K450" s="24">
        <v>388</v>
      </c>
      <c r="L450" s="24"/>
      <c r="M450" s="24">
        <v>10688</v>
      </c>
      <c r="N450" s="24"/>
      <c r="O450" s="24">
        <v>1320</v>
      </c>
      <c r="P450" s="24"/>
      <c r="Q450" s="24">
        <v>18351</v>
      </c>
      <c r="R450" s="24"/>
      <c r="S450" s="24">
        <v>23</v>
      </c>
      <c r="T450" s="24"/>
      <c r="U450" s="24">
        <v>30345</v>
      </c>
      <c r="V450" s="24"/>
      <c r="W450" s="24">
        <v>0</v>
      </c>
      <c r="X450" s="24"/>
      <c r="Y450" s="24">
        <v>0</v>
      </c>
      <c r="Z450" s="24"/>
      <c r="AA450" s="24">
        <v>0</v>
      </c>
      <c r="AB450" s="24"/>
      <c r="AC450" s="24">
        <v>0</v>
      </c>
      <c r="AD450" s="24"/>
      <c r="AE450" s="24">
        <f t="shared" si="166"/>
        <v>70374</v>
      </c>
      <c r="AF450" s="24"/>
      <c r="AG450" s="24"/>
      <c r="AH450" s="24"/>
      <c r="AI450" s="24">
        <v>218042</v>
      </c>
      <c r="AJ450" s="24"/>
      <c r="AK450" s="24">
        <v>219390</v>
      </c>
      <c r="AL450" s="39">
        <f>+'Gov Rev'!AI449-'Gov Exp'!AE450+'Gov Exp'!AI450-'Gov Exp'!AK450</f>
        <v>0</v>
      </c>
      <c r="AM450" s="15" t="str">
        <f>'Gov Rev'!A449</f>
        <v>New Weston</v>
      </c>
      <c r="AN450" s="15" t="str">
        <f t="shared" si="174"/>
        <v>New Weston</v>
      </c>
      <c r="AO450" s="15" t="b">
        <f t="shared" si="175"/>
        <v>1</v>
      </c>
    </row>
    <row r="451" spans="1:41" s="31" customFormat="1" ht="12.6" customHeight="1">
      <c r="A451" s="15" t="s">
        <v>324</v>
      </c>
      <c r="B451" s="15"/>
      <c r="C451" s="15" t="s">
        <v>316</v>
      </c>
      <c r="D451" s="15"/>
      <c r="E451" s="24">
        <v>1066646</v>
      </c>
      <c r="F451" s="24"/>
      <c r="G451" s="24">
        <v>1857</v>
      </c>
      <c r="H451" s="24"/>
      <c r="I451" s="24">
        <v>12248</v>
      </c>
      <c r="J451" s="24"/>
      <c r="K451" s="24">
        <v>0</v>
      </c>
      <c r="L451" s="24"/>
      <c r="M451" s="24">
        <v>121785</v>
      </c>
      <c r="N451" s="24"/>
      <c r="O451" s="24">
        <v>221235</v>
      </c>
      <c r="P451" s="24"/>
      <c r="Q451" s="24">
        <v>652434</v>
      </c>
      <c r="R451" s="24"/>
      <c r="S451" s="24">
        <v>37410</v>
      </c>
      <c r="T451" s="24"/>
      <c r="U451" s="24">
        <v>426381</v>
      </c>
      <c r="V451" s="24"/>
      <c r="W451" s="24">
        <v>0</v>
      </c>
      <c r="X451" s="24"/>
      <c r="Y451" s="24">
        <v>0</v>
      </c>
      <c r="Z451" s="24"/>
      <c r="AA451" s="24">
        <v>0</v>
      </c>
      <c r="AB451" s="24"/>
      <c r="AC451" s="24">
        <v>0</v>
      </c>
      <c r="AD451" s="24"/>
      <c r="AE451" s="24">
        <f t="shared" si="166"/>
        <v>2539996</v>
      </c>
      <c r="AF451" s="24"/>
      <c r="AG451" s="24">
        <v>3750</v>
      </c>
      <c r="AH451" s="24"/>
      <c r="AI451" s="24">
        <v>6831</v>
      </c>
      <c r="AJ451" s="24"/>
      <c r="AK451" s="24">
        <v>10580</v>
      </c>
      <c r="AL451" s="39">
        <f>+'Gov Rev'!AI450-'Gov Exp'!AE451+'Gov Exp'!AI451-'Gov Exp'!AK451</f>
        <v>-1</v>
      </c>
      <c r="AM451" s="15" t="str">
        <f>'Gov Rev'!A450</f>
        <v>Newburgh Heights</v>
      </c>
      <c r="AN451" s="15" t="str">
        <f t="shared" si="174"/>
        <v>Newburgh Heights</v>
      </c>
      <c r="AO451" s="15" t="b">
        <f t="shared" si="175"/>
        <v>1</v>
      </c>
    </row>
    <row r="452" spans="1:41" s="31" customFormat="1" ht="12.75">
      <c r="A452" s="15" t="s">
        <v>566</v>
      </c>
      <c r="B452" s="15"/>
      <c r="C452" s="15" t="s">
        <v>562</v>
      </c>
      <c r="D452" s="15"/>
      <c r="E452" s="24">
        <v>493908</v>
      </c>
      <c r="F452" s="24"/>
      <c r="G452" s="24">
        <v>102726</v>
      </c>
      <c r="H452" s="24"/>
      <c r="I452" s="24">
        <v>38336</v>
      </c>
      <c r="J452" s="24"/>
      <c r="K452" s="24">
        <v>25218</v>
      </c>
      <c r="L452" s="24"/>
      <c r="M452" s="24">
        <v>3299</v>
      </c>
      <c r="N452" s="24"/>
      <c r="O452" s="24">
        <v>253474</v>
      </c>
      <c r="P452" s="24"/>
      <c r="Q452" s="24">
        <v>401237</v>
      </c>
      <c r="R452" s="24"/>
      <c r="S452" s="24">
        <v>3359</v>
      </c>
      <c r="T452" s="24"/>
      <c r="U452" s="24">
        <v>20007</v>
      </c>
      <c r="V452" s="24"/>
      <c r="W452" s="24">
        <v>0</v>
      </c>
      <c r="X452" s="24"/>
      <c r="Y452" s="24">
        <v>37000</v>
      </c>
      <c r="Z452" s="24"/>
      <c r="AA452" s="24">
        <v>0</v>
      </c>
      <c r="AB452" s="24"/>
      <c r="AC452" s="24">
        <v>0</v>
      </c>
      <c r="AD452" s="24"/>
      <c r="AE452" s="24">
        <f t="shared" si="166"/>
        <v>1378564</v>
      </c>
      <c r="AF452" s="24"/>
      <c r="AG452" s="24">
        <v>353637</v>
      </c>
      <c r="AH452" s="24"/>
      <c r="AI452" s="24">
        <v>321391</v>
      </c>
      <c r="AJ452" s="24"/>
      <c r="AK452" s="24">
        <v>675028</v>
      </c>
      <c r="AL452" s="39">
        <f>+'Gov Rev'!AI451-'Gov Exp'!AE452+'Gov Exp'!AI452-'Gov Exp'!AK452</f>
        <v>0</v>
      </c>
      <c r="AM452" s="15" t="str">
        <f>'Gov Rev'!A451</f>
        <v>Newcomerstown</v>
      </c>
      <c r="AN452" s="15" t="str">
        <f t="shared" si="174"/>
        <v>Newcomerstown</v>
      </c>
      <c r="AO452" s="15" t="b">
        <f t="shared" si="175"/>
        <v>1</v>
      </c>
    </row>
    <row r="453" spans="1:41" s="31" customFormat="1" ht="12.75">
      <c r="A453" s="15" t="s">
        <v>964</v>
      </c>
      <c r="B453" s="15"/>
      <c r="C453" s="15" t="s">
        <v>817</v>
      </c>
      <c r="D453" s="15"/>
      <c r="E453" s="24">
        <v>1193423</v>
      </c>
      <c r="F453" s="24"/>
      <c r="G453" s="24">
        <v>0</v>
      </c>
      <c r="H453" s="24"/>
      <c r="I453" s="24">
        <v>87044</v>
      </c>
      <c r="J453" s="24"/>
      <c r="K453" s="24">
        <v>399928</v>
      </c>
      <c r="L453" s="24"/>
      <c r="M453" s="24">
        <v>0</v>
      </c>
      <c r="N453" s="24"/>
      <c r="O453" s="24">
        <v>457725</v>
      </c>
      <c r="P453" s="24"/>
      <c r="Q453" s="24">
        <v>1430082</v>
      </c>
      <c r="R453" s="24"/>
      <c r="S453" s="24">
        <v>142362</v>
      </c>
      <c r="T453" s="24"/>
      <c r="U453" s="24">
        <v>83249</v>
      </c>
      <c r="V453" s="24"/>
      <c r="W453" s="24">
        <v>10154</v>
      </c>
      <c r="X453" s="24"/>
      <c r="Y453" s="24">
        <v>136021</v>
      </c>
      <c r="Z453" s="24"/>
      <c r="AA453" s="24">
        <v>0</v>
      </c>
      <c r="AB453" s="24"/>
      <c r="AC453" s="24">
        <v>0</v>
      </c>
      <c r="AD453" s="24"/>
      <c r="AE453" s="24">
        <f t="shared" si="166"/>
        <v>3939988</v>
      </c>
      <c r="AF453" s="24"/>
      <c r="AG453" s="24">
        <v>-115301</v>
      </c>
      <c r="AH453" s="24"/>
      <c r="AI453" s="24">
        <v>1365548</v>
      </c>
      <c r="AJ453" s="24"/>
      <c r="AK453" s="24">
        <v>1250247</v>
      </c>
      <c r="AL453" s="39">
        <f>+'Gov Rev'!AI452-'Gov Exp'!AE453+'Gov Exp'!AI453-'Gov Exp'!AK453</f>
        <v>0</v>
      </c>
      <c r="AM453" s="15" t="str">
        <f>'Gov Rev'!A452</f>
        <v>Newton Falls</v>
      </c>
      <c r="AN453" s="15" t="str">
        <f t="shared" si="174"/>
        <v>Newton Falls</v>
      </c>
      <c r="AO453" s="15" t="b">
        <f t="shared" si="175"/>
        <v>1</v>
      </c>
    </row>
    <row r="454" spans="1:41" ht="12.6" customHeight="1">
      <c r="A454" s="15" t="s">
        <v>688</v>
      </c>
      <c r="C454" s="15" t="s">
        <v>295</v>
      </c>
      <c r="E454" s="95">
        <v>31989.95</v>
      </c>
      <c r="F454" s="95"/>
      <c r="G454" s="95">
        <v>0</v>
      </c>
      <c r="H454" s="95"/>
      <c r="I454" s="95">
        <v>0</v>
      </c>
      <c r="J454" s="95"/>
      <c r="K454" s="95">
        <v>0</v>
      </c>
      <c r="L454" s="95"/>
      <c r="M454" s="95">
        <v>0</v>
      </c>
      <c r="N454" s="95"/>
      <c r="O454" s="95">
        <v>16300.35</v>
      </c>
      <c r="P454" s="95"/>
      <c r="Q454" s="95">
        <v>29681.07</v>
      </c>
      <c r="R454" s="95"/>
      <c r="S454" s="95">
        <v>0</v>
      </c>
      <c r="T454" s="95"/>
      <c r="U454" s="95">
        <v>0</v>
      </c>
      <c r="V454" s="95"/>
      <c r="W454" s="95">
        <v>0</v>
      </c>
      <c r="X454" s="95"/>
      <c r="Y454" s="95">
        <v>0</v>
      </c>
      <c r="Z454" s="95"/>
      <c r="AA454" s="95">
        <v>0</v>
      </c>
      <c r="AB454" s="95"/>
      <c r="AC454" s="95">
        <v>1973.53</v>
      </c>
      <c r="AD454" s="95"/>
      <c r="AE454" s="95">
        <f aca="true" t="shared" si="188" ref="AE454">SUM(E454:AC454)</f>
        <v>79944.9</v>
      </c>
      <c r="AF454" s="95"/>
      <c r="AG454" s="95">
        <v>-3522.27</v>
      </c>
      <c r="AH454" s="95"/>
      <c r="AI454" s="95">
        <v>172011.7</v>
      </c>
      <c r="AJ454" s="95"/>
      <c r="AK454" s="95">
        <v>168489.43</v>
      </c>
      <c r="AL454" s="39">
        <f>+'Gov Rev'!AI453-'Gov Exp'!AE454+'Gov Exp'!AI454-'Gov Exp'!AK454</f>
        <v>0</v>
      </c>
      <c r="AM454" s="15" t="str">
        <f>'Gov Rev'!A453</f>
        <v>Newtonville</v>
      </c>
      <c r="AN454" s="15" t="str">
        <f t="shared" si="174"/>
        <v>Newtonville</v>
      </c>
      <c r="AO454" s="15" t="b">
        <f t="shared" si="175"/>
        <v>1</v>
      </c>
    </row>
    <row r="455" spans="1:41" s="31" customFormat="1" ht="12.75">
      <c r="A455" s="15" t="s">
        <v>96</v>
      </c>
      <c r="B455" s="15"/>
      <c r="C455" s="15" t="s">
        <v>773</v>
      </c>
      <c r="D455" s="28"/>
      <c r="E455" s="36">
        <v>658636.52</v>
      </c>
      <c r="F455" s="36"/>
      <c r="G455" s="36">
        <v>1681.94</v>
      </c>
      <c r="H455" s="36"/>
      <c r="I455" s="36">
        <v>119867.38</v>
      </c>
      <c r="J455" s="36"/>
      <c r="K455" s="36">
        <v>0</v>
      </c>
      <c r="L455" s="36"/>
      <c r="M455" s="36">
        <v>122810.64</v>
      </c>
      <c r="N455" s="36"/>
      <c r="O455" s="36">
        <v>231204.52</v>
      </c>
      <c r="P455" s="36"/>
      <c r="Q455" s="36">
        <v>712649.33</v>
      </c>
      <c r="R455" s="36"/>
      <c r="S455" s="36">
        <v>288626.87</v>
      </c>
      <c r="T455" s="36"/>
      <c r="U455" s="36">
        <v>9852.58</v>
      </c>
      <c r="V455" s="36"/>
      <c r="W455" s="36">
        <v>1629.55</v>
      </c>
      <c r="X455" s="36"/>
      <c r="Y455" s="36">
        <v>109143.23</v>
      </c>
      <c r="Z455" s="36"/>
      <c r="AA455" s="36">
        <v>10575.04</v>
      </c>
      <c r="AB455" s="36"/>
      <c r="AC455" s="36">
        <v>0</v>
      </c>
      <c r="AD455" s="36"/>
      <c r="AE455" s="36">
        <f aca="true" t="shared" si="189" ref="AE455:AE456">SUM(E455:AC455)</f>
        <v>2266677.6</v>
      </c>
      <c r="AF455" s="36"/>
      <c r="AG455" s="36">
        <v>45766.85</v>
      </c>
      <c r="AH455" s="36"/>
      <c r="AI455" s="36">
        <v>2003158.55</v>
      </c>
      <c r="AJ455" s="36"/>
      <c r="AK455" s="36">
        <v>2048925.4</v>
      </c>
      <c r="AL455" s="39">
        <f>+'Gov Rev'!AI454-'Gov Exp'!AE455+'Gov Exp'!AI455-'Gov Exp'!AK455</f>
        <v>0</v>
      </c>
      <c r="AM455" s="15" t="str">
        <f>'Gov Rev'!A454</f>
        <v>Newtown</v>
      </c>
      <c r="AN455" s="15" t="str">
        <f t="shared" si="174"/>
        <v>Newtown</v>
      </c>
      <c r="AO455" s="15" t="b">
        <f t="shared" si="175"/>
        <v>1</v>
      </c>
    </row>
    <row r="456" spans="1:41" ht="12.75">
      <c r="A456" s="15" t="s">
        <v>55</v>
      </c>
      <c r="C456" s="15" t="s">
        <v>763</v>
      </c>
      <c r="D456" s="28"/>
      <c r="E456" s="36">
        <v>15391.47</v>
      </c>
      <c r="F456" s="36"/>
      <c r="G456" s="36">
        <v>2203.8</v>
      </c>
      <c r="H456" s="36"/>
      <c r="I456" s="36">
        <v>927.19</v>
      </c>
      <c r="J456" s="36"/>
      <c r="K456" s="36">
        <v>0</v>
      </c>
      <c r="L456" s="36"/>
      <c r="M456" s="36">
        <v>73472.07</v>
      </c>
      <c r="N456" s="36"/>
      <c r="O456" s="36">
        <v>35297.85</v>
      </c>
      <c r="P456" s="36"/>
      <c r="Q456" s="36">
        <v>59855.65</v>
      </c>
      <c r="R456" s="36"/>
      <c r="S456" s="36">
        <v>0</v>
      </c>
      <c r="T456" s="36"/>
      <c r="U456" s="36">
        <v>0</v>
      </c>
      <c r="V456" s="36"/>
      <c r="W456" s="36">
        <v>0</v>
      </c>
      <c r="X456" s="36"/>
      <c r="Y456" s="36">
        <v>10000</v>
      </c>
      <c r="Z456" s="36"/>
      <c r="AA456" s="36">
        <v>0</v>
      </c>
      <c r="AB456" s="36"/>
      <c r="AC456" s="36">
        <v>4500</v>
      </c>
      <c r="AD456" s="36"/>
      <c r="AE456" s="36">
        <f t="shared" si="189"/>
        <v>201648.03</v>
      </c>
      <c r="AF456" s="36"/>
      <c r="AG456" s="36">
        <v>-73179.96</v>
      </c>
      <c r="AH456" s="36"/>
      <c r="AI456" s="36">
        <v>362593.31</v>
      </c>
      <c r="AJ456" s="36"/>
      <c r="AK456" s="36">
        <v>289413.35</v>
      </c>
      <c r="AL456" s="39">
        <f>+'Gov Rev'!AI455-'Gov Exp'!AE456+'Gov Exp'!AI456-'Gov Exp'!AK456</f>
        <v>0</v>
      </c>
      <c r="AM456" s="15" t="str">
        <f>'Gov Rev'!A455</f>
        <v>Ney</v>
      </c>
      <c r="AN456" s="15" t="str">
        <f t="shared" si="174"/>
        <v>Ney</v>
      </c>
      <c r="AO456" s="15" t="b">
        <f t="shared" si="175"/>
        <v>1</v>
      </c>
    </row>
    <row r="457" spans="1:41" s="31" customFormat="1" ht="12.75">
      <c r="A457" s="15" t="s">
        <v>607</v>
      </c>
      <c r="B457" s="15"/>
      <c r="C457" s="15" t="s">
        <v>603</v>
      </c>
      <c r="D457" s="15"/>
      <c r="E457" s="24">
        <v>473548</v>
      </c>
      <c r="F457" s="24"/>
      <c r="G457" s="24">
        <v>197051</v>
      </c>
      <c r="H457" s="24"/>
      <c r="I457" s="24">
        <v>38206</v>
      </c>
      <c r="J457" s="24"/>
      <c r="K457" s="24">
        <v>15069</v>
      </c>
      <c r="L457" s="24"/>
      <c r="M457" s="24">
        <v>0</v>
      </c>
      <c r="N457" s="24"/>
      <c r="O457" s="24">
        <v>270806</v>
      </c>
      <c r="P457" s="24"/>
      <c r="Q457" s="24">
        <v>247154</v>
      </c>
      <c r="R457" s="24"/>
      <c r="S457" s="24">
        <v>291061</v>
      </c>
      <c r="T457" s="24"/>
      <c r="U457" s="24">
        <v>176433</v>
      </c>
      <c r="V457" s="24"/>
      <c r="W457" s="24">
        <v>64991</v>
      </c>
      <c r="X457" s="24"/>
      <c r="Y457" s="24">
        <v>226660</v>
      </c>
      <c r="Z457" s="24"/>
      <c r="AA457" s="24">
        <v>0</v>
      </c>
      <c r="AB457" s="24"/>
      <c r="AC457" s="24">
        <v>0</v>
      </c>
      <c r="AD457" s="24"/>
      <c r="AE457" s="24">
        <f t="shared" si="166"/>
        <v>2000979</v>
      </c>
      <c r="AF457" s="24"/>
      <c r="AG457" s="24">
        <v>87209</v>
      </c>
      <c r="AH457" s="24"/>
      <c r="AI457" s="24">
        <v>2364046</v>
      </c>
      <c r="AJ457" s="24"/>
      <c r="AK457" s="24">
        <v>2451255</v>
      </c>
      <c r="AL457" s="39">
        <f>+'Gov Rev'!AI456-'Gov Exp'!AE457+'Gov Exp'!AI457-'Gov Exp'!AK457</f>
        <v>0</v>
      </c>
      <c r="AM457" s="15" t="str">
        <f>'Gov Rev'!A456</f>
        <v>North Baltimore</v>
      </c>
      <c r="AN457" s="15" t="str">
        <f t="shared" si="174"/>
        <v>North Baltimore</v>
      </c>
      <c r="AO457" s="15" t="b">
        <f t="shared" si="175"/>
        <v>1</v>
      </c>
    </row>
    <row r="458" spans="1:41" s="31" customFormat="1" ht="12.75">
      <c r="A458" s="15" t="s">
        <v>97</v>
      </c>
      <c r="B458" s="15"/>
      <c r="C458" s="15" t="s">
        <v>773</v>
      </c>
      <c r="D458" s="28"/>
      <c r="E458" s="36">
        <v>192543.11</v>
      </c>
      <c r="F458" s="36"/>
      <c r="G458" s="36">
        <v>0</v>
      </c>
      <c r="H458" s="36"/>
      <c r="I458" s="36">
        <v>3092.43</v>
      </c>
      <c r="J458" s="36"/>
      <c r="K458" s="36">
        <v>2024</v>
      </c>
      <c r="L458" s="36"/>
      <c r="M458" s="36">
        <v>18239.42</v>
      </c>
      <c r="N458" s="36"/>
      <c r="O458" s="36">
        <v>84305.2</v>
      </c>
      <c r="P458" s="36"/>
      <c r="Q458" s="36">
        <v>137857.39</v>
      </c>
      <c r="R458" s="36"/>
      <c r="S458" s="36">
        <v>5890.27</v>
      </c>
      <c r="T458" s="36"/>
      <c r="U458" s="36">
        <v>0</v>
      </c>
      <c r="V458" s="36"/>
      <c r="W458" s="36">
        <v>0</v>
      </c>
      <c r="X458" s="36"/>
      <c r="Y458" s="36">
        <v>80000</v>
      </c>
      <c r="Z458" s="36"/>
      <c r="AA458" s="36">
        <v>0</v>
      </c>
      <c r="AB458" s="36"/>
      <c r="AC458" s="36">
        <v>0</v>
      </c>
      <c r="AD458" s="36"/>
      <c r="AE458" s="36">
        <f aca="true" t="shared" si="190" ref="AE458:AE463">SUM(E458:AC458)</f>
        <v>523951.82</v>
      </c>
      <c r="AF458" s="36"/>
      <c r="AG458" s="36">
        <v>37349.6</v>
      </c>
      <c r="AH458" s="36"/>
      <c r="AI458" s="36">
        <v>849930.24</v>
      </c>
      <c r="AJ458" s="36"/>
      <c r="AK458" s="36">
        <v>887279.84</v>
      </c>
      <c r="AL458" s="39">
        <f>+'Gov Rev'!AI457-'Gov Exp'!AE458+'Gov Exp'!AI458-'Gov Exp'!AK458</f>
        <v>0</v>
      </c>
      <c r="AM458" s="15" t="str">
        <f>'Gov Rev'!A457</f>
        <v>North Bend</v>
      </c>
      <c r="AN458" s="15" t="str">
        <f t="shared" si="174"/>
        <v>North Bend</v>
      </c>
      <c r="AO458" s="15" t="b">
        <f t="shared" si="175"/>
        <v>1</v>
      </c>
    </row>
    <row r="459" spans="1:41" s="31" customFormat="1" ht="12.75">
      <c r="A459" s="15" t="s">
        <v>418</v>
      </c>
      <c r="B459" s="15"/>
      <c r="C459" s="15" t="s">
        <v>416</v>
      </c>
      <c r="D459" s="15"/>
      <c r="E459" s="36">
        <v>7778.17</v>
      </c>
      <c r="F459" s="36"/>
      <c r="G459" s="36">
        <v>0</v>
      </c>
      <c r="H459" s="36"/>
      <c r="I459" s="36">
        <v>7252.56</v>
      </c>
      <c r="J459" s="36"/>
      <c r="K459" s="36">
        <v>3261.6</v>
      </c>
      <c r="L459" s="36"/>
      <c r="M459" s="36">
        <v>20460.72</v>
      </c>
      <c r="N459" s="36"/>
      <c r="O459" s="36">
        <v>7211.65</v>
      </c>
      <c r="P459" s="36"/>
      <c r="Q459" s="36">
        <v>61940.25</v>
      </c>
      <c r="R459" s="36"/>
      <c r="S459" s="36">
        <v>0</v>
      </c>
      <c r="T459" s="36"/>
      <c r="U459" s="36">
        <v>0</v>
      </c>
      <c r="V459" s="36"/>
      <c r="W459" s="36">
        <v>0</v>
      </c>
      <c r="X459" s="36"/>
      <c r="Y459" s="36">
        <v>0</v>
      </c>
      <c r="Z459" s="36"/>
      <c r="AA459" s="36">
        <v>0</v>
      </c>
      <c r="AB459" s="36"/>
      <c r="AC459" s="36">
        <v>0</v>
      </c>
      <c r="AD459" s="36"/>
      <c r="AE459" s="36">
        <f t="shared" si="190"/>
        <v>107904.95000000001</v>
      </c>
      <c r="AF459" s="36"/>
      <c r="AG459" s="36">
        <v>19763.2</v>
      </c>
      <c r="AH459" s="36"/>
      <c r="AI459" s="36">
        <v>181416.17</v>
      </c>
      <c r="AJ459" s="36"/>
      <c r="AK459" s="36">
        <v>201179.37</v>
      </c>
      <c r="AL459" s="39">
        <f>+'Gov Rev'!AI458-'Gov Exp'!AE459+'Gov Exp'!AI459-'Gov Exp'!AK459</f>
        <v>0</v>
      </c>
      <c r="AM459" s="15" t="str">
        <f>'Gov Rev'!A458</f>
        <v>North Fairfield</v>
      </c>
      <c r="AN459" s="15" t="str">
        <f t="shared" si="174"/>
        <v>North Fairfield</v>
      </c>
      <c r="AO459" s="15" t="b">
        <f t="shared" si="175"/>
        <v>1</v>
      </c>
    </row>
    <row r="460" spans="1:41" ht="12.6" customHeight="1">
      <c r="A460" s="15" t="s">
        <v>293</v>
      </c>
      <c r="C460" s="15" t="s">
        <v>292</v>
      </c>
      <c r="E460" s="36">
        <v>134380.29</v>
      </c>
      <c r="F460" s="36"/>
      <c r="G460" s="36">
        <v>0</v>
      </c>
      <c r="H460" s="36"/>
      <c r="I460" s="36">
        <v>4063.16</v>
      </c>
      <c r="J460" s="36"/>
      <c r="K460" s="36">
        <v>0</v>
      </c>
      <c r="L460" s="36"/>
      <c r="M460" s="36">
        <v>0</v>
      </c>
      <c r="N460" s="36"/>
      <c r="O460" s="36">
        <v>23564.24</v>
      </c>
      <c r="P460" s="36"/>
      <c r="Q460" s="36">
        <v>85132.53</v>
      </c>
      <c r="R460" s="36"/>
      <c r="S460" s="36">
        <v>0</v>
      </c>
      <c r="T460" s="36"/>
      <c r="U460" s="36">
        <v>0</v>
      </c>
      <c r="V460" s="36"/>
      <c r="W460" s="36">
        <v>0</v>
      </c>
      <c r="X460" s="36"/>
      <c r="Y460" s="36">
        <v>0</v>
      </c>
      <c r="Z460" s="36"/>
      <c r="AA460" s="36">
        <v>0</v>
      </c>
      <c r="AB460" s="36"/>
      <c r="AC460" s="36">
        <v>0</v>
      </c>
      <c r="AD460" s="36"/>
      <c r="AE460" s="36">
        <f t="shared" si="190"/>
        <v>247140.22</v>
      </c>
      <c r="AF460" s="36"/>
      <c r="AG460" s="36">
        <v>-8463.14</v>
      </c>
      <c r="AH460" s="36"/>
      <c r="AI460" s="36">
        <v>90641.38</v>
      </c>
      <c r="AJ460" s="36"/>
      <c r="AK460" s="36">
        <v>82178.24</v>
      </c>
      <c r="AL460" s="39">
        <f>+'Gov Rev'!AI459-'Gov Exp'!AE460+'Gov Exp'!AI460-'Gov Exp'!AK460</f>
        <v>0</v>
      </c>
      <c r="AM460" s="15" t="str">
        <f>'Gov Rev'!A459</f>
        <v>North Hampton</v>
      </c>
      <c r="AN460" s="15" t="str">
        <f t="shared" si="174"/>
        <v>North Hampton</v>
      </c>
      <c r="AO460" s="15" t="b">
        <f t="shared" si="175"/>
        <v>1</v>
      </c>
    </row>
    <row r="461" spans="1:41" ht="12.6" customHeight="1">
      <c r="A461" s="15" t="s">
        <v>689</v>
      </c>
      <c r="C461" s="15" t="s">
        <v>674</v>
      </c>
      <c r="E461" s="36">
        <v>575651.24</v>
      </c>
      <c r="F461" s="36"/>
      <c r="G461" s="36">
        <v>35479.87</v>
      </c>
      <c r="H461" s="36"/>
      <c r="I461" s="36">
        <v>11869.05</v>
      </c>
      <c r="J461" s="36"/>
      <c r="K461" s="36">
        <v>3271.82</v>
      </c>
      <c r="L461" s="36"/>
      <c r="M461" s="36">
        <v>0</v>
      </c>
      <c r="N461" s="36"/>
      <c r="O461" s="36">
        <v>273324.79</v>
      </c>
      <c r="P461" s="36"/>
      <c r="Q461" s="36">
        <v>384165.13</v>
      </c>
      <c r="R461" s="36"/>
      <c r="S461" s="36">
        <v>150055.22</v>
      </c>
      <c r="T461" s="36"/>
      <c r="U461" s="36">
        <v>18719.01</v>
      </c>
      <c r="V461" s="36"/>
      <c r="W461" s="36">
        <v>3498.98</v>
      </c>
      <c r="X461" s="36"/>
      <c r="Y461" s="36">
        <v>116408.77</v>
      </c>
      <c r="Z461" s="36"/>
      <c r="AA461" s="36">
        <v>2800</v>
      </c>
      <c r="AB461" s="36"/>
      <c r="AC461" s="36">
        <v>0</v>
      </c>
      <c r="AD461" s="36"/>
      <c r="AE461" s="36">
        <f t="shared" si="190"/>
        <v>1575243.88</v>
      </c>
      <c r="AF461" s="36"/>
      <c r="AG461" s="36">
        <v>91095.96</v>
      </c>
      <c r="AH461" s="36"/>
      <c r="AI461" s="36">
        <v>1036351.67</v>
      </c>
      <c r="AJ461" s="36"/>
      <c r="AK461" s="36">
        <v>1127447.63</v>
      </c>
      <c r="AL461" s="39">
        <f>+'Gov Rev'!AI460-'Gov Exp'!AE461+'Gov Exp'!AI461-'Gov Exp'!AK461</f>
        <v>0</v>
      </c>
      <c r="AM461" s="15" t="str">
        <f>'Gov Rev'!A460</f>
        <v>North Kingsville</v>
      </c>
      <c r="AN461" s="15" t="str">
        <f t="shared" si="174"/>
        <v>North Kingsville</v>
      </c>
      <c r="AO461" s="15" t="b">
        <f t="shared" si="175"/>
        <v>1</v>
      </c>
    </row>
    <row r="462" spans="1:41" ht="12.6" customHeight="1">
      <c r="A462" s="15" t="s">
        <v>289</v>
      </c>
      <c r="C462" s="15" t="s">
        <v>287</v>
      </c>
      <c r="E462" s="36">
        <v>120932.18</v>
      </c>
      <c r="F462" s="36"/>
      <c r="G462" s="36">
        <v>335.89</v>
      </c>
      <c r="H462" s="36"/>
      <c r="I462" s="36">
        <v>2768.76</v>
      </c>
      <c r="J462" s="36"/>
      <c r="K462" s="36">
        <v>0</v>
      </c>
      <c r="L462" s="36"/>
      <c r="M462" s="36">
        <v>9399.25</v>
      </c>
      <c r="N462" s="36"/>
      <c r="O462" s="36">
        <v>78792.31</v>
      </c>
      <c r="P462" s="36"/>
      <c r="Q462" s="36">
        <v>160062.56</v>
      </c>
      <c r="R462" s="36"/>
      <c r="S462" s="36">
        <v>10626.53</v>
      </c>
      <c r="T462" s="36"/>
      <c r="U462" s="36">
        <v>0</v>
      </c>
      <c r="V462" s="36"/>
      <c r="W462" s="36">
        <v>0</v>
      </c>
      <c r="X462" s="36"/>
      <c r="Y462" s="36">
        <v>0</v>
      </c>
      <c r="Z462" s="36"/>
      <c r="AA462" s="36">
        <v>0</v>
      </c>
      <c r="AB462" s="36"/>
      <c r="AC462" s="36">
        <v>7951.37</v>
      </c>
      <c r="AD462" s="36"/>
      <c r="AE462" s="36">
        <f t="shared" si="190"/>
        <v>390868.85</v>
      </c>
      <c r="AF462" s="36"/>
      <c r="AG462" s="36">
        <v>-22066.51</v>
      </c>
      <c r="AH462" s="36"/>
      <c r="AI462" s="36">
        <v>473875.33</v>
      </c>
      <c r="AJ462" s="36"/>
      <c r="AK462" s="36">
        <v>451808.82</v>
      </c>
      <c r="AL462" s="39">
        <f>+'Gov Rev'!AI461-'Gov Exp'!AE462+'Gov Exp'!AI462-'Gov Exp'!AK462</f>
        <v>0</v>
      </c>
      <c r="AM462" s="15" t="str">
        <f>'Gov Rev'!A461</f>
        <v>North Lewisburg</v>
      </c>
      <c r="AN462" s="15" t="str">
        <f t="shared" si="174"/>
        <v>North Lewisburg</v>
      </c>
      <c r="AO462" s="15" t="b">
        <f t="shared" si="175"/>
        <v>1</v>
      </c>
    </row>
    <row r="463" spans="1:41" s="31" customFormat="1" ht="12.75">
      <c r="A463" s="15" t="s">
        <v>124</v>
      </c>
      <c r="B463" s="15"/>
      <c r="C463" s="15" t="s">
        <v>783</v>
      </c>
      <c r="D463" s="28"/>
      <c r="E463" s="36">
        <v>208728.02</v>
      </c>
      <c r="F463" s="36"/>
      <c r="G463" s="36">
        <v>88175</v>
      </c>
      <c r="H463" s="36"/>
      <c r="I463" s="36">
        <v>1334100.02</v>
      </c>
      <c r="J463" s="36"/>
      <c r="K463" s="36">
        <v>20748.24</v>
      </c>
      <c r="L463" s="36"/>
      <c r="M463" s="36">
        <v>288240.44</v>
      </c>
      <c r="N463" s="36"/>
      <c r="O463" s="36">
        <v>263334.68</v>
      </c>
      <c r="P463" s="36"/>
      <c r="Q463" s="36">
        <v>446021.6</v>
      </c>
      <c r="R463" s="36"/>
      <c r="S463" s="36">
        <v>503547.43</v>
      </c>
      <c r="T463" s="36"/>
      <c r="U463" s="36">
        <v>540000</v>
      </c>
      <c r="V463" s="36"/>
      <c r="W463" s="36">
        <v>122262.5</v>
      </c>
      <c r="X463" s="36"/>
      <c r="Y463" s="36">
        <v>662262.5</v>
      </c>
      <c r="Z463" s="36"/>
      <c r="AA463" s="36">
        <v>0</v>
      </c>
      <c r="AB463" s="36"/>
      <c r="AC463" s="36">
        <v>0</v>
      </c>
      <c r="AD463" s="36"/>
      <c r="AE463" s="36">
        <f t="shared" si="190"/>
        <v>4477420.43</v>
      </c>
      <c r="AF463" s="36"/>
      <c r="AG463" s="36">
        <v>-848741.27</v>
      </c>
      <c r="AH463" s="36"/>
      <c r="AI463" s="36">
        <v>14225224.97</v>
      </c>
      <c r="AJ463" s="36"/>
      <c r="AK463" s="36">
        <v>13376483.7</v>
      </c>
      <c r="AL463" s="39">
        <f>+'Gov Rev'!AI462-'Gov Exp'!AE463+'Gov Exp'!AI463-'Gov Exp'!AK463</f>
        <v>0</v>
      </c>
      <c r="AM463" s="15" t="str">
        <f>'Gov Rev'!A462</f>
        <v>North Perry</v>
      </c>
      <c r="AN463" s="15" t="str">
        <f t="shared" si="174"/>
        <v>North Perry</v>
      </c>
      <c r="AO463" s="15" t="b">
        <f t="shared" si="175"/>
        <v>1</v>
      </c>
    </row>
    <row r="464" spans="1:41" ht="12.75">
      <c r="A464" s="15" t="s">
        <v>844</v>
      </c>
      <c r="C464" s="15" t="s">
        <v>761</v>
      </c>
      <c r="D464" s="28"/>
      <c r="E464" s="24">
        <v>801518</v>
      </c>
      <c r="G464" s="24">
        <v>0</v>
      </c>
      <c r="I464" s="24">
        <v>13853</v>
      </c>
      <c r="K464" s="24">
        <v>75322</v>
      </c>
      <c r="M464" s="24">
        <v>72989</v>
      </c>
      <c r="O464" s="24">
        <v>33534</v>
      </c>
      <c r="Q464" s="24">
        <v>597766</v>
      </c>
      <c r="S464" s="24">
        <v>0</v>
      </c>
      <c r="U464" s="24">
        <v>187200</v>
      </c>
      <c r="W464" s="24">
        <v>0</v>
      </c>
      <c r="Y464" s="24">
        <v>0</v>
      </c>
      <c r="AA464" s="24">
        <v>0</v>
      </c>
      <c r="AC464" s="24">
        <v>0</v>
      </c>
      <c r="AE464" s="24">
        <f t="shared" si="166"/>
        <v>1782182</v>
      </c>
      <c r="AF464" s="24"/>
      <c r="AG464" s="24">
        <v>144893</v>
      </c>
      <c r="AH464" s="24"/>
      <c r="AI464" s="24">
        <v>78710</v>
      </c>
      <c r="AJ464" s="24"/>
      <c r="AK464" s="24">
        <v>223603</v>
      </c>
      <c r="AL464" s="39">
        <f>+'Gov Rev'!AI463-'Gov Exp'!AE464+'Gov Exp'!AI464-'Gov Exp'!AK464</f>
        <v>-1</v>
      </c>
      <c r="AM464" s="15" t="str">
        <f>'Gov Rev'!A463</f>
        <v>North Randall</v>
      </c>
      <c r="AN464" s="15" t="str">
        <f t="shared" si="174"/>
        <v>North Randall</v>
      </c>
      <c r="AO464" s="15" t="b">
        <f t="shared" si="175"/>
        <v>1</v>
      </c>
    </row>
    <row r="465" spans="1:41" s="31" customFormat="1" ht="12.6" customHeight="1">
      <c r="A465" s="15" t="s">
        <v>314</v>
      </c>
      <c r="B465" s="15"/>
      <c r="C465" s="15" t="s">
        <v>312</v>
      </c>
      <c r="D465" s="15"/>
      <c r="E465" s="24">
        <v>5043.33</v>
      </c>
      <c r="F465" s="24"/>
      <c r="G465" s="24">
        <v>679.36</v>
      </c>
      <c r="H465" s="24"/>
      <c r="I465" s="24">
        <v>0</v>
      </c>
      <c r="J465" s="24"/>
      <c r="K465" s="24">
        <v>0</v>
      </c>
      <c r="L465" s="24"/>
      <c r="M465" s="24">
        <v>1676.07</v>
      </c>
      <c r="N465" s="24"/>
      <c r="O465" s="24">
        <v>0</v>
      </c>
      <c r="P465" s="24"/>
      <c r="Q465" s="24">
        <f>18696.4+2387.78</f>
        <v>21084.18</v>
      </c>
      <c r="R465" s="24"/>
      <c r="S465" s="24">
        <v>0</v>
      </c>
      <c r="T465" s="24"/>
      <c r="U465" s="24">
        <v>0</v>
      </c>
      <c r="V465" s="24"/>
      <c r="W465" s="24">
        <v>0</v>
      </c>
      <c r="X465" s="24"/>
      <c r="Y465" s="24">
        <v>0</v>
      </c>
      <c r="Z465" s="24"/>
      <c r="AA465" s="24">
        <v>0</v>
      </c>
      <c r="AB465" s="24"/>
      <c r="AC465" s="24">
        <v>0</v>
      </c>
      <c r="AD465" s="24"/>
      <c r="AE465" s="24">
        <f t="shared" si="166"/>
        <v>28482.94</v>
      </c>
      <c r="AF465" s="24"/>
      <c r="AG465" s="24"/>
      <c r="AH465" s="24"/>
      <c r="AI465" s="24">
        <f>44659.08+25103.98</f>
        <v>69763.06</v>
      </c>
      <c r="AJ465" s="24"/>
      <c r="AK465" s="24">
        <f>52544.2+19561.08</f>
        <v>72105.28</v>
      </c>
      <c r="AL465" s="39">
        <f>+'Gov Rev'!AI464-'Gov Exp'!AE465+'Gov Exp'!AI465-'Gov Exp'!AK465</f>
        <v>-27</v>
      </c>
      <c r="AM465" s="15" t="str">
        <f>'Gov Rev'!A464</f>
        <v>North Robinson</v>
      </c>
      <c r="AN465" s="15" t="str">
        <f t="shared" si="174"/>
        <v>North Robinson</v>
      </c>
      <c r="AO465" s="15" t="b">
        <f t="shared" si="175"/>
        <v>1</v>
      </c>
    </row>
    <row r="466" spans="1:41" s="31" customFormat="1" ht="12.6" customHeight="1" hidden="1">
      <c r="A466" s="15" t="s">
        <v>334</v>
      </c>
      <c r="B466" s="15"/>
      <c r="C466" s="15" t="s">
        <v>329</v>
      </c>
      <c r="D466" s="15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>
        <f t="shared" si="166"/>
        <v>0</v>
      </c>
      <c r="AF466" s="24"/>
      <c r="AG466" s="24"/>
      <c r="AH466" s="24"/>
      <c r="AI466" s="24"/>
      <c r="AJ466" s="24"/>
      <c r="AK466" s="24"/>
      <c r="AL466" s="39">
        <f>+'Gov Rev'!AI465-'Gov Exp'!AE466+'Gov Exp'!AI466-'Gov Exp'!AK466</f>
        <v>0</v>
      </c>
      <c r="AM466" s="15" t="str">
        <f>'Gov Rev'!A465</f>
        <v xml:space="preserve">North Star </v>
      </c>
      <c r="AN466" s="15" t="str">
        <f t="shared" si="174"/>
        <v xml:space="preserve">North Star </v>
      </c>
      <c r="AO466" s="15" t="b">
        <f t="shared" si="175"/>
        <v>1</v>
      </c>
    </row>
    <row r="467" spans="1:41" s="29" customFormat="1" ht="12.75">
      <c r="A467" s="24" t="s">
        <v>553</v>
      </c>
      <c r="B467" s="24"/>
      <c r="C467" s="24" t="s">
        <v>551</v>
      </c>
      <c r="D467" s="24"/>
      <c r="E467" s="24">
        <v>35889.18</v>
      </c>
      <c r="F467" s="24"/>
      <c r="G467" s="24">
        <v>74778.62</v>
      </c>
      <c r="H467" s="24"/>
      <c r="I467" s="24">
        <v>4509.97</v>
      </c>
      <c r="J467" s="24"/>
      <c r="K467" s="24">
        <v>0</v>
      </c>
      <c r="L467" s="24"/>
      <c r="M467" s="24">
        <v>178971.81</v>
      </c>
      <c r="N467" s="24"/>
      <c r="O467" s="24">
        <f>319900.11+6509.84+75703.34</f>
        <v>402113.29000000004</v>
      </c>
      <c r="P467" s="24"/>
      <c r="Q467" s="24">
        <f>606856.59+28945.54+340.01</f>
        <v>636142.14</v>
      </c>
      <c r="R467" s="24"/>
      <c r="S467" s="24">
        <v>0</v>
      </c>
      <c r="T467" s="24"/>
      <c r="U467" s="24">
        <f>168928.24+75150.02</f>
        <v>244078.26</v>
      </c>
      <c r="V467" s="24"/>
      <c r="W467" s="24">
        <v>26655.87</v>
      </c>
      <c r="X467" s="24"/>
      <c r="Y467" s="24">
        <v>13948</v>
      </c>
      <c r="Z467" s="24"/>
      <c r="AA467" s="24">
        <v>0</v>
      </c>
      <c r="AB467" s="24"/>
      <c r="AC467" s="24">
        <v>0</v>
      </c>
      <c r="AD467" s="24"/>
      <c r="AE467" s="24">
        <f t="shared" si="166"/>
        <v>1617087.1400000001</v>
      </c>
      <c r="AF467" s="24"/>
      <c r="AG467" s="24">
        <f>31731.2+59426.67</f>
        <v>91157.87</v>
      </c>
      <c r="AH467" s="24"/>
      <c r="AI467" s="24">
        <f>313809.39+118278.07</f>
        <v>432087.46</v>
      </c>
      <c r="AJ467" s="24"/>
      <c r="AK467" s="24">
        <f>345540.59+177704.74</f>
        <v>523245.33</v>
      </c>
      <c r="AL467" s="39">
        <f>+'Gov Rev'!AI466-'Gov Exp'!AE467+'Gov Exp'!AI467-'Gov Exp'!AK467</f>
        <v>1761384.4700000002</v>
      </c>
      <c r="AM467" s="15" t="str">
        <f>'Gov Rev'!A466</f>
        <v>Northfield</v>
      </c>
      <c r="AN467" s="15" t="str">
        <f t="shared" si="174"/>
        <v>Northfield</v>
      </c>
      <c r="AO467" s="15" t="b">
        <f t="shared" si="175"/>
        <v>1</v>
      </c>
    </row>
    <row r="468" spans="1:41" ht="12.75">
      <c r="A468" s="15" t="s">
        <v>176</v>
      </c>
      <c r="C468" s="15" t="s">
        <v>800</v>
      </c>
      <c r="D468" s="28"/>
      <c r="E468" s="36">
        <v>1889.51</v>
      </c>
      <c r="F468" s="36"/>
      <c r="G468" s="36">
        <v>0</v>
      </c>
      <c r="H468" s="36"/>
      <c r="I468" s="36">
        <v>0</v>
      </c>
      <c r="J468" s="36"/>
      <c r="K468" s="36">
        <v>0</v>
      </c>
      <c r="L468" s="36"/>
      <c r="M468" s="36">
        <v>0</v>
      </c>
      <c r="N468" s="36"/>
      <c r="O468" s="36">
        <v>453.13</v>
      </c>
      <c r="P468" s="36"/>
      <c r="Q468" s="36">
        <v>12402.2</v>
      </c>
      <c r="R468" s="36"/>
      <c r="S468" s="36">
        <v>2074.81</v>
      </c>
      <c r="T468" s="36"/>
      <c r="U468" s="36">
        <v>0</v>
      </c>
      <c r="V468" s="36"/>
      <c r="W468" s="36">
        <v>0</v>
      </c>
      <c r="X468" s="36"/>
      <c r="Y468" s="36">
        <v>0</v>
      </c>
      <c r="Z468" s="36"/>
      <c r="AA468" s="36">
        <v>0</v>
      </c>
      <c r="AB468" s="36"/>
      <c r="AC468" s="36">
        <v>60</v>
      </c>
      <c r="AD468" s="36"/>
      <c r="AE468" s="36">
        <f aca="true" t="shared" si="191" ref="AE468">SUM(E468:AC468)</f>
        <v>16879.65</v>
      </c>
      <c r="AF468" s="36"/>
      <c r="AG468" s="36">
        <v>22955.45</v>
      </c>
      <c r="AH468" s="36"/>
      <c r="AI468" s="36">
        <v>138875.99</v>
      </c>
      <c r="AJ468" s="36"/>
      <c r="AK468" s="36">
        <v>161831.44</v>
      </c>
      <c r="AL468" s="39">
        <f>+'Gov Rev'!AI467-'Gov Exp'!AE468+'Gov Exp'!AI468-'Gov Exp'!AK468</f>
        <v>0</v>
      </c>
      <c r="AM468" s="15" t="str">
        <f>'Gov Rev'!A467</f>
        <v>Norwich</v>
      </c>
      <c r="AN468" s="15" t="str">
        <f t="shared" si="174"/>
        <v>Norwich</v>
      </c>
      <c r="AO468" s="15" t="b">
        <f t="shared" si="175"/>
        <v>1</v>
      </c>
    </row>
    <row r="469" spans="1:41" ht="12.75">
      <c r="A469" s="15" t="s">
        <v>495</v>
      </c>
      <c r="C469" s="15" t="s">
        <v>207</v>
      </c>
      <c r="E469" s="24">
        <v>629699</v>
      </c>
      <c r="G469" s="24">
        <v>8108</v>
      </c>
      <c r="I469" s="24">
        <v>39682</v>
      </c>
      <c r="K469" s="24">
        <v>1511</v>
      </c>
      <c r="M469" s="24">
        <v>0</v>
      </c>
      <c r="O469" s="24">
        <v>367538</v>
      </c>
      <c r="Q469" s="24">
        <v>265345</v>
      </c>
      <c r="S469" s="24">
        <v>333692</v>
      </c>
      <c r="U469" s="24">
        <v>0</v>
      </c>
      <c r="W469" s="24">
        <v>0</v>
      </c>
      <c r="Y469" s="24">
        <v>60000</v>
      </c>
      <c r="AA469" s="24">
        <v>0</v>
      </c>
      <c r="AC469" s="24">
        <v>12555</v>
      </c>
      <c r="AE469" s="24">
        <f t="shared" si="166"/>
        <v>1718130</v>
      </c>
      <c r="AF469" s="24"/>
      <c r="AG469" s="24">
        <v>-138266</v>
      </c>
      <c r="AH469" s="24"/>
      <c r="AI469" s="24">
        <v>1440955</v>
      </c>
      <c r="AJ469" s="24"/>
      <c r="AK469" s="24">
        <v>1302689</v>
      </c>
      <c r="AL469" s="39">
        <f>+'Gov Rev'!AI468-'Gov Exp'!AE469+'Gov Exp'!AI469-'Gov Exp'!AK469</f>
        <v>-885</v>
      </c>
      <c r="AM469" s="15" t="str">
        <f>'Gov Rev'!A468</f>
        <v>Oak Harbor</v>
      </c>
      <c r="AN469" s="15" t="str">
        <f t="shared" si="174"/>
        <v>Oak Harbor</v>
      </c>
      <c r="AO469" s="15" t="b">
        <f t="shared" si="175"/>
        <v>1</v>
      </c>
    </row>
    <row r="470" spans="1:41" s="31" customFormat="1" ht="12.75">
      <c r="A470" s="15" t="s">
        <v>114</v>
      </c>
      <c r="B470" s="15"/>
      <c r="C470" s="15" t="s">
        <v>666</v>
      </c>
      <c r="D470" s="28"/>
      <c r="E470" s="36">
        <v>258743.65</v>
      </c>
      <c r="F470" s="36"/>
      <c r="G470" s="36">
        <v>83051.12</v>
      </c>
      <c r="H470" s="36"/>
      <c r="I470" s="36">
        <v>0</v>
      </c>
      <c r="J470" s="36"/>
      <c r="K470" s="36">
        <v>4979.85</v>
      </c>
      <c r="L470" s="36"/>
      <c r="M470" s="36">
        <v>762819.83</v>
      </c>
      <c r="N470" s="36"/>
      <c r="O470" s="36">
        <v>55220.23</v>
      </c>
      <c r="P470" s="36"/>
      <c r="Q470" s="36">
        <v>40040.75</v>
      </c>
      <c r="R470" s="36"/>
      <c r="S470" s="36">
        <v>7054.73</v>
      </c>
      <c r="T470" s="36"/>
      <c r="U470" s="36">
        <v>2424.43</v>
      </c>
      <c r="V470" s="36"/>
      <c r="W470" s="36">
        <v>97.94</v>
      </c>
      <c r="X470" s="36"/>
      <c r="Y470" s="36">
        <v>0</v>
      </c>
      <c r="Z470" s="36"/>
      <c r="AA470" s="36">
        <v>166356.39</v>
      </c>
      <c r="AB470" s="36"/>
      <c r="AC470" s="36">
        <v>57160.18</v>
      </c>
      <c r="AD470" s="36"/>
      <c r="AE470" s="36">
        <f aca="true" t="shared" si="192" ref="AE470">SUM(E470:AC470)</f>
        <v>1437949.0999999999</v>
      </c>
      <c r="AF470" s="36"/>
      <c r="AG470" s="36">
        <v>-17230.64</v>
      </c>
      <c r="AH470" s="36"/>
      <c r="AI470" s="36">
        <v>392769.99</v>
      </c>
      <c r="AJ470" s="36"/>
      <c r="AK470" s="36">
        <v>375539.35</v>
      </c>
      <c r="AL470" s="39">
        <f>+'Gov Rev'!AI469-'Gov Exp'!AE470+'Gov Exp'!AI470-'Gov Exp'!AK470</f>
        <v>0</v>
      </c>
      <c r="AM470" s="15" t="str">
        <f>'Gov Rev'!A469</f>
        <v>Oak Hill</v>
      </c>
      <c r="AN470" s="15" t="str">
        <f t="shared" si="174"/>
        <v>Oak Hill</v>
      </c>
      <c r="AO470" s="15" t="b">
        <f t="shared" si="175"/>
        <v>1</v>
      </c>
    </row>
    <row r="471" spans="1:41" s="31" customFormat="1" ht="12.6" customHeight="1">
      <c r="A471" s="15" t="s">
        <v>325</v>
      </c>
      <c r="B471" s="15"/>
      <c r="C471" s="15" t="s">
        <v>316</v>
      </c>
      <c r="D471" s="15"/>
      <c r="E471" s="92">
        <v>3212723</v>
      </c>
      <c r="F471" s="92"/>
      <c r="G471" s="92">
        <v>0</v>
      </c>
      <c r="H471" s="92"/>
      <c r="I471" s="92">
        <v>226082</v>
      </c>
      <c r="J471" s="92"/>
      <c r="K471" s="92">
        <v>244551</v>
      </c>
      <c r="L471" s="92"/>
      <c r="M471" s="92">
        <v>210741</v>
      </c>
      <c r="N471" s="92"/>
      <c r="O471" s="92">
        <v>1001654</v>
      </c>
      <c r="P471" s="92"/>
      <c r="Q471" s="92">
        <v>2592254</v>
      </c>
      <c r="R471" s="92"/>
      <c r="S471" s="92">
        <v>155638</v>
      </c>
      <c r="T471" s="92"/>
      <c r="U471" s="92">
        <v>5030700</v>
      </c>
      <c r="V471" s="92"/>
      <c r="W471" s="92">
        <v>233458</v>
      </c>
      <c r="X471" s="92"/>
      <c r="Y471" s="92">
        <v>396100</v>
      </c>
      <c r="Z471" s="92"/>
      <c r="AA471" s="92">
        <v>0</v>
      </c>
      <c r="AB471" s="92"/>
      <c r="AC471" s="92">
        <v>0</v>
      </c>
      <c r="AD471" s="92"/>
      <c r="AE471" s="92">
        <f aca="true" t="shared" si="193" ref="AE471:AE532">SUM(E471:AC471)</f>
        <v>13303901</v>
      </c>
      <c r="AF471" s="24"/>
      <c r="AG471" s="24">
        <v>-119447</v>
      </c>
      <c r="AH471" s="24"/>
      <c r="AI471" s="24">
        <v>391240</v>
      </c>
      <c r="AJ471" s="24"/>
      <c r="AK471" s="24">
        <v>271793</v>
      </c>
      <c r="AL471" s="39">
        <f>+'Gov Rev'!AI470-'Gov Exp'!AE471+'Gov Exp'!AI471-'Gov Exp'!AK471</f>
        <v>0</v>
      </c>
      <c r="AM471" s="15" t="str">
        <f>'Gov Rev'!A470</f>
        <v>Oakwood</v>
      </c>
      <c r="AN471" s="15" t="str">
        <f t="shared" si="174"/>
        <v>Oakwood</v>
      </c>
      <c r="AO471" s="15" t="b">
        <f t="shared" si="175"/>
        <v>1</v>
      </c>
    </row>
    <row r="472" spans="1:41" ht="12.75">
      <c r="A472" s="15" t="s">
        <v>325</v>
      </c>
      <c r="C472" s="15" t="s">
        <v>497</v>
      </c>
      <c r="E472" s="24">
        <v>144249.32</v>
      </c>
      <c r="G472" s="24">
        <v>0</v>
      </c>
      <c r="I472" s="24">
        <v>463.32</v>
      </c>
      <c r="K472" s="24">
        <v>0</v>
      </c>
      <c r="M472" s="24">
        <v>0</v>
      </c>
      <c r="O472" s="24">
        <v>22529.88</v>
      </c>
      <c r="Q472" s="24">
        <v>73446.84</v>
      </c>
      <c r="S472" s="24">
        <v>1634435.2</v>
      </c>
      <c r="U472" s="24">
        <v>47084.07</v>
      </c>
      <c r="W472" s="24">
        <v>18035.29</v>
      </c>
      <c r="Y472" s="24">
        <v>25000</v>
      </c>
      <c r="AA472" s="24">
        <v>0</v>
      </c>
      <c r="AC472" s="24">
        <v>18196.52</v>
      </c>
      <c r="AE472" s="24">
        <f t="shared" si="193"/>
        <v>1983440.4400000002</v>
      </c>
      <c r="AF472" s="24"/>
      <c r="AG472" s="24">
        <v>152281.3</v>
      </c>
      <c r="AH472" s="24"/>
      <c r="AI472" s="24">
        <v>369307.05</v>
      </c>
      <c r="AJ472" s="24"/>
      <c r="AK472" s="24">
        <v>521588.35</v>
      </c>
      <c r="AL472" s="39">
        <f>+'Gov Rev'!AI471-'Gov Exp'!AE472+'Gov Exp'!AI472-'Gov Exp'!AK472</f>
        <v>0</v>
      </c>
      <c r="AM472" s="15" t="str">
        <f>'Gov Rev'!A471</f>
        <v>Oakwood</v>
      </c>
      <c r="AN472" s="15" t="str">
        <f t="shared" si="174"/>
        <v>Oakwood</v>
      </c>
      <c r="AO472" s="15" t="b">
        <f t="shared" si="175"/>
        <v>1</v>
      </c>
    </row>
    <row r="473" spans="1:41" s="31" customFormat="1" ht="12.75">
      <c r="A473" s="15" t="s">
        <v>75</v>
      </c>
      <c r="B473" s="15"/>
      <c r="C473" s="15" t="s">
        <v>768</v>
      </c>
      <c r="D473" s="28"/>
      <c r="E473" s="10">
        <v>1457583</v>
      </c>
      <c r="F473" s="10"/>
      <c r="G473" s="10">
        <v>22304</v>
      </c>
      <c r="H473" s="10"/>
      <c r="I473" s="10">
        <v>866459</v>
      </c>
      <c r="J473" s="10"/>
      <c r="K473" s="10">
        <v>280288</v>
      </c>
      <c r="L473" s="10"/>
      <c r="M473" s="10">
        <v>0</v>
      </c>
      <c r="N473" s="10"/>
      <c r="O473" s="10">
        <v>207556</v>
      </c>
      <c r="P473" s="10"/>
      <c r="Q473" s="10">
        <v>987646</v>
      </c>
      <c r="R473" s="10"/>
      <c r="S473" s="10">
        <v>5253952</v>
      </c>
      <c r="T473" s="10"/>
      <c r="U473" s="10">
        <v>1723771</v>
      </c>
      <c r="V473" s="10"/>
      <c r="W473" s="10">
        <v>456619</v>
      </c>
      <c r="X473" s="24"/>
      <c r="Y473" s="24">
        <v>201423</v>
      </c>
      <c r="Z473" s="24"/>
      <c r="AA473" s="24">
        <v>26460</v>
      </c>
      <c r="AB473" s="24"/>
      <c r="AC473" s="24">
        <v>0</v>
      </c>
      <c r="AD473" s="24"/>
      <c r="AE473" s="24">
        <f t="shared" si="193"/>
        <v>11484061</v>
      </c>
      <c r="AF473" s="24"/>
      <c r="AG473" s="10">
        <v>1100978</v>
      </c>
      <c r="AH473" s="10"/>
      <c r="AI473" s="10">
        <v>3525165</v>
      </c>
      <c r="AJ473" s="10"/>
      <c r="AK473" s="10">
        <v>4626143</v>
      </c>
      <c r="AL473" s="39">
        <f>+'Gov Rev'!AI472-'Gov Exp'!AE473+'Gov Exp'!AI473-'Gov Exp'!AK473</f>
        <v>0</v>
      </c>
      <c r="AM473" s="15" t="str">
        <f>'Gov Rev'!A472</f>
        <v>Obetz</v>
      </c>
      <c r="AN473" s="15" t="str">
        <f t="shared" si="174"/>
        <v>Obetz</v>
      </c>
      <c r="AO473" s="15" t="b">
        <f t="shared" si="175"/>
        <v>1</v>
      </c>
    </row>
    <row r="474" spans="1:41" ht="12.75">
      <c r="A474" s="15" t="s">
        <v>71</v>
      </c>
      <c r="C474" s="15" t="s">
        <v>767</v>
      </c>
      <c r="D474" s="28"/>
      <c r="E474" s="36">
        <v>6488.11</v>
      </c>
      <c r="F474" s="36"/>
      <c r="G474" s="36">
        <v>0</v>
      </c>
      <c r="H474" s="36"/>
      <c r="I474" s="36">
        <v>7645.67</v>
      </c>
      <c r="J474" s="36"/>
      <c r="K474" s="36">
        <v>1383.94</v>
      </c>
      <c r="L474" s="36"/>
      <c r="M474" s="36">
        <v>4698.62</v>
      </c>
      <c r="N474" s="36"/>
      <c r="O474" s="36">
        <v>5005.49</v>
      </c>
      <c r="P474" s="36"/>
      <c r="Q474" s="36">
        <v>54819.08</v>
      </c>
      <c r="R474" s="36"/>
      <c r="S474" s="36">
        <v>9370.71</v>
      </c>
      <c r="T474" s="36"/>
      <c r="U474" s="36">
        <v>2069.4</v>
      </c>
      <c r="V474" s="36"/>
      <c r="W474" s="36">
        <v>102.33</v>
      </c>
      <c r="X474" s="36"/>
      <c r="Y474" s="36">
        <v>0</v>
      </c>
      <c r="Z474" s="36"/>
      <c r="AA474" s="36">
        <v>622.45</v>
      </c>
      <c r="AB474" s="36"/>
      <c r="AC474" s="36">
        <v>292.97</v>
      </c>
      <c r="AD474" s="36"/>
      <c r="AE474" s="36">
        <f aca="true" t="shared" si="194" ref="AE474">SUM(E474:AC474)</f>
        <v>92498.76999999999</v>
      </c>
      <c r="AF474" s="36"/>
      <c r="AG474" s="36">
        <v>7044.53</v>
      </c>
      <c r="AH474" s="36"/>
      <c r="AI474" s="36">
        <v>16820.15</v>
      </c>
      <c r="AJ474" s="36"/>
      <c r="AK474" s="36">
        <v>23864.68</v>
      </c>
      <c r="AL474" s="39">
        <f>+'Gov Rev'!AI473-'Gov Exp'!AE474+'Gov Exp'!AI474-'Gov Exp'!AK474</f>
        <v>0</v>
      </c>
      <c r="AM474" s="15" t="str">
        <f>'Gov Rev'!A473</f>
        <v>Octa</v>
      </c>
      <c r="AN474" s="15" t="str">
        <f t="shared" si="174"/>
        <v>Octa</v>
      </c>
      <c r="AO474" s="15" t="b">
        <f t="shared" si="175"/>
        <v>1</v>
      </c>
    </row>
    <row r="475" spans="1:41" ht="12.75">
      <c r="A475" s="15" t="s">
        <v>575</v>
      </c>
      <c r="C475" s="15" t="s">
        <v>574</v>
      </c>
      <c r="E475" s="24">
        <f>35976+58938</f>
        <v>94914</v>
      </c>
      <c r="G475" s="24">
        <v>4613</v>
      </c>
      <c r="I475" s="24">
        <f>7058+25</f>
        <v>7083</v>
      </c>
      <c r="K475" s="24">
        <v>0</v>
      </c>
      <c r="M475" s="24">
        <v>12196</v>
      </c>
      <c r="O475" s="24">
        <v>36999</v>
      </c>
      <c r="Q475" s="24">
        <v>136596</v>
      </c>
      <c r="S475" s="24">
        <f>57748+185115+628670</f>
        <v>871533</v>
      </c>
      <c r="U475" s="24">
        <v>19000</v>
      </c>
      <c r="W475" s="24">
        <v>0</v>
      </c>
      <c r="Y475" s="24">
        <f>51569+7748</f>
        <v>59317</v>
      </c>
      <c r="AA475" s="24">
        <v>0</v>
      </c>
      <c r="AC475" s="24">
        <v>0</v>
      </c>
      <c r="AE475" s="24">
        <f t="shared" si="193"/>
        <v>1242251</v>
      </c>
      <c r="AF475" s="24"/>
      <c r="AG475" s="24">
        <f>-119564+5020-2033</f>
        <v>-116577</v>
      </c>
      <c r="AH475" s="24"/>
      <c r="AI475" s="24">
        <f>260985+88057+16572</f>
        <v>365614</v>
      </c>
      <c r="AJ475" s="24"/>
      <c r="AK475" s="24">
        <f>141421+93077+14539</f>
        <v>249037</v>
      </c>
      <c r="AL475" s="39">
        <f>+'Gov Rev'!AI475-'Gov Exp'!AE475+'Gov Exp'!AI475-'Gov Exp'!AK475</f>
        <v>0</v>
      </c>
      <c r="AM475" s="15" t="str">
        <f>'Gov Rev'!A475</f>
        <v xml:space="preserve">Ohio City </v>
      </c>
      <c r="AN475" s="15" t="str">
        <f t="shared" si="174"/>
        <v xml:space="preserve">Ohio City </v>
      </c>
      <c r="AO475" s="15" t="b">
        <f t="shared" si="175"/>
        <v>1</v>
      </c>
    </row>
    <row r="476" spans="1:41" ht="12.75">
      <c r="A476" s="15" t="s">
        <v>972</v>
      </c>
      <c r="C476" s="15" t="s">
        <v>375</v>
      </c>
      <c r="E476" s="95">
        <v>5844.95</v>
      </c>
      <c r="F476" s="95"/>
      <c r="G476" s="95">
        <v>10566.97</v>
      </c>
      <c r="H476" s="95"/>
      <c r="I476" s="95">
        <v>2147.67</v>
      </c>
      <c r="J476" s="95"/>
      <c r="K476" s="95">
        <v>0</v>
      </c>
      <c r="L476" s="95"/>
      <c r="M476" s="95">
        <v>531.99</v>
      </c>
      <c r="N476" s="95"/>
      <c r="O476" s="95">
        <v>26257.05</v>
      </c>
      <c r="P476" s="95"/>
      <c r="Q476" s="95">
        <v>28218.34</v>
      </c>
      <c r="R476" s="95"/>
      <c r="S476" s="95">
        <v>0</v>
      </c>
      <c r="T476" s="95"/>
      <c r="U476" s="95">
        <v>0</v>
      </c>
      <c r="V476" s="95"/>
      <c r="W476" s="95">
        <v>0</v>
      </c>
      <c r="X476" s="95"/>
      <c r="Y476" s="95">
        <v>0</v>
      </c>
      <c r="Z476" s="95"/>
      <c r="AA476" s="95">
        <v>0</v>
      </c>
      <c r="AB476" s="95"/>
      <c r="AC476" s="95">
        <v>0</v>
      </c>
      <c r="AD476" s="95"/>
      <c r="AE476" s="95">
        <f aca="true" t="shared" si="195" ref="AE476">SUM(E476:AC476)</f>
        <v>73566.97</v>
      </c>
      <c r="AF476" s="95"/>
      <c r="AG476" s="95">
        <v>-2903.09</v>
      </c>
      <c r="AH476" s="95"/>
      <c r="AI476" s="95">
        <v>118592.2</v>
      </c>
      <c r="AJ476" s="95"/>
      <c r="AK476" s="95">
        <v>115689.11</v>
      </c>
      <c r="AL476" s="39">
        <f>+'Gov Rev'!AI476-'Gov Exp'!AE476+'Gov Exp'!AI476-'Gov Exp'!AK476</f>
        <v>0</v>
      </c>
      <c r="AM476" s="15" t="str">
        <f>'Gov Rev'!A476</f>
        <v>Old Washington</v>
      </c>
      <c r="AN476" s="15" t="str">
        <f t="shared" si="174"/>
        <v>Old Washington</v>
      </c>
      <c r="AO476" s="15" t="b">
        <f t="shared" si="175"/>
        <v>1</v>
      </c>
    </row>
    <row r="477" spans="1:41" ht="12.75">
      <c r="A477" s="15" t="s">
        <v>922</v>
      </c>
      <c r="C477" s="15" t="s">
        <v>316</v>
      </c>
      <c r="E477" s="92">
        <v>2593409</v>
      </c>
      <c r="F477" s="92"/>
      <c r="G477" s="92">
        <v>0</v>
      </c>
      <c r="H477" s="92"/>
      <c r="I477" s="92">
        <v>3824</v>
      </c>
      <c r="J477" s="92"/>
      <c r="K477" s="92">
        <v>198732</v>
      </c>
      <c r="L477" s="92"/>
      <c r="M477" s="92">
        <v>165158</v>
      </c>
      <c r="N477" s="92"/>
      <c r="O477" s="92">
        <v>1375859</v>
      </c>
      <c r="P477" s="92"/>
      <c r="Q477" s="92">
        <v>1357745</v>
      </c>
      <c r="R477" s="92"/>
      <c r="S477" s="92">
        <v>968416</v>
      </c>
      <c r="T477" s="92"/>
      <c r="U477" s="92">
        <v>516308</v>
      </c>
      <c r="V477" s="92"/>
      <c r="W477" s="92">
        <v>340087</v>
      </c>
      <c r="X477" s="92"/>
      <c r="Y477" s="92">
        <v>621071</v>
      </c>
      <c r="Z477" s="92"/>
      <c r="AA477" s="92">
        <v>0</v>
      </c>
      <c r="AB477" s="92"/>
      <c r="AC477" s="92">
        <v>0</v>
      </c>
      <c r="AD477" s="92"/>
      <c r="AE477" s="92">
        <f aca="true" t="shared" si="196" ref="AE477">SUM(E477:AC477)</f>
        <v>8140609</v>
      </c>
      <c r="AF477" s="24"/>
      <c r="AG477" s="24">
        <v>-680096</v>
      </c>
      <c r="AH477" s="24"/>
      <c r="AI477" s="24">
        <v>4774358</v>
      </c>
      <c r="AJ477" s="24"/>
      <c r="AK477" s="24">
        <v>4094262</v>
      </c>
      <c r="AL477" s="39">
        <f>+'Gov Rev'!AI477-'Gov Exp'!AE477+'Gov Exp'!AI477-'Gov Exp'!AK477</f>
        <v>0</v>
      </c>
      <c r="AM477" s="15" t="str">
        <f>'Gov Rev'!A477</f>
        <v xml:space="preserve">Orange </v>
      </c>
      <c r="AN477" s="15" t="str">
        <f aca="true" t="shared" si="197" ref="AN477">A477</f>
        <v xml:space="preserve">Orange </v>
      </c>
      <c r="AO477" s="15" t="b">
        <f aca="true" t="shared" si="198" ref="AO477">AM477=AN477</f>
        <v>1</v>
      </c>
    </row>
    <row r="478" spans="4:38" ht="12.75">
      <c r="D478" s="28"/>
      <c r="AE478" s="83" t="s">
        <v>864</v>
      </c>
      <c r="AF478" s="24"/>
      <c r="AG478" s="24"/>
      <c r="AH478" s="24"/>
      <c r="AI478" s="24"/>
      <c r="AJ478" s="24"/>
      <c r="AK478" s="24"/>
      <c r="AL478" s="39"/>
    </row>
    <row r="479" spans="1:41" ht="12.75">
      <c r="A479" s="15" t="s">
        <v>229</v>
      </c>
      <c r="C479" s="15" t="s">
        <v>817</v>
      </c>
      <c r="D479" s="28"/>
      <c r="E479" s="94">
        <v>21193.2</v>
      </c>
      <c r="F479" s="94"/>
      <c r="G479" s="94">
        <v>0</v>
      </c>
      <c r="H479" s="94"/>
      <c r="I479" s="94">
        <v>0</v>
      </c>
      <c r="J479" s="94"/>
      <c r="K479" s="94">
        <v>0</v>
      </c>
      <c r="L479" s="94"/>
      <c r="M479" s="94">
        <v>0</v>
      </c>
      <c r="N479" s="94"/>
      <c r="O479" s="94">
        <v>11053.06</v>
      </c>
      <c r="P479" s="94"/>
      <c r="Q479" s="94">
        <v>16433.38</v>
      </c>
      <c r="R479" s="94"/>
      <c r="S479" s="94">
        <v>0</v>
      </c>
      <c r="T479" s="94"/>
      <c r="U479" s="94">
        <v>0</v>
      </c>
      <c r="V479" s="94"/>
      <c r="W479" s="94">
        <v>0</v>
      </c>
      <c r="X479" s="94"/>
      <c r="Y479" s="94">
        <v>0</v>
      </c>
      <c r="Z479" s="94"/>
      <c r="AA479" s="94">
        <v>0</v>
      </c>
      <c r="AB479" s="94"/>
      <c r="AC479" s="94">
        <v>0</v>
      </c>
      <c r="AD479" s="94"/>
      <c r="AE479" s="94">
        <f aca="true" t="shared" si="199" ref="AE479">SUM(E479:AC479)</f>
        <v>48679.64</v>
      </c>
      <c r="AF479" s="95"/>
      <c r="AG479" s="95">
        <v>8426.68</v>
      </c>
      <c r="AH479" s="95"/>
      <c r="AI479" s="95">
        <v>53494.76</v>
      </c>
      <c r="AJ479" s="95"/>
      <c r="AK479" s="95">
        <v>61921.44</v>
      </c>
      <c r="AL479" s="39">
        <f>+'Gov Rev'!AI478-'Gov Exp'!AE479+'Gov Exp'!AI479-'Gov Exp'!AK479</f>
        <v>0</v>
      </c>
      <c r="AM479" s="15" t="str">
        <f>'Gov Rev'!A478</f>
        <v>Orangeville</v>
      </c>
      <c r="AN479" s="15" t="str">
        <f t="shared" si="174"/>
        <v>Orangeville</v>
      </c>
      <c r="AO479" s="15" t="b">
        <f t="shared" si="175"/>
        <v>1</v>
      </c>
    </row>
    <row r="480" spans="1:41" ht="12.75">
      <c r="A480" s="15" t="s">
        <v>190</v>
      </c>
      <c r="C480" s="15" t="s">
        <v>804</v>
      </c>
      <c r="D480" s="28"/>
      <c r="E480" s="36">
        <v>3750</v>
      </c>
      <c r="F480" s="36"/>
      <c r="G480" s="36">
        <v>724.49</v>
      </c>
      <c r="H480" s="36"/>
      <c r="I480" s="36">
        <v>0</v>
      </c>
      <c r="J480" s="36"/>
      <c r="K480" s="36">
        <v>0</v>
      </c>
      <c r="L480" s="36"/>
      <c r="M480" s="36">
        <v>0</v>
      </c>
      <c r="N480" s="36"/>
      <c r="O480" s="36">
        <v>40501.24</v>
      </c>
      <c r="P480" s="36"/>
      <c r="Q480" s="36">
        <v>16185.43</v>
      </c>
      <c r="R480" s="36"/>
      <c r="S480" s="36">
        <v>45000</v>
      </c>
      <c r="T480" s="36"/>
      <c r="U480" s="36">
        <v>0</v>
      </c>
      <c r="V480" s="36"/>
      <c r="W480" s="36">
        <v>0</v>
      </c>
      <c r="X480" s="36"/>
      <c r="Y480" s="36">
        <v>0</v>
      </c>
      <c r="Z480" s="36"/>
      <c r="AA480" s="36">
        <v>0</v>
      </c>
      <c r="AB480" s="36"/>
      <c r="AC480" s="36">
        <v>0</v>
      </c>
      <c r="AD480" s="36"/>
      <c r="AE480" s="36">
        <f aca="true" t="shared" si="200" ref="AE480">SUM(E480:AC480)</f>
        <v>106161.16</v>
      </c>
      <c r="AF480" s="36"/>
      <c r="AG480" s="36">
        <v>-6611.46</v>
      </c>
      <c r="AH480" s="36"/>
      <c r="AI480" s="36">
        <v>104012.04</v>
      </c>
      <c r="AJ480" s="36"/>
      <c r="AK480" s="36">
        <v>97400.58</v>
      </c>
      <c r="AL480" s="39">
        <f>+'Gov Rev'!AI479-'Gov Exp'!AE480+'Gov Exp'!AI480-'Gov Exp'!AK480</f>
        <v>0</v>
      </c>
      <c r="AM480" s="15" t="str">
        <f>'Gov Rev'!A479</f>
        <v>Orient</v>
      </c>
      <c r="AN480" s="15" t="str">
        <f t="shared" si="174"/>
        <v>Orient</v>
      </c>
      <c r="AO480" s="15" t="b">
        <f t="shared" si="175"/>
        <v>1</v>
      </c>
    </row>
    <row r="481" spans="1:41" ht="12.75">
      <c r="A481" s="15" t="s">
        <v>678</v>
      </c>
      <c r="C481" s="15" t="s">
        <v>674</v>
      </c>
      <c r="D481" s="28"/>
      <c r="E481" s="24">
        <v>824461</v>
      </c>
      <c r="G481" s="24">
        <v>27282</v>
      </c>
      <c r="I481" s="24">
        <v>6343</v>
      </c>
      <c r="K481" s="24">
        <v>6591</v>
      </c>
      <c r="M481" s="24">
        <v>22269</v>
      </c>
      <c r="O481" s="24">
        <v>146068</v>
      </c>
      <c r="Q481" s="24">
        <v>970839</v>
      </c>
      <c r="S481" s="24">
        <v>71462</v>
      </c>
      <c r="U481" s="24">
        <v>0</v>
      </c>
      <c r="W481" s="24">
        <v>0</v>
      </c>
      <c r="Y481" s="24">
        <v>0</v>
      </c>
      <c r="AA481" s="24">
        <v>0</v>
      </c>
      <c r="AC481" s="24">
        <v>64620</v>
      </c>
      <c r="AE481" s="24">
        <f t="shared" si="193"/>
        <v>2139935</v>
      </c>
      <c r="AF481" s="24"/>
      <c r="AG481" s="24">
        <v>-64031</v>
      </c>
      <c r="AH481" s="24"/>
      <c r="AI481" s="24">
        <v>1835118</v>
      </c>
      <c r="AJ481" s="24"/>
      <c r="AK481" s="24">
        <v>890201</v>
      </c>
      <c r="AL481" s="39">
        <f>+'Gov Rev'!AI480-'Gov Exp'!AE481+'Gov Exp'!AI481-'Gov Exp'!AK481</f>
        <v>880886</v>
      </c>
      <c r="AM481" s="15" t="str">
        <f>'Gov Rev'!A480</f>
        <v>Orwell</v>
      </c>
      <c r="AN481" s="15" t="str">
        <f t="shared" si="174"/>
        <v>Orwell</v>
      </c>
      <c r="AO481" s="15" t="b">
        <f t="shared" si="175"/>
        <v>1</v>
      </c>
    </row>
    <row r="482" spans="1:41" ht="12.6" customHeight="1">
      <c r="A482" s="15" t="s">
        <v>335</v>
      </c>
      <c r="C482" s="15" t="s">
        <v>329</v>
      </c>
      <c r="E482" s="96">
        <v>7235</v>
      </c>
      <c r="F482" s="96"/>
      <c r="G482" s="96">
        <v>1844</v>
      </c>
      <c r="H482" s="96"/>
      <c r="I482" s="96">
        <v>4374</v>
      </c>
      <c r="J482" s="96"/>
      <c r="K482" s="96">
        <v>0</v>
      </c>
      <c r="L482" s="96"/>
      <c r="M482" s="96">
        <v>0</v>
      </c>
      <c r="N482" s="96"/>
      <c r="O482" s="96">
        <v>6808</v>
      </c>
      <c r="P482" s="96"/>
      <c r="Q482" s="96">
        <f>37954+1180772</f>
        <v>1218726</v>
      </c>
      <c r="R482" s="96"/>
      <c r="S482" s="96">
        <v>386379</v>
      </c>
      <c r="T482" s="96"/>
      <c r="U482" s="96">
        <v>4173</v>
      </c>
      <c r="V482" s="96"/>
      <c r="W482" s="96">
        <v>0</v>
      </c>
      <c r="X482" s="96"/>
      <c r="Y482" s="96">
        <f>98173+76791</f>
        <v>174964</v>
      </c>
      <c r="Z482" s="96"/>
      <c r="AA482" s="96">
        <v>95000</v>
      </c>
      <c r="AB482" s="96"/>
      <c r="AC482" s="96">
        <v>2230</v>
      </c>
      <c r="AD482" s="96"/>
      <c r="AE482" s="96">
        <f t="shared" si="193"/>
        <v>1901733</v>
      </c>
      <c r="AF482" s="24"/>
      <c r="AG482" s="24">
        <f>-44707-82438-60915+339163</f>
        <v>151103</v>
      </c>
      <c r="AH482" s="24"/>
      <c r="AI482" s="24">
        <v>621493</v>
      </c>
      <c r="AJ482" s="24"/>
      <c r="AK482" s="24">
        <v>772596</v>
      </c>
      <c r="AL482" s="39">
        <f>+'Gov Rev'!AI481-'Gov Exp'!AE482+'Gov Exp'!AI482-'Gov Exp'!AK482</f>
        <v>-7</v>
      </c>
      <c r="AM482" s="15" t="str">
        <f>'Gov Rev'!A481</f>
        <v>Osgood</v>
      </c>
      <c r="AN482" s="15" t="str">
        <f t="shared" si="174"/>
        <v>Osgood</v>
      </c>
      <c r="AO482" s="15" t="b">
        <f t="shared" si="175"/>
        <v>1</v>
      </c>
    </row>
    <row r="483" spans="1:41" ht="12.6" customHeight="1">
      <c r="A483" s="15" t="s">
        <v>344</v>
      </c>
      <c r="C483" s="15" t="s">
        <v>343</v>
      </c>
      <c r="E483" s="24">
        <v>14013</v>
      </c>
      <c r="G483" s="24">
        <v>657</v>
      </c>
      <c r="I483" s="24">
        <v>0</v>
      </c>
      <c r="K483" s="24">
        <v>11087</v>
      </c>
      <c r="M483" s="24">
        <v>0</v>
      </c>
      <c r="O483" s="24">
        <v>201703</v>
      </c>
      <c r="Q483" s="24">
        <v>36284</v>
      </c>
      <c r="S483" s="24">
        <v>7866</v>
      </c>
      <c r="U483" s="24">
        <v>0</v>
      </c>
      <c r="W483" s="24">
        <v>0</v>
      </c>
      <c r="Y483" s="24">
        <v>12000</v>
      </c>
      <c r="AA483" s="24">
        <v>0</v>
      </c>
      <c r="AC483" s="24">
        <v>0</v>
      </c>
      <c r="AE483" s="24">
        <f t="shared" si="193"/>
        <v>283610</v>
      </c>
      <c r="AF483" s="24"/>
      <c r="AG483" s="24">
        <v>-25362</v>
      </c>
      <c r="AH483" s="24"/>
      <c r="AI483" s="24">
        <v>68911</v>
      </c>
      <c r="AJ483" s="24"/>
      <c r="AK483" s="24">
        <v>43549</v>
      </c>
      <c r="AL483" s="39">
        <f>+'Gov Rev'!AI482-'Gov Exp'!AE483+'Gov Exp'!AI483-'Gov Exp'!AK483</f>
        <v>0</v>
      </c>
      <c r="AM483" s="15" t="str">
        <f>'Gov Rev'!A482</f>
        <v>Ostrander</v>
      </c>
      <c r="AN483" s="15" t="str">
        <f t="shared" si="174"/>
        <v>Ostrander</v>
      </c>
      <c r="AO483" s="15" t="b">
        <f t="shared" si="175"/>
        <v>1</v>
      </c>
    </row>
    <row r="484" spans="1:41" ht="12.75">
      <c r="A484" s="15" t="s">
        <v>207</v>
      </c>
      <c r="C484" s="15" t="s">
        <v>808</v>
      </c>
      <c r="D484" s="28"/>
      <c r="E484" s="36">
        <v>685930.37</v>
      </c>
      <c r="F484" s="36"/>
      <c r="G484" s="36">
        <v>0</v>
      </c>
      <c r="H484" s="36"/>
      <c r="I484" s="36">
        <v>110202.17</v>
      </c>
      <c r="J484" s="36"/>
      <c r="K484" s="36">
        <v>105787.07</v>
      </c>
      <c r="L484" s="36"/>
      <c r="M484" s="36">
        <v>0</v>
      </c>
      <c r="N484" s="36"/>
      <c r="O484" s="36">
        <v>246354.4</v>
      </c>
      <c r="P484" s="36"/>
      <c r="Q484" s="36">
        <v>532308.38</v>
      </c>
      <c r="R484" s="36"/>
      <c r="S484" s="36">
        <v>2433020.91</v>
      </c>
      <c r="T484" s="36"/>
      <c r="U484" s="36">
        <v>1395072.22</v>
      </c>
      <c r="V484" s="36"/>
      <c r="W484" s="36">
        <v>91175.28</v>
      </c>
      <c r="X484" s="36"/>
      <c r="Y484" s="36">
        <v>0</v>
      </c>
      <c r="Z484" s="36"/>
      <c r="AA484" s="36">
        <v>0</v>
      </c>
      <c r="AB484" s="36"/>
      <c r="AC484" s="36">
        <v>109.53</v>
      </c>
      <c r="AD484" s="36"/>
      <c r="AE484" s="36">
        <f aca="true" t="shared" si="201" ref="AE484">SUM(E484:AC484)</f>
        <v>5599960.330000001</v>
      </c>
      <c r="AF484" s="36"/>
      <c r="AG484" s="36">
        <v>2121842.79</v>
      </c>
      <c r="AH484" s="36"/>
      <c r="AI484" s="36">
        <v>4302345.93</v>
      </c>
      <c r="AJ484" s="36"/>
      <c r="AK484" s="36">
        <v>6424188.72</v>
      </c>
      <c r="AL484" s="39">
        <f>+'Gov Rev'!AI483-'Gov Exp'!AE484+'Gov Exp'!AI484-'Gov Exp'!AK484</f>
        <v>0</v>
      </c>
      <c r="AM484" s="15" t="str">
        <f>'Gov Rev'!A483</f>
        <v>Ottawa</v>
      </c>
      <c r="AN484" s="15" t="str">
        <f aca="true" t="shared" si="202" ref="AN484:AN549">A484</f>
        <v>Ottawa</v>
      </c>
      <c r="AO484" s="15" t="b">
        <f aca="true" t="shared" si="203" ref="AO484:AO549">AM484=AN484</f>
        <v>1</v>
      </c>
    </row>
    <row r="485" spans="1:41" ht="12.75">
      <c r="A485" s="15" t="s">
        <v>456</v>
      </c>
      <c r="C485" s="15" t="s">
        <v>455</v>
      </c>
      <c r="E485" s="24">
        <v>2308787</v>
      </c>
      <c r="G485" s="24">
        <v>36479</v>
      </c>
      <c r="I485" s="24">
        <v>446155</v>
      </c>
      <c r="K485" s="24">
        <v>0</v>
      </c>
      <c r="M485" s="24">
        <v>492305</v>
      </c>
      <c r="O485" s="24">
        <v>487517</v>
      </c>
      <c r="Q485" s="24">
        <v>828245</v>
      </c>
      <c r="S485" s="24">
        <v>216077</v>
      </c>
      <c r="U485" s="24">
        <v>269959</v>
      </c>
      <c r="W485" s="24">
        <v>176000</v>
      </c>
      <c r="Y485" s="24">
        <v>1122000</v>
      </c>
      <c r="AA485" s="24">
        <v>0</v>
      </c>
      <c r="AC485" s="24">
        <v>0</v>
      </c>
      <c r="AE485" s="24">
        <f t="shared" si="193"/>
        <v>6383524</v>
      </c>
      <c r="AF485" s="24"/>
      <c r="AG485" s="24">
        <v>182534</v>
      </c>
      <c r="AH485" s="24"/>
      <c r="AI485" s="24">
        <v>12497086</v>
      </c>
      <c r="AJ485" s="24"/>
      <c r="AK485" s="24">
        <v>12679620</v>
      </c>
      <c r="AL485" s="39">
        <f>+'Gov Rev'!AI484-'Gov Exp'!AE485+'Gov Exp'!AI485-'Gov Exp'!AK485</f>
        <v>0</v>
      </c>
      <c r="AM485" s="15" t="str">
        <f>'Gov Rev'!A484</f>
        <v>Ottawa Hills</v>
      </c>
      <c r="AN485" s="15" t="str">
        <f t="shared" si="202"/>
        <v>Ottawa Hills</v>
      </c>
      <c r="AO485" s="15" t="b">
        <f t="shared" si="203"/>
        <v>1</v>
      </c>
    </row>
    <row r="486" spans="1:41" ht="12.75">
      <c r="A486" s="15" t="s">
        <v>517</v>
      </c>
      <c r="C486" s="15" t="s">
        <v>514</v>
      </c>
      <c r="E486" s="36">
        <v>174551.66</v>
      </c>
      <c r="F486" s="36"/>
      <c r="G486" s="36">
        <v>0</v>
      </c>
      <c r="H486" s="36"/>
      <c r="I486" s="36">
        <v>0</v>
      </c>
      <c r="J486" s="36"/>
      <c r="K486" s="36">
        <v>0</v>
      </c>
      <c r="L486" s="36"/>
      <c r="M486" s="36">
        <v>0</v>
      </c>
      <c r="N486" s="36"/>
      <c r="O486" s="36">
        <v>357950.49</v>
      </c>
      <c r="P486" s="36"/>
      <c r="Q486" s="36">
        <v>152348.53</v>
      </c>
      <c r="R486" s="36"/>
      <c r="S486" s="36">
        <v>338548.72</v>
      </c>
      <c r="T486" s="36"/>
      <c r="U486" s="36">
        <v>22719.71</v>
      </c>
      <c r="V486" s="36"/>
      <c r="W486" s="36">
        <v>1191.85</v>
      </c>
      <c r="X486" s="36"/>
      <c r="Y486" s="36">
        <v>142034.75</v>
      </c>
      <c r="Z486" s="36"/>
      <c r="AA486" s="36">
        <v>0</v>
      </c>
      <c r="AB486" s="36"/>
      <c r="AC486" s="36">
        <v>0</v>
      </c>
      <c r="AD486" s="36"/>
      <c r="AE486" s="36">
        <f aca="true" t="shared" si="204" ref="AE486">SUM(E486:AC486)</f>
        <v>1189345.71</v>
      </c>
      <c r="AF486" s="36"/>
      <c r="AG486" s="36">
        <v>-139188.09</v>
      </c>
      <c r="AH486" s="36"/>
      <c r="AI486" s="36">
        <v>449853.54</v>
      </c>
      <c r="AJ486" s="36"/>
      <c r="AK486" s="36">
        <v>310665.45</v>
      </c>
      <c r="AL486" s="39">
        <f>+'Gov Rev'!AI485-'Gov Exp'!AE486+'Gov Exp'!AI486-'Gov Exp'!AK486</f>
        <v>0</v>
      </c>
      <c r="AM486" s="15" t="str">
        <f>'Gov Rev'!A485</f>
        <v>Ottoville</v>
      </c>
      <c r="AN486" s="15" t="str">
        <f t="shared" si="202"/>
        <v>Ottoville</v>
      </c>
      <c r="AO486" s="15" t="b">
        <f t="shared" si="203"/>
        <v>1</v>
      </c>
    </row>
    <row r="487" spans="1:41" s="24" customFormat="1" ht="12.75">
      <c r="A487" s="24" t="s">
        <v>216</v>
      </c>
      <c r="C487" s="24" t="s">
        <v>812</v>
      </c>
      <c r="D487" s="73"/>
      <c r="E487" s="24">
        <v>49807.72</v>
      </c>
      <c r="G487" s="24">
        <v>0</v>
      </c>
      <c r="I487" s="24">
        <v>0</v>
      </c>
      <c r="K487" s="24">
        <v>155.13</v>
      </c>
      <c r="M487" s="24">
        <v>20826.98</v>
      </c>
      <c r="O487" s="24">
        <v>1574.65</v>
      </c>
      <c r="Q487" s="24">
        <v>15310.57</v>
      </c>
      <c r="S487" s="24">
        <v>0</v>
      </c>
      <c r="U487" s="24">
        <v>0</v>
      </c>
      <c r="W487" s="24">
        <v>0</v>
      </c>
      <c r="Y487" s="24">
        <v>0</v>
      </c>
      <c r="AA487" s="24">
        <v>0</v>
      </c>
      <c r="AC487" s="24">
        <v>0</v>
      </c>
      <c r="AE487" s="24">
        <f t="shared" si="193"/>
        <v>87675.04999999999</v>
      </c>
      <c r="AG487" s="24">
        <v>-9092.16</v>
      </c>
      <c r="AI487" s="24">
        <v>20860.79</v>
      </c>
      <c r="AK487" s="24">
        <v>11768.63</v>
      </c>
      <c r="AL487" s="39">
        <f>+'Gov Rev'!AI486-'Gov Exp'!AE487+'Gov Exp'!AI487-'Gov Exp'!AK487</f>
        <v>0</v>
      </c>
      <c r="AM487" s="15" t="str">
        <f>'Gov Rev'!A486</f>
        <v>Otway</v>
      </c>
      <c r="AN487" s="15" t="str">
        <f t="shared" si="202"/>
        <v>Otway</v>
      </c>
      <c r="AO487" s="15" t="b">
        <f t="shared" si="203"/>
        <v>1</v>
      </c>
    </row>
    <row r="488" spans="1:41" ht="12.75">
      <c r="A488" s="15" t="s">
        <v>39</v>
      </c>
      <c r="C488" s="15" t="s">
        <v>756</v>
      </c>
      <c r="D488" s="28"/>
      <c r="E488" s="36">
        <v>272365.25</v>
      </c>
      <c r="F488" s="36"/>
      <c r="G488" s="36">
        <v>2800</v>
      </c>
      <c r="H488" s="36"/>
      <c r="I488" s="36">
        <v>8756.44</v>
      </c>
      <c r="J488" s="36"/>
      <c r="K488" s="36">
        <v>0</v>
      </c>
      <c r="L488" s="36"/>
      <c r="M488" s="36">
        <v>0</v>
      </c>
      <c r="N488" s="36"/>
      <c r="O488" s="36">
        <v>20261.23</v>
      </c>
      <c r="P488" s="36"/>
      <c r="Q488" s="36">
        <v>172371.01</v>
      </c>
      <c r="R488" s="36"/>
      <c r="S488" s="36">
        <v>5397.25</v>
      </c>
      <c r="T488" s="36"/>
      <c r="U488" s="36">
        <v>0</v>
      </c>
      <c r="V488" s="36"/>
      <c r="W488" s="36">
        <v>0</v>
      </c>
      <c r="X488" s="36"/>
      <c r="Y488" s="36">
        <v>0</v>
      </c>
      <c r="Z488" s="36"/>
      <c r="AA488" s="36">
        <v>0</v>
      </c>
      <c r="AB488" s="36"/>
      <c r="AC488" s="36">
        <v>11.73</v>
      </c>
      <c r="AD488" s="36"/>
      <c r="AE488" s="36">
        <f aca="true" t="shared" si="205" ref="AE488">SUM(E488:AC488)</f>
        <v>481962.91</v>
      </c>
      <c r="AF488" s="36"/>
      <c r="AG488" s="36">
        <v>18859.83</v>
      </c>
      <c r="AH488" s="36"/>
      <c r="AI488" s="36">
        <v>580252.49</v>
      </c>
      <c r="AJ488" s="36"/>
      <c r="AK488" s="36">
        <v>599112.32</v>
      </c>
      <c r="AL488" s="39">
        <f>+'Gov Rev'!AI487-'Gov Exp'!AE488+'Gov Exp'!AI488-'Gov Exp'!AK488</f>
        <v>0</v>
      </c>
      <c r="AM488" s="15" t="str">
        <f>'Gov Rev'!A487</f>
        <v>Owensville</v>
      </c>
      <c r="AN488" s="15" t="str">
        <f t="shared" si="202"/>
        <v>Owensville</v>
      </c>
      <c r="AO488" s="15" t="b">
        <f t="shared" si="203"/>
        <v>1</v>
      </c>
    </row>
    <row r="489" spans="1:41" ht="12.75" hidden="1">
      <c r="A489" s="15" t="s">
        <v>907</v>
      </c>
      <c r="C489" s="15" t="s">
        <v>329</v>
      </c>
      <c r="AE489" s="24">
        <f t="shared" si="193"/>
        <v>0</v>
      </c>
      <c r="AF489" s="24"/>
      <c r="AG489" s="24"/>
      <c r="AH489" s="24"/>
      <c r="AI489" s="24"/>
      <c r="AJ489" s="24"/>
      <c r="AK489" s="24"/>
      <c r="AL489" s="39">
        <f>+'Gov Rev'!AI488-'Gov Exp'!AE489+'Gov Exp'!AI489-'Gov Exp'!AK489</f>
        <v>0</v>
      </c>
      <c r="AM489" s="15" t="str">
        <f>'Gov Rev'!A488</f>
        <v>Palestine</v>
      </c>
      <c r="AN489" s="15" t="str">
        <f t="shared" si="202"/>
        <v>Palestine</v>
      </c>
      <c r="AO489" s="15" t="b">
        <f t="shared" si="203"/>
        <v>1</v>
      </c>
    </row>
    <row r="490" spans="1:41" ht="12.75">
      <c r="A490" s="15" t="s">
        <v>518</v>
      </c>
      <c r="C490" s="15" t="s">
        <v>514</v>
      </c>
      <c r="E490" s="24">
        <v>182475</v>
      </c>
      <c r="G490" s="24">
        <v>7766</v>
      </c>
      <c r="I490" s="24">
        <v>16082</v>
      </c>
      <c r="K490" s="24">
        <v>0</v>
      </c>
      <c r="M490" s="24">
        <v>20477</v>
      </c>
      <c r="O490" s="24">
        <v>107888</v>
      </c>
      <c r="Q490" s="24">
        <v>161140</v>
      </c>
      <c r="S490" s="24">
        <v>295699</v>
      </c>
      <c r="U490" s="24">
        <v>9749</v>
      </c>
      <c r="W490" s="24">
        <v>903</v>
      </c>
      <c r="Y490" s="24">
        <v>36000</v>
      </c>
      <c r="AA490" s="24">
        <v>0</v>
      </c>
      <c r="AC490" s="24">
        <v>0</v>
      </c>
      <c r="AE490" s="24">
        <f t="shared" si="193"/>
        <v>838179</v>
      </c>
      <c r="AF490" s="24"/>
      <c r="AG490" s="24">
        <v>-223314</v>
      </c>
      <c r="AH490" s="24"/>
      <c r="AI490" s="24">
        <v>335599</v>
      </c>
      <c r="AJ490" s="24"/>
      <c r="AK490" s="24">
        <v>112285</v>
      </c>
      <c r="AL490" s="39">
        <f>+'Gov Rev'!AI489-'Gov Exp'!AE490+'Gov Exp'!AI490-'Gov Exp'!AK490</f>
        <v>0</v>
      </c>
      <c r="AM490" s="15" t="str">
        <f>'Gov Rev'!A489</f>
        <v>Pandora</v>
      </c>
      <c r="AN490" s="15" t="str">
        <f t="shared" si="202"/>
        <v>Pandora</v>
      </c>
      <c r="AO490" s="15" t="b">
        <f t="shared" si="203"/>
        <v>1</v>
      </c>
    </row>
    <row r="491" spans="1:41" ht="12.75">
      <c r="A491" s="15" t="s">
        <v>567</v>
      </c>
      <c r="C491" s="15" t="s">
        <v>562</v>
      </c>
      <c r="E491" s="24">
        <v>2906</v>
      </c>
      <c r="G491" s="24">
        <v>142</v>
      </c>
      <c r="I491" s="24">
        <v>0</v>
      </c>
      <c r="K491" s="24">
        <v>34</v>
      </c>
      <c r="M491" s="24">
        <v>0</v>
      </c>
      <c r="O491" s="24">
        <v>113046</v>
      </c>
      <c r="Q491" s="24">
        <v>19837</v>
      </c>
      <c r="S491" s="24">
        <v>15000</v>
      </c>
      <c r="U491" s="24">
        <v>0</v>
      </c>
      <c r="W491" s="24">
        <v>0</v>
      </c>
      <c r="Y491" s="24">
        <v>0</v>
      </c>
      <c r="AA491" s="24">
        <v>15000</v>
      </c>
      <c r="AC491" s="24">
        <v>0</v>
      </c>
      <c r="AE491" s="24">
        <f t="shared" si="193"/>
        <v>165965</v>
      </c>
      <c r="AF491" s="24"/>
      <c r="AG491" s="24">
        <f>-18242-84263</f>
        <v>-102505</v>
      </c>
      <c r="AH491" s="24"/>
      <c r="AI491" s="24">
        <f>80040+101537</f>
        <v>181577</v>
      </c>
      <c r="AJ491" s="24"/>
      <c r="AK491" s="24">
        <f>61828+17274</f>
        <v>79102</v>
      </c>
      <c r="AL491" s="39">
        <f>+'Gov Rev'!AI490-'Gov Exp'!AE491+'Gov Exp'!AI491-'Gov Exp'!AK491</f>
        <v>227</v>
      </c>
      <c r="AM491" s="15" t="str">
        <f>'Gov Rev'!A490</f>
        <v>Parral</v>
      </c>
      <c r="AN491" s="15" t="str">
        <f t="shared" si="202"/>
        <v>Parral</v>
      </c>
      <c r="AO491" s="15" t="b">
        <f t="shared" si="203"/>
        <v>1</v>
      </c>
    </row>
    <row r="492" spans="1:41" ht="12.75">
      <c r="A492" s="15" t="s">
        <v>400</v>
      </c>
      <c r="C492" s="15" t="s">
        <v>396</v>
      </c>
      <c r="E492" s="24">
        <v>1508</v>
      </c>
      <c r="G492" s="24">
        <v>308</v>
      </c>
      <c r="I492" s="24">
        <v>0</v>
      </c>
      <c r="K492" s="24">
        <v>0</v>
      </c>
      <c r="M492" s="24">
        <v>0</v>
      </c>
      <c r="O492" s="24">
        <v>6745</v>
      </c>
      <c r="Q492" s="24">
        <v>4066</v>
      </c>
      <c r="S492" s="24">
        <v>0</v>
      </c>
      <c r="U492" s="24">
        <v>0</v>
      </c>
      <c r="W492" s="24">
        <v>0</v>
      </c>
      <c r="Y492" s="24">
        <v>0</v>
      </c>
      <c r="AA492" s="24">
        <v>0</v>
      </c>
      <c r="AC492" s="24">
        <v>0</v>
      </c>
      <c r="AE492" s="24">
        <f t="shared" si="193"/>
        <v>12627</v>
      </c>
      <c r="AF492" s="24"/>
      <c r="AG492" s="24">
        <f>-380-5609</f>
        <v>-5989</v>
      </c>
      <c r="AH492" s="24"/>
      <c r="AI492" s="24">
        <f>720+6563</f>
        <v>7283</v>
      </c>
      <c r="AJ492" s="24"/>
      <c r="AK492" s="24">
        <f>340+954</f>
        <v>1294</v>
      </c>
      <c r="AL492" s="39">
        <f>+'Gov Rev'!AI491-'Gov Exp'!AE492+'Gov Exp'!AI492-'Gov Exp'!AK492</f>
        <v>0</v>
      </c>
      <c r="AM492" s="15" t="str">
        <f>'Gov Rev'!A491</f>
        <v>Patterson</v>
      </c>
      <c r="AN492" s="15" t="str">
        <f t="shared" si="202"/>
        <v>Patterson</v>
      </c>
      <c r="AO492" s="15" t="b">
        <f t="shared" si="203"/>
        <v>1</v>
      </c>
    </row>
    <row r="493" spans="1:41" ht="12.75">
      <c r="A493" s="15" t="s">
        <v>497</v>
      </c>
      <c r="C493" s="15" t="s">
        <v>497</v>
      </c>
      <c r="E493" s="24">
        <v>583213</v>
      </c>
      <c r="G493" s="24">
        <v>19752</v>
      </c>
      <c r="I493" s="24">
        <v>119831</v>
      </c>
      <c r="K493" s="24">
        <v>6941</v>
      </c>
      <c r="M493" s="24">
        <v>58615</v>
      </c>
      <c r="O493" s="24">
        <v>148824</v>
      </c>
      <c r="Q493" s="24">
        <v>222518</v>
      </c>
      <c r="S493" s="24">
        <v>723373</v>
      </c>
      <c r="U493" s="24">
        <v>80000</v>
      </c>
      <c r="W493" s="24">
        <v>3640</v>
      </c>
      <c r="Y493" s="24">
        <v>0</v>
      </c>
      <c r="AA493" s="24">
        <v>0</v>
      </c>
      <c r="AC493" s="24">
        <v>421589</v>
      </c>
      <c r="AE493" s="24">
        <f t="shared" si="193"/>
        <v>2388296</v>
      </c>
      <c r="AF493" s="24"/>
      <c r="AG493" s="24">
        <v>172234</v>
      </c>
      <c r="AH493" s="24"/>
      <c r="AI493" s="24">
        <v>2065650</v>
      </c>
      <c r="AJ493" s="24"/>
      <c r="AK493" s="24">
        <v>2237885</v>
      </c>
      <c r="AL493" s="39">
        <f>+'Gov Rev'!AI492-'Gov Exp'!AE493+'Gov Exp'!AI493-'Gov Exp'!AK493</f>
        <v>0</v>
      </c>
      <c r="AM493" s="15" t="str">
        <f>'Gov Rev'!A492</f>
        <v>Paulding</v>
      </c>
      <c r="AN493" s="15" t="str">
        <f t="shared" si="202"/>
        <v>Paulding</v>
      </c>
      <c r="AO493" s="15" t="b">
        <f t="shared" si="203"/>
        <v>1</v>
      </c>
    </row>
    <row r="494" spans="1:41" ht="12.75">
      <c r="A494" s="15" t="s">
        <v>499</v>
      </c>
      <c r="C494" s="15" t="s">
        <v>497</v>
      </c>
      <c r="E494" s="36">
        <v>206105.88</v>
      </c>
      <c r="F494" s="36"/>
      <c r="G494" s="36">
        <v>1950</v>
      </c>
      <c r="H494" s="36"/>
      <c r="I494" s="36">
        <v>7734.01</v>
      </c>
      <c r="J494" s="36"/>
      <c r="K494" s="36">
        <v>0</v>
      </c>
      <c r="L494" s="36"/>
      <c r="M494" s="36">
        <v>0</v>
      </c>
      <c r="N494" s="36"/>
      <c r="O494" s="36">
        <v>49892.32</v>
      </c>
      <c r="P494" s="36"/>
      <c r="Q494" s="36">
        <v>103180.94</v>
      </c>
      <c r="R494" s="36"/>
      <c r="S494" s="36">
        <v>137366.79</v>
      </c>
      <c r="T494" s="36"/>
      <c r="U494" s="36">
        <v>0</v>
      </c>
      <c r="V494" s="36"/>
      <c r="W494" s="36">
        <v>0</v>
      </c>
      <c r="X494" s="36"/>
      <c r="Y494" s="36">
        <v>46000</v>
      </c>
      <c r="Z494" s="36"/>
      <c r="AA494" s="36">
        <v>0</v>
      </c>
      <c r="AB494" s="36"/>
      <c r="AC494" s="36">
        <v>0</v>
      </c>
      <c r="AD494" s="36"/>
      <c r="AE494" s="36">
        <f aca="true" t="shared" si="206" ref="AE494">SUM(E494:AC494)</f>
        <v>552229.9400000001</v>
      </c>
      <c r="AF494" s="36"/>
      <c r="AG494" s="36">
        <v>23653.05</v>
      </c>
      <c r="AH494" s="36"/>
      <c r="AI494" s="36">
        <v>394147.25</v>
      </c>
      <c r="AJ494" s="36"/>
      <c r="AK494" s="36">
        <v>417800.3</v>
      </c>
      <c r="AL494" s="39">
        <f>+'Gov Rev'!AI493-'Gov Exp'!AE494+'Gov Exp'!AI494-'Gov Exp'!AK494</f>
        <v>0</v>
      </c>
      <c r="AM494" s="15" t="str">
        <f>'Gov Rev'!A493</f>
        <v>Payne</v>
      </c>
      <c r="AN494" s="15" t="str">
        <f t="shared" si="202"/>
        <v>Payne</v>
      </c>
      <c r="AO494" s="15" t="b">
        <f t="shared" si="203"/>
        <v>1</v>
      </c>
    </row>
    <row r="495" spans="1:41" ht="12.75">
      <c r="A495" s="15" t="s">
        <v>679</v>
      </c>
      <c r="C495" s="15" t="s">
        <v>662</v>
      </c>
      <c r="D495" s="28"/>
      <c r="E495" s="95">
        <v>244896.32</v>
      </c>
      <c r="F495" s="95"/>
      <c r="G495" s="95">
        <v>0</v>
      </c>
      <c r="H495" s="95"/>
      <c r="I495" s="95">
        <v>0</v>
      </c>
      <c r="J495" s="95"/>
      <c r="K495" s="95">
        <v>0</v>
      </c>
      <c r="L495" s="95"/>
      <c r="M495" s="95">
        <v>0</v>
      </c>
      <c r="N495" s="95"/>
      <c r="O495" s="95">
        <v>72941.53</v>
      </c>
      <c r="P495" s="95"/>
      <c r="Q495" s="95">
        <v>181548.79</v>
      </c>
      <c r="R495" s="95"/>
      <c r="S495" s="95">
        <v>0</v>
      </c>
      <c r="T495" s="95"/>
      <c r="U495" s="95">
        <v>0</v>
      </c>
      <c r="V495" s="95"/>
      <c r="W495" s="95">
        <v>0</v>
      </c>
      <c r="X495" s="95"/>
      <c r="Y495" s="95">
        <v>0</v>
      </c>
      <c r="Z495" s="95"/>
      <c r="AA495" s="95">
        <v>0</v>
      </c>
      <c r="AB495" s="95"/>
      <c r="AC495" s="95">
        <v>0</v>
      </c>
      <c r="AD495" s="95"/>
      <c r="AE495" s="95">
        <f aca="true" t="shared" si="207" ref="AE495">SUM(E495:AC495)</f>
        <v>499386.64</v>
      </c>
      <c r="AF495" s="95"/>
      <c r="AG495" s="95">
        <v>53038.89</v>
      </c>
      <c r="AH495" s="95"/>
      <c r="AI495" s="95">
        <v>222014.76</v>
      </c>
      <c r="AJ495" s="95"/>
      <c r="AK495" s="95">
        <v>275053.65</v>
      </c>
      <c r="AL495" s="39">
        <f>+'Gov Rev'!AI494-'Gov Exp'!AE495+'Gov Exp'!AI495-'Gov Exp'!AK495</f>
        <v>0</v>
      </c>
      <c r="AM495" s="15" t="str">
        <f>'Gov Rev'!A494</f>
        <v>Peebles</v>
      </c>
      <c r="AN495" s="15" t="str">
        <f t="shared" si="202"/>
        <v>Peebles</v>
      </c>
      <c r="AO495" s="15" t="b">
        <f t="shared" si="203"/>
        <v>1</v>
      </c>
    </row>
    <row r="496" spans="1:41" ht="12.75">
      <c r="A496" s="15" t="s">
        <v>608</v>
      </c>
      <c r="C496" s="15" t="s">
        <v>603</v>
      </c>
      <c r="E496" s="36">
        <v>175792.71</v>
      </c>
      <c r="F496" s="36"/>
      <c r="G496" s="36">
        <v>3610.46</v>
      </c>
      <c r="H496" s="36"/>
      <c r="I496" s="36">
        <v>1765.33</v>
      </c>
      <c r="J496" s="36"/>
      <c r="K496" s="36">
        <v>0</v>
      </c>
      <c r="L496" s="36"/>
      <c r="M496" s="36">
        <v>73.2</v>
      </c>
      <c r="N496" s="36"/>
      <c r="O496" s="36">
        <v>62791.76</v>
      </c>
      <c r="P496" s="36"/>
      <c r="Q496" s="36">
        <v>204774.74</v>
      </c>
      <c r="R496" s="36"/>
      <c r="S496" s="36">
        <v>23118.46</v>
      </c>
      <c r="T496" s="36"/>
      <c r="U496" s="36">
        <v>84605.96</v>
      </c>
      <c r="V496" s="36"/>
      <c r="W496" s="36">
        <v>23524.3</v>
      </c>
      <c r="X496" s="36"/>
      <c r="Y496" s="36">
        <v>300000</v>
      </c>
      <c r="Z496" s="36"/>
      <c r="AA496" s="36">
        <v>0</v>
      </c>
      <c r="AB496" s="36"/>
      <c r="AC496" s="36">
        <v>5907.43</v>
      </c>
      <c r="AD496" s="36"/>
      <c r="AE496" s="36">
        <f aca="true" t="shared" si="208" ref="AE496:AE497">SUM(E496:AC496)</f>
        <v>885964.3500000001</v>
      </c>
      <c r="AF496" s="36"/>
      <c r="AG496" s="36">
        <v>93724.69</v>
      </c>
      <c r="AH496" s="36"/>
      <c r="AI496" s="36">
        <v>1140256.47</v>
      </c>
      <c r="AJ496" s="36"/>
      <c r="AK496" s="36">
        <v>1233981.16</v>
      </c>
      <c r="AL496" s="39">
        <f>+'Gov Rev'!AI495-'Gov Exp'!AE496+'Gov Exp'!AI496-'Gov Exp'!AK496</f>
        <v>0</v>
      </c>
      <c r="AM496" s="15" t="str">
        <f>'Gov Rev'!A495</f>
        <v>Pemberville</v>
      </c>
      <c r="AN496" s="15" t="str">
        <f t="shared" si="202"/>
        <v>Pemberville</v>
      </c>
      <c r="AO496" s="15" t="b">
        <f t="shared" si="203"/>
        <v>1</v>
      </c>
    </row>
    <row r="497" spans="1:41" ht="12.75">
      <c r="A497" s="15" t="s">
        <v>554</v>
      </c>
      <c r="C497" s="15" t="s">
        <v>551</v>
      </c>
      <c r="E497" s="36">
        <v>461640.47</v>
      </c>
      <c r="F497" s="36"/>
      <c r="G497" s="36">
        <v>6818.66</v>
      </c>
      <c r="H497" s="36"/>
      <c r="I497" s="36">
        <v>0</v>
      </c>
      <c r="J497" s="36"/>
      <c r="K497" s="36">
        <v>4221.11</v>
      </c>
      <c r="L497" s="36"/>
      <c r="M497" s="36">
        <v>0</v>
      </c>
      <c r="N497" s="36"/>
      <c r="O497" s="36">
        <v>191477.48</v>
      </c>
      <c r="P497" s="36"/>
      <c r="Q497" s="36">
        <v>197578.36</v>
      </c>
      <c r="R497" s="36"/>
      <c r="S497" s="36">
        <v>46124.99</v>
      </c>
      <c r="T497" s="36"/>
      <c r="U497" s="36">
        <v>0</v>
      </c>
      <c r="V497" s="36"/>
      <c r="W497" s="36">
        <v>0</v>
      </c>
      <c r="X497" s="36"/>
      <c r="Y497" s="36">
        <v>0</v>
      </c>
      <c r="Z497" s="36"/>
      <c r="AA497" s="36">
        <v>2000</v>
      </c>
      <c r="AB497" s="36"/>
      <c r="AC497" s="36">
        <v>0</v>
      </c>
      <c r="AD497" s="36"/>
      <c r="AE497" s="36">
        <f t="shared" si="208"/>
        <v>909861.07</v>
      </c>
      <c r="AF497" s="36"/>
      <c r="AG497" s="36">
        <v>38082.48</v>
      </c>
      <c r="AH497" s="36"/>
      <c r="AI497" s="36">
        <v>158939.89</v>
      </c>
      <c r="AJ497" s="36"/>
      <c r="AK497" s="36">
        <v>197022.37</v>
      </c>
      <c r="AL497" s="39">
        <f>+'Gov Rev'!AI496-'Gov Exp'!AE497+'Gov Exp'!AI497-'Gov Exp'!AK497</f>
        <v>0</v>
      </c>
      <c r="AM497" s="15" t="str">
        <f>'Gov Rev'!A496</f>
        <v>Peninsula</v>
      </c>
      <c r="AN497" s="15" t="str">
        <f t="shared" si="202"/>
        <v>Peninsula</v>
      </c>
      <c r="AO497" s="15" t="b">
        <f t="shared" si="203"/>
        <v>1</v>
      </c>
    </row>
    <row r="498" spans="1:41" s="31" customFormat="1" ht="12.75">
      <c r="A498" s="15" t="s">
        <v>433</v>
      </c>
      <c r="B498" s="15"/>
      <c r="C498" s="15" t="s">
        <v>430</v>
      </c>
      <c r="D498" s="15"/>
      <c r="E498" s="24">
        <f>532269+34804</f>
        <v>567073</v>
      </c>
      <c r="F498" s="24"/>
      <c r="G498" s="24">
        <v>11974</v>
      </c>
      <c r="H498" s="24"/>
      <c r="I498" s="24">
        <v>17648</v>
      </c>
      <c r="J498" s="24"/>
      <c r="K498" s="24">
        <v>8413</v>
      </c>
      <c r="L498" s="24"/>
      <c r="M498" s="24">
        <v>0</v>
      </c>
      <c r="N498" s="24"/>
      <c r="O498" s="24">
        <v>122009</v>
      </c>
      <c r="P498" s="24"/>
      <c r="Q498" s="24">
        <v>288011</v>
      </c>
      <c r="R498" s="24"/>
      <c r="S498" s="24">
        <v>28254</v>
      </c>
      <c r="T498" s="24"/>
      <c r="U498" s="24">
        <v>86674</v>
      </c>
      <c r="V498" s="24"/>
      <c r="W498" s="24">
        <v>6782</v>
      </c>
      <c r="X498" s="24"/>
      <c r="Y498" s="24">
        <v>12313</v>
      </c>
      <c r="Z498" s="24"/>
      <c r="AA498" s="24">
        <v>20754</v>
      </c>
      <c r="AB498" s="24"/>
      <c r="AC498" s="24">
        <v>12313</v>
      </c>
      <c r="AD498" s="24"/>
      <c r="AE498" s="24">
        <f t="shared" si="193"/>
        <v>1182218</v>
      </c>
      <c r="AF498" s="24"/>
      <c r="AG498" s="24">
        <v>51839</v>
      </c>
      <c r="AH498" s="24"/>
      <c r="AI498" s="24">
        <v>218132</v>
      </c>
      <c r="AJ498" s="24"/>
      <c r="AK498" s="24">
        <v>289971</v>
      </c>
      <c r="AL498" s="39">
        <f>+'Gov Rev'!AI497-'Gov Exp'!AE498+'Gov Exp'!AI498-'Gov Exp'!AK498</f>
        <v>-22313</v>
      </c>
      <c r="AM498" s="15" t="str">
        <f>'Gov Rev'!A497</f>
        <v xml:space="preserve">Perry </v>
      </c>
      <c r="AN498" s="15" t="str">
        <f t="shared" si="202"/>
        <v xml:space="preserve">Perry </v>
      </c>
      <c r="AO498" s="15" t="b">
        <f t="shared" si="203"/>
        <v>1</v>
      </c>
    </row>
    <row r="499" spans="1:41" ht="12.75">
      <c r="A499" s="15" t="s">
        <v>680</v>
      </c>
      <c r="C499" s="15" t="s">
        <v>669</v>
      </c>
      <c r="D499" s="28"/>
      <c r="E499" s="36">
        <v>117039.37</v>
      </c>
      <c r="F499" s="36"/>
      <c r="G499" s="36">
        <v>345.18</v>
      </c>
      <c r="H499" s="36"/>
      <c r="I499" s="36">
        <v>2764.05</v>
      </c>
      <c r="J499" s="36"/>
      <c r="K499" s="36">
        <v>0</v>
      </c>
      <c r="L499" s="36"/>
      <c r="M499" s="36">
        <v>0</v>
      </c>
      <c r="N499" s="36"/>
      <c r="O499" s="36">
        <v>41216.57</v>
      </c>
      <c r="P499" s="36"/>
      <c r="Q499" s="36">
        <v>173622.62</v>
      </c>
      <c r="R499" s="36"/>
      <c r="S499" s="36">
        <v>0</v>
      </c>
      <c r="T499" s="36"/>
      <c r="U499" s="36">
        <v>0</v>
      </c>
      <c r="V499" s="36"/>
      <c r="W499" s="36">
        <v>0</v>
      </c>
      <c r="X499" s="36"/>
      <c r="Y499" s="36">
        <v>5000</v>
      </c>
      <c r="Z499" s="36"/>
      <c r="AA499" s="36">
        <v>0</v>
      </c>
      <c r="AB499" s="36"/>
      <c r="AC499" s="36">
        <v>0</v>
      </c>
      <c r="AD499" s="36"/>
      <c r="AE499" s="36">
        <f aca="true" t="shared" si="209" ref="AE499">SUM(E499:AC499)</f>
        <v>339987.79</v>
      </c>
      <c r="AF499" s="36"/>
      <c r="AG499" s="36">
        <v>-54036.38</v>
      </c>
      <c r="AH499" s="36"/>
      <c r="AI499" s="36">
        <v>161872.71</v>
      </c>
      <c r="AJ499" s="36"/>
      <c r="AK499" s="36">
        <v>107836.33</v>
      </c>
      <c r="AL499" s="39">
        <f>+'Gov Rev'!AI498-'Gov Exp'!AE499+'Gov Exp'!AI499-'Gov Exp'!AK499</f>
        <v>0</v>
      </c>
      <c r="AM499" s="15" t="str">
        <f>'Gov Rev'!A498</f>
        <v>Perrysville</v>
      </c>
      <c r="AN499" s="15" t="str">
        <f t="shared" si="202"/>
        <v>Perrysville</v>
      </c>
      <c r="AO499" s="15" t="b">
        <f t="shared" si="203"/>
        <v>1</v>
      </c>
    </row>
    <row r="500" spans="1:41" ht="12.75">
      <c r="A500" s="15" t="s">
        <v>482</v>
      </c>
      <c r="C500" s="15" t="s">
        <v>479</v>
      </c>
      <c r="E500" s="24">
        <v>127418</v>
      </c>
      <c r="G500" s="24">
        <v>225920</v>
      </c>
      <c r="I500" s="24">
        <v>13611</v>
      </c>
      <c r="K500" s="24">
        <v>2694</v>
      </c>
      <c r="M500" s="24">
        <v>0</v>
      </c>
      <c r="O500" s="24">
        <v>47277</v>
      </c>
      <c r="Q500" s="24">
        <v>94589</v>
      </c>
      <c r="S500" s="24">
        <v>11006</v>
      </c>
      <c r="U500" s="24">
        <v>15220</v>
      </c>
      <c r="W500" s="24">
        <v>4205</v>
      </c>
      <c r="Y500" s="24">
        <v>1000</v>
      </c>
      <c r="AA500" s="24">
        <v>0</v>
      </c>
      <c r="AC500" s="24">
        <v>76614</v>
      </c>
      <c r="AE500" s="24">
        <f t="shared" si="193"/>
        <v>619554</v>
      </c>
      <c r="AF500" s="24"/>
      <c r="AG500" s="24">
        <v>-66205</v>
      </c>
      <c r="AH500" s="24"/>
      <c r="AI500" s="24">
        <v>476210</v>
      </c>
      <c r="AJ500" s="24"/>
      <c r="AK500" s="24">
        <v>410005</v>
      </c>
      <c r="AL500" s="39">
        <f>+'Gov Rev'!AI499-'Gov Exp'!AE500+'Gov Exp'!AI500-'Gov Exp'!AK500</f>
        <v>-30</v>
      </c>
      <c r="AM500" s="15" t="str">
        <f>'Gov Rev'!A499</f>
        <v>Phillipsburg</v>
      </c>
      <c r="AN500" s="15" t="str">
        <f t="shared" si="202"/>
        <v>Phillipsburg</v>
      </c>
      <c r="AO500" s="15" t="b">
        <f t="shared" si="203"/>
        <v>1</v>
      </c>
    </row>
    <row r="501" spans="1:41" ht="12.75">
      <c r="A501" s="15" t="s">
        <v>488</v>
      </c>
      <c r="C501" s="15" t="s">
        <v>485</v>
      </c>
      <c r="E501" s="24">
        <v>8094</v>
      </c>
      <c r="G501" s="24">
        <v>0</v>
      </c>
      <c r="I501" s="24">
        <v>0</v>
      </c>
      <c r="K501" s="24">
        <v>0</v>
      </c>
      <c r="M501" s="24">
        <v>21700</v>
      </c>
      <c r="O501" s="24">
        <v>79752</v>
      </c>
      <c r="Q501" s="24">
        <v>75007</v>
      </c>
      <c r="S501" s="24">
        <v>0</v>
      </c>
      <c r="U501" s="24">
        <v>0</v>
      </c>
      <c r="W501" s="24">
        <v>0</v>
      </c>
      <c r="Y501" s="24">
        <v>0</v>
      </c>
      <c r="AA501" s="24">
        <v>0</v>
      </c>
      <c r="AC501" s="24">
        <v>0</v>
      </c>
      <c r="AE501" s="24">
        <f t="shared" si="193"/>
        <v>184553</v>
      </c>
      <c r="AF501" s="24"/>
      <c r="AG501" s="24">
        <v>-45729</v>
      </c>
      <c r="AH501" s="24"/>
      <c r="AI501" s="24">
        <v>79750</v>
      </c>
      <c r="AJ501" s="24"/>
      <c r="AK501" s="24">
        <v>34021</v>
      </c>
      <c r="AL501" s="39">
        <f>+'Gov Rev'!AI500-'Gov Exp'!AE501+'Gov Exp'!AI501-'Gov Exp'!AK501</f>
        <v>0</v>
      </c>
      <c r="AM501" s="15" t="str">
        <f>'Gov Rev'!A500</f>
        <v>Philo</v>
      </c>
      <c r="AN501" s="15" t="str">
        <f t="shared" si="202"/>
        <v>Philo</v>
      </c>
      <c r="AO501" s="15" t="b">
        <f t="shared" si="203"/>
        <v>1</v>
      </c>
    </row>
    <row r="502" spans="1:41" ht="12.75">
      <c r="A502" s="15" t="s">
        <v>506</v>
      </c>
      <c r="C502" s="15" t="s">
        <v>507</v>
      </c>
      <c r="E502" s="36">
        <v>267119.03</v>
      </c>
      <c r="F502" s="36"/>
      <c r="G502" s="36">
        <v>0</v>
      </c>
      <c r="H502" s="36"/>
      <c r="I502" s="36">
        <v>0</v>
      </c>
      <c r="J502" s="36"/>
      <c r="K502" s="36">
        <v>9756.21</v>
      </c>
      <c r="L502" s="36"/>
      <c r="M502" s="36">
        <v>0</v>
      </c>
      <c r="N502" s="36"/>
      <c r="O502" s="36">
        <v>334227.96</v>
      </c>
      <c r="P502" s="36"/>
      <c r="Q502" s="36">
        <v>220842.09</v>
      </c>
      <c r="R502" s="36"/>
      <c r="S502" s="36">
        <v>47102.79</v>
      </c>
      <c r="T502" s="36"/>
      <c r="U502" s="36">
        <v>47972.56</v>
      </c>
      <c r="V502" s="36"/>
      <c r="W502" s="36">
        <v>16436.95</v>
      </c>
      <c r="X502" s="36"/>
      <c r="Y502" s="36">
        <v>0</v>
      </c>
      <c r="Z502" s="36"/>
      <c r="AA502" s="36">
        <v>0</v>
      </c>
      <c r="AB502" s="36"/>
      <c r="AC502" s="36">
        <v>0</v>
      </c>
      <c r="AD502" s="36"/>
      <c r="AE502" s="36">
        <f aca="true" t="shared" si="210" ref="AE502">SUM(E502:AC502)</f>
        <v>943457.5900000001</v>
      </c>
      <c r="AF502" s="36"/>
      <c r="AG502" s="36">
        <v>40094.37</v>
      </c>
      <c r="AH502" s="36"/>
      <c r="AI502" s="36">
        <v>1086180.59</v>
      </c>
      <c r="AJ502" s="36"/>
      <c r="AK502" s="36">
        <v>1126274.96</v>
      </c>
      <c r="AL502" s="39">
        <f>+'Gov Rev'!AI501-'Gov Exp'!AE502+'Gov Exp'!AI502-'Gov Exp'!AK502</f>
        <v>0</v>
      </c>
      <c r="AM502" s="15" t="str">
        <f>'Gov Rev'!A501</f>
        <v>Piketon</v>
      </c>
      <c r="AN502" s="15" t="str">
        <f t="shared" si="202"/>
        <v>Piketon</v>
      </c>
      <c r="AO502" s="15" t="b">
        <f t="shared" si="203"/>
        <v>1</v>
      </c>
    </row>
    <row r="503" spans="1:41" ht="12.75">
      <c r="A503" s="15" t="s">
        <v>908</v>
      </c>
      <c r="C503" s="15" t="s">
        <v>598</v>
      </c>
      <c r="D503" s="28"/>
      <c r="E503" s="24">
        <v>342577.07</v>
      </c>
      <c r="G503" s="24">
        <v>26796.95</v>
      </c>
      <c r="I503" s="24">
        <v>33881.7</v>
      </c>
      <c r="K503" s="24">
        <v>19269.89</v>
      </c>
      <c r="M503" s="24">
        <v>1989.61</v>
      </c>
      <c r="O503" s="24">
        <v>178845.62</v>
      </c>
      <c r="Q503" s="24">
        <v>166041.01</v>
      </c>
      <c r="S503" s="24">
        <v>335956.57</v>
      </c>
      <c r="U503" s="24">
        <v>26452.64</v>
      </c>
      <c r="W503" s="24">
        <v>4625.57</v>
      </c>
      <c r="Y503" s="24">
        <v>0</v>
      </c>
      <c r="AA503" s="24">
        <v>0</v>
      </c>
      <c r="AC503" s="24">
        <v>0</v>
      </c>
      <c r="AE503" s="24">
        <f t="shared" si="193"/>
        <v>1136436.6300000001</v>
      </c>
      <c r="AF503" s="24"/>
      <c r="AG503" s="24">
        <v>185861.9</v>
      </c>
      <c r="AH503" s="24"/>
      <c r="AI503" s="24">
        <v>808963.91</v>
      </c>
      <c r="AJ503" s="24"/>
      <c r="AK503" s="24">
        <v>860688.92</v>
      </c>
      <c r="AL503" s="39">
        <f>+'Gov Rev'!AI502-'Gov Exp'!AE503+'Gov Exp'!AI503-'Gov Exp'!AK503</f>
        <v>0</v>
      </c>
      <c r="AM503" s="15" t="str">
        <f>'Gov Rev'!A502</f>
        <v>Pioneer</v>
      </c>
      <c r="AN503" s="15" t="str">
        <f t="shared" si="202"/>
        <v>Pioneer</v>
      </c>
      <c r="AO503" s="15" t="b">
        <f t="shared" si="203"/>
        <v>1</v>
      </c>
    </row>
    <row r="504" spans="1:41" ht="12.75">
      <c r="A504" s="15" t="s">
        <v>54</v>
      </c>
      <c r="C504" s="15" t="s">
        <v>762</v>
      </c>
      <c r="D504" s="28"/>
      <c r="E504" s="36">
        <v>42034.17</v>
      </c>
      <c r="F504" s="36"/>
      <c r="G504" s="36">
        <v>0</v>
      </c>
      <c r="H504" s="36"/>
      <c r="I504" s="36">
        <v>3370.95</v>
      </c>
      <c r="J504" s="36"/>
      <c r="K504" s="36">
        <v>0</v>
      </c>
      <c r="L504" s="36"/>
      <c r="M504" s="36">
        <v>6894.56</v>
      </c>
      <c r="N504" s="36"/>
      <c r="O504" s="36">
        <v>44737.98</v>
      </c>
      <c r="P504" s="36"/>
      <c r="Q504" s="36">
        <v>57016.95</v>
      </c>
      <c r="R504" s="36"/>
      <c r="S504" s="36">
        <v>596.63</v>
      </c>
      <c r="T504" s="36"/>
      <c r="U504" s="36">
        <v>0</v>
      </c>
      <c r="V504" s="36"/>
      <c r="W504" s="36">
        <v>175</v>
      </c>
      <c r="X504" s="36"/>
      <c r="Y504" s="36">
        <v>2352</v>
      </c>
      <c r="Z504" s="36"/>
      <c r="AA504" s="36">
        <v>1161.88</v>
      </c>
      <c r="AB504" s="36"/>
      <c r="AC504" s="36">
        <v>0</v>
      </c>
      <c r="AD504" s="36"/>
      <c r="AE504" s="36">
        <f aca="true" t="shared" si="211" ref="AE504">SUM(E504:AC504)</f>
        <v>158340.12</v>
      </c>
      <c r="AF504" s="36"/>
      <c r="AG504" s="36">
        <v>-14948.97</v>
      </c>
      <c r="AH504" s="36"/>
      <c r="AI504" s="36">
        <v>317040.6</v>
      </c>
      <c r="AJ504" s="36"/>
      <c r="AK504" s="36">
        <v>302091.63</v>
      </c>
      <c r="AL504" s="39">
        <f>+'Gov Rev'!AI503-'Gov Exp'!AE504+'Gov Exp'!AI504-'Gov Exp'!AK504</f>
        <v>0</v>
      </c>
      <c r="AM504" s="15" t="str">
        <f>'Gov Rev'!A503</f>
        <v>Pitsburg</v>
      </c>
      <c r="AN504" s="15" t="str">
        <f t="shared" si="202"/>
        <v>Pitsburg</v>
      </c>
      <c r="AO504" s="15" t="b">
        <f t="shared" si="203"/>
        <v>1</v>
      </c>
    </row>
    <row r="505" spans="1:41" ht="12.75">
      <c r="A505" s="15" t="s">
        <v>460</v>
      </c>
      <c r="C505" s="15" t="s">
        <v>432</v>
      </c>
      <c r="E505" s="95">
        <v>780578.2</v>
      </c>
      <c r="F505" s="95"/>
      <c r="G505" s="95">
        <v>0</v>
      </c>
      <c r="H505" s="95"/>
      <c r="I505" s="95">
        <v>83695.9</v>
      </c>
      <c r="J505" s="95"/>
      <c r="K505" s="95">
        <v>0</v>
      </c>
      <c r="L505" s="95"/>
      <c r="M505" s="95">
        <v>257373.21</v>
      </c>
      <c r="N505" s="95"/>
      <c r="O505" s="95">
        <v>132243.52</v>
      </c>
      <c r="P505" s="95"/>
      <c r="Q505" s="95">
        <v>839937.9</v>
      </c>
      <c r="R505" s="95"/>
      <c r="S505" s="95">
        <v>421590.19</v>
      </c>
      <c r="T505" s="95"/>
      <c r="U505" s="95">
        <v>0</v>
      </c>
      <c r="V505" s="95"/>
      <c r="W505" s="95">
        <v>0</v>
      </c>
      <c r="X505" s="95"/>
      <c r="Y505" s="95">
        <v>0</v>
      </c>
      <c r="Z505" s="95"/>
      <c r="AA505" s="95">
        <v>0</v>
      </c>
      <c r="AB505" s="95"/>
      <c r="AC505" s="95">
        <v>0</v>
      </c>
      <c r="AD505" s="95"/>
      <c r="AE505" s="95">
        <f aca="true" t="shared" si="212" ref="AE505">SUM(E505:AC505)</f>
        <v>2515418.92</v>
      </c>
      <c r="AF505" s="95"/>
      <c r="AG505" s="95">
        <v>-295888.49</v>
      </c>
      <c r="AH505" s="95"/>
      <c r="AI505" s="95">
        <v>2438736.57</v>
      </c>
      <c r="AJ505" s="95"/>
      <c r="AK505" s="95">
        <v>2142848.08</v>
      </c>
      <c r="AL505" s="39">
        <f>+'Gov Rev'!AI504-'Gov Exp'!AE505+'Gov Exp'!AI505-'Gov Exp'!AK505</f>
        <v>0</v>
      </c>
      <c r="AM505" s="15" t="str">
        <f>'Gov Rev'!A504</f>
        <v>Plain City</v>
      </c>
      <c r="AN505" s="15" t="str">
        <f t="shared" si="202"/>
        <v>Plain City</v>
      </c>
      <c r="AO505" s="15" t="b">
        <f t="shared" si="203"/>
        <v>1</v>
      </c>
    </row>
    <row r="506" spans="1:41" s="31" customFormat="1" ht="12.75">
      <c r="A506" s="15" t="s">
        <v>909</v>
      </c>
      <c r="B506" s="15"/>
      <c r="C506" s="15" t="s">
        <v>308</v>
      </c>
      <c r="D506" s="15"/>
      <c r="E506" s="24">
        <f>2606.57+1269.9</f>
        <v>3876.4700000000003</v>
      </c>
      <c r="F506" s="24"/>
      <c r="G506" s="24">
        <v>0</v>
      </c>
      <c r="H506" s="24"/>
      <c r="I506" s="24">
        <v>5685.55</v>
      </c>
      <c r="J506" s="24"/>
      <c r="K506" s="24">
        <v>0</v>
      </c>
      <c r="L506" s="24"/>
      <c r="M506" s="24">
        <v>0</v>
      </c>
      <c r="N506" s="24"/>
      <c r="O506" s="24">
        <v>0</v>
      </c>
      <c r="P506" s="24"/>
      <c r="Q506" s="24">
        <v>8656.43</v>
      </c>
      <c r="R506" s="24"/>
      <c r="S506" s="24">
        <v>5487.11</v>
      </c>
      <c r="T506" s="24"/>
      <c r="U506" s="24">
        <v>0</v>
      </c>
      <c r="V506" s="24"/>
      <c r="W506" s="24">
        <v>0</v>
      </c>
      <c r="X506" s="24"/>
      <c r="Y506" s="24">
        <v>0</v>
      </c>
      <c r="Z506" s="24"/>
      <c r="AA506" s="24">
        <v>0</v>
      </c>
      <c r="AB506" s="24"/>
      <c r="AC506" s="24">
        <v>0</v>
      </c>
      <c r="AD506" s="24"/>
      <c r="AE506" s="24">
        <f t="shared" si="193"/>
        <v>23705.56</v>
      </c>
      <c r="AF506" s="24"/>
      <c r="AG506" s="24">
        <f>-15419.71+6360.6</f>
        <v>-9059.109999999999</v>
      </c>
      <c r="AH506" s="24"/>
      <c r="AI506" s="24">
        <f>82424.17+95996.38</f>
        <v>178420.55</v>
      </c>
      <c r="AJ506" s="24"/>
      <c r="AK506" s="24">
        <f>67004.4+102357.04</f>
        <v>169361.44</v>
      </c>
      <c r="AL506" s="39">
        <f>+'Gov Rev'!AI505-'Gov Exp'!AE506+'Gov Exp'!AI506-'Gov Exp'!AK506</f>
        <v>-177.0100000000093</v>
      </c>
      <c r="AM506" s="15" t="str">
        <f>'Gov Rev'!A505</f>
        <v>Plainfield</v>
      </c>
      <c r="AN506" s="15" t="str">
        <f t="shared" si="202"/>
        <v>Plainfield</v>
      </c>
      <c r="AO506" s="15" t="b">
        <f t="shared" si="203"/>
        <v>1</v>
      </c>
    </row>
    <row r="507" spans="1:41" s="31" customFormat="1" ht="12.75">
      <c r="A507" s="15" t="s">
        <v>376</v>
      </c>
      <c r="B507" s="15"/>
      <c r="C507" s="15" t="s">
        <v>375</v>
      </c>
      <c r="D507" s="15"/>
      <c r="E507" s="36">
        <v>31472.84</v>
      </c>
      <c r="F507" s="36"/>
      <c r="G507" s="36">
        <v>1412.81</v>
      </c>
      <c r="H507" s="36"/>
      <c r="I507" s="36">
        <v>0</v>
      </c>
      <c r="J507" s="36"/>
      <c r="K507" s="36">
        <v>0</v>
      </c>
      <c r="L507" s="36"/>
      <c r="M507" s="36">
        <v>2710.15</v>
      </c>
      <c r="N507" s="36"/>
      <c r="O507" s="36">
        <v>21957.38</v>
      </c>
      <c r="P507" s="36"/>
      <c r="Q507" s="36">
        <v>33382.02</v>
      </c>
      <c r="R507" s="36"/>
      <c r="S507" s="36">
        <v>0</v>
      </c>
      <c r="T507" s="36"/>
      <c r="U507" s="36">
        <v>8500</v>
      </c>
      <c r="V507" s="36"/>
      <c r="W507" s="36">
        <v>3500</v>
      </c>
      <c r="X507" s="36"/>
      <c r="Y507" s="36">
        <v>0</v>
      </c>
      <c r="Z507" s="36"/>
      <c r="AA507" s="36">
        <v>0</v>
      </c>
      <c r="AB507" s="36"/>
      <c r="AC507" s="36">
        <v>0</v>
      </c>
      <c r="AD507" s="36"/>
      <c r="AE507" s="36">
        <f aca="true" t="shared" si="213" ref="AE507:AE514">SUM(E507:AC507)</f>
        <v>102935.20000000001</v>
      </c>
      <c r="AF507" s="36"/>
      <c r="AG507" s="36">
        <v>-7519.77</v>
      </c>
      <c r="AH507" s="36"/>
      <c r="AI507" s="36">
        <v>119555.21</v>
      </c>
      <c r="AJ507" s="36"/>
      <c r="AK507" s="36">
        <v>112035.44</v>
      </c>
      <c r="AL507" s="39">
        <f>+'Gov Rev'!AI506-'Gov Exp'!AE507+'Gov Exp'!AI507-'Gov Exp'!AK507</f>
        <v>0</v>
      </c>
      <c r="AM507" s="15" t="str">
        <f>'Gov Rev'!A506</f>
        <v>Pleasant City</v>
      </c>
      <c r="AN507" s="15" t="str">
        <f t="shared" si="202"/>
        <v>Pleasant City</v>
      </c>
      <c r="AO507" s="15" t="b">
        <f t="shared" si="203"/>
        <v>1</v>
      </c>
    </row>
    <row r="508" spans="1:41" s="39" customFormat="1" ht="12.75">
      <c r="A508" s="39" t="s">
        <v>163</v>
      </c>
      <c r="C508" s="39" t="s">
        <v>795</v>
      </c>
      <c r="D508" s="71"/>
      <c r="E508" s="36">
        <v>42103.9</v>
      </c>
      <c r="F508" s="36"/>
      <c r="G508" s="36">
        <v>16148.04</v>
      </c>
      <c r="H508" s="36"/>
      <c r="I508" s="36">
        <v>27999.42</v>
      </c>
      <c r="J508" s="36"/>
      <c r="K508" s="36">
        <v>0</v>
      </c>
      <c r="L508" s="36"/>
      <c r="M508" s="36">
        <v>0</v>
      </c>
      <c r="N508" s="36"/>
      <c r="O508" s="36">
        <v>15822.94</v>
      </c>
      <c r="P508" s="36"/>
      <c r="Q508" s="36">
        <v>107703.27</v>
      </c>
      <c r="R508" s="36"/>
      <c r="S508" s="36">
        <v>1694002.93</v>
      </c>
      <c r="T508" s="36"/>
      <c r="U508" s="36">
        <v>20902.8</v>
      </c>
      <c r="V508" s="36"/>
      <c r="W508" s="36">
        <v>0</v>
      </c>
      <c r="X508" s="36"/>
      <c r="Y508" s="36">
        <v>0</v>
      </c>
      <c r="Z508" s="36"/>
      <c r="AA508" s="36">
        <v>0</v>
      </c>
      <c r="AB508" s="36"/>
      <c r="AC508" s="36">
        <v>0</v>
      </c>
      <c r="AD508" s="36"/>
      <c r="AE508" s="36">
        <f t="shared" si="213"/>
        <v>1924683.3</v>
      </c>
      <c r="AF508" s="36"/>
      <c r="AG508" s="36">
        <v>-78744.19</v>
      </c>
      <c r="AH508" s="36"/>
      <c r="AI508" s="36">
        <v>612668</v>
      </c>
      <c r="AJ508" s="36"/>
      <c r="AK508" s="36">
        <v>533923.81</v>
      </c>
      <c r="AL508" s="39">
        <f>+'Gov Rev'!AI507-'Gov Exp'!AE508+'Gov Exp'!AI508-'Gov Exp'!AK508</f>
        <v>0</v>
      </c>
      <c r="AM508" s="15" t="str">
        <f>'Gov Rev'!A507</f>
        <v>Pleasant Hill</v>
      </c>
      <c r="AN508" s="15" t="str">
        <f t="shared" si="202"/>
        <v>Pleasant Hill</v>
      </c>
      <c r="AO508" s="15" t="b">
        <f t="shared" si="203"/>
        <v>1</v>
      </c>
    </row>
    <row r="509" spans="1:41" ht="12.75">
      <c r="A509" s="15" t="s">
        <v>244</v>
      </c>
      <c r="C509" s="15" t="s">
        <v>821</v>
      </c>
      <c r="D509" s="28"/>
      <c r="E509" s="36">
        <v>2142.57</v>
      </c>
      <c r="F509" s="36"/>
      <c r="G509" s="36">
        <v>0</v>
      </c>
      <c r="H509" s="36"/>
      <c r="I509" s="36">
        <v>0</v>
      </c>
      <c r="J509" s="36"/>
      <c r="K509" s="36">
        <v>0</v>
      </c>
      <c r="L509" s="36"/>
      <c r="M509" s="36">
        <v>153.88</v>
      </c>
      <c r="N509" s="36"/>
      <c r="O509" s="36">
        <v>1612.03</v>
      </c>
      <c r="P509" s="36"/>
      <c r="Q509" s="36">
        <v>11507.59</v>
      </c>
      <c r="R509" s="36"/>
      <c r="S509" s="36">
        <v>0</v>
      </c>
      <c r="T509" s="36"/>
      <c r="U509" s="36">
        <v>0</v>
      </c>
      <c r="V509" s="36"/>
      <c r="W509" s="36">
        <v>0</v>
      </c>
      <c r="X509" s="36"/>
      <c r="Y509" s="36">
        <v>0</v>
      </c>
      <c r="Z509" s="36"/>
      <c r="AA509" s="36">
        <v>0</v>
      </c>
      <c r="AB509" s="36"/>
      <c r="AC509" s="36">
        <v>0</v>
      </c>
      <c r="AD509" s="36"/>
      <c r="AE509" s="36">
        <f t="shared" si="213"/>
        <v>15416.07</v>
      </c>
      <c r="AF509" s="36"/>
      <c r="AG509" s="36">
        <v>6156.8</v>
      </c>
      <c r="AH509" s="36"/>
      <c r="AI509" s="36">
        <v>69436.47</v>
      </c>
      <c r="AJ509" s="36"/>
      <c r="AK509" s="36">
        <v>75593.27</v>
      </c>
      <c r="AL509" s="39">
        <f>+'Gov Rev'!AI508-'Gov Exp'!AE509+'Gov Exp'!AI509-'Gov Exp'!AK509</f>
        <v>0</v>
      </c>
      <c r="AM509" s="15" t="str">
        <f>'Gov Rev'!A508</f>
        <v>Pleasant Plain</v>
      </c>
      <c r="AN509" s="15" t="str">
        <f t="shared" si="202"/>
        <v>Pleasant Plain</v>
      </c>
      <c r="AO509" s="15" t="b">
        <f t="shared" si="203"/>
        <v>1</v>
      </c>
    </row>
    <row r="510" spans="1:41" ht="12.75">
      <c r="A510" s="15" t="s">
        <v>64</v>
      </c>
      <c r="C510" s="15" t="s">
        <v>766</v>
      </c>
      <c r="D510" s="28"/>
      <c r="E510" s="36">
        <v>52070.97</v>
      </c>
      <c r="F510" s="36"/>
      <c r="G510" s="36">
        <v>3679.32</v>
      </c>
      <c r="H510" s="36"/>
      <c r="I510" s="36">
        <v>3809.95</v>
      </c>
      <c r="J510" s="36"/>
      <c r="K510" s="36">
        <v>3662.23</v>
      </c>
      <c r="L510" s="36"/>
      <c r="M510" s="36">
        <v>0</v>
      </c>
      <c r="N510" s="36"/>
      <c r="O510" s="36">
        <v>138287.44</v>
      </c>
      <c r="P510" s="36"/>
      <c r="Q510" s="36">
        <v>45655.6</v>
      </c>
      <c r="R510" s="36"/>
      <c r="S510" s="36">
        <v>1243.76</v>
      </c>
      <c r="T510" s="36"/>
      <c r="U510" s="36">
        <v>2646.76</v>
      </c>
      <c r="V510" s="36"/>
      <c r="W510" s="36">
        <v>0</v>
      </c>
      <c r="X510" s="36"/>
      <c r="Y510" s="36">
        <v>13565.44</v>
      </c>
      <c r="Z510" s="36"/>
      <c r="AA510" s="36">
        <v>0</v>
      </c>
      <c r="AB510" s="36"/>
      <c r="AC510" s="36">
        <v>0</v>
      </c>
      <c r="AD510" s="36"/>
      <c r="AE510" s="36">
        <f t="shared" si="213"/>
        <v>264621.47000000003</v>
      </c>
      <c r="AF510" s="36"/>
      <c r="AG510" s="36">
        <v>-33112.72</v>
      </c>
      <c r="AH510" s="36"/>
      <c r="AI510" s="36">
        <v>138244.96</v>
      </c>
      <c r="AJ510" s="36"/>
      <c r="AK510" s="36">
        <v>105132.24</v>
      </c>
      <c r="AL510" s="39">
        <f>+'Gov Rev'!AI509-'Gov Exp'!AE510+'Gov Exp'!AI510-'Gov Exp'!AK510</f>
        <v>0</v>
      </c>
      <c r="AM510" s="15" t="str">
        <f>'Gov Rev'!A509</f>
        <v>Pleasantville</v>
      </c>
      <c r="AN510" s="15" t="str">
        <f t="shared" si="202"/>
        <v>Pleasantville</v>
      </c>
      <c r="AO510" s="15" t="b">
        <f t="shared" si="203"/>
        <v>1</v>
      </c>
    </row>
    <row r="511" spans="1:41" ht="12.75">
      <c r="A511" s="15" t="s">
        <v>209</v>
      </c>
      <c r="C511" s="15" t="s">
        <v>809</v>
      </c>
      <c r="D511" s="28"/>
      <c r="E511" s="36">
        <v>377568.72</v>
      </c>
      <c r="F511" s="36"/>
      <c r="G511" s="36">
        <v>59541.32</v>
      </c>
      <c r="H511" s="36"/>
      <c r="I511" s="36">
        <v>11009.87</v>
      </c>
      <c r="J511" s="36"/>
      <c r="K511" s="36">
        <v>75136</v>
      </c>
      <c r="L511" s="36"/>
      <c r="M511" s="36">
        <v>0</v>
      </c>
      <c r="N511" s="36"/>
      <c r="O511" s="36">
        <v>103204.29</v>
      </c>
      <c r="P511" s="36"/>
      <c r="Q511" s="36">
        <v>152001.86</v>
      </c>
      <c r="R511" s="36"/>
      <c r="S511" s="36">
        <v>2237.73</v>
      </c>
      <c r="T511" s="36"/>
      <c r="U511" s="36">
        <v>22314.09</v>
      </c>
      <c r="V511" s="36"/>
      <c r="W511" s="36">
        <v>7719.76</v>
      </c>
      <c r="X511" s="36"/>
      <c r="Y511" s="36">
        <v>26603.54</v>
      </c>
      <c r="Z511" s="36"/>
      <c r="AA511" s="36">
        <v>0</v>
      </c>
      <c r="AB511" s="36"/>
      <c r="AC511" s="36">
        <v>1000</v>
      </c>
      <c r="AD511" s="36"/>
      <c r="AE511" s="36">
        <f t="shared" si="213"/>
        <v>838337.1799999999</v>
      </c>
      <c r="AF511" s="36"/>
      <c r="AG511" s="36">
        <v>131879.59</v>
      </c>
      <c r="AH511" s="36"/>
      <c r="AI511" s="36">
        <v>549359.37</v>
      </c>
      <c r="AJ511" s="36"/>
      <c r="AK511" s="36">
        <v>681238.96</v>
      </c>
      <c r="AL511" s="39">
        <f>+'Gov Rev'!AI510-'Gov Exp'!AE511+'Gov Exp'!AI511-'Gov Exp'!AK511</f>
        <v>0</v>
      </c>
      <c r="AM511" s="15" t="str">
        <f>'Gov Rev'!A510</f>
        <v>Plymouth</v>
      </c>
      <c r="AN511" s="15" t="str">
        <f t="shared" si="202"/>
        <v>Plymouth</v>
      </c>
      <c r="AO511" s="15" t="b">
        <f t="shared" si="203"/>
        <v>1</v>
      </c>
    </row>
    <row r="512" spans="1:41" ht="12.75">
      <c r="A512" s="15" t="s">
        <v>146</v>
      </c>
      <c r="C512" s="15" t="s">
        <v>790</v>
      </c>
      <c r="D512" s="28"/>
      <c r="E512" s="36">
        <v>475253.31</v>
      </c>
      <c r="F512" s="36"/>
      <c r="G512" s="36">
        <v>16586.63</v>
      </c>
      <c r="H512" s="36"/>
      <c r="I512" s="36">
        <v>14682.59</v>
      </c>
      <c r="J512" s="36"/>
      <c r="K512" s="36">
        <v>9176.72</v>
      </c>
      <c r="L512" s="36"/>
      <c r="M512" s="36">
        <v>0</v>
      </c>
      <c r="N512" s="36"/>
      <c r="O512" s="36">
        <v>194750.34</v>
      </c>
      <c r="P512" s="36"/>
      <c r="Q512" s="36">
        <v>242237.48</v>
      </c>
      <c r="R512" s="36"/>
      <c r="S512" s="36">
        <v>30682.69</v>
      </c>
      <c r="T512" s="36"/>
      <c r="U512" s="36">
        <v>0</v>
      </c>
      <c r="V512" s="36"/>
      <c r="W512" s="36">
        <v>0</v>
      </c>
      <c r="X512" s="36"/>
      <c r="Y512" s="36">
        <v>20004.73</v>
      </c>
      <c r="Z512" s="36"/>
      <c r="AA512" s="36">
        <v>0</v>
      </c>
      <c r="AB512" s="36"/>
      <c r="AC512" s="36">
        <v>0</v>
      </c>
      <c r="AD512" s="36"/>
      <c r="AE512" s="36">
        <f t="shared" si="213"/>
        <v>1003374.4899999999</v>
      </c>
      <c r="AF512" s="36"/>
      <c r="AG512" s="36">
        <v>-19169.01</v>
      </c>
      <c r="AH512" s="36"/>
      <c r="AI512" s="36">
        <v>1659294.46</v>
      </c>
      <c r="AJ512" s="36"/>
      <c r="AK512" s="36">
        <v>1640125.45</v>
      </c>
      <c r="AL512" s="39">
        <f>+'Gov Rev'!AI511-'Gov Exp'!AE512+'Gov Exp'!AI512-'Gov Exp'!AK512</f>
        <v>0</v>
      </c>
      <c r="AM512" s="15" t="str">
        <f>'Gov Rev'!A511</f>
        <v>Poland</v>
      </c>
      <c r="AN512" s="15" t="str">
        <f t="shared" si="202"/>
        <v>Poland</v>
      </c>
      <c r="AO512" s="15" t="b">
        <f t="shared" si="203"/>
        <v>1</v>
      </c>
    </row>
    <row r="513" spans="1:41" ht="12.75">
      <c r="A513" s="15" t="s">
        <v>681</v>
      </c>
      <c r="C513" s="15" t="s">
        <v>669</v>
      </c>
      <c r="D513" s="28"/>
      <c r="E513" s="36">
        <v>4437.03</v>
      </c>
      <c r="F513" s="36"/>
      <c r="G513" s="36">
        <v>0</v>
      </c>
      <c r="H513" s="36"/>
      <c r="I513" s="36">
        <v>738.06</v>
      </c>
      <c r="J513" s="36"/>
      <c r="K513" s="36">
        <v>2739.62</v>
      </c>
      <c r="L513" s="36"/>
      <c r="M513" s="36">
        <v>276.64</v>
      </c>
      <c r="N513" s="36"/>
      <c r="O513" s="36">
        <v>32002.09</v>
      </c>
      <c r="P513" s="36"/>
      <c r="Q513" s="36">
        <v>34501.83</v>
      </c>
      <c r="R513" s="36"/>
      <c r="S513" s="36">
        <v>0</v>
      </c>
      <c r="T513" s="36"/>
      <c r="U513" s="36">
        <v>0</v>
      </c>
      <c r="V513" s="36"/>
      <c r="W513" s="36">
        <v>0</v>
      </c>
      <c r="X513" s="36"/>
      <c r="Y513" s="36">
        <v>0</v>
      </c>
      <c r="Z513" s="36"/>
      <c r="AA513" s="36">
        <v>0</v>
      </c>
      <c r="AB513" s="36"/>
      <c r="AC513" s="36">
        <v>0</v>
      </c>
      <c r="AD513" s="36"/>
      <c r="AE513" s="36">
        <f t="shared" si="213"/>
        <v>74695.27</v>
      </c>
      <c r="AF513" s="36"/>
      <c r="AG513" s="36">
        <v>-10934</v>
      </c>
      <c r="AH513" s="36"/>
      <c r="AI513" s="36">
        <v>95203.86</v>
      </c>
      <c r="AJ513" s="36"/>
      <c r="AK513" s="36">
        <v>84269.86</v>
      </c>
      <c r="AL513" s="39">
        <f>+'Gov Rev'!AI512-'Gov Exp'!AE513+'Gov Exp'!AI513-'Gov Exp'!AK513</f>
        <v>0</v>
      </c>
      <c r="AM513" s="15" t="str">
        <f>'Gov Rev'!A512</f>
        <v>Polk</v>
      </c>
      <c r="AN513" s="15" t="str">
        <f t="shared" si="202"/>
        <v>Polk</v>
      </c>
      <c r="AO513" s="15" t="b">
        <f t="shared" si="203"/>
        <v>1</v>
      </c>
    </row>
    <row r="514" spans="1:41" ht="12.75">
      <c r="A514" s="15" t="s">
        <v>157</v>
      </c>
      <c r="C514" s="15" t="s">
        <v>793</v>
      </c>
      <c r="D514" s="28"/>
      <c r="E514" s="36">
        <v>536513.52</v>
      </c>
      <c r="F514" s="36"/>
      <c r="G514" s="36">
        <v>17507.78</v>
      </c>
      <c r="H514" s="36"/>
      <c r="I514" s="36">
        <v>6951.36</v>
      </c>
      <c r="J514" s="36"/>
      <c r="K514" s="36">
        <v>0</v>
      </c>
      <c r="L514" s="36"/>
      <c r="M514" s="36">
        <v>29456.31</v>
      </c>
      <c r="N514" s="36"/>
      <c r="O514" s="36">
        <v>145264.64</v>
      </c>
      <c r="P514" s="36"/>
      <c r="Q514" s="36">
        <v>164804.01</v>
      </c>
      <c r="R514" s="36"/>
      <c r="S514" s="36">
        <v>0</v>
      </c>
      <c r="T514" s="36"/>
      <c r="U514" s="36">
        <v>79909.87</v>
      </c>
      <c r="V514" s="36"/>
      <c r="W514" s="36">
        <v>27018.63</v>
      </c>
      <c r="X514" s="36"/>
      <c r="Y514" s="36">
        <v>66032</v>
      </c>
      <c r="Z514" s="36"/>
      <c r="AA514" s="36">
        <v>0</v>
      </c>
      <c r="AB514" s="36"/>
      <c r="AC514" s="36">
        <v>2</v>
      </c>
      <c r="AD514" s="36"/>
      <c r="AE514" s="36">
        <f t="shared" si="213"/>
        <v>1073460.12</v>
      </c>
      <c r="AF514" s="36"/>
      <c r="AG514" s="36">
        <v>-68088.29</v>
      </c>
      <c r="AH514" s="36"/>
      <c r="AI514" s="36">
        <v>205269.23</v>
      </c>
      <c r="AJ514" s="36"/>
      <c r="AK514" s="36">
        <v>137180.94</v>
      </c>
      <c r="AL514" s="39">
        <f>+'Gov Rev'!AI513-'Gov Exp'!AE514+'Gov Exp'!AI514-'Gov Exp'!AK514</f>
        <v>0</v>
      </c>
      <c r="AM514" s="15" t="str">
        <f>'Gov Rev'!A513</f>
        <v>Pomeroy</v>
      </c>
      <c r="AN514" s="15" t="str">
        <f t="shared" si="202"/>
        <v>Pomeroy</v>
      </c>
      <c r="AO514" s="15" t="b">
        <f t="shared" si="203"/>
        <v>1</v>
      </c>
    </row>
    <row r="515" spans="1:41" ht="12.75">
      <c r="A515" s="15" t="s">
        <v>911</v>
      </c>
      <c r="C515" s="15" t="s">
        <v>538</v>
      </c>
      <c r="E515" s="24">
        <v>29782</v>
      </c>
      <c r="G515" s="24">
        <v>1044</v>
      </c>
      <c r="I515" s="24">
        <v>0</v>
      </c>
      <c r="K515" s="24">
        <v>128</v>
      </c>
      <c r="M515" s="24">
        <v>9137</v>
      </c>
      <c r="O515" s="24">
        <v>10216</v>
      </c>
      <c r="Q515" s="24">
        <v>26513</v>
      </c>
      <c r="S515" s="24">
        <v>0</v>
      </c>
      <c r="U515" s="24">
        <v>0</v>
      </c>
      <c r="W515" s="24">
        <v>0</v>
      </c>
      <c r="Y515" s="24">
        <v>0</v>
      </c>
      <c r="AA515" s="24">
        <v>0</v>
      </c>
      <c r="AC515" s="24">
        <v>0</v>
      </c>
      <c r="AE515" s="24">
        <f t="shared" si="193"/>
        <v>76820</v>
      </c>
      <c r="AF515" s="24"/>
      <c r="AG515" s="24"/>
      <c r="AH515" s="24"/>
      <c r="AI515" s="24">
        <f>23299+10835</f>
        <v>34134</v>
      </c>
      <c r="AJ515" s="24"/>
      <c r="AK515" s="24">
        <f>24965+15693</f>
        <v>40658</v>
      </c>
      <c r="AL515" s="39">
        <f>+'Gov Rev'!AI514-'Gov Exp'!AE515+'Gov Exp'!AI515-'Gov Exp'!AK515</f>
        <v>1</v>
      </c>
      <c r="AM515" s="15" t="str">
        <f>'Gov Rev'!A514</f>
        <v>Port Jefferson</v>
      </c>
      <c r="AN515" s="15" t="str">
        <f t="shared" si="202"/>
        <v>Port Jefferson</v>
      </c>
      <c r="AO515" s="15" t="b">
        <f t="shared" si="203"/>
        <v>1</v>
      </c>
    </row>
    <row r="516" spans="1:41" ht="12.75">
      <c r="A516" s="15" t="s">
        <v>682</v>
      </c>
      <c r="C516" s="15" t="s">
        <v>562</v>
      </c>
      <c r="E516" s="36">
        <v>27345.4</v>
      </c>
      <c r="F516" s="36"/>
      <c r="G516" s="36">
        <v>6481.79</v>
      </c>
      <c r="H516" s="36"/>
      <c r="I516" s="36">
        <v>543.49</v>
      </c>
      <c r="J516" s="36"/>
      <c r="K516" s="36">
        <v>1199.84</v>
      </c>
      <c r="L516" s="36"/>
      <c r="M516" s="36">
        <v>0</v>
      </c>
      <c r="N516" s="36"/>
      <c r="O516" s="36">
        <v>10826.03</v>
      </c>
      <c r="P516" s="36"/>
      <c r="Q516" s="36">
        <v>66971.86</v>
      </c>
      <c r="R516" s="36"/>
      <c r="S516" s="36">
        <v>3930</v>
      </c>
      <c r="T516" s="36"/>
      <c r="U516" s="36">
        <v>0</v>
      </c>
      <c r="V516" s="36"/>
      <c r="W516" s="36">
        <v>0</v>
      </c>
      <c r="X516" s="36"/>
      <c r="Y516" s="36">
        <v>0</v>
      </c>
      <c r="Z516" s="36"/>
      <c r="AA516" s="36">
        <v>0</v>
      </c>
      <c r="AB516" s="36"/>
      <c r="AC516" s="36">
        <v>0</v>
      </c>
      <c r="AD516" s="36"/>
      <c r="AE516" s="36">
        <f aca="true" t="shared" si="214" ref="AE516:AE524">SUM(E516:AC516)</f>
        <v>117298.41</v>
      </c>
      <c r="AF516" s="36"/>
      <c r="AG516" s="36">
        <v>26674.94</v>
      </c>
      <c r="AH516" s="36"/>
      <c r="AI516" s="36">
        <v>119957.51</v>
      </c>
      <c r="AJ516" s="36"/>
      <c r="AK516" s="36">
        <v>146632.45</v>
      </c>
      <c r="AL516" s="39">
        <f>+'Gov Rev'!AI515-'Gov Exp'!AE516+'Gov Exp'!AI516-'Gov Exp'!AK516</f>
        <v>0</v>
      </c>
      <c r="AM516" s="15" t="str">
        <f>'Gov Rev'!A515</f>
        <v>Port Washington</v>
      </c>
      <c r="AN516" s="15" t="str">
        <f t="shared" si="202"/>
        <v>Port Washington</v>
      </c>
      <c r="AO516" s="15" t="b">
        <f t="shared" si="203"/>
        <v>1</v>
      </c>
    </row>
    <row r="517" spans="1:41" s="31" customFormat="1" ht="12" customHeight="1">
      <c r="A517" s="15" t="s">
        <v>303</v>
      </c>
      <c r="B517" s="15"/>
      <c r="C517" s="15" t="s">
        <v>299</v>
      </c>
      <c r="D517" s="15"/>
      <c r="E517" s="36">
        <v>49125.3</v>
      </c>
      <c r="F517" s="36"/>
      <c r="G517" s="36">
        <v>0</v>
      </c>
      <c r="H517" s="36"/>
      <c r="I517" s="36">
        <v>0</v>
      </c>
      <c r="J517" s="36"/>
      <c r="K517" s="36">
        <v>0</v>
      </c>
      <c r="L517" s="36"/>
      <c r="M517" s="36">
        <v>0</v>
      </c>
      <c r="N517" s="36"/>
      <c r="O517" s="36">
        <v>6257.04</v>
      </c>
      <c r="P517" s="36"/>
      <c r="Q517" s="36">
        <v>22735.19</v>
      </c>
      <c r="R517" s="36"/>
      <c r="S517" s="36">
        <v>589.2</v>
      </c>
      <c r="T517" s="36"/>
      <c r="U517" s="36">
        <v>11676.94</v>
      </c>
      <c r="V517" s="36"/>
      <c r="W517" s="36">
        <v>3704.61</v>
      </c>
      <c r="X517" s="36"/>
      <c r="Y517" s="36">
        <v>20417.21</v>
      </c>
      <c r="Z517" s="36"/>
      <c r="AA517" s="36">
        <v>0</v>
      </c>
      <c r="AB517" s="36"/>
      <c r="AC517" s="36">
        <v>660</v>
      </c>
      <c r="AD517" s="36"/>
      <c r="AE517" s="36">
        <f t="shared" si="214"/>
        <v>115165.48999999999</v>
      </c>
      <c r="AF517" s="36"/>
      <c r="AG517" s="36">
        <v>22215.61</v>
      </c>
      <c r="AH517" s="36"/>
      <c r="AI517" s="36">
        <v>149240.4</v>
      </c>
      <c r="AJ517" s="36"/>
      <c r="AK517" s="36">
        <v>171456.01</v>
      </c>
      <c r="AL517" s="39">
        <f>+'Gov Rev'!AI516-'Gov Exp'!AE517+'Gov Exp'!AI517-'Gov Exp'!AK517</f>
        <v>0</v>
      </c>
      <c r="AM517" s="15" t="str">
        <f>'Gov Rev'!A516</f>
        <v>Port William</v>
      </c>
      <c r="AN517" s="15" t="str">
        <f t="shared" si="202"/>
        <v>Port William</v>
      </c>
      <c r="AO517" s="15" t="b">
        <f t="shared" si="203"/>
        <v>1</v>
      </c>
    </row>
    <row r="518" spans="1:41" ht="12.75">
      <c r="A518" s="15" t="s">
        <v>259</v>
      </c>
      <c r="C518" s="15" t="s">
        <v>825</v>
      </c>
      <c r="D518" s="28"/>
      <c r="E518" s="36">
        <v>11730.8</v>
      </c>
      <c r="F518" s="36"/>
      <c r="G518" s="36">
        <v>379.6</v>
      </c>
      <c r="H518" s="36"/>
      <c r="I518" s="36">
        <v>118.24</v>
      </c>
      <c r="J518" s="36"/>
      <c r="K518" s="36">
        <v>613.54</v>
      </c>
      <c r="L518" s="36"/>
      <c r="M518" s="36">
        <v>0</v>
      </c>
      <c r="N518" s="36"/>
      <c r="O518" s="36">
        <v>12735.71</v>
      </c>
      <c r="P518" s="36"/>
      <c r="Q518" s="36">
        <v>49502.47</v>
      </c>
      <c r="R518" s="36"/>
      <c r="S518" s="36">
        <v>0</v>
      </c>
      <c r="T518" s="36"/>
      <c r="U518" s="36">
        <v>10086.73</v>
      </c>
      <c r="V518" s="36"/>
      <c r="W518" s="36">
        <v>1400.27</v>
      </c>
      <c r="X518" s="36"/>
      <c r="Y518" s="36">
        <v>215</v>
      </c>
      <c r="Z518" s="36"/>
      <c r="AA518" s="36">
        <v>0</v>
      </c>
      <c r="AB518" s="36"/>
      <c r="AC518" s="36">
        <v>0</v>
      </c>
      <c r="AD518" s="36"/>
      <c r="AE518" s="36">
        <f t="shared" si="214"/>
        <v>86782.36</v>
      </c>
      <c r="AF518" s="36"/>
      <c r="AG518" s="36">
        <v>76735.72</v>
      </c>
      <c r="AH518" s="36"/>
      <c r="AI518" s="36">
        <v>-165199.07</v>
      </c>
      <c r="AJ518" s="36"/>
      <c r="AK518" s="36">
        <v>-88463.35</v>
      </c>
      <c r="AL518" s="39">
        <f>+'Gov Rev'!AI517-'Gov Exp'!AE518+'Gov Exp'!AI518-'Gov Exp'!AK518</f>
        <v>0</v>
      </c>
      <c r="AM518" s="15" t="str">
        <f>'Gov Rev'!A517</f>
        <v>Portage</v>
      </c>
      <c r="AN518" s="15" t="str">
        <f t="shared" si="202"/>
        <v>Portage</v>
      </c>
      <c r="AO518" s="15" t="b">
        <f t="shared" si="203"/>
        <v>1</v>
      </c>
    </row>
    <row r="519" spans="1:41" ht="12.75">
      <c r="A519" s="15" t="s">
        <v>471</v>
      </c>
      <c r="C519" s="15" t="s">
        <v>470</v>
      </c>
      <c r="E519" s="36">
        <v>6032</v>
      </c>
      <c r="F519" s="36"/>
      <c r="G519" s="36">
        <v>0</v>
      </c>
      <c r="H519" s="36"/>
      <c r="I519" s="36">
        <v>1605</v>
      </c>
      <c r="J519" s="36"/>
      <c r="K519" s="36">
        <v>0</v>
      </c>
      <c r="L519" s="36"/>
      <c r="M519" s="36">
        <v>0</v>
      </c>
      <c r="N519" s="36"/>
      <c r="O519" s="36">
        <v>550</v>
      </c>
      <c r="P519" s="36"/>
      <c r="Q519" s="36">
        <v>11853.79</v>
      </c>
      <c r="R519" s="36"/>
      <c r="S519" s="36">
        <v>0</v>
      </c>
      <c r="T519" s="36"/>
      <c r="U519" s="36">
        <v>4300</v>
      </c>
      <c r="V519" s="36"/>
      <c r="W519" s="36">
        <v>3890.06</v>
      </c>
      <c r="X519" s="36"/>
      <c r="Y519" s="36">
        <v>8200</v>
      </c>
      <c r="Z519" s="36"/>
      <c r="AA519" s="36">
        <v>0</v>
      </c>
      <c r="AB519" s="36"/>
      <c r="AC519" s="36">
        <v>41</v>
      </c>
      <c r="AD519" s="36"/>
      <c r="AE519" s="36">
        <f t="shared" si="214"/>
        <v>36471.850000000006</v>
      </c>
      <c r="AF519" s="36"/>
      <c r="AG519" s="36">
        <v>12366.6</v>
      </c>
      <c r="AH519" s="36"/>
      <c r="AI519" s="36">
        <v>73969.85</v>
      </c>
      <c r="AJ519" s="36"/>
      <c r="AK519" s="36">
        <v>86336.45</v>
      </c>
      <c r="AL519" s="39">
        <f>+'Gov Rev'!AI518-'Gov Exp'!AE519+'Gov Exp'!AI519-'Gov Exp'!AK519</f>
        <v>0</v>
      </c>
      <c r="AM519" s="15" t="str">
        <f>'Gov Rev'!A518</f>
        <v>Potsdam</v>
      </c>
      <c r="AN519" s="15" t="str">
        <f t="shared" si="202"/>
        <v>Potsdam</v>
      </c>
      <c r="AO519" s="15" t="b">
        <f t="shared" si="203"/>
        <v>1</v>
      </c>
    </row>
    <row r="520" spans="1:41" ht="12.75">
      <c r="A520" s="15" t="s">
        <v>19</v>
      </c>
      <c r="C520" s="15" t="s">
        <v>750</v>
      </c>
      <c r="D520" s="28"/>
      <c r="E520" s="36">
        <v>250445.32</v>
      </c>
      <c r="F520" s="36"/>
      <c r="G520" s="36">
        <v>5294.26</v>
      </c>
      <c r="H520" s="36"/>
      <c r="I520" s="36">
        <v>0</v>
      </c>
      <c r="J520" s="36"/>
      <c r="K520" s="36">
        <v>0</v>
      </c>
      <c r="L520" s="36"/>
      <c r="M520" s="36">
        <v>0</v>
      </c>
      <c r="N520" s="36"/>
      <c r="O520" s="36">
        <v>152683.63</v>
      </c>
      <c r="P520" s="36"/>
      <c r="Q520" s="36">
        <v>109784.79</v>
      </c>
      <c r="R520" s="36"/>
      <c r="S520" s="36">
        <v>51542.72</v>
      </c>
      <c r="T520" s="36"/>
      <c r="U520" s="36">
        <v>1835.78</v>
      </c>
      <c r="V520" s="36"/>
      <c r="W520" s="36">
        <v>26.73</v>
      </c>
      <c r="X520" s="36"/>
      <c r="Y520" s="36">
        <v>25000</v>
      </c>
      <c r="Z520" s="36"/>
      <c r="AA520" s="36">
        <v>0</v>
      </c>
      <c r="AB520" s="36"/>
      <c r="AC520" s="36">
        <v>657.47</v>
      </c>
      <c r="AD520" s="36"/>
      <c r="AE520" s="36">
        <f t="shared" si="214"/>
        <v>597270.7</v>
      </c>
      <c r="AF520" s="36"/>
      <c r="AG520" s="36">
        <v>69822.97</v>
      </c>
      <c r="AH520" s="36"/>
      <c r="AI520" s="36">
        <v>351479.8</v>
      </c>
      <c r="AJ520" s="36"/>
      <c r="AK520" s="36">
        <v>421302.77</v>
      </c>
      <c r="AL520" s="39">
        <f>+'Gov Rev'!AI519-'Gov Exp'!AE520+'Gov Exp'!AI520-'Gov Exp'!AK520</f>
        <v>0</v>
      </c>
      <c r="AM520" s="15" t="str">
        <f>'Gov Rev'!A519</f>
        <v>Powhatan Point</v>
      </c>
      <c r="AN520" s="15" t="str">
        <f t="shared" si="202"/>
        <v>Powhatan Point</v>
      </c>
      <c r="AO520" s="15" t="b">
        <f t="shared" si="203"/>
        <v>1</v>
      </c>
    </row>
    <row r="521" spans="1:41" ht="12.75">
      <c r="A521" s="15" t="s">
        <v>127</v>
      </c>
      <c r="C521" s="15" t="s">
        <v>437</v>
      </c>
      <c r="E521" s="36">
        <v>181257.33</v>
      </c>
      <c r="F521" s="36"/>
      <c r="G521" s="36">
        <v>0</v>
      </c>
      <c r="H521" s="36"/>
      <c r="I521" s="36">
        <v>250</v>
      </c>
      <c r="J521" s="36"/>
      <c r="K521" s="36">
        <v>0</v>
      </c>
      <c r="L521" s="36"/>
      <c r="M521" s="36">
        <v>0</v>
      </c>
      <c r="N521" s="36"/>
      <c r="O521" s="36">
        <v>36332.76</v>
      </c>
      <c r="P521" s="36"/>
      <c r="Q521" s="36">
        <v>85371.59</v>
      </c>
      <c r="R521" s="36"/>
      <c r="S521" s="36">
        <v>0</v>
      </c>
      <c r="T521" s="36"/>
      <c r="U521" s="36">
        <v>0</v>
      </c>
      <c r="V521" s="36"/>
      <c r="W521" s="36">
        <v>0</v>
      </c>
      <c r="X521" s="36"/>
      <c r="Y521" s="36">
        <v>0</v>
      </c>
      <c r="Z521" s="36"/>
      <c r="AA521" s="36">
        <v>0</v>
      </c>
      <c r="AB521" s="36"/>
      <c r="AC521" s="36">
        <v>1300.94</v>
      </c>
      <c r="AD521" s="36"/>
      <c r="AE521" s="36">
        <f t="shared" si="214"/>
        <v>304512.62</v>
      </c>
      <c r="AF521" s="36"/>
      <c r="AG521" s="36">
        <v>-54687.35</v>
      </c>
      <c r="AH521" s="36"/>
      <c r="AI521" s="36">
        <v>74693.04</v>
      </c>
      <c r="AJ521" s="36"/>
      <c r="AK521" s="36">
        <v>20005.69</v>
      </c>
      <c r="AL521" s="39">
        <f>+'Gov Rev'!AI520-'Gov Exp'!AE521+'Gov Exp'!AI521-'Gov Exp'!AK521</f>
        <v>0</v>
      </c>
      <c r="AM521" s="15" t="str">
        <f>'Gov Rev'!A520</f>
        <v>Proctorville</v>
      </c>
      <c r="AN521" s="15" t="str">
        <f t="shared" si="202"/>
        <v>Proctorville</v>
      </c>
      <c r="AO521" s="15" t="b">
        <f t="shared" si="203"/>
        <v>1</v>
      </c>
    </row>
    <row r="522" spans="1:41" ht="12.75">
      <c r="A522" s="15" t="s">
        <v>150</v>
      </c>
      <c r="C522" s="15" t="s">
        <v>791</v>
      </c>
      <c r="D522" s="28"/>
      <c r="E522" s="36">
        <v>74534.78</v>
      </c>
      <c r="F522" s="36"/>
      <c r="G522" s="36">
        <v>1000</v>
      </c>
      <c r="H522" s="36"/>
      <c r="I522" s="36">
        <v>0</v>
      </c>
      <c r="J522" s="36"/>
      <c r="K522" s="36">
        <v>0</v>
      </c>
      <c r="L522" s="36"/>
      <c r="M522" s="36">
        <v>0</v>
      </c>
      <c r="N522" s="36"/>
      <c r="O522" s="36">
        <v>83019.88</v>
      </c>
      <c r="P522" s="36"/>
      <c r="Q522" s="36">
        <v>89560.88</v>
      </c>
      <c r="R522" s="36"/>
      <c r="S522" s="36">
        <v>0</v>
      </c>
      <c r="T522" s="36"/>
      <c r="U522" s="36">
        <v>119089.38</v>
      </c>
      <c r="V522" s="36"/>
      <c r="W522" s="36">
        <v>0</v>
      </c>
      <c r="X522" s="36"/>
      <c r="Y522" s="36">
        <v>13119.29</v>
      </c>
      <c r="Z522" s="36"/>
      <c r="AA522" s="36">
        <v>0</v>
      </c>
      <c r="AB522" s="36"/>
      <c r="AC522" s="36">
        <v>0</v>
      </c>
      <c r="AD522" s="36"/>
      <c r="AE522" s="36">
        <f t="shared" si="214"/>
        <v>380324.21</v>
      </c>
      <c r="AF522" s="36"/>
      <c r="AG522" s="36">
        <v>-48494.95</v>
      </c>
      <c r="AH522" s="36"/>
      <c r="AI522" s="36">
        <v>100957.12</v>
      </c>
      <c r="AJ522" s="36"/>
      <c r="AK522" s="36">
        <v>52462.17</v>
      </c>
      <c r="AL522" s="39">
        <f>+'Gov Rev'!AI521-'Gov Exp'!AE522+'Gov Exp'!AI522-'Gov Exp'!AK522</f>
        <v>0</v>
      </c>
      <c r="AM522" s="15" t="str">
        <f>'Gov Rev'!A521</f>
        <v>Prospect</v>
      </c>
      <c r="AN522" s="15" t="str">
        <f t="shared" si="202"/>
        <v>Prospect</v>
      </c>
      <c r="AO522" s="15" t="b">
        <f t="shared" si="203"/>
        <v>1</v>
      </c>
    </row>
    <row r="523" spans="1:41" ht="12.75">
      <c r="A523" s="15" t="s">
        <v>181</v>
      </c>
      <c r="C523" s="15" t="s">
        <v>802</v>
      </c>
      <c r="D523" s="28"/>
      <c r="E523" s="36">
        <v>588362.75</v>
      </c>
      <c r="F523" s="36"/>
      <c r="G523" s="36">
        <v>6736.65</v>
      </c>
      <c r="H523" s="36"/>
      <c r="I523" s="36">
        <v>300750.25</v>
      </c>
      <c r="J523" s="36"/>
      <c r="K523" s="36">
        <v>3822.44</v>
      </c>
      <c r="L523" s="36"/>
      <c r="M523" s="36">
        <v>0</v>
      </c>
      <c r="N523" s="36"/>
      <c r="O523" s="36">
        <v>62817.69</v>
      </c>
      <c r="P523" s="36"/>
      <c r="Q523" s="36">
        <v>271906.65</v>
      </c>
      <c r="R523" s="36"/>
      <c r="S523" s="36">
        <v>578032.85</v>
      </c>
      <c r="T523" s="36"/>
      <c r="U523" s="36">
        <v>0</v>
      </c>
      <c r="V523" s="36"/>
      <c r="W523" s="36">
        <v>218328.89</v>
      </c>
      <c r="X523" s="36"/>
      <c r="Y523" s="36">
        <v>11278.72</v>
      </c>
      <c r="Z523" s="36"/>
      <c r="AA523" s="36">
        <v>332742.01</v>
      </c>
      <c r="AB523" s="36"/>
      <c r="AC523" s="36">
        <v>0</v>
      </c>
      <c r="AD523" s="36"/>
      <c r="AE523" s="36">
        <f t="shared" si="214"/>
        <v>2374778.9000000004</v>
      </c>
      <c r="AF523" s="36"/>
      <c r="AG523" s="36">
        <v>297585.16</v>
      </c>
      <c r="AH523" s="36"/>
      <c r="AI523" s="36">
        <v>671672.02</v>
      </c>
      <c r="AJ523" s="36"/>
      <c r="AK523" s="36">
        <v>969257.18</v>
      </c>
      <c r="AL523" s="39">
        <f>+'Gov Rev'!AI522-'Gov Exp'!AE523+'Gov Exp'!AI523-'Gov Exp'!AK523</f>
        <v>0</v>
      </c>
      <c r="AM523" s="15" t="str">
        <f>'Gov Rev'!A522</f>
        <v>Put-In-Bay</v>
      </c>
      <c r="AN523" s="15" t="str">
        <f t="shared" si="202"/>
        <v>Put-In-Bay</v>
      </c>
      <c r="AO523" s="15" t="b">
        <f t="shared" si="203"/>
        <v>1</v>
      </c>
    </row>
    <row r="524" spans="1:41" s="31" customFormat="1" ht="12.75">
      <c r="A524" s="15" t="s">
        <v>89</v>
      </c>
      <c r="B524" s="15"/>
      <c r="C524" s="15" t="s">
        <v>772</v>
      </c>
      <c r="D524" s="28"/>
      <c r="E524" s="36">
        <v>39034.18</v>
      </c>
      <c r="F524" s="36"/>
      <c r="G524" s="36">
        <v>2477.31</v>
      </c>
      <c r="H524" s="36"/>
      <c r="I524" s="36">
        <v>4979.13</v>
      </c>
      <c r="J524" s="36"/>
      <c r="K524" s="36">
        <v>0</v>
      </c>
      <c r="L524" s="36"/>
      <c r="M524" s="36">
        <v>0</v>
      </c>
      <c r="N524" s="36"/>
      <c r="O524" s="36">
        <v>25575.84</v>
      </c>
      <c r="P524" s="36"/>
      <c r="Q524" s="36">
        <v>22887.01</v>
      </c>
      <c r="R524" s="36"/>
      <c r="S524" s="36">
        <v>53291.77</v>
      </c>
      <c r="T524" s="36"/>
      <c r="U524" s="36">
        <v>8774.36</v>
      </c>
      <c r="V524" s="36"/>
      <c r="W524" s="36">
        <v>1789.18</v>
      </c>
      <c r="X524" s="36"/>
      <c r="Y524" s="36">
        <v>1664.43</v>
      </c>
      <c r="Z524" s="36"/>
      <c r="AA524" s="36">
        <v>0</v>
      </c>
      <c r="AB524" s="36"/>
      <c r="AC524" s="36">
        <v>0</v>
      </c>
      <c r="AD524" s="36"/>
      <c r="AE524" s="36">
        <f t="shared" si="214"/>
        <v>160473.20999999996</v>
      </c>
      <c r="AF524" s="36"/>
      <c r="AG524" s="36">
        <v>32743.21</v>
      </c>
      <c r="AH524" s="36"/>
      <c r="AI524" s="36">
        <v>74090.97</v>
      </c>
      <c r="AJ524" s="36"/>
      <c r="AK524" s="36">
        <v>106834.18</v>
      </c>
      <c r="AL524" s="39">
        <f>+'Gov Rev'!AI523-'Gov Exp'!AE524+'Gov Exp'!AI524-'Gov Exp'!AK524</f>
        <v>0</v>
      </c>
      <c r="AM524" s="15" t="str">
        <f>'Gov Rev'!A523</f>
        <v>Quaker City</v>
      </c>
      <c r="AN524" s="15" t="str">
        <f t="shared" si="202"/>
        <v>Quaker City</v>
      </c>
      <c r="AO524" s="15" t="b">
        <f t="shared" si="203"/>
        <v>1</v>
      </c>
    </row>
    <row r="525" spans="1:41" s="29" customFormat="1" ht="12.75">
      <c r="A525" s="24" t="s">
        <v>134</v>
      </c>
      <c r="B525" s="24"/>
      <c r="C525" s="24" t="s">
        <v>786</v>
      </c>
      <c r="D525" s="73"/>
      <c r="E525" s="95">
        <v>37426.32</v>
      </c>
      <c r="F525" s="95"/>
      <c r="G525" s="95">
        <v>0</v>
      </c>
      <c r="H525" s="95"/>
      <c r="I525" s="95">
        <v>24837.84</v>
      </c>
      <c r="J525" s="95"/>
      <c r="K525" s="95">
        <v>0</v>
      </c>
      <c r="L525" s="95"/>
      <c r="M525" s="95">
        <v>0</v>
      </c>
      <c r="N525" s="95"/>
      <c r="O525" s="95">
        <v>35939.82</v>
      </c>
      <c r="P525" s="95"/>
      <c r="Q525" s="95">
        <v>54917.87</v>
      </c>
      <c r="R525" s="95"/>
      <c r="S525" s="95">
        <v>134695.53</v>
      </c>
      <c r="T525" s="95"/>
      <c r="U525" s="95">
        <v>0</v>
      </c>
      <c r="V525" s="95"/>
      <c r="W525" s="95">
        <v>0</v>
      </c>
      <c r="X525" s="95"/>
      <c r="Y525" s="95">
        <v>0</v>
      </c>
      <c r="Z525" s="95"/>
      <c r="AA525" s="95">
        <v>0</v>
      </c>
      <c r="AB525" s="95"/>
      <c r="AC525" s="95">
        <v>0</v>
      </c>
      <c r="AD525" s="95"/>
      <c r="AE525" s="95">
        <f aca="true" t="shared" si="215" ref="AE525:AE526">SUM(E525:AC525)</f>
        <v>287817.38</v>
      </c>
      <c r="AF525" s="95"/>
      <c r="AG525" s="95">
        <v>48.59</v>
      </c>
      <c r="AH525" s="95"/>
      <c r="AI525" s="95">
        <v>163418.3</v>
      </c>
      <c r="AJ525" s="95"/>
      <c r="AK525" s="95">
        <v>163466.89</v>
      </c>
      <c r="AL525" s="39">
        <f>+'Gov Rev'!AI524-'Gov Exp'!AE525+'Gov Exp'!AI525-'Gov Exp'!AK525</f>
        <v>0</v>
      </c>
      <c r="AM525" s="15" t="str">
        <f>'Gov Rev'!A524</f>
        <v>Quincy</v>
      </c>
      <c r="AN525" s="15" t="str">
        <f t="shared" si="202"/>
        <v>Quincy</v>
      </c>
      <c r="AO525" s="15" t="b">
        <f t="shared" si="203"/>
        <v>1</v>
      </c>
    </row>
    <row r="526" spans="1:41" ht="12.75">
      <c r="A526" s="15" t="s">
        <v>158</v>
      </c>
      <c r="C526" s="15" t="s">
        <v>793</v>
      </c>
      <c r="D526" s="28"/>
      <c r="E526" s="95">
        <v>126386.25</v>
      </c>
      <c r="F526" s="95"/>
      <c r="G526" s="95">
        <v>1420</v>
      </c>
      <c r="H526" s="95"/>
      <c r="I526" s="95">
        <v>38531.18</v>
      </c>
      <c r="J526" s="95"/>
      <c r="K526" s="95">
        <v>297.84</v>
      </c>
      <c r="L526" s="95"/>
      <c r="M526" s="95">
        <v>8438.14</v>
      </c>
      <c r="N526" s="95"/>
      <c r="O526" s="95">
        <v>82285.81</v>
      </c>
      <c r="P526" s="95"/>
      <c r="Q526" s="95">
        <v>53457.15</v>
      </c>
      <c r="R526" s="95"/>
      <c r="S526" s="95">
        <v>148205.72</v>
      </c>
      <c r="T526" s="95"/>
      <c r="U526" s="95">
        <v>26504.69</v>
      </c>
      <c r="V526" s="95"/>
      <c r="W526" s="95">
        <v>5819.94</v>
      </c>
      <c r="X526" s="95"/>
      <c r="Y526" s="95">
        <v>22289.65</v>
      </c>
      <c r="Z526" s="95"/>
      <c r="AA526" s="95">
        <v>0</v>
      </c>
      <c r="AB526" s="95"/>
      <c r="AC526" s="95">
        <v>0</v>
      </c>
      <c r="AD526" s="95"/>
      <c r="AE526" s="95">
        <f t="shared" si="215"/>
        <v>513636.37</v>
      </c>
      <c r="AF526" s="95"/>
      <c r="AG526" s="95">
        <v>-25543.71</v>
      </c>
      <c r="AH526" s="95"/>
      <c r="AI526" s="95">
        <v>214373.76</v>
      </c>
      <c r="AJ526" s="95"/>
      <c r="AK526" s="95">
        <v>188830.05</v>
      </c>
      <c r="AL526" s="39">
        <f>+'Gov Rev'!AI525-'Gov Exp'!AE526+'Gov Exp'!AI526-'Gov Exp'!AK526</f>
        <v>0</v>
      </c>
      <c r="AM526" s="15" t="str">
        <f>'Gov Rev'!A525</f>
        <v>Racine</v>
      </c>
      <c r="AN526" s="15" t="str">
        <f t="shared" si="202"/>
        <v>Racine</v>
      </c>
      <c r="AO526" s="15" t="b">
        <f t="shared" si="203"/>
        <v>1</v>
      </c>
    </row>
    <row r="527" spans="1:41" ht="12.75" hidden="1">
      <c r="A527" s="15" t="s">
        <v>532</v>
      </c>
      <c r="C527" s="15" t="s">
        <v>531</v>
      </c>
      <c r="AD527" s="37"/>
      <c r="AE527" s="24">
        <f t="shared" si="193"/>
        <v>0</v>
      </c>
      <c r="AF527" s="24"/>
      <c r="AG527" s="24"/>
      <c r="AH527" s="24"/>
      <c r="AI527" s="24"/>
      <c r="AJ527" s="24"/>
      <c r="AK527" s="24"/>
      <c r="AL527" s="39">
        <f>+'Gov Rev'!AI526-'Gov Exp'!AE527+'Gov Exp'!AI527-'Gov Exp'!AK527</f>
        <v>0</v>
      </c>
      <c r="AM527" s="15" t="str">
        <f>'Gov Rev'!A526</f>
        <v>Rarden</v>
      </c>
      <c r="AN527" s="15" t="str">
        <f t="shared" si="202"/>
        <v>Rarden</v>
      </c>
      <c r="AO527" s="15" t="b">
        <f t="shared" si="203"/>
        <v>1</v>
      </c>
    </row>
    <row r="528" spans="1:41" ht="12.75">
      <c r="A528" s="15" t="s">
        <v>392</v>
      </c>
      <c r="C528" s="15" t="s">
        <v>388</v>
      </c>
      <c r="E528" s="36">
        <v>21723.61</v>
      </c>
      <c r="F528" s="36"/>
      <c r="G528" s="36">
        <v>1675.42</v>
      </c>
      <c r="H528" s="36"/>
      <c r="I528" s="36">
        <v>5290.32</v>
      </c>
      <c r="J528" s="36"/>
      <c r="K528" s="36">
        <v>7664.18</v>
      </c>
      <c r="L528" s="36"/>
      <c r="M528" s="36">
        <v>0</v>
      </c>
      <c r="N528" s="36"/>
      <c r="O528" s="36">
        <v>19878.44</v>
      </c>
      <c r="P528" s="36"/>
      <c r="Q528" s="36">
        <v>41594.41</v>
      </c>
      <c r="R528" s="36"/>
      <c r="S528" s="36">
        <v>9834.05</v>
      </c>
      <c r="T528" s="36"/>
      <c r="U528" s="36">
        <v>226603.08</v>
      </c>
      <c r="V528" s="36"/>
      <c r="W528" s="36">
        <v>219896.6</v>
      </c>
      <c r="X528" s="36"/>
      <c r="Y528" s="36">
        <v>0</v>
      </c>
      <c r="Z528" s="36"/>
      <c r="AA528" s="36">
        <v>0</v>
      </c>
      <c r="AB528" s="36"/>
      <c r="AC528" s="36">
        <v>0</v>
      </c>
      <c r="AD528" s="36"/>
      <c r="AE528" s="36">
        <f aca="true" t="shared" si="216" ref="AE528">SUM(E528:AC528)</f>
        <v>554160.11</v>
      </c>
      <c r="AF528" s="36"/>
      <c r="AG528" s="36">
        <v>-64875.88</v>
      </c>
      <c r="AH528" s="36"/>
      <c r="AI528" s="36">
        <v>633704.77</v>
      </c>
      <c r="AJ528" s="36"/>
      <c r="AK528" s="36">
        <v>568828.89</v>
      </c>
      <c r="AL528" s="39">
        <f>+'Gov Rev'!AI527-'Gov Exp'!AE528+'Gov Exp'!AI528-'Gov Exp'!AK528</f>
        <v>0</v>
      </c>
      <c r="AM528" s="15" t="str">
        <f>'Gov Rev'!A527</f>
        <v>Rawson</v>
      </c>
      <c r="AN528" s="15" t="str">
        <f t="shared" si="202"/>
        <v>Rawson</v>
      </c>
      <c r="AO528" s="15" t="b">
        <f t="shared" si="203"/>
        <v>1</v>
      </c>
    </row>
    <row r="529" spans="1:41" ht="12.75">
      <c r="A529" s="15" t="s">
        <v>966</v>
      </c>
      <c r="C529" s="15" t="s">
        <v>781</v>
      </c>
      <c r="E529" s="10">
        <v>24687</v>
      </c>
      <c r="F529" s="10"/>
      <c r="G529" s="10">
        <v>637</v>
      </c>
      <c r="H529" s="10"/>
      <c r="I529" s="10">
        <v>3740</v>
      </c>
      <c r="J529" s="10"/>
      <c r="K529" s="10">
        <v>0</v>
      </c>
      <c r="L529" s="10"/>
      <c r="M529" s="10">
        <v>0</v>
      </c>
      <c r="N529" s="10"/>
      <c r="O529" s="10">
        <v>13991</v>
      </c>
      <c r="P529" s="10"/>
      <c r="Q529" s="10">
        <v>43964</v>
      </c>
      <c r="R529" s="10"/>
      <c r="S529" s="10">
        <v>3000</v>
      </c>
      <c r="T529" s="10"/>
      <c r="U529" s="10">
        <v>2237</v>
      </c>
      <c r="V529" s="10"/>
      <c r="W529" s="10">
        <v>254</v>
      </c>
      <c r="Y529" s="24">
        <v>0</v>
      </c>
      <c r="AA529" s="24">
        <v>0</v>
      </c>
      <c r="AC529" s="24">
        <v>0</v>
      </c>
      <c r="AE529" s="24">
        <f t="shared" si="193"/>
        <v>92510</v>
      </c>
      <c r="AF529" s="24"/>
      <c r="AG529" s="10">
        <v>-9373</v>
      </c>
      <c r="AH529" s="10"/>
      <c r="AI529" s="10">
        <v>35846</v>
      </c>
      <c r="AJ529" s="10"/>
      <c r="AK529" s="10">
        <v>26473</v>
      </c>
      <c r="AL529" s="39">
        <f>+'Gov Rev'!AI528-'Gov Exp'!AE529+'Gov Exp'!AI529-'Gov Exp'!AK529</f>
        <v>0</v>
      </c>
      <c r="AM529" s="15" t="str">
        <f>'Gov Rev'!A528</f>
        <v>Rayland</v>
      </c>
      <c r="AN529" s="15" t="str">
        <f t="shared" si="202"/>
        <v>Rayland</v>
      </c>
      <c r="AO529" s="15" t="b">
        <f t="shared" si="203"/>
        <v>1</v>
      </c>
    </row>
    <row r="530" spans="1:41" s="24" customFormat="1" ht="12.75">
      <c r="A530" s="24" t="s">
        <v>228</v>
      </c>
      <c r="C530" s="24" t="s">
        <v>551</v>
      </c>
      <c r="E530" s="36">
        <v>1527851.54</v>
      </c>
      <c r="F530" s="36"/>
      <c r="G530" s="36">
        <v>1095.74</v>
      </c>
      <c r="H530" s="36"/>
      <c r="I530" s="36">
        <v>10880.64</v>
      </c>
      <c r="J530" s="36"/>
      <c r="K530" s="36">
        <v>212263.57</v>
      </c>
      <c r="L530" s="36"/>
      <c r="M530" s="36">
        <v>0</v>
      </c>
      <c r="N530" s="36"/>
      <c r="O530" s="36">
        <v>620530.8</v>
      </c>
      <c r="P530" s="36"/>
      <c r="Q530" s="36">
        <v>403493.7</v>
      </c>
      <c r="R530" s="36"/>
      <c r="S530" s="36">
        <v>674369.09</v>
      </c>
      <c r="T530" s="36"/>
      <c r="U530" s="36">
        <v>140664</v>
      </c>
      <c r="V530" s="36"/>
      <c r="W530" s="36">
        <v>1435.05</v>
      </c>
      <c r="X530" s="36"/>
      <c r="Y530" s="36">
        <v>79497.91</v>
      </c>
      <c r="Z530" s="36"/>
      <c r="AA530" s="36">
        <v>85870.79</v>
      </c>
      <c r="AB530" s="36"/>
      <c r="AC530" s="36">
        <v>3000</v>
      </c>
      <c r="AD530" s="36"/>
      <c r="AE530" s="36">
        <f aca="true" t="shared" si="217" ref="AE530:AE531">SUM(E530:AC530)</f>
        <v>3760952.83</v>
      </c>
      <c r="AF530" s="36"/>
      <c r="AG530" s="36">
        <v>288275.62</v>
      </c>
      <c r="AH530" s="36"/>
      <c r="AI530" s="36">
        <v>1114732.96</v>
      </c>
      <c r="AJ530" s="36"/>
      <c r="AK530" s="36">
        <v>1403008.58</v>
      </c>
      <c r="AL530" s="39">
        <f>+'Gov Rev'!AI529-'Gov Exp'!AE530+'Gov Exp'!AI530-'Gov Exp'!AK530</f>
        <v>0</v>
      </c>
      <c r="AM530" s="15" t="str">
        <f>'Gov Rev'!A529</f>
        <v>Reminderville</v>
      </c>
      <c r="AN530" s="15" t="str">
        <f t="shared" si="202"/>
        <v>Reminderville</v>
      </c>
      <c r="AO530" s="15" t="b">
        <f t="shared" si="203"/>
        <v>1</v>
      </c>
    </row>
    <row r="531" spans="1:41" ht="12.75">
      <c r="A531" s="15" t="s">
        <v>536</v>
      </c>
      <c r="C531" s="15" t="s">
        <v>534</v>
      </c>
      <c r="E531" s="36">
        <v>101235.28</v>
      </c>
      <c r="F531" s="36"/>
      <c r="G531" s="36">
        <v>0</v>
      </c>
      <c r="H531" s="36"/>
      <c r="I531" s="36">
        <v>0</v>
      </c>
      <c r="J531" s="36"/>
      <c r="K531" s="36">
        <v>1000</v>
      </c>
      <c r="L531" s="36"/>
      <c r="M531" s="36">
        <v>924.26</v>
      </c>
      <c r="N531" s="36"/>
      <c r="O531" s="36">
        <v>21789.14</v>
      </c>
      <c r="P531" s="36"/>
      <c r="Q531" s="36">
        <v>24402.64</v>
      </c>
      <c r="R531" s="36"/>
      <c r="S531" s="36">
        <v>6401.8</v>
      </c>
      <c r="T531" s="36"/>
      <c r="U531" s="36">
        <v>0</v>
      </c>
      <c r="V531" s="36"/>
      <c r="W531" s="36">
        <v>0</v>
      </c>
      <c r="X531" s="36"/>
      <c r="Y531" s="36">
        <v>0</v>
      </c>
      <c r="Z531" s="36"/>
      <c r="AA531" s="36">
        <v>0</v>
      </c>
      <c r="AB531" s="36"/>
      <c r="AC531" s="36">
        <v>0</v>
      </c>
      <c r="AD531" s="36"/>
      <c r="AE531" s="36">
        <f t="shared" si="217"/>
        <v>155753.12</v>
      </c>
      <c r="AF531" s="36"/>
      <c r="AG531" s="36">
        <v>40912.55</v>
      </c>
      <c r="AH531" s="36"/>
      <c r="AI531" s="36">
        <v>47406.35</v>
      </c>
      <c r="AJ531" s="36"/>
      <c r="AK531" s="36">
        <v>88318.9</v>
      </c>
      <c r="AL531" s="39">
        <f>+'Gov Rev'!AI530-'Gov Exp'!AE531+'Gov Exp'!AI531-'Gov Exp'!AK531</f>
        <v>0</v>
      </c>
      <c r="AM531" s="15" t="str">
        <f>'Gov Rev'!A530</f>
        <v>Republic</v>
      </c>
      <c r="AN531" s="15" t="str">
        <f t="shared" si="202"/>
        <v>Republic</v>
      </c>
      <c r="AO531" s="15" t="b">
        <f t="shared" si="203"/>
        <v>1</v>
      </c>
    </row>
    <row r="532" spans="1:41" ht="12.75">
      <c r="A532" s="15" t="s">
        <v>555</v>
      </c>
      <c r="C532" s="15" t="s">
        <v>551</v>
      </c>
      <c r="E532" s="24">
        <v>4117133</v>
      </c>
      <c r="G532" s="24">
        <v>70875</v>
      </c>
      <c r="I532" s="24">
        <v>242915</v>
      </c>
      <c r="K532" s="24">
        <v>165491</v>
      </c>
      <c r="M532" s="24">
        <v>253517</v>
      </c>
      <c r="O532" s="24">
        <v>1779645</v>
      </c>
      <c r="Q532" s="24">
        <v>1255448</v>
      </c>
      <c r="S532" s="24">
        <v>1106482</v>
      </c>
      <c r="U532" s="24">
        <v>1494714</v>
      </c>
      <c r="W532" s="24">
        <v>360655</v>
      </c>
      <c r="Y532" s="24">
        <v>7033988</v>
      </c>
      <c r="AA532" s="24">
        <v>247000</v>
      </c>
      <c r="AC532" s="24">
        <v>118494</v>
      </c>
      <c r="AE532" s="24">
        <f t="shared" si="193"/>
        <v>18246357</v>
      </c>
      <c r="AF532" s="24"/>
      <c r="AG532" s="24">
        <v>317729</v>
      </c>
      <c r="AH532" s="24"/>
      <c r="AI532" s="24">
        <v>5599108</v>
      </c>
      <c r="AJ532" s="24"/>
      <c r="AK532" s="24">
        <v>5916837</v>
      </c>
      <c r="AL532" s="39">
        <f>+'Gov Rev'!AI531-'Gov Exp'!AE532+'Gov Exp'!AI532-'Gov Exp'!AK532</f>
        <v>-1</v>
      </c>
      <c r="AM532" s="15" t="str">
        <f>'Gov Rev'!A531</f>
        <v>Richfield</v>
      </c>
      <c r="AN532" s="15" t="str">
        <f t="shared" si="202"/>
        <v>Richfield</v>
      </c>
      <c r="AO532" s="15" t="b">
        <f t="shared" si="203"/>
        <v>1</v>
      </c>
    </row>
    <row r="533" spans="1:41" ht="12.75">
      <c r="A533" s="15" t="s">
        <v>119</v>
      </c>
      <c r="C533" s="15" t="s">
        <v>781</v>
      </c>
      <c r="D533" s="28"/>
      <c r="E533" s="95">
        <v>23166.59</v>
      </c>
      <c r="F533" s="95"/>
      <c r="G533" s="95">
        <v>0</v>
      </c>
      <c r="H533" s="95"/>
      <c r="I533" s="95">
        <v>17150.27</v>
      </c>
      <c r="J533" s="95"/>
      <c r="K533" s="95">
        <v>1000</v>
      </c>
      <c r="L533" s="95"/>
      <c r="M533" s="95">
        <v>0</v>
      </c>
      <c r="N533" s="95"/>
      <c r="O533" s="95">
        <v>19514.05</v>
      </c>
      <c r="P533" s="95"/>
      <c r="Q533" s="95">
        <v>27218.94</v>
      </c>
      <c r="R533" s="95"/>
      <c r="S533" s="95">
        <v>0</v>
      </c>
      <c r="T533" s="95"/>
      <c r="U533" s="95">
        <v>0</v>
      </c>
      <c r="V533" s="95"/>
      <c r="W533" s="95">
        <v>0</v>
      </c>
      <c r="X533" s="95"/>
      <c r="Y533" s="95">
        <v>8881.71</v>
      </c>
      <c r="Z533" s="95"/>
      <c r="AA533" s="95">
        <v>0</v>
      </c>
      <c r="AB533" s="95"/>
      <c r="AC533" s="95">
        <v>130.08</v>
      </c>
      <c r="AD533" s="95"/>
      <c r="AE533" s="95">
        <f aca="true" t="shared" si="218" ref="AE533">SUM(E533:AC533)</f>
        <v>97061.64</v>
      </c>
      <c r="AF533" s="95"/>
      <c r="AG533" s="95">
        <v>14931.57</v>
      </c>
      <c r="AH533" s="95"/>
      <c r="AI533" s="95">
        <v>141882.52</v>
      </c>
      <c r="AJ533" s="95"/>
      <c r="AK533" s="95">
        <v>156814.09</v>
      </c>
      <c r="AL533" s="39">
        <f>+'Gov Rev'!AI532-'Gov Exp'!AE533+'Gov Exp'!AI533-'Gov Exp'!AK533</f>
        <v>0</v>
      </c>
      <c r="AM533" s="15" t="str">
        <f>'Gov Rev'!A532</f>
        <v>Richmond</v>
      </c>
      <c r="AN533" s="15" t="str">
        <f t="shared" si="202"/>
        <v>Richmond</v>
      </c>
      <c r="AO533" s="15" t="b">
        <f t="shared" si="203"/>
        <v>1</v>
      </c>
    </row>
    <row r="534" spans="1:41" ht="12.75">
      <c r="A534" s="15" t="s">
        <v>238</v>
      </c>
      <c r="C534" s="15" t="s">
        <v>819</v>
      </c>
      <c r="D534" s="28"/>
      <c r="E534" s="36">
        <v>492063.21</v>
      </c>
      <c r="F534" s="36"/>
      <c r="G534" s="36">
        <v>0</v>
      </c>
      <c r="H534" s="36"/>
      <c r="I534" s="36">
        <v>18516.13</v>
      </c>
      <c r="J534" s="36"/>
      <c r="K534" s="36">
        <v>0</v>
      </c>
      <c r="L534" s="36"/>
      <c r="M534" s="36">
        <v>0</v>
      </c>
      <c r="N534" s="36"/>
      <c r="O534" s="36">
        <v>77645.81</v>
      </c>
      <c r="P534" s="36"/>
      <c r="Q534" s="36">
        <v>92078.99</v>
      </c>
      <c r="R534" s="36"/>
      <c r="S534" s="36">
        <v>37336.79</v>
      </c>
      <c r="T534" s="36"/>
      <c r="U534" s="36">
        <v>0</v>
      </c>
      <c r="V534" s="36"/>
      <c r="W534" s="36">
        <v>0</v>
      </c>
      <c r="X534" s="36"/>
      <c r="Y534" s="36">
        <v>4205.9</v>
      </c>
      <c r="Z534" s="36"/>
      <c r="AA534" s="36">
        <v>0</v>
      </c>
      <c r="AB534" s="36"/>
      <c r="AC534" s="36">
        <v>31792.08</v>
      </c>
      <c r="AD534" s="36"/>
      <c r="AE534" s="36">
        <f aca="true" t="shared" si="219" ref="AE534:AE538">SUM(E534:AC534)</f>
        <v>753638.91</v>
      </c>
      <c r="AF534" s="36"/>
      <c r="AG534" s="36">
        <v>57534.01</v>
      </c>
      <c r="AH534" s="36"/>
      <c r="AI534" s="36">
        <v>826841.77</v>
      </c>
      <c r="AJ534" s="36"/>
      <c r="AK534" s="36">
        <v>884375.78</v>
      </c>
      <c r="AL534" s="39">
        <f>+'Gov Rev'!AI533-'Gov Exp'!AE534+'Gov Exp'!AI534-'Gov Exp'!AK534</f>
        <v>0</v>
      </c>
      <c r="AM534" s="15" t="str">
        <f>'Gov Rev'!A533</f>
        <v>Richwood</v>
      </c>
      <c r="AN534" s="15" t="str">
        <f t="shared" si="202"/>
        <v>Richwood</v>
      </c>
      <c r="AO534" s="15" t="b">
        <f t="shared" si="203"/>
        <v>1</v>
      </c>
    </row>
    <row r="535" spans="1:41" s="31" customFormat="1" ht="12.75">
      <c r="A535" s="15" t="s">
        <v>401</v>
      </c>
      <c r="B535" s="15"/>
      <c r="C535" s="15" t="s">
        <v>396</v>
      </c>
      <c r="D535" s="15"/>
      <c r="E535" s="92">
        <v>283822.35</v>
      </c>
      <c r="F535" s="92"/>
      <c r="G535" s="92">
        <v>6091.66</v>
      </c>
      <c r="H535" s="92"/>
      <c r="I535" s="92">
        <v>0</v>
      </c>
      <c r="J535" s="92"/>
      <c r="K535" s="92">
        <v>0</v>
      </c>
      <c r="L535" s="92"/>
      <c r="M535" s="92">
        <v>1267.79</v>
      </c>
      <c r="N535" s="92"/>
      <c r="O535" s="92">
        <v>7716.58</v>
      </c>
      <c r="P535" s="92"/>
      <c r="Q535" s="92">
        <v>25661.2</v>
      </c>
      <c r="R535" s="92"/>
      <c r="S535" s="92">
        <v>6867</v>
      </c>
      <c r="T535" s="92"/>
      <c r="U535" s="92">
        <v>0</v>
      </c>
      <c r="V535" s="92"/>
      <c r="W535" s="92">
        <v>9932.19</v>
      </c>
      <c r="X535" s="92"/>
      <c r="Y535" s="92">
        <v>0</v>
      </c>
      <c r="Z535" s="92"/>
      <c r="AA535" s="92">
        <v>0</v>
      </c>
      <c r="AB535" s="92"/>
      <c r="AC535" s="92">
        <v>0</v>
      </c>
      <c r="AD535" s="92"/>
      <c r="AE535" s="92">
        <f t="shared" si="219"/>
        <v>341358.76999999996</v>
      </c>
      <c r="AF535" s="36"/>
      <c r="AG535" s="36">
        <v>-7135.96</v>
      </c>
      <c r="AH535" s="36"/>
      <c r="AI535" s="36">
        <v>133537.13</v>
      </c>
      <c r="AJ535" s="36"/>
      <c r="AK535" s="36">
        <v>126401.17</v>
      </c>
      <c r="AL535" s="39">
        <f>+'Gov Rev'!AI534-'Gov Exp'!AE535+'Gov Exp'!AI535-'Gov Exp'!AK535</f>
        <v>0</v>
      </c>
      <c r="AM535" s="15" t="str">
        <f>'Gov Rev'!A534</f>
        <v>Ridgeway</v>
      </c>
      <c r="AN535" s="15" t="str">
        <f t="shared" si="202"/>
        <v>Ridgeway</v>
      </c>
      <c r="AO535" s="15" t="b">
        <f t="shared" si="203"/>
        <v>1</v>
      </c>
    </row>
    <row r="536" spans="1:41" ht="12.75">
      <c r="A536" s="15" t="s">
        <v>81</v>
      </c>
      <c r="C536" s="15" t="s">
        <v>770</v>
      </c>
      <c r="D536" s="28"/>
      <c r="E536" s="36">
        <v>166398.32</v>
      </c>
      <c r="F536" s="36"/>
      <c r="G536" s="36">
        <v>0</v>
      </c>
      <c r="H536" s="36"/>
      <c r="I536" s="36">
        <v>1505.81</v>
      </c>
      <c r="J536" s="36"/>
      <c r="K536" s="36">
        <v>493.46</v>
      </c>
      <c r="L536" s="36"/>
      <c r="M536" s="36">
        <v>0</v>
      </c>
      <c r="N536" s="36"/>
      <c r="O536" s="36">
        <v>54788.25</v>
      </c>
      <c r="P536" s="36"/>
      <c r="Q536" s="36">
        <v>104371.73</v>
      </c>
      <c r="R536" s="36"/>
      <c r="S536" s="36">
        <v>7389.88</v>
      </c>
      <c r="T536" s="36"/>
      <c r="U536" s="36">
        <v>17007.05</v>
      </c>
      <c r="V536" s="36"/>
      <c r="W536" s="36">
        <v>1444.08</v>
      </c>
      <c r="X536" s="36"/>
      <c r="Y536" s="36">
        <v>0</v>
      </c>
      <c r="Z536" s="36"/>
      <c r="AA536" s="36">
        <v>0</v>
      </c>
      <c r="AB536" s="36"/>
      <c r="AC536" s="36">
        <v>0</v>
      </c>
      <c r="AD536" s="36"/>
      <c r="AE536" s="36">
        <f t="shared" si="219"/>
        <v>353398.58</v>
      </c>
      <c r="AF536" s="36"/>
      <c r="AG536" s="36">
        <v>-19636.09</v>
      </c>
      <c r="AH536" s="36"/>
      <c r="AI536" s="36">
        <v>103929.35</v>
      </c>
      <c r="AJ536" s="36"/>
      <c r="AK536" s="36">
        <v>84293.26</v>
      </c>
      <c r="AL536" s="39">
        <f>+'Gov Rev'!AI535-'Gov Exp'!AE536+'Gov Exp'!AI536-'Gov Exp'!AK536</f>
        <v>0</v>
      </c>
      <c r="AM536" s="15" t="str">
        <f>'Gov Rev'!A535</f>
        <v>Rio Grande</v>
      </c>
      <c r="AN536" s="15" t="str">
        <f t="shared" si="202"/>
        <v>Rio Grande</v>
      </c>
      <c r="AO536" s="15" t="b">
        <f t="shared" si="203"/>
        <v>1</v>
      </c>
    </row>
    <row r="537" spans="1:41" ht="12.6" customHeight="1">
      <c r="A537" s="15" t="s">
        <v>284</v>
      </c>
      <c r="C537" s="15" t="s">
        <v>283</v>
      </c>
      <c r="E537" s="36">
        <v>453613.38</v>
      </c>
      <c r="F537" s="36"/>
      <c r="G537" s="36">
        <v>19954.25</v>
      </c>
      <c r="H537" s="36"/>
      <c r="I537" s="36">
        <v>0</v>
      </c>
      <c r="J537" s="36"/>
      <c r="K537" s="36">
        <v>0</v>
      </c>
      <c r="L537" s="36"/>
      <c r="M537" s="36">
        <v>0</v>
      </c>
      <c r="N537" s="36"/>
      <c r="O537" s="36">
        <v>187428.79</v>
      </c>
      <c r="P537" s="36"/>
      <c r="Q537" s="36">
        <v>103827.97</v>
      </c>
      <c r="R537" s="36"/>
      <c r="S537" s="36">
        <v>25081.98</v>
      </c>
      <c r="T537" s="36"/>
      <c r="U537" s="36">
        <v>42000</v>
      </c>
      <c r="V537" s="36"/>
      <c r="W537" s="36">
        <v>2016</v>
      </c>
      <c r="X537" s="36"/>
      <c r="Y537" s="36">
        <v>20000</v>
      </c>
      <c r="Z537" s="36"/>
      <c r="AA537" s="36">
        <v>0</v>
      </c>
      <c r="AB537" s="36"/>
      <c r="AC537" s="36">
        <v>0</v>
      </c>
      <c r="AD537" s="36"/>
      <c r="AE537" s="36">
        <f t="shared" si="219"/>
        <v>853922.37</v>
      </c>
      <c r="AF537" s="36"/>
      <c r="AG537" s="36">
        <v>42949.12</v>
      </c>
      <c r="AH537" s="36"/>
      <c r="AI537" s="36">
        <v>573253.33</v>
      </c>
      <c r="AJ537" s="36"/>
      <c r="AK537" s="36">
        <v>616202.45</v>
      </c>
      <c r="AL537" s="39">
        <f>+'Gov Rev'!AI536-'Gov Exp'!AE537+'Gov Exp'!AI537-'Gov Exp'!AK537</f>
        <v>0</v>
      </c>
      <c r="AM537" s="15" t="str">
        <f>'Gov Rev'!A536</f>
        <v>Ripley</v>
      </c>
      <c r="AN537" s="15" t="str">
        <f t="shared" si="202"/>
        <v>Ripley</v>
      </c>
      <c r="AO537" s="15" t="b">
        <f t="shared" si="203"/>
        <v>1</v>
      </c>
    </row>
    <row r="538" spans="1:41" ht="12.75">
      <c r="A538" s="15" t="s">
        <v>260</v>
      </c>
      <c r="C538" s="15" t="s">
        <v>825</v>
      </c>
      <c r="D538" s="28"/>
      <c r="E538" s="36">
        <v>79241.7</v>
      </c>
      <c r="F538" s="36"/>
      <c r="G538" s="36">
        <v>0</v>
      </c>
      <c r="H538" s="36"/>
      <c r="I538" s="36">
        <v>7867.43</v>
      </c>
      <c r="J538" s="36"/>
      <c r="K538" s="36">
        <v>947.57</v>
      </c>
      <c r="L538" s="36"/>
      <c r="M538" s="36">
        <v>2354.32</v>
      </c>
      <c r="N538" s="36"/>
      <c r="O538" s="36">
        <v>34598.09</v>
      </c>
      <c r="P538" s="36"/>
      <c r="Q538" s="36">
        <v>44339.55</v>
      </c>
      <c r="R538" s="36"/>
      <c r="S538" s="36">
        <v>94734.63</v>
      </c>
      <c r="T538" s="36"/>
      <c r="U538" s="36">
        <v>3737.48</v>
      </c>
      <c r="V538" s="36"/>
      <c r="W538" s="36">
        <v>1361.15</v>
      </c>
      <c r="X538" s="36"/>
      <c r="Y538" s="36">
        <v>8550.5</v>
      </c>
      <c r="Z538" s="36"/>
      <c r="AA538" s="36">
        <v>0</v>
      </c>
      <c r="AB538" s="36"/>
      <c r="AC538" s="36">
        <v>1123.56</v>
      </c>
      <c r="AD538" s="36"/>
      <c r="AE538" s="36">
        <f t="shared" si="219"/>
        <v>278855.98000000004</v>
      </c>
      <c r="AF538" s="36"/>
      <c r="AG538" s="36">
        <v>21669.49</v>
      </c>
      <c r="AH538" s="36"/>
      <c r="AI538" s="36">
        <v>226484.62</v>
      </c>
      <c r="AJ538" s="36"/>
      <c r="AK538" s="36">
        <v>248154.11</v>
      </c>
      <c r="AL538" s="39">
        <f>+'Gov Rev'!AI537-'Gov Exp'!AE538+'Gov Exp'!AI538-'Gov Exp'!AK538</f>
        <v>0</v>
      </c>
      <c r="AM538" s="15" t="str">
        <f>'Gov Rev'!A537</f>
        <v>Risingsun</v>
      </c>
      <c r="AN538" s="15" t="str">
        <f t="shared" si="202"/>
        <v>Risingsun</v>
      </c>
      <c r="AO538" s="15" t="b">
        <f t="shared" si="203"/>
        <v>1</v>
      </c>
    </row>
    <row r="539" spans="1:41" s="31" customFormat="1" ht="12.6" customHeight="1">
      <c r="A539" s="15" t="s">
        <v>356</v>
      </c>
      <c r="B539" s="15"/>
      <c r="C539" s="15" t="s">
        <v>353</v>
      </c>
      <c r="D539" s="15"/>
      <c r="E539" s="24">
        <v>63155</v>
      </c>
      <c r="F539" s="24"/>
      <c r="G539" s="24">
        <v>4647</v>
      </c>
      <c r="H539" s="24"/>
      <c r="I539" s="24">
        <v>7731</v>
      </c>
      <c r="J539" s="24"/>
      <c r="K539" s="24">
        <v>7997</v>
      </c>
      <c r="L539" s="24"/>
      <c r="M539" s="24">
        <v>66177</v>
      </c>
      <c r="N539" s="24"/>
      <c r="O539" s="24">
        <v>25293</v>
      </c>
      <c r="P539" s="24"/>
      <c r="Q539" s="24">
        <v>57243</v>
      </c>
      <c r="R539" s="24"/>
      <c r="S539" s="24">
        <v>0</v>
      </c>
      <c r="T539" s="24"/>
      <c r="U539" s="24">
        <v>0</v>
      </c>
      <c r="V539" s="24"/>
      <c r="W539" s="24">
        <v>0</v>
      </c>
      <c r="X539" s="24"/>
      <c r="Y539" s="24">
        <v>0</v>
      </c>
      <c r="Z539" s="24"/>
      <c r="AA539" s="24">
        <v>0</v>
      </c>
      <c r="AB539" s="24"/>
      <c r="AC539" s="24">
        <v>0</v>
      </c>
      <c r="AD539" s="24"/>
      <c r="AE539" s="24">
        <f aca="true" t="shared" si="220" ref="AE539:AE605">SUM(E539:AC539)</f>
        <v>232243</v>
      </c>
      <c r="AF539" s="24"/>
      <c r="AG539" s="24"/>
      <c r="AH539" s="24"/>
      <c r="AI539" s="24">
        <v>460222</v>
      </c>
      <c r="AJ539" s="24"/>
      <c r="AK539" s="24">
        <v>447292</v>
      </c>
      <c r="AL539" s="39">
        <f>+'Gov Rev'!AI538-'Gov Exp'!AE539+'Gov Exp'!AI539-'Gov Exp'!AK539</f>
        <v>-181</v>
      </c>
      <c r="AM539" s="15" t="str">
        <f>'Gov Rev'!A538</f>
        <v>Riverlea</v>
      </c>
      <c r="AN539" s="15" t="str">
        <f t="shared" si="202"/>
        <v>Riverlea</v>
      </c>
      <c r="AO539" s="15" t="b">
        <f t="shared" si="203"/>
        <v>1</v>
      </c>
    </row>
    <row r="540" spans="1:41" ht="12.75">
      <c r="A540" s="15" t="s">
        <v>673</v>
      </c>
      <c r="C540" s="15" t="s">
        <v>674</v>
      </c>
      <c r="D540" s="28"/>
      <c r="E540" s="24">
        <v>189067.92</v>
      </c>
      <c r="G540" s="24">
        <v>28345.26</v>
      </c>
      <c r="I540" s="24">
        <v>0</v>
      </c>
      <c r="K540" s="24">
        <v>16763.18</v>
      </c>
      <c r="M540" s="24">
        <v>0</v>
      </c>
      <c r="O540" s="24">
        <v>29003.62</v>
      </c>
      <c r="Q540" s="24">
        <v>156212.09</v>
      </c>
      <c r="S540" s="24">
        <v>327795.53</v>
      </c>
      <c r="U540" s="24">
        <v>95284.54</v>
      </c>
      <c r="W540" s="24">
        <v>59647.28</v>
      </c>
      <c r="Y540" s="24">
        <v>80000</v>
      </c>
      <c r="AA540" s="24">
        <v>0</v>
      </c>
      <c r="AC540" s="24">
        <v>5653.46</v>
      </c>
      <c r="AE540" s="24">
        <f t="shared" si="220"/>
        <v>987772.8800000001</v>
      </c>
      <c r="AF540" s="24"/>
      <c r="AG540" s="24">
        <v>-201235</v>
      </c>
      <c r="AH540" s="24"/>
      <c r="AI540" s="24">
        <v>765788.35</v>
      </c>
      <c r="AJ540" s="24"/>
      <c r="AK540" s="24">
        <v>564553.35</v>
      </c>
      <c r="AL540" s="39">
        <f>+'Gov Rev'!AI539-'Gov Exp'!AE540+'Gov Exp'!AI540-'Gov Exp'!AK540</f>
        <v>0</v>
      </c>
      <c r="AM540" s="15" t="str">
        <f>'Gov Rev'!A539</f>
        <v>Roaming Shores</v>
      </c>
      <c r="AN540" s="15" t="str">
        <f t="shared" si="202"/>
        <v>Roaming Shores</v>
      </c>
      <c r="AO540" s="15" t="b">
        <f t="shared" si="203"/>
        <v>1</v>
      </c>
    </row>
    <row r="541" spans="1:41" ht="12.75">
      <c r="A541" s="15" t="s">
        <v>138</v>
      </c>
      <c r="C541" s="15" t="s">
        <v>787</v>
      </c>
      <c r="D541" s="28"/>
      <c r="E541" s="95">
        <v>0</v>
      </c>
      <c r="F541" s="95"/>
      <c r="G541" s="95">
        <v>350.88</v>
      </c>
      <c r="H541" s="95"/>
      <c r="I541" s="95">
        <v>7265.15</v>
      </c>
      <c r="J541" s="95"/>
      <c r="K541" s="95">
        <v>3360.48</v>
      </c>
      <c r="L541" s="95"/>
      <c r="M541" s="95">
        <v>1203</v>
      </c>
      <c r="N541" s="95"/>
      <c r="O541" s="95">
        <v>12373.52</v>
      </c>
      <c r="P541" s="95"/>
      <c r="Q541" s="95">
        <v>25877</v>
      </c>
      <c r="R541" s="95"/>
      <c r="S541" s="95">
        <v>0</v>
      </c>
      <c r="T541" s="95"/>
      <c r="U541" s="95">
        <v>0</v>
      </c>
      <c r="V541" s="95"/>
      <c r="W541" s="95">
        <v>0</v>
      </c>
      <c r="X541" s="95"/>
      <c r="Y541" s="95">
        <v>2749.86</v>
      </c>
      <c r="Z541" s="95"/>
      <c r="AA541" s="95">
        <v>0</v>
      </c>
      <c r="AB541" s="95"/>
      <c r="AC541" s="95">
        <v>0</v>
      </c>
      <c r="AD541" s="95"/>
      <c r="AE541" s="95">
        <f aca="true" t="shared" si="221" ref="AE541">SUM(E541:AC541)</f>
        <v>53179.89</v>
      </c>
      <c r="AF541" s="95"/>
      <c r="AG541" s="95">
        <v>-1107.59</v>
      </c>
      <c r="AH541" s="95"/>
      <c r="AI541" s="95">
        <v>316644.62</v>
      </c>
      <c r="AJ541" s="95"/>
      <c r="AK541" s="95">
        <v>315537.03</v>
      </c>
      <c r="AL541" s="39">
        <f>+'Gov Rev'!AI540-'Gov Exp'!AE541+'Gov Exp'!AI541-'Gov Exp'!AK541</f>
        <v>0</v>
      </c>
      <c r="AM541" s="15" t="str">
        <f>'Gov Rev'!A540</f>
        <v>Rochester</v>
      </c>
      <c r="AN541" s="15" t="str">
        <f t="shared" si="202"/>
        <v>Rochester</v>
      </c>
      <c r="AO541" s="15" t="b">
        <f t="shared" si="203"/>
        <v>1</v>
      </c>
    </row>
    <row r="542" spans="1:41" ht="12.75">
      <c r="A542" s="15" t="s">
        <v>675</v>
      </c>
      <c r="C542" s="15" t="s">
        <v>674</v>
      </c>
      <c r="D542" s="28"/>
      <c r="E542" s="92">
        <v>46554.17</v>
      </c>
      <c r="F542" s="92"/>
      <c r="G542" s="92">
        <v>3330.43</v>
      </c>
      <c r="H542" s="92"/>
      <c r="I542" s="92">
        <v>0</v>
      </c>
      <c r="J542" s="92"/>
      <c r="K542" s="92">
        <v>0</v>
      </c>
      <c r="L542" s="92"/>
      <c r="M542" s="92">
        <v>0</v>
      </c>
      <c r="N542" s="92"/>
      <c r="O542" s="92">
        <v>40802.1</v>
      </c>
      <c r="P542" s="92"/>
      <c r="Q542" s="92">
        <v>74258.91</v>
      </c>
      <c r="R542" s="92"/>
      <c r="S542" s="92">
        <v>61912.04</v>
      </c>
      <c r="T542" s="92"/>
      <c r="U542" s="92">
        <v>8025.93</v>
      </c>
      <c r="V542" s="92"/>
      <c r="W542" s="92">
        <v>0</v>
      </c>
      <c r="X542" s="92"/>
      <c r="Y542" s="92">
        <v>9909.52</v>
      </c>
      <c r="Z542" s="92"/>
      <c r="AA542" s="92">
        <v>0</v>
      </c>
      <c r="AB542" s="92"/>
      <c r="AC542" s="92">
        <v>0</v>
      </c>
      <c r="AD542" s="92"/>
      <c r="AE542" s="92">
        <f aca="true" t="shared" si="222" ref="AE542">SUM(E542:AC542)</f>
        <v>244793.09999999998</v>
      </c>
      <c r="AF542" s="36"/>
      <c r="AG542" s="36">
        <v>-11638.84</v>
      </c>
      <c r="AH542" s="36"/>
      <c r="AI542" s="36">
        <v>163437.29</v>
      </c>
      <c r="AJ542" s="36"/>
      <c r="AK542" s="36">
        <v>151798.45</v>
      </c>
      <c r="AL542" s="39">
        <f>+'Gov Rev'!AI541-'Gov Exp'!AE542+'Gov Exp'!AI542-'Gov Exp'!AK542</f>
        <v>0</v>
      </c>
      <c r="AM542" s="15" t="str">
        <f>'Gov Rev'!A541</f>
        <v>Rock Creek</v>
      </c>
      <c r="AN542" s="15" t="str">
        <f aca="true" t="shared" si="223" ref="AN542">A542</f>
        <v>Rock Creek</v>
      </c>
      <c r="AO542" s="15" t="b">
        <f aca="true" t="shared" si="224" ref="AO542">AM542=AN542</f>
        <v>1</v>
      </c>
    </row>
    <row r="543" spans="31:38" ht="12.6" customHeight="1">
      <c r="AE543" s="83" t="s">
        <v>864</v>
      </c>
      <c r="AF543" s="24"/>
      <c r="AG543" s="24"/>
      <c r="AH543" s="24"/>
      <c r="AI543" s="24"/>
      <c r="AJ543" s="24"/>
      <c r="AK543" s="24"/>
      <c r="AL543" s="39"/>
    </row>
    <row r="544" spans="1:41" ht="12.75">
      <c r="A544" s="15" t="s">
        <v>468</v>
      </c>
      <c r="C544" s="15" t="s">
        <v>466</v>
      </c>
      <c r="E544" s="94">
        <v>202257.7</v>
      </c>
      <c r="F544" s="94"/>
      <c r="G544" s="94">
        <v>2131</v>
      </c>
      <c r="H544" s="94"/>
      <c r="I544" s="94">
        <v>6606.59</v>
      </c>
      <c r="J544" s="94"/>
      <c r="K544" s="94">
        <v>3669.08</v>
      </c>
      <c r="L544" s="94"/>
      <c r="M544" s="94">
        <v>7995.83</v>
      </c>
      <c r="N544" s="94"/>
      <c r="O544" s="94">
        <v>136704.22</v>
      </c>
      <c r="P544" s="94"/>
      <c r="Q544" s="94">
        <v>135486.1</v>
      </c>
      <c r="R544" s="94"/>
      <c r="S544" s="94">
        <v>115338.18</v>
      </c>
      <c r="T544" s="94"/>
      <c r="U544" s="94">
        <v>18404.66</v>
      </c>
      <c r="V544" s="94"/>
      <c r="W544" s="94">
        <v>0</v>
      </c>
      <c r="X544" s="94"/>
      <c r="Y544" s="94">
        <v>26947.02</v>
      </c>
      <c r="Z544" s="94"/>
      <c r="AA544" s="94">
        <v>0</v>
      </c>
      <c r="AB544" s="94"/>
      <c r="AC544" s="94">
        <v>0</v>
      </c>
      <c r="AD544" s="94"/>
      <c r="AE544" s="94">
        <f aca="true" t="shared" si="225" ref="AE544:AE546">SUM(E544:AC544)</f>
        <v>655540.38</v>
      </c>
      <c r="AF544" s="36"/>
      <c r="AG544" s="36">
        <v>8223.7</v>
      </c>
      <c r="AH544" s="36"/>
      <c r="AI544" s="36">
        <v>267836.24</v>
      </c>
      <c r="AJ544" s="36"/>
      <c r="AK544" s="36">
        <v>276059.94</v>
      </c>
      <c r="AL544" s="39">
        <f>+'Gov Rev'!AI542-'Gov Exp'!AE544+'Gov Exp'!AI544-'Gov Exp'!AK544</f>
        <v>0</v>
      </c>
      <c r="AM544" s="15" t="str">
        <f>'Gov Rev'!A542</f>
        <v>Rockford</v>
      </c>
      <c r="AN544" s="15" t="str">
        <f t="shared" si="202"/>
        <v>Rockford</v>
      </c>
      <c r="AO544" s="15" t="b">
        <f t="shared" si="203"/>
        <v>1</v>
      </c>
    </row>
    <row r="545" spans="1:41" ht="12.75">
      <c r="A545" s="15" t="s">
        <v>831</v>
      </c>
      <c r="C545" s="15" t="s">
        <v>802</v>
      </c>
      <c r="D545" s="28"/>
      <c r="E545" s="36">
        <v>33738.22</v>
      </c>
      <c r="F545" s="36"/>
      <c r="G545" s="36">
        <v>858.06</v>
      </c>
      <c r="H545" s="36"/>
      <c r="I545" s="36">
        <v>184</v>
      </c>
      <c r="J545" s="36"/>
      <c r="K545" s="36">
        <v>225</v>
      </c>
      <c r="L545" s="36"/>
      <c r="M545" s="36">
        <v>900</v>
      </c>
      <c r="N545" s="36"/>
      <c r="O545" s="36">
        <v>17718.99</v>
      </c>
      <c r="P545" s="36"/>
      <c r="Q545" s="36">
        <v>25866.05</v>
      </c>
      <c r="R545" s="36"/>
      <c r="S545" s="36">
        <v>0</v>
      </c>
      <c r="T545" s="36"/>
      <c r="U545" s="36">
        <v>9403.64</v>
      </c>
      <c r="V545" s="36"/>
      <c r="W545" s="36">
        <v>8893.06</v>
      </c>
      <c r="X545" s="36"/>
      <c r="Y545" s="36">
        <v>0</v>
      </c>
      <c r="Z545" s="36"/>
      <c r="AA545" s="36">
        <v>0</v>
      </c>
      <c r="AB545" s="36"/>
      <c r="AC545" s="36">
        <v>0</v>
      </c>
      <c r="AD545" s="36"/>
      <c r="AE545" s="36">
        <f t="shared" si="225"/>
        <v>97787.02</v>
      </c>
      <c r="AF545" s="36"/>
      <c r="AG545" s="36">
        <v>18827.41</v>
      </c>
      <c r="AH545" s="36"/>
      <c r="AI545" s="36">
        <v>83110.78</v>
      </c>
      <c r="AJ545" s="36"/>
      <c r="AK545" s="36">
        <v>101938.19</v>
      </c>
      <c r="AL545" s="39">
        <f>+'Gov Rev'!AI543-'Gov Exp'!AE545+'Gov Exp'!AI545-'Gov Exp'!AK545</f>
        <v>0</v>
      </c>
      <c r="AM545" s="15" t="str">
        <f>'Gov Rev'!A543</f>
        <v>Rocky Ridge</v>
      </c>
      <c r="AN545" s="15" t="str">
        <f t="shared" si="202"/>
        <v>Rocky Ridge</v>
      </c>
      <c r="AO545" s="15" t="b">
        <f t="shared" si="203"/>
        <v>1</v>
      </c>
    </row>
    <row r="546" spans="1:41" s="31" customFormat="1" ht="12.75">
      <c r="A546" s="15" t="s">
        <v>45</v>
      </c>
      <c r="B546" s="15"/>
      <c r="C546" s="15" t="s">
        <v>758</v>
      </c>
      <c r="D546" s="28"/>
      <c r="E546" s="36">
        <v>9568.15</v>
      </c>
      <c r="F546" s="36"/>
      <c r="G546" s="36">
        <v>0</v>
      </c>
      <c r="H546" s="36"/>
      <c r="I546" s="36">
        <v>0</v>
      </c>
      <c r="J546" s="36"/>
      <c r="K546" s="36">
        <v>0</v>
      </c>
      <c r="L546" s="36"/>
      <c r="M546" s="36">
        <v>0</v>
      </c>
      <c r="N546" s="36"/>
      <c r="O546" s="36">
        <v>16595.24</v>
      </c>
      <c r="P546" s="36"/>
      <c r="Q546" s="36">
        <v>14996.66</v>
      </c>
      <c r="R546" s="36"/>
      <c r="S546" s="36">
        <v>8179.6</v>
      </c>
      <c r="T546" s="36"/>
      <c r="U546" s="36">
        <v>0</v>
      </c>
      <c r="V546" s="36"/>
      <c r="W546" s="36">
        <v>0</v>
      </c>
      <c r="X546" s="36"/>
      <c r="Y546" s="36">
        <v>0</v>
      </c>
      <c r="Z546" s="36"/>
      <c r="AA546" s="36">
        <v>0</v>
      </c>
      <c r="AB546" s="36"/>
      <c r="AC546" s="36">
        <v>0</v>
      </c>
      <c r="AD546" s="36"/>
      <c r="AE546" s="36">
        <f t="shared" si="225"/>
        <v>49339.65</v>
      </c>
      <c r="AF546" s="36"/>
      <c r="AG546" s="36">
        <v>11047.27</v>
      </c>
      <c r="AH546" s="36"/>
      <c r="AI546" s="36">
        <v>5534.18</v>
      </c>
      <c r="AJ546" s="36"/>
      <c r="AK546" s="36">
        <v>16581.45</v>
      </c>
      <c r="AL546" s="39">
        <f>+'Gov Rev'!AI544-'Gov Exp'!AE546+'Gov Exp'!AI546-'Gov Exp'!AK546</f>
        <v>0</v>
      </c>
      <c r="AM546" s="15" t="str">
        <f>'Gov Rev'!A544</f>
        <v>Rogers</v>
      </c>
      <c r="AN546" s="15" t="str">
        <f t="shared" si="202"/>
        <v>Rogers</v>
      </c>
      <c r="AO546" s="15" t="b">
        <f t="shared" si="203"/>
        <v>1</v>
      </c>
    </row>
    <row r="547" spans="1:41" ht="12.75">
      <c r="A547" s="15" t="s">
        <v>832</v>
      </c>
      <c r="C547" s="15" t="s">
        <v>662</v>
      </c>
      <c r="D547" s="28"/>
      <c r="E547" s="24">
        <v>1703</v>
      </c>
      <c r="G547" s="24">
        <v>1082</v>
      </c>
      <c r="I547" s="24">
        <v>0</v>
      </c>
      <c r="K547" s="24">
        <v>0</v>
      </c>
      <c r="M547" s="24">
        <v>0</v>
      </c>
      <c r="O547" s="24">
        <v>0</v>
      </c>
      <c r="Q547" s="24">
        <v>3850</v>
      </c>
      <c r="S547" s="24">
        <v>0</v>
      </c>
      <c r="U547" s="24">
        <v>0</v>
      </c>
      <c r="W547" s="24">
        <v>0</v>
      </c>
      <c r="Y547" s="24">
        <v>0</v>
      </c>
      <c r="AA547" s="24">
        <v>0</v>
      </c>
      <c r="AC547" s="24">
        <v>0</v>
      </c>
      <c r="AE547" s="24">
        <f t="shared" si="220"/>
        <v>6635</v>
      </c>
      <c r="AF547" s="24"/>
      <c r="AG547" s="24">
        <f>1696+3573+299</f>
        <v>5568</v>
      </c>
      <c r="AH547" s="24"/>
      <c r="AI547" s="24">
        <f>8921+26798</f>
        <v>35719</v>
      </c>
      <c r="AJ547" s="24"/>
      <c r="AK547" s="24">
        <f>10617+30321+299</f>
        <v>41237</v>
      </c>
      <c r="AL547" s="39">
        <f>+'Gov Rev'!AI545-'Gov Exp'!AE547+'Gov Exp'!AI547-'Gov Exp'!AK547</f>
        <v>-16</v>
      </c>
      <c r="AM547" s="15" t="str">
        <f>'Gov Rev'!A545</f>
        <v>Rome</v>
      </c>
      <c r="AN547" s="15" t="str">
        <f t="shared" si="202"/>
        <v>Rome</v>
      </c>
      <c r="AO547" s="15" t="b">
        <f t="shared" si="203"/>
        <v>1</v>
      </c>
    </row>
    <row r="548" spans="1:41" ht="12.75">
      <c r="A548" s="15" t="s">
        <v>489</v>
      </c>
      <c r="C548" s="15" t="s">
        <v>485</v>
      </c>
      <c r="E548" s="36">
        <v>194700.58</v>
      </c>
      <c r="F548" s="36"/>
      <c r="G548" s="36">
        <v>31082.47</v>
      </c>
      <c r="H548" s="36"/>
      <c r="I548" s="36">
        <v>31971.96</v>
      </c>
      <c r="J548" s="36"/>
      <c r="K548" s="36">
        <v>0</v>
      </c>
      <c r="L548" s="36"/>
      <c r="M548" s="36">
        <v>0</v>
      </c>
      <c r="N548" s="36"/>
      <c r="O548" s="36">
        <v>65542.64</v>
      </c>
      <c r="P548" s="36"/>
      <c r="Q548" s="36">
        <v>587767.64</v>
      </c>
      <c r="R548" s="36"/>
      <c r="S548" s="36">
        <v>1228056.53</v>
      </c>
      <c r="T548" s="36"/>
      <c r="U548" s="36">
        <v>0</v>
      </c>
      <c r="V548" s="36"/>
      <c r="W548" s="36">
        <v>3290.64</v>
      </c>
      <c r="X548" s="36"/>
      <c r="Y548" s="36">
        <v>75000</v>
      </c>
      <c r="Z548" s="36"/>
      <c r="AA548" s="36">
        <v>0</v>
      </c>
      <c r="AB548" s="36"/>
      <c r="AC548" s="36">
        <v>500</v>
      </c>
      <c r="AD548" s="36"/>
      <c r="AE548" s="36">
        <f aca="true" t="shared" si="226" ref="AE548">SUM(E548:AC548)</f>
        <v>2217912.4600000004</v>
      </c>
      <c r="AF548" s="36"/>
      <c r="AG548" s="36">
        <v>-8617.38</v>
      </c>
      <c r="AH548" s="36"/>
      <c r="AI548" s="36">
        <v>591927.55</v>
      </c>
      <c r="AJ548" s="36"/>
      <c r="AK548" s="36">
        <v>583310.17</v>
      </c>
      <c r="AL548" s="39">
        <f>+'Gov Rev'!AI546-'Gov Exp'!AE548+'Gov Exp'!AI548-'Gov Exp'!AK548</f>
        <v>0</v>
      </c>
      <c r="AM548" s="15" t="str">
        <f>'Gov Rev'!A546</f>
        <v>Roseville</v>
      </c>
      <c r="AN548" s="15" t="str">
        <f t="shared" si="202"/>
        <v>Roseville</v>
      </c>
      <c r="AO548" s="15" t="b">
        <f t="shared" si="203"/>
        <v>1</v>
      </c>
    </row>
    <row r="549" spans="1:41" ht="12.6" customHeight="1">
      <c r="A549" s="15" t="s">
        <v>336</v>
      </c>
      <c r="C549" s="15" t="s">
        <v>329</v>
      </c>
      <c r="E549" s="24">
        <v>7217</v>
      </c>
      <c r="G549" s="24">
        <v>627</v>
      </c>
      <c r="I549" s="24">
        <v>300</v>
      </c>
      <c r="K549" s="24">
        <v>0</v>
      </c>
      <c r="M549" s="24">
        <v>12571</v>
      </c>
      <c r="O549" s="24">
        <v>2174</v>
      </c>
      <c r="Q549" s="24">
        <v>20398</v>
      </c>
      <c r="S549" s="24">
        <v>0</v>
      </c>
      <c r="U549" s="24">
        <f>10941+11800</f>
        <v>22741</v>
      </c>
      <c r="W549" s="24">
        <v>3590</v>
      </c>
      <c r="Y549" s="24">
        <v>0</v>
      </c>
      <c r="AA549" s="24">
        <v>0</v>
      </c>
      <c r="AC549" s="24">
        <v>0</v>
      </c>
      <c r="AE549" s="24">
        <f t="shared" si="220"/>
        <v>69618</v>
      </c>
      <c r="AF549" s="24"/>
      <c r="AG549" s="24"/>
      <c r="AH549" s="24"/>
      <c r="AI549" s="24">
        <f>78494+23683+5826+23683</f>
        <v>131686</v>
      </c>
      <c r="AJ549" s="24"/>
      <c r="AK549" s="24">
        <f>69703+37248+12316-26578-26578+37248</f>
        <v>103359</v>
      </c>
      <c r="AL549" s="39">
        <f>+'Gov Rev'!AI547-'Gov Exp'!AE549+'Gov Exp'!AI549-'Gov Exp'!AK549</f>
        <v>260126</v>
      </c>
      <c r="AM549" s="15" t="str">
        <f>'Gov Rev'!A547</f>
        <v>Rossburg</v>
      </c>
      <c r="AN549" s="15" t="str">
        <f t="shared" si="202"/>
        <v>Rossburg</v>
      </c>
      <c r="AO549" s="15" t="b">
        <f t="shared" si="203"/>
        <v>1</v>
      </c>
    </row>
    <row r="550" spans="1:41" s="31" customFormat="1" ht="12.75">
      <c r="A550" s="15" t="s">
        <v>912</v>
      </c>
      <c r="B550" s="15"/>
      <c r="C550" s="15" t="s">
        <v>562</v>
      </c>
      <c r="D550" s="28"/>
      <c r="E550" s="96">
        <v>10852.01</v>
      </c>
      <c r="F550" s="96"/>
      <c r="G550" s="96">
        <v>0</v>
      </c>
      <c r="H550" s="96"/>
      <c r="I550" s="96">
        <v>4508.3</v>
      </c>
      <c r="J550" s="96"/>
      <c r="K550" s="96">
        <v>32.85</v>
      </c>
      <c r="L550" s="96"/>
      <c r="M550" s="96">
        <v>13034.51</v>
      </c>
      <c r="N550" s="96"/>
      <c r="O550" s="96">
        <v>5200.6</v>
      </c>
      <c r="P550" s="96"/>
      <c r="Q550" s="96">
        <v>30250.71</v>
      </c>
      <c r="R550" s="96"/>
      <c r="S550" s="96">
        <v>0</v>
      </c>
      <c r="T550" s="96"/>
      <c r="U550" s="96">
        <v>0</v>
      </c>
      <c r="V550" s="96"/>
      <c r="W550" s="96">
        <v>0</v>
      </c>
      <c r="X550" s="96"/>
      <c r="Y550" s="96">
        <v>0</v>
      </c>
      <c r="Z550" s="96"/>
      <c r="AA550" s="96">
        <v>0</v>
      </c>
      <c r="AB550" s="96"/>
      <c r="AC550" s="96">
        <v>0</v>
      </c>
      <c r="AD550" s="96"/>
      <c r="AE550" s="96">
        <f aca="true" t="shared" si="227" ref="AE550:AE551">SUM(E550:AC550)</f>
        <v>63878.98</v>
      </c>
      <c r="AF550" s="95"/>
      <c r="AG550" s="95">
        <v>2958.09</v>
      </c>
      <c r="AH550" s="95"/>
      <c r="AI550" s="95">
        <v>22982.03</v>
      </c>
      <c r="AJ550" s="95"/>
      <c r="AK550" s="95">
        <v>25940.12</v>
      </c>
      <c r="AL550" s="39">
        <f>+'Gov Rev'!AI548-'Gov Exp'!AE550+'Gov Exp'!AI550-'Gov Exp'!AK550</f>
        <v>0</v>
      </c>
      <c r="AM550" s="15" t="str">
        <f>'Gov Rev'!A548</f>
        <v>Roswell</v>
      </c>
      <c r="AN550" s="15" t="str">
        <f aca="true" t="shared" si="228" ref="AN550:AN614">A550</f>
        <v>Roswell</v>
      </c>
      <c r="AO550" s="15" t="b">
        <f aca="true" t="shared" si="229" ref="AO550:AO614">AM550=AN550</f>
        <v>1</v>
      </c>
    </row>
    <row r="551" spans="1:41" s="31" customFormat="1" ht="12.75">
      <c r="A551" s="15" t="s">
        <v>855</v>
      </c>
      <c r="B551" s="15"/>
      <c r="C551" s="15" t="s">
        <v>786</v>
      </c>
      <c r="D551" s="28"/>
      <c r="E551" s="95">
        <v>12435.54</v>
      </c>
      <c r="F551" s="95"/>
      <c r="G551" s="95">
        <v>0</v>
      </c>
      <c r="H551" s="95"/>
      <c r="I551" s="95">
        <v>13080.39</v>
      </c>
      <c r="J551" s="95"/>
      <c r="K551" s="95">
        <v>272.44</v>
      </c>
      <c r="L551" s="95"/>
      <c r="M551" s="95">
        <v>0</v>
      </c>
      <c r="N551" s="95"/>
      <c r="O551" s="95">
        <v>57452.92</v>
      </c>
      <c r="P551" s="95"/>
      <c r="Q551" s="95">
        <v>82764.91</v>
      </c>
      <c r="R551" s="95"/>
      <c r="S551" s="95">
        <v>0</v>
      </c>
      <c r="T551" s="95"/>
      <c r="U551" s="95">
        <v>0</v>
      </c>
      <c r="V551" s="95"/>
      <c r="W551" s="95">
        <v>0</v>
      </c>
      <c r="X551" s="95"/>
      <c r="Y551" s="95">
        <v>0</v>
      </c>
      <c r="Z551" s="95"/>
      <c r="AA551" s="95">
        <v>0</v>
      </c>
      <c r="AB551" s="95"/>
      <c r="AC551" s="95">
        <v>0</v>
      </c>
      <c r="AD551" s="95"/>
      <c r="AE551" s="95">
        <f t="shared" si="227"/>
        <v>166006.2</v>
      </c>
      <c r="AF551" s="95"/>
      <c r="AG551" s="95">
        <v>1728.7</v>
      </c>
      <c r="AH551" s="95"/>
      <c r="AI551" s="95">
        <v>159505.34</v>
      </c>
      <c r="AJ551" s="95"/>
      <c r="AK551" s="95">
        <v>161234.04</v>
      </c>
      <c r="AL551" s="39">
        <f>+'Gov Rev'!AI550-'Gov Exp'!AE551+'Gov Exp'!AI551-'Gov Exp'!AK551</f>
        <v>0</v>
      </c>
      <c r="AM551" s="15" t="str">
        <f>'Gov Rev'!A550</f>
        <v>Rushsylvania</v>
      </c>
      <c r="AN551" s="15" t="str">
        <f t="shared" si="228"/>
        <v>Rushsylvania</v>
      </c>
      <c r="AO551" s="15" t="b">
        <f t="shared" si="229"/>
        <v>1</v>
      </c>
    </row>
    <row r="552" spans="1:41" s="31" customFormat="1" ht="12.75">
      <c r="A552" s="15" t="s">
        <v>65</v>
      </c>
      <c r="B552" s="15"/>
      <c r="C552" s="15" t="s">
        <v>766</v>
      </c>
      <c r="D552" s="28"/>
      <c r="E552" s="36">
        <v>2514.07</v>
      </c>
      <c r="F552" s="36"/>
      <c r="G552" s="36">
        <v>930.5</v>
      </c>
      <c r="H552" s="36"/>
      <c r="I552" s="36">
        <v>0</v>
      </c>
      <c r="J552" s="36"/>
      <c r="K552" s="36">
        <v>75.5</v>
      </c>
      <c r="L552" s="36"/>
      <c r="M552" s="36">
        <v>0</v>
      </c>
      <c r="N552" s="36"/>
      <c r="O552" s="36">
        <v>18421.05</v>
      </c>
      <c r="P552" s="36"/>
      <c r="Q552" s="36">
        <v>18027.14</v>
      </c>
      <c r="R552" s="36"/>
      <c r="S552" s="36">
        <v>0</v>
      </c>
      <c r="T552" s="36"/>
      <c r="U552" s="36">
        <v>621.06</v>
      </c>
      <c r="V552" s="36"/>
      <c r="W552" s="36">
        <v>0</v>
      </c>
      <c r="X552" s="36"/>
      <c r="Y552" s="36">
        <v>1706.19</v>
      </c>
      <c r="Z552" s="36"/>
      <c r="AA552" s="36">
        <v>0</v>
      </c>
      <c r="AB552" s="36"/>
      <c r="AC552" s="36">
        <v>0</v>
      </c>
      <c r="AD552" s="36"/>
      <c r="AE552" s="36">
        <f aca="true" t="shared" si="230" ref="AE552:AE554">SUM(E552:AC552)</f>
        <v>42295.509999999995</v>
      </c>
      <c r="AF552" s="36"/>
      <c r="AG552" s="36">
        <v>-6420.49</v>
      </c>
      <c r="AH552" s="36"/>
      <c r="AI552" s="36">
        <v>86895.95</v>
      </c>
      <c r="AJ552" s="36"/>
      <c r="AK552" s="36">
        <v>80475.46</v>
      </c>
      <c r="AL552" s="39">
        <f>+'Gov Rev'!AI551-'Gov Exp'!AE552+'Gov Exp'!AI552-'Gov Exp'!AK552</f>
        <v>0</v>
      </c>
      <c r="AM552" s="15" t="str">
        <f>'Gov Rev'!A551</f>
        <v>Rushville</v>
      </c>
      <c r="AN552" s="15" t="str">
        <f t="shared" si="228"/>
        <v>Rushville</v>
      </c>
      <c r="AO552" s="15" t="b">
        <f t="shared" si="229"/>
        <v>1</v>
      </c>
    </row>
    <row r="553" spans="1:41" ht="12.75">
      <c r="A553" s="15" t="s">
        <v>447</v>
      </c>
      <c r="C553" s="15" t="s">
        <v>446</v>
      </c>
      <c r="E553" s="36">
        <v>230230.52</v>
      </c>
      <c r="F553" s="36"/>
      <c r="G553" s="36">
        <v>0</v>
      </c>
      <c r="H553" s="36"/>
      <c r="I553" s="36">
        <v>3218</v>
      </c>
      <c r="J553" s="36"/>
      <c r="K553" s="36">
        <v>34108.55</v>
      </c>
      <c r="L553" s="36"/>
      <c r="M553" s="36">
        <v>0</v>
      </c>
      <c r="N553" s="36"/>
      <c r="O553" s="36">
        <v>64103.04</v>
      </c>
      <c r="P553" s="36"/>
      <c r="Q553" s="36">
        <v>188701.38</v>
      </c>
      <c r="R553" s="36"/>
      <c r="S553" s="36">
        <v>23232</v>
      </c>
      <c r="T553" s="36"/>
      <c r="U553" s="36">
        <v>17365.76</v>
      </c>
      <c r="V553" s="36"/>
      <c r="W553" s="36">
        <v>29447.06</v>
      </c>
      <c r="X553" s="36"/>
      <c r="Y553" s="36">
        <v>150000</v>
      </c>
      <c r="Z553" s="36"/>
      <c r="AA553" s="36">
        <v>2000</v>
      </c>
      <c r="AB553" s="36"/>
      <c r="AC553" s="36">
        <v>0</v>
      </c>
      <c r="AD553" s="36"/>
      <c r="AE553" s="36">
        <f t="shared" si="230"/>
        <v>742406.31</v>
      </c>
      <c r="AF553" s="36"/>
      <c r="AG553" s="36">
        <v>295207.01</v>
      </c>
      <c r="AH553" s="36"/>
      <c r="AI553" s="36">
        <v>1077887.12</v>
      </c>
      <c r="AJ553" s="36"/>
      <c r="AK553" s="36">
        <v>1373094.13</v>
      </c>
      <c r="AL553" s="39">
        <f>+'Gov Rev'!AI552-'Gov Exp'!AE553+'Gov Exp'!AI553-'Gov Exp'!AK553</f>
        <v>0</v>
      </c>
      <c r="AM553" s="15" t="str">
        <f>'Gov Rev'!A552</f>
        <v>Russells Point</v>
      </c>
      <c r="AN553" s="15" t="str">
        <f t="shared" si="228"/>
        <v>Russells Point</v>
      </c>
      <c r="AO553" s="15" t="b">
        <f t="shared" si="229"/>
        <v>1</v>
      </c>
    </row>
    <row r="554" spans="1:41" ht="12.75">
      <c r="A554" s="15" t="s">
        <v>953</v>
      </c>
      <c r="C554" s="15" t="s">
        <v>283</v>
      </c>
      <c r="E554" s="36">
        <v>111045.84</v>
      </c>
      <c r="F554" s="36"/>
      <c r="G554" s="36">
        <v>0</v>
      </c>
      <c r="H554" s="36"/>
      <c r="I554" s="36">
        <v>4156</v>
      </c>
      <c r="J554" s="36"/>
      <c r="K554" s="36">
        <v>0</v>
      </c>
      <c r="L554" s="36"/>
      <c r="M554" s="36">
        <v>0</v>
      </c>
      <c r="N554" s="36"/>
      <c r="O554" s="36">
        <v>16821.23</v>
      </c>
      <c r="P554" s="36"/>
      <c r="Q554" s="36">
        <v>93022.95</v>
      </c>
      <c r="R554" s="36"/>
      <c r="S554" s="36">
        <v>9551</v>
      </c>
      <c r="T554" s="36"/>
      <c r="U554" s="36">
        <v>13000</v>
      </c>
      <c r="V554" s="36"/>
      <c r="W554" s="36">
        <v>2901.56</v>
      </c>
      <c r="X554" s="36"/>
      <c r="Y554" s="36">
        <v>0</v>
      </c>
      <c r="Z554" s="36"/>
      <c r="AA554" s="36">
        <v>8478.44</v>
      </c>
      <c r="AB554" s="36"/>
      <c r="AC554" s="36">
        <v>4500</v>
      </c>
      <c r="AD554" s="36"/>
      <c r="AE554" s="36">
        <f t="shared" si="230"/>
        <v>263477.02</v>
      </c>
      <c r="AF554" s="36"/>
      <c r="AG554" s="36">
        <v>-14742.92</v>
      </c>
      <c r="AH554" s="36"/>
      <c r="AI554" s="36">
        <v>208188.12</v>
      </c>
      <c r="AJ554" s="36"/>
      <c r="AK554" s="36">
        <v>193445.2</v>
      </c>
      <c r="AL554" s="39">
        <f>+'Gov Rev'!AI553-'Gov Exp'!AE554+'Gov Exp'!AI554-'Gov Exp'!AK554</f>
        <v>0</v>
      </c>
      <c r="AM554" s="15" t="str">
        <f>'Gov Rev'!A553</f>
        <v>Russellville</v>
      </c>
      <c r="AN554" s="15" t="str">
        <f t="shared" si="228"/>
        <v>Russellville</v>
      </c>
      <c r="AO554" s="15" t="b">
        <f t="shared" si="229"/>
        <v>1</v>
      </c>
    </row>
    <row r="555" spans="1:41" ht="12.75">
      <c r="A555" s="15" t="s">
        <v>540</v>
      </c>
      <c r="C555" s="15" t="s">
        <v>538</v>
      </c>
      <c r="E555" s="24">
        <f>22843+19587</f>
        <v>42430</v>
      </c>
      <c r="G555" s="24">
        <v>9701</v>
      </c>
      <c r="I555" s="24">
        <v>14941</v>
      </c>
      <c r="K555" s="24">
        <v>65</v>
      </c>
      <c r="M555" s="24">
        <v>5418</v>
      </c>
      <c r="O555" s="24">
        <v>29898</v>
      </c>
      <c r="Q555" s="24">
        <f>123069+8+11623</f>
        <v>134700</v>
      </c>
      <c r="S555" s="24">
        <f>11952+9522</f>
        <v>21474</v>
      </c>
      <c r="U555" s="24">
        <v>0</v>
      </c>
      <c r="W555" s="24">
        <v>0</v>
      </c>
      <c r="Y555" s="24">
        <v>0</v>
      </c>
      <c r="AA555" s="24">
        <v>0</v>
      </c>
      <c r="AC555" s="24">
        <v>0</v>
      </c>
      <c r="AE555" s="24">
        <f t="shared" si="220"/>
        <v>258627</v>
      </c>
      <c r="AF555" s="24"/>
      <c r="AG555" s="24">
        <v>116625</v>
      </c>
      <c r="AH555" s="24"/>
      <c r="AI555" s="24">
        <v>558846</v>
      </c>
      <c r="AJ555" s="24"/>
      <c r="AK555" s="24">
        <v>675471</v>
      </c>
      <c r="AL555" s="39">
        <f>+'Gov Rev'!AI554-'Gov Exp'!AE555+'Gov Exp'!AI555-'Gov Exp'!AK555</f>
        <v>0</v>
      </c>
      <c r="AM555" s="15" t="str">
        <f>'Gov Rev'!A554</f>
        <v>Russia</v>
      </c>
      <c r="AN555" s="15" t="str">
        <f t="shared" si="228"/>
        <v>Russia</v>
      </c>
      <c r="AO555" s="15" t="b">
        <f t="shared" si="229"/>
        <v>1</v>
      </c>
    </row>
    <row r="556" spans="1:41" ht="12.75">
      <c r="A556" s="15" t="s">
        <v>706</v>
      </c>
      <c r="C556" s="15" t="s">
        <v>464</v>
      </c>
      <c r="E556" s="36">
        <v>20561.08</v>
      </c>
      <c r="F556" s="36"/>
      <c r="G556" s="36">
        <v>0</v>
      </c>
      <c r="H556" s="36"/>
      <c r="I556" s="36">
        <v>5625</v>
      </c>
      <c r="J556" s="36"/>
      <c r="K556" s="36">
        <v>0</v>
      </c>
      <c r="L556" s="36"/>
      <c r="M556" s="36">
        <v>0</v>
      </c>
      <c r="N556" s="36"/>
      <c r="O556" s="36">
        <v>16469.63</v>
      </c>
      <c r="P556" s="36"/>
      <c r="Q556" s="36">
        <v>3670.55</v>
      </c>
      <c r="R556" s="36"/>
      <c r="S556" s="36">
        <v>0</v>
      </c>
      <c r="T556" s="36"/>
      <c r="U556" s="36">
        <v>3927.82</v>
      </c>
      <c r="V556" s="36"/>
      <c r="W556" s="36">
        <v>1656.35</v>
      </c>
      <c r="X556" s="36"/>
      <c r="Y556" s="36">
        <v>0</v>
      </c>
      <c r="Z556" s="36"/>
      <c r="AA556" s="36">
        <v>0</v>
      </c>
      <c r="AB556" s="36"/>
      <c r="AC556" s="36">
        <v>0</v>
      </c>
      <c r="AD556" s="36"/>
      <c r="AE556" s="36">
        <f aca="true" t="shared" si="231" ref="AE556:AE560">SUM(E556:AC556)</f>
        <v>51910.43000000001</v>
      </c>
      <c r="AF556" s="36"/>
      <c r="AG556" s="36">
        <v>15803.01</v>
      </c>
      <c r="AH556" s="36"/>
      <c r="AI556" s="36">
        <v>16485.13</v>
      </c>
      <c r="AJ556" s="36"/>
      <c r="AK556" s="36">
        <v>32288.14</v>
      </c>
      <c r="AL556" s="39">
        <f>+'Gov Rev'!AI555-'Gov Exp'!AE556+'Gov Exp'!AI556-'Gov Exp'!AK556</f>
        <v>0</v>
      </c>
      <c r="AM556" s="15" t="str">
        <f>'Gov Rev'!A555</f>
        <v>Rutland</v>
      </c>
      <c r="AN556" s="15" t="str">
        <f t="shared" si="228"/>
        <v>Rutland</v>
      </c>
      <c r="AO556" s="15" t="b">
        <f t="shared" si="229"/>
        <v>1</v>
      </c>
    </row>
    <row r="557" spans="1:41" s="31" customFormat="1" ht="12.6" customHeight="1">
      <c r="A557" s="15" t="s">
        <v>304</v>
      </c>
      <c r="B557" s="15"/>
      <c r="C557" s="15" t="s">
        <v>299</v>
      </c>
      <c r="D557" s="15"/>
      <c r="E557" s="36">
        <v>326823.34</v>
      </c>
      <c r="F557" s="36"/>
      <c r="G557" s="36">
        <v>767.82</v>
      </c>
      <c r="H557" s="36"/>
      <c r="I557" s="36">
        <v>511.33</v>
      </c>
      <c r="J557" s="36"/>
      <c r="K557" s="36">
        <v>0</v>
      </c>
      <c r="L557" s="36"/>
      <c r="M557" s="36">
        <v>0</v>
      </c>
      <c r="N557" s="36"/>
      <c r="O557" s="36">
        <v>99845.64</v>
      </c>
      <c r="P557" s="36"/>
      <c r="Q557" s="36">
        <v>169072.95</v>
      </c>
      <c r="R557" s="36"/>
      <c r="S557" s="36">
        <v>7000</v>
      </c>
      <c r="T557" s="36"/>
      <c r="U557" s="36">
        <v>0</v>
      </c>
      <c r="V557" s="36"/>
      <c r="W557" s="36">
        <v>0</v>
      </c>
      <c r="X557" s="36"/>
      <c r="Y557" s="36">
        <v>3000</v>
      </c>
      <c r="Z557" s="36"/>
      <c r="AA557" s="36">
        <v>0</v>
      </c>
      <c r="AB557" s="36"/>
      <c r="AC557" s="36">
        <v>6.38</v>
      </c>
      <c r="AD557" s="36"/>
      <c r="AE557" s="36">
        <f t="shared" si="231"/>
        <v>607027.4600000001</v>
      </c>
      <c r="AF557" s="36"/>
      <c r="AG557" s="36">
        <v>40079.69</v>
      </c>
      <c r="AH557" s="36"/>
      <c r="AI557" s="36">
        <v>758904.06</v>
      </c>
      <c r="AJ557" s="36"/>
      <c r="AK557" s="36">
        <v>798983.75</v>
      </c>
      <c r="AL557" s="39">
        <f>+'Gov Rev'!AI556-'Gov Exp'!AE557+'Gov Exp'!AI557-'Gov Exp'!AK557</f>
        <v>0</v>
      </c>
      <c r="AM557" s="15" t="str">
        <f>'Gov Rev'!A556</f>
        <v>Sabina</v>
      </c>
      <c r="AN557" s="15" t="str">
        <f t="shared" si="228"/>
        <v>Sabina</v>
      </c>
      <c r="AO557" s="15" t="b">
        <f t="shared" si="229"/>
        <v>1</v>
      </c>
    </row>
    <row r="558" spans="1:41" ht="12.75">
      <c r="A558" s="15" t="s">
        <v>161</v>
      </c>
      <c r="C558" s="15" t="s">
        <v>794</v>
      </c>
      <c r="D558" s="28"/>
      <c r="E558" s="36">
        <v>195840.79</v>
      </c>
      <c r="F558" s="36"/>
      <c r="G558" s="36">
        <v>13514.56</v>
      </c>
      <c r="H558" s="36"/>
      <c r="I558" s="36">
        <v>79602.78</v>
      </c>
      <c r="J558" s="36"/>
      <c r="K558" s="36">
        <v>0</v>
      </c>
      <c r="L558" s="36"/>
      <c r="M558" s="36">
        <v>70767.02</v>
      </c>
      <c r="N558" s="36"/>
      <c r="O558" s="36">
        <v>141257.39</v>
      </c>
      <c r="P558" s="36"/>
      <c r="Q558" s="36">
        <v>314474.24</v>
      </c>
      <c r="R558" s="36"/>
      <c r="S558" s="36">
        <v>269273.33</v>
      </c>
      <c r="T558" s="36"/>
      <c r="U558" s="36">
        <v>50181.35</v>
      </c>
      <c r="V558" s="36"/>
      <c r="W558" s="36">
        <v>6298.65</v>
      </c>
      <c r="X558" s="36"/>
      <c r="Y558" s="36">
        <v>150000</v>
      </c>
      <c r="Z558" s="36"/>
      <c r="AA558" s="36">
        <v>0</v>
      </c>
      <c r="AB558" s="36"/>
      <c r="AC558" s="36">
        <v>0</v>
      </c>
      <c r="AD558" s="36"/>
      <c r="AE558" s="36">
        <f t="shared" si="231"/>
        <v>1291210.11</v>
      </c>
      <c r="AF558" s="36"/>
      <c r="AG558" s="36">
        <v>-11133.13</v>
      </c>
      <c r="AH558" s="36"/>
      <c r="AI558" s="36">
        <v>752054.43</v>
      </c>
      <c r="AJ558" s="36"/>
      <c r="AK558" s="36">
        <v>740921.3</v>
      </c>
      <c r="AL558" s="39">
        <f>+'Gov Rev'!AI557-'Gov Exp'!AE558+'Gov Exp'!AI558-'Gov Exp'!AK558</f>
        <v>0</v>
      </c>
      <c r="AM558" s="15" t="str">
        <f>'Gov Rev'!A557</f>
        <v>Saint Henry</v>
      </c>
      <c r="AN558" s="15" t="str">
        <f t="shared" si="228"/>
        <v>Saint Henry</v>
      </c>
      <c r="AO558" s="15" t="b">
        <f t="shared" si="229"/>
        <v>1</v>
      </c>
    </row>
    <row r="559" spans="1:41" ht="12.75">
      <c r="A559" s="15" t="s">
        <v>954</v>
      </c>
      <c r="C559" s="15" t="s">
        <v>375</v>
      </c>
      <c r="D559" s="28"/>
      <c r="E559" s="36">
        <v>1000</v>
      </c>
      <c r="F559" s="36"/>
      <c r="G559" s="36">
        <v>0</v>
      </c>
      <c r="H559" s="36"/>
      <c r="I559" s="36">
        <v>79.94</v>
      </c>
      <c r="J559" s="36"/>
      <c r="K559" s="36">
        <v>0</v>
      </c>
      <c r="L559" s="36"/>
      <c r="M559" s="36">
        <v>5979.05</v>
      </c>
      <c r="N559" s="36"/>
      <c r="O559" s="36">
        <v>7822.27</v>
      </c>
      <c r="P559" s="36"/>
      <c r="Q559" s="36">
        <v>21936.73</v>
      </c>
      <c r="R559" s="36"/>
      <c r="S559" s="36">
        <v>9617.73</v>
      </c>
      <c r="T559" s="36"/>
      <c r="U559" s="36">
        <v>0</v>
      </c>
      <c r="V559" s="36"/>
      <c r="W559" s="36">
        <v>0</v>
      </c>
      <c r="X559" s="36"/>
      <c r="Y559" s="36">
        <v>225</v>
      </c>
      <c r="Z559" s="36"/>
      <c r="AA559" s="36">
        <v>0</v>
      </c>
      <c r="AB559" s="36"/>
      <c r="AC559" s="36">
        <v>0</v>
      </c>
      <c r="AD559" s="36"/>
      <c r="AE559" s="36">
        <f t="shared" si="231"/>
        <v>46660.72</v>
      </c>
      <c r="AF559" s="36"/>
      <c r="AG559" s="36">
        <v>3257.25</v>
      </c>
      <c r="AH559" s="36"/>
      <c r="AI559" s="36">
        <v>30324.18</v>
      </c>
      <c r="AJ559" s="36"/>
      <c r="AK559" s="36">
        <v>33581.43</v>
      </c>
      <c r="AL559" s="39">
        <f>+'Gov Rev'!AI558-'Gov Exp'!AE559+'Gov Exp'!AI559-'Gov Exp'!AK559</f>
        <v>0</v>
      </c>
      <c r="AM559" s="15" t="str">
        <f>'Gov Rev'!A558</f>
        <v>Salesville</v>
      </c>
      <c r="AN559" s="15" t="str">
        <f t="shared" si="228"/>
        <v>Salesville</v>
      </c>
      <c r="AO559" s="15" t="b">
        <f t="shared" si="229"/>
        <v>1</v>
      </c>
    </row>
    <row r="560" spans="1:41" s="31" customFormat="1" ht="12.75">
      <c r="A560" s="15" t="s">
        <v>46</v>
      </c>
      <c r="B560" s="15"/>
      <c r="C560" s="15" t="s">
        <v>758</v>
      </c>
      <c r="D560" s="28"/>
      <c r="E560" s="36">
        <v>236913.95</v>
      </c>
      <c r="F560" s="36"/>
      <c r="G560" s="36">
        <v>23193.9</v>
      </c>
      <c r="H560" s="36"/>
      <c r="I560" s="36">
        <v>20647.15</v>
      </c>
      <c r="J560" s="36"/>
      <c r="K560" s="36">
        <v>0</v>
      </c>
      <c r="L560" s="36"/>
      <c r="M560" s="36">
        <v>36600</v>
      </c>
      <c r="N560" s="36"/>
      <c r="O560" s="36">
        <v>93487.67</v>
      </c>
      <c r="P560" s="36"/>
      <c r="Q560" s="36">
        <v>124851.06</v>
      </c>
      <c r="R560" s="36"/>
      <c r="S560" s="36">
        <v>44662.6</v>
      </c>
      <c r="T560" s="36"/>
      <c r="U560" s="36">
        <v>0</v>
      </c>
      <c r="V560" s="36"/>
      <c r="W560" s="36">
        <v>0</v>
      </c>
      <c r="X560" s="36"/>
      <c r="Y560" s="36">
        <v>30247.15</v>
      </c>
      <c r="Z560" s="36"/>
      <c r="AA560" s="36">
        <v>21514</v>
      </c>
      <c r="AB560" s="36"/>
      <c r="AC560" s="36">
        <v>37.08</v>
      </c>
      <c r="AD560" s="36"/>
      <c r="AE560" s="36">
        <f t="shared" si="231"/>
        <v>632154.5599999999</v>
      </c>
      <c r="AF560" s="36"/>
      <c r="AG560" s="36">
        <v>-2961.19</v>
      </c>
      <c r="AH560" s="36"/>
      <c r="AI560" s="36">
        <v>164175.29</v>
      </c>
      <c r="AJ560" s="36"/>
      <c r="AK560" s="36">
        <v>161214.1</v>
      </c>
      <c r="AL560" s="39">
        <f>+'Gov Rev'!AI559-'Gov Exp'!AE560+'Gov Exp'!AI560-'Gov Exp'!AK560</f>
        <v>0</v>
      </c>
      <c r="AM560" s="15" t="str">
        <f>'Gov Rev'!A559</f>
        <v>Salineville</v>
      </c>
      <c r="AN560" s="15" t="str">
        <f t="shared" si="228"/>
        <v>Salineville</v>
      </c>
      <c r="AO560" s="15" t="b">
        <f t="shared" si="229"/>
        <v>1</v>
      </c>
    </row>
    <row r="561" spans="1:41" s="31" customFormat="1" ht="12.75">
      <c r="A561" s="15" t="s">
        <v>923</v>
      </c>
      <c r="B561" s="15"/>
      <c r="C561" s="15" t="s">
        <v>491</v>
      </c>
      <c r="D561" s="28"/>
      <c r="E561" s="24">
        <v>3654</v>
      </c>
      <c r="F561" s="24"/>
      <c r="G561" s="24">
        <v>0</v>
      </c>
      <c r="H561" s="24"/>
      <c r="I561" s="24">
        <v>468</v>
      </c>
      <c r="J561" s="24"/>
      <c r="K561" s="24">
        <v>0</v>
      </c>
      <c r="L561" s="24"/>
      <c r="M561" s="24">
        <v>0</v>
      </c>
      <c r="N561" s="24"/>
      <c r="O561" s="24">
        <v>7830</v>
      </c>
      <c r="P561" s="24"/>
      <c r="Q561" s="24">
        <v>11680</v>
      </c>
      <c r="R561" s="24"/>
      <c r="S561" s="24">
        <v>0</v>
      </c>
      <c r="T561" s="24"/>
      <c r="U561" s="24">
        <v>0</v>
      </c>
      <c r="V561" s="24"/>
      <c r="W561" s="24">
        <v>0</v>
      </c>
      <c r="X561" s="24"/>
      <c r="Y561" s="24">
        <v>0</v>
      </c>
      <c r="Z561" s="24"/>
      <c r="AA561" s="24">
        <v>0</v>
      </c>
      <c r="AB561" s="24"/>
      <c r="AC561" s="24">
        <v>0</v>
      </c>
      <c r="AD561" s="24"/>
      <c r="AE561" s="24">
        <f t="shared" si="220"/>
        <v>23632</v>
      </c>
      <c r="AF561" s="24"/>
      <c r="AG561" s="24"/>
      <c r="AH561" s="24"/>
      <c r="AI561" s="24">
        <v>22130</v>
      </c>
      <c r="AJ561" s="24"/>
      <c r="AK561" s="24">
        <v>22548</v>
      </c>
      <c r="AL561" s="39">
        <f>+'Gov Rev'!AI560-'Gov Exp'!AE561+'Gov Exp'!AI561-'Gov Exp'!AK561</f>
        <v>-2</v>
      </c>
      <c r="AM561" s="15" t="str">
        <f>'Gov Rev'!A560</f>
        <v>Sarahsville</v>
      </c>
      <c r="AN561" s="15" t="str">
        <f t="shared" si="228"/>
        <v>Sarahsville</v>
      </c>
      <c r="AO561" s="15" t="b">
        <f t="shared" si="229"/>
        <v>1</v>
      </c>
    </row>
    <row r="562" spans="1:41" ht="12.75">
      <c r="A562" s="15" t="s">
        <v>25</v>
      </c>
      <c r="C562" s="15" t="s">
        <v>751</v>
      </c>
      <c r="D562" s="28"/>
      <c r="E562" s="36">
        <v>118007.83</v>
      </c>
      <c r="F562" s="36"/>
      <c r="G562" s="36">
        <v>26268.64</v>
      </c>
      <c r="H562" s="36"/>
      <c r="I562" s="36">
        <v>0</v>
      </c>
      <c r="J562" s="36"/>
      <c r="K562" s="36">
        <v>0</v>
      </c>
      <c r="L562" s="36"/>
      <c r="M562" s="36">
        <v>0</v>
      </c>
      <c r="N562" s="36"/>
      <c r="O562" s="36">
        <v>37869.16</v>
      </c>
      <c r="P562" s="36"/>
      <c r="Q562" s="36">
        <v>89175.87</v>
      </c>
      <c r="R562" s="36"/>
      <c r="S562" s="36">
        <v>20367.31</v>
      </c>
      <c r="T562" s="36"/>
      <c r="U562" s="36">
        <v>153953.79</v>
      </c>
      <c r="V562" s="36"/>
      <c r="W562" s="36">
        <v>55117.74</v>
      </c>
      <c r="X562" s="36"/>
      <c r="Y562" s="36">
        <v>161000</v>
      </c>
      <c r="Z562" s="36"/>
      <c r="AA562" s="36">
        <v>0</v>
      </c>
      <c r="AB562" s="36"/>
      <c r="AC562" s="36">
        <v>0</v>
      </c>
      <c r="AD562" s="36"/>
      <c r="AE562" s="36">
        <f aca="true" t="shared" si="232" ref="AE562">SUM(E562:AC562)</f>
        <v>661760.34</v>
      </c>
      <c r="AF562" s="36"/>
      <c r="AG562" s="36">
        <v>44804.23</v>
      </c>
      <c r="AH562" s="36"/>
      <c r="AI562" s="36">
        <v>218355.3</v>
      </c>
      <c r="AJ562" s="36"/>
      <c r="AK562" s="36">
        <v>263159.53</v>
      </c>
      <c r="AL562" s="39">
        <f>+'Gov Rev'!AI561-'Gov Exp'!AE562+'Gov Exp'!AI562-'Gov Exp'!AK562</f>
        <v>0</v>
      </c>
      <c r="AM562" s="15" t="str">
        <f>'Gov Rev'!A561</f>
        <v>Sardinia</v>
      </c>
      <c r="AN562" s="15" t="str">
        <f t="shared" si="228"/>
        <v>Sardinia</v>
      </c>
      <c r="AO562" s="15" t="b">
        <f t="shared" si="229"/>
        <v>1</v>
      </c>
    </row>
    <row r="563" spans="1:41" ht="12.75">
      <c r="A563" s="15" t="s">
        <v>676</v>
      </c>
      <c r="C563" s="15" t="s">
        <v>669</v>
      </c>
      <c r="D563" s="28"/>
      <c r="E563" s="24">
        <v>8737.31</v>
      </c>
      <c r="G563" s="24">
        <v>0</v>
      </c>
      <c r="I563" s="24">
        <v>2620.83</v>
      </c>
      <c r="K563" s="24">
        <v>50</v>
      </c>
      <c r="M563" s="24">
        <v>3597.4</v>
      </c>
      <c r="O563" s="24">
        <v>28378.4</v>
      </c>
      <c r="Q563" s="24">
        <v>29475.79</v>
      </c>
      <c r="S563" s="24">
        <v>498.37</v>
      </c>
      <c r="U563" s="24">
        <v>0</v>
      </c>
      <c r="W563" s="24">
        <v>0</v>
      </c>
      <c r="Y563" s="24">
        <v>0</v>
      </c>
      <c r="AA563" s="24">
        <v>0</v>
      </c>
      <c r="AC563" s="24">
        <v>11153.02</v>
      </c>
      <c r="AE563" s="24">
        <f t="shared" si="220"/>
        <v>84511.12000000001</v>
      </c>
      <c r="AF563" s="24"/>
      <c r="AG563" s="24">
        <v>-28107.73</v>
      </c>
      <c r="AH563" s="24"/>
      <c r="AI563" s="24">
        <v>123833.16</v>
      </c>
      <c r="AJ563" s="24"/>
      <c r="AK563" s="24">
        <v>95725.43</v>
      </c>
      <c r="AL563" s="39">
        <f>+'Gov Rev'!AI562-'Gov Exp'!AE563+'Gov Exp'!AI563-'Gov Exp'!AK563</f>
        <v>0</v>
      </c>
      <c r="AM563" s="15" t="str">
        <f>'Gov Rev'!A562</f>
        <v>Savannah</v>
      </c>
      <c r="AN563" s="15" t="str">
        <f t="shared" si="228"/>
        <v>Savannah</v>
      </c>
      <c r="AO563" s="15" t="b">
        <f t="shared" si="229"/>
        <v>1</v>
      </c>
    </row>
    <row r="564" spans="1:41" ht="12.75">
      <c r="A564" s="15" t="s">
        <v>406</v>
      </c>
      <c r="C564" s="15" t="s">
        <v>403</v>
      </c>
      <c r="E564" s="24">
        <v>29295.64</v>
      </c>
      <c r="G564" s="24">
        <v>579.78</v>
      </c>
      <c r="I564" s="24">
        <v>6055.5</v>
      </c>
      <c r="K564" s="24">
        <v>0</v>
      </c>
      <c r="M564" s="24">
        <v>0</v>
      </c>
      <c r="O564" s="24">
        <v>33673.83</v>
      </c>
      <c r="Q564" s="24">
        <v>141877.2</v>
      </c>
      <c r="S564" s="24">
        <v>34016.64</v>
      </c>
      <c r="U564" s="24">
        <v>11927.41</v>
      </c>
      <c r="W564" s="24">
        <v>828.96</v>
      </c>
      <c r="Y564" s="24">
        <v>12756.37</v>
      </c>
      <c r="AA564" s="24">
        <v>0</v>
      </c>
      <c r="AC564" s="24">
        <v>2253.36</v>
      </c>
      <c r="AE564" s="24">
        <f t="shared" si="220"/>
        <v>273264.69</v>
      </c>
      <c r="AF564" s="24"/>
      <c r="AG564" s="24">
        <v>88833.04</v>
      </c>
      <c r="AH564" s="24"/>
      <c r="AI564" s="24">
        <v>298523.52</v>
      </c>
      <c r="AJ564" s="24"/>
      <c r="AK564" s="24">
        <v>387356.56</v>
      </c>
      <c r="AL564" s="39">
        <f>+'Gov Rev'!AI563-'Gov Exp'!AE564+'Gov Exp'!AI564-'Gov Exp'!AK564</f>
        <v>0</v>
      </c>
      <c r="AM564" s="15" t="str">
        <f>'Gov Rev'!A563</f>
        <v>Scio</v>
      </c>
      <c r="AN564" s="15" t="str">
        <f t="shared" si="228"/>
        <v>Scio</v>
      </c>
      <c r="AO564" s="15" t="b">
        <f t="shared" si="229"/>
        <v>1</v>
      </c>
    </row>
    <row r="565" spans="1:41" ht="12.75">
      <c r="A565" s="15" t="s">
        <v>576</v>
      </c>
      <c r="C565" s="15" t="s">
        <v>574</v>
      </c>
      <c r="E565" s="36">
        <v>68536.58</v>
      </c>
      <c r="F565" s="36"/>
      <c r="G565" s="36">
        <v>576.26</v>
      </c>
      <c r="H565" s="36"/>
      <c r="I565" s="36">
        <v>45731.9</v>
      </c>
      <c r="J565" s="36"/>
      <c r="K565" s="36">
        <v>84</v>
      </c>
      <c r="L565" s="36"/>
      <c r="M565" s="36">
        <v>0</v>
      </c>
      <c r="N565" s="36"/>
      <c r="O565" s="36">
        <v>8644.77</v>
      </c>
      <c r="P565" s="36"/>
      <c r="Q565" s="36">
        <v>23116.15</v>
      </c>
      <c r="R565" s="36"/>
      <c r="S565" s="36">
        <v>65374.35</v>
      </c>
      <c r="T565" s="36"/>
      <c r="U565" s="36">
        <v>18079.64</v>
      </c>
      <c r="V565" s="36"/>
      <c r="W565" s="36">
        <v>943.76</v>
      </c>
      <c r="X565" s="36"/>
      <c r="Y565" s="36">
        <v>2000</v>
      </c>
      <c r="Z565" s="36"/>
      <c r="AA565" s="36">
        <v>67431</v>
      </c>
      <c r="AB565" s="36"/>
      <c r="AC565" s="36">
        <v>0</v>
      </c>
      <c r="AD565" s="36"/>
      <c r="AE565" s="36">
        <f aca="true" t="shared" si="233" ref="AE565">SUM(E565:AC565)</f>
        <v>300518.41000000003</v>
      </c>
      <c r="AF565" s="36"/>
      <c r="AG565" s="36">
        <v>-13993.25</v>
      </c>
      <c r="AH565" s="36"/>
      <c r="AI565" s="36">
        <v>144245.87</v>
      </c>
      <c r="AJ565" s="36"/>
      <c r="AK565" s="36">
        <v>130252.62</v>
      </c>
      <c r="AL565" s="39">
        <f>+'Gov Rev'!AI564-'Gov Exp'!AE565+'Gov Exp'!AI565-'Gov Exp'!AK565</f>
        <v>0</v>
      </c>
      <c r="AM565" s="15" t="str">
        <f>'Gov Rev'!A564</f>
        <v>Scott</v>
      </c>
      <c r="AN565" s="15" t="str">
        <f t="shared" si="228"/>
        <v>Scott</v>
      </c>
      <c r="AO565" s="15" t="b">
        <f t="shared" si="229"/>
        <v>1</v>
      </c>
    </row>
    <row r="566" spans="1:41" ht="12.75">
      <c r="A566" s="15" t="s">
        <v>677</v>
      </c>
      <c r="C566" s="15" t="s">
        <v>662</v>
      </c>
      <c r="D566" s="28"/>
      <c r="E566" s="24">
        <v>76717</v>
      </c>
      <c r="G566" s="24">
        <v>2049</v>
      </c>
      <c r="I566" s="24">
        <v>0</v>
      </c>
      <c r="K566" s="24">
        <v>0</v>
      </c>
      <c r="M566" s="24">
        <v>0</v>
      </c>
      <c r="O566" s="24">
        <v>0</v>
      </c>
      <c r="Q566" s="24">
        <v>131668</v>
      </c>
      <c r="S566" s="24">
        <v>120672</v>
      </c>
      <c r="U566" s="24">
        <v>0</v>
      </c>
      <c r="W566" s="24">
        <v>0</v>
      </c>
      <c r="Y566" s="24">
        <v>0</v>
      </c>
      <c r="AA566" s="24">
        <v>0</v>
      </c>
      <c r="AC566" s="24">
        <v>0</v>
      </c>
      <c r="AE566" s="24">
        <f t="shared" si="220"/>
        <v>331106</v>
      </c>
      <c r="AF566" s="24"/>
      <c r="AG566" s="24"/>
      <c r="AH566" s="24"/>
      <c r="AI566" s="24">
        <v>54837</v>
      </c>
      <c r="AJ566" s="24"/>
      <c r="AK566" s="24">
        <v>63136</v>
      </c>
      <c r="AL566" s="39">
        <f>+'Gov Rev'!AI565-'Gov Exp'!AE566+'Gov Exp'!AI566-'Gov Exp'!AK566</f>
        <v>1</v>
      </c>
      <c r="AM566" s="15" t="str">
        <f>'Gov Rev'!A565</f>
        <v>Seaman</v>
      </c>
      <c r="AN566" s="15" t="str">
        <f t="shared" si="228"/>
        <v>Seaman</v>
      </c>
      <c r="AO566" s="15" t="b">
        <f t="shared" si="229"/>
        <v>1</v>
      </c>
    </row>
    <row r="567" spans="1:41" ht="12.75">
      <c r="A567" s="15" t="s">
        <v>461</v>
      </c>
      <c r="C567" s="15" t="s">
        <v>462</v>
      </c>
      <c r="E567" s="24">
        <v>809371</v>
      </c>
      <c r="G567" s="24">
        <v>13622</v>
      </c>
      <c r="I567" s="24">
        <v>166621</v>
      </c>
      <c r="K567" s="24">
        <v>33600</v>
      </c>
      <c r="M567" s="24">
        <v>0</v>
      </c>
      <c r="O567" s="24">
        <v>250445</v>
      </c>
      <c r="Q567" s="24">
        <v>492469</v>
      </c>
      <c r="S567" s="24">
        <v>106230</v>
      </c>
      <c r="U567" s="24">
        <v>0</v>
      </c>
      <c r="W567" s="24">
        <v>0</v>
      </c>
      <c r="Y567" s="24">
        <v>0</v>
      </c>
      <c r="AA567" s="24">
        <v>0</v>
      </c>
      <c r="AC567" s="24">
        <f>98204+689652</f>
        <v>787856</v>
      </c>
      <c r="AE567" s="24">
        <f t="shared" si="220"/>
        <v>2660214</v>
      </c>
      <c r="AF567" s="24"/>
      <c r="AG567" s="24">
        <v>156691</v>
      </c>
      <c r="AH567" s="24"/>
      <c r="AI567" s="24">
        <v>638385</v>
      </c>
      <c r="AJ567" s="24"/>
      <c r="AK567" s="24">
        <v>795074</v>
      </c>
      <c r="AL567" s="39">
        <f>+'Gov Rev'!AI566-'Gov Exp'!AE567+'Gov Exp'!AI567-'Gov Exp'!AK567</f>
        <v>2</v>
      </c>
      <c r="AM567" s="15" t="str">
        <f>'Gov Rev'!A566</f>
        <v>Sebring</v>
      </c>
      <c r="AN567" s="15" t="str">
        <f t="shared" si="228"/>
        <v>Sebring</v>
      </c>
      <c r="AO567" s="15" t="b">
        <f t="shared" si="229"/>
        <v>1</v>
      </c>
    </row>
    <row r="568" spans="1:41" s="24" customFormat="1" ht="12.75">
      <c r="A568" s="24" t="s">
        <v>90</v>
      </c>
      <c r="C568" s="24" t="s">
        <v>772</v>
      </c>
      <c r="D568" s="73"/>
      <c r="E568" s="36">
        <v>61274.27</v>
      </c>
      <c r="F568" s="36"/>
      <c r="G568" s="36">
        <v>1617.15</v>
      </c>
      <c r="H568" s="36"/>
      <c r="I568" s="36">
        <v>154.74</v>
      </c>
      <c r="J568" s="36"/>
      <c r="K568" s="36">
        <v>0</v>
      </c>
      <c r="L568" s="36"/>
      <c r="M568" s="36">
        <v>0</v>
      </c>
      <c r="N568" s="36"/>
      <c r="O568" s="36">
        <v>31935.02</v>
      </c>
      <c r="P568" s="36"/>
      <c r="Q568" s="36">
        <v>26221.36</v>
      </c>
      <c r="R568" s="36"/>
      <c r="S568" s="36">
        <v>24844</v>
      </c>
      <c r="T568" s="36"/>
      <c r="U568" s="36">
        <v>25306.4</v>
      </c>
      <c r="V568" s="36"/>
      <c r="W568" s="36">
        <v>3080.04</v>
      </c>
      <c r="X568" s="36"/>
      <c r="Y568" s="36">
        <v>1286.43</v>
      </c>
      <c r="Z568" s="36"/>
      <c r="AA568" s="36">
        <v>0</v>
      </c>
      <c r="AB568" s="36"/>
      <c r="AC568" s="36">
        <v>0</v>
      </c>
      <c r="AD568" s="36"/>
      <c r="AE568" s="36">
        <f aca="true" t="shared" si="234" ref="AE568:AE572">SUM(E568:AC568)</f>
        <v>175719.40999999997</v>
      </c>
      <c r="AF568" s="36"/>
      <c r="AG568" s="36">
        <v>-12855.9</v>
      </c>
      <c r="AH568" s="36"/>
      <c r="AI568" s="36">
        <v>147215.95</v>
      </c>
      <c r="AJ568" s="36"/>
      <c r="AK568" s="36">
        <v>134360.05</v>
      </c>
      <c r="AL568" s="39">
        <f>+'Gov Rev'!AI567-'Gov Exp'!AE568+'Gov Exp'!AI568-'Gov Exp'!AK568</f>
        <v>0</v>
      </c>
      <c r="AM568" s="15" t="str">
        <f>'Gov Rev'!A567</f>
        <v>Senecaville</v>
      </c>
      <c r="AN568" s="15" t="str">
        <f t="shared" si="228"/>
        <v>Senecaville</v>
      </c>
      <c r="AO568" s="15" t="b">
        <f t="shared" si="229"/>
        <v>1</v>
      </c>
    </row>
    <row r="569" spans="1:41" ht="12.75">
      <c r="A569" s="15" t="s">
        <v>27</v>
      </c>
      <c r="C569" s="15" t="s">
        <v>752</v>
      </c>
      <c r="D569" s="28"/>
      <c r="E569" s="36">
        <v>80100.82</v>
      </c>
      <c r="F569" s="36"/>
      <c r="G569" s="36">
        <v>0</v>
      </c>
      <c r="H569" s="36"/>
      <c r="I569" s="36">
        <v>880.27</v>
      </c>
      <c r="J569" s="36"/>
      <c r="K569" s="36">
        <v>0</v>
      </c>
      <c r="L569" s="36"/>
      <c r="M569" s="36">
        <v>597.73</v>
      </c>
      <c r="N569" s="36"/>
      <c r="O569" s="36">
        <v>21520.76</v>
      </c>
      <c r="P569" s="36"/>
      <c r="Q569" s="36">
        <v>99042</v>
      </c>
      <c r="R569" s="36"/>
      <c r="S569" s="36">
        <v>144344</v>
      </c>
      <c r="T569" s="36"/>
      <c r="U569" s="36">
        <v>0</v>
      </c>
      <c r="V569" s="36"/>
      <c r="W569" s="36">
        <v>0</v>
      </c>
      <c r="X569" s="36"/>
      <c r="Y569" s="36">
        <v>0</v>
      </c>
      <c r="Z569" s="36"/>
      <c r="AA569" s="36">
        <v>0</v>
      </c>
      <c r="AB569" s="36"/>
      <c r="AC569" s="36">
        <v>0</v>
      </c>
      <c r="AD569" s="36"/>
      <c r="AE569" s="36">
        <f t="shared" si="234"/>
        <v>346485.58</v>
      </c>
      <c r="AF569" s="36"/>
      <c r="AG569" s="36">
        <v>-32331.03</v>
      </c>
      <c r="AH569" s="36"/>
      <c r="AI569" s="36">
        <v>551594.06</v>
      </c>
      <c r="AJ569" s="36"/>
      <c r="AK569" s="36">
        <v>519263.03</v>
      </c>
      <c r="AL569" s="39">
        <f>+'Gov Rev'!AI568-'Gov Exp'!AE569+'Gov Exp'!AI569-'Gov Exp'!AK569</f>
        <v>0</v>
      </c>
      <c r="AM569" s="15" t="str">
        <f>'Gov Rev'!A568</f>
        <v>Seven Mile</v>
      </c>
      <c r="AN569" s="15" t="str">
        <f t="shared" si="228"/>
        <v>Seven Mile</v>
      </c>
      <c r="AO569" s="15" t="b">
        <f t="shared" si="229"/>
        <v>1</v>
      </c>
    </row>
    <row r="570" spans="1:41" ht="12.75">
      <c r="A570" s="15" t="s">
        <v>154</v>
      </c>
      <c r="C570" s="15" t="s">
        <v>792</v>
      </c>
      <c r="D570" s="28"/>
      <c r="E570" s="36">
        <v>569315.07</v>
      </c>
      <c r="F570" s="36"/>
      <c r="G570" s="36">
        <v>1176</v>
      </c>
      <c r="H570" s="36"/>
      <c r="I570" s="36">
        <v>77848.15</v>
      </c>
      <c r="J570" s="36"/>
      <c r="K570" s="36">
        <v>18833.23</v>
      </c>
      <c r="L570" s="36"/>
      <c r="M570" s="36">
        <v>0</v>
      </c>
      <c r="N570" s="36"/>
      <c r="O570" s="36">
        <v>263475.48</v>
      </c>
      <c r="P570" s="36"/>
      <c r="Q570" s="36">
        <v>312000.09</v>
      </c>
      <c r="R570" s="36"/>
      <c r="S570" s="36">
        <v>53106.94</v>
      </c>
      <c r="T570" s="36"/>
      <c r="U570" s="36">
        <v>77822.45</v>
      </c>
      <c r="V570" s="36"/>
      <c r="W570" s="36">
        <v>67547.64</v>
      </c>
      <c r="X570" s="36"/>
      <c r="Y570" s="36">
        <v>925451.1</v>
      </c>
      <c r="Z570" s="36"/>
      <c r="AA570" s="36">
        <v>0</v>
      </c>
      <c r="AB570" s="36"/>
      <c r="AC570" s="36">
        <v>0</v>
      </c>
      <c r="AD570" s="36"/>
      <c r="AE570" s="36">
        <f t="shared" si="234"/>
        <v>2366576.15</v>
      </c>
      <c r="AF570" s="36"/>
      <c r="AG570" s="36">
        <v>350343.25</v>
      </c>
      <c r="AH570" s="36"/>
      <c r="AI570" s="36">
        <v>1202549.7</v>
      </c>
      <c r="AJ570" s="36"/>
      <c r="AK570" s="36">
        <v>1552892.95</v>
      </c>
      <c r="AL570" s="39">
        <f>+'Gov Rev'!AI569-'Gov Exp'!AE570+'Gov Exp'!AI570-'Gov Exp'!AK570</f>
        <v>0</v>
      </c>
      <c r="AM570" s="15" t="str">
        <f>'Gov Rev'!A569</f>
        <v>Seville</v>
      </c>
      <c r="AN570" s="15" t="str">
        <f t="shared" si="228"/>
        <v>Seville</v>
      </c>
      <c r="AO570" s="15" t="b">
        <f t="shared" si="229"/>
        <v>1</v>
      </c>
    </row>
    <row r="571" spans="1:41" ht="12.75">
      <c r="A571" s="15" t="s">
        <v>20</v>
      </c>
      <c r="C571" s="15" t="s">
        <v>750</v>
      </c>
      <c r="D571" s="28"/>
      <c r="E571" s="36">
        <v>542345.08</v>
      </c>
      <c r="F571" s="36"/>
      <c r="G571" s="36">
        <v>14208.96</v>
      </c>
      <c r="H571" s="36"/>
      <c r="I571" s="36">
        <v>26768.25</v>
      </c>
      <c r="J571" s="36"/>
      <c r="K571" s="36">
        <v>0</v>
      </c>
      <c r="L571" s="36"/>
      <c r="M571" s="36">
        <v>0</v>
      </c>
      <c r="N571" s="36"/>
      <c r="O571" s="36">
        <v>197857.09</v>
      </c>
      <c r="P571" s="36"/>
      <c r="Q571" s="36">
        <v>212461.7</v>
      </c>
      <c r="R571" s="36"/>
      <c r="S571" s="36">
        <v>12289.27</v>
      </c>
      <c r="T571" s="36"/>
      <c r="U571" s="36">
        <v>51161.8</v>
      </c>
      <c r="V571" s="36"/>
      <c r="W571" s="36">
        <v>9463.91</v>
      </c>
      <c r="X571" s="36"/>
      <c r="Y571" s="36">
        <v>0</v>
      </c>
      <c r="Z571" s="36"/>
      <c r="AA571" s="36">
        <v>0</v>
      </c>
      <c r="AB571" s="36"/>
      <c r="AC571" s="36">
        <v>0</v>
      </c>
      <c r="AD571" s="36"/>
      <c r="AE571" s="36">
        <f t="shared" si="234"/>
        <v>1066556.0599999998</v>
      </c>
      <c r="AF571" s="36"/>
      <c r="AG571" s="36">
        <v>184544.35</v>
      </c>
      <c r="AH571" s="36"/>
      <c r="AI571" s="36">
        <v>1180998.21</v>
      </c>
      <c r="AJ571" s="36"/>
      <c r="AK571" s="36">
        <v>1365542.56</v>
      </c>
      <c r="AL571" s="39">
        <f>+'Gov Rev'!AI570-'Gov Exp'!AE571+'Gov Exp'!AI571-'Gov Exp'!AK571</f>
        <v>0</v>
      </c>
      <c r="AM571" s="15" t="str">
        <f>'Gov Rev'!A570</f>
        <v>Shadyside</v>
      </c>
      <c r="AN571" s="15" t="str">
        <f t="shared" si="228"/>
        <v>Shadyside</v>
      </c>
      <c r="AO571" s="15" t="b">
        <f t="shared" si="229"/>
        <v>1</v>
      </c>
    </row>
    <row r="572" spans="1:41" ht="12.75">
      <c r="A572" s="15" t="s">
        <v>187</v>
      </c>
      <c r="C572" s="15" t="s">
        <v>433</v>
      </c>
      <c r="D572" s="28"/>
      <c r="E572" s="36">
        <v>76148</v>
      </c>
      <c r="F572" s="36"/>
      <c r="G572" s="36">
        <v>5921.64</v>
      </c>
      <c r="H572" s="36"/>
      <c r="I572" s="36">
        <v>0</v>
      </c>
      <c r="J572" s="36"/>
      <c r="K572" s="36">
        <v>0</v>
      </c>
      <c r="L572" s="36"/>
      <c r="M572" s="36">
        <v>0</v>
      </c>
      <c r="N572" s="36"/>
      <c r="O572" s="36">
        <v>19450.51</v>
      </c>
      <c r="P572" s="36"/>
      <c r="Q572" s="36">
        <v>45463.58</v>
      </c>
      <c r="R572" s="36"/>
      <c r="S572" s="36">
        <v>3000</v>
      </c>
      <c r="T572" s="36"/>
      <c r="U572" s="36">
        <v>0</v>
      </c>
      <c r="V572" s="36"/>
      <c r="W572" s="36">
        <v>0</v>
      </c>
      <c r="X572" s="36"/>
      <c r="Y572" s="36">
        <v>0</v>
      </c>
      <c r="Z572" s="36"/>
      <c r="AA572" s="36">
        <v>0</v>
      </c>
      <c r="AB572" s="36"/>
      <c r="AC572" s="36">
        <v>94951</v>
      </c>
      <c r="AD572" s="36"/>
      <c r="AE572" s="36">
        <f t="shared" si="234"/>
        <v>244934.72999999998</v>
      </c>
      <c r="AF572" s="36"/>
      <c r="AG572" s="36">
        <v>31506.71</v>
      </c>
      <c r="AH572" s="36"/>
      <c r="AI572" s="36">
        <v>166319.11</v>
      </c>
      <c r="AJ572" s="36"/>
      <c r="AK572" s="36">
        <v>197825.82</v>
      </c>
      <c r="AL572" s="39">
        <f>+'Gov Rev'!AI571-'Gov Exp'!AE572+'Gov Exp'!AI572-'Gov Exp'!AK572</f>
        <v>0</v>
      </c>
      <c r="AM572" s="15" t="str">
        <f>'Gov Rev'!A571</f>
        <v>Shawnee</v>
      </c>
      <c r="AN572" s="15" t="str">
        <f t="shared" si="228"/>
        <v>Shawnee</v>
      </c>
      <c r="AO572" s="15" t="b">
        <f t="shared" si="229"/>
        <v>1</v>
      </c>
    </row>
    <row r="573" spans="1:41" s="31" customFormat="1" ht="12.6" customHeight="1">
      <c r="A573" s="15" t="s">
        <v>345</v>
      </c>
      <c r="B573" s="15"/>
      <c r="C573" s="15" t="s">
        <v>343</v>
      </c>
      <c r="D573" s="15"/>
      <c r="E573" s="36">
        <v>357327.67</v>
      </c>
      <c r="F573" s="36"/>
      <c r="G573" s="36">
        <v>0</v>
      </c>
      <c r="H573" s="36"/>
      <c r="I573" s="36">
        <v>0</v>
      </c>
      <c r="J573" s="36"/>
      <c r="K573" s="36">
        <v>44549.03</v>
      </c>
      <c r="L573" s="36"/>
      <c r="M573" s="36">
        <v>0</v>
      </c>
      <c r="N573" s="36"/>
      <c r="O573" s="36">
        <v>55488.61</v>
      </c>
      <c r="P573" s="36"/>
      <c r="Q573" s="36">
        <v>223846.23</v>
      </c>
      <c r="R573" s="36"/>
      <c r="S573" s="36">
        <v>408999.14</v>
      </c>
      <c r="T573" s="36"/>
      <c r="U573" s="36">
        <v>0</v>
      </c>
      <c r="V573" s="36"/>
      <c r="W573" s="36">
        <v>0</v>
      </c>
      <c r="X573" s="36"/>
      <c r="Y573" s="36">
        <v>0</v>
      </c>
      <c r="Z573" s="36"/>
      <c r="AA573" s="36">
        <v>0</v>
      </c>
      <c r="AB573" s="36"/>
      <c r="AC573" s="36">
        <v>0</v>
      </c>
      <c r="AD573" s="36"/>
      <c r="AE573" s="36">
        <f aca="true" t="shared" si="235" ref="AE573">SUM(E573:AC573)</f>
        <v>1090210.68</v>
      </c>
      <c r="AF573" s="36"/>
      <c r="AG573" s="36">
        <v>89370.17</v>
      </c>
      <c r="AH573" s="36"/>
      <c r="AI573" s="36">
        <v>323173.38</v>
      </c>
      <c r="AJ573" s="36"/>
      <c r="AK573" s="36">
        <v>412543.55</v>
      </c>
      <c r="AL573" s="39">
        <f>+'Gov Rev'!AI572-'Gov Exp'!AE573+'Gov Exp'!AI573-'Gov Exp'!AK573</f>
        <v>0</v>
      </c>
      <c r="AM573" s="15" t="str">
        <f>'Gov Rev'!A572</f>
        <v>Shawnee Hills</v>
      </c>
      <c r="AN573" s="15" t="str">
        <f t="shared" si="228"/>
        <v>Shawnee Hills</v>
      </c>
      <c r="AO573" s="15" t="b">
        <f t="shared" si="229"/>
        <v>1</v>
      </c>
    </row>
    <row r="574" spans="1:41" ht="12.75">
      <c r="A574" s="15" t="s">
        <v>452</v>
      </c>
      <c r="C574" s="15" t="s">
        <v>451</v>
      </c>
      <c r="E574" s="24">
        <v>2712782</v>
      </c>
      <c r="G574" s="24">
        <v>0</v>
      </c>
      <c r="I574" s="24">
        <v>16119.77</v>
      </c>
      <c r="K574" s="24">
        <v>5976.04</v>
      </c>
      <c r="M574" s="24">
        <v>65507.54</v>
      </c>
      <c r="O574" s="24">
        <v>259392.2</v>
      </c>
      <c r="Q574" s="24">
        <v>893501.56</v>
      </c>
      <c r="S574" s="24">
        <v>959707.55</v>
      </c>
      <c r="U574" s="24">
        <v>1089745.26</v>
      </c>
      <c r="W574" s="24">
        <v>233489.54</v>
      </c>
      <c r="Y574" s="24">
        <v>616217.71</v>
      </c>
      <c r="AA574" s="24">
        <v>0</v>
      </c>
      <c r="AC574" s="24">
        <v>0</v>
      </c>
      <c r="AE574" s="24">
        <f t="shared" si="220"/>
        <v>6852439.17</v>
      </c>
      <c r="AF574" s="24"/>
      <c r="AG574" s="24">
        <v>420920.68</v>
      </c>
      <c r="AH574" s="24"/>
      <c r="AI574" s="24">
        <v>846415.19</v>
      </c>
      <c r="AJ574" s="24"/>
      <c r="AK574" s="24">
        <v>1267335.87</v>
      </c>
      <c r="AL574" s="39">
        <f>+'Gov Rev'!AI573-'Gov Exp'!AE574+'Gov Exp'!AI574-'Gov Exp'!AK574</f>
        <v>0</v>
      </c>
      <c r="AM574" s="15" t="str">
        <f>'Gov Rev'!A573</f>
        <v>Sheffield</v>
      </c>
      <c r="AN574" s="15" t="str">
        <f t="shared" si="228"/>
        <v>Sheffield</v>
      </c>
      <c r="AO574" s="15" t="b">
        <f t="shared" si="229"/>
        <v>1</v>
      </c>
    </row>
    <row r="575" spans="1:41" ht="12.75">
      <c r="A575" s="15" t="s">
        <v>31</v>
      </c>
      <c r="C575" s="15" t="s">
        <v>753</v>
      </c>
      <c r="D575" s="28"/>
      <c r="E575" s="95">
        <v>29945.16</v>
      </c>
      <c r="F575" s="95"/>
      <c r="G575" s="95">
        <v>0</v>
      </c>
      <c r="H575" s="95"/>
      <c r="I575" s="95">
        <v>7823.51</v>
      </c>
      <c r="J575" s="95"/>
      <c r="K575" s="95">
        <v>0</v>
      </c>
      <c r="L575" s="95"/>
      <c r="M575" s="95">
        <v>7746.52</v>
      </c>
      <c r="N575" s="95"/>
      <c r="O575" s="95">
        <v>15558.35</v>
      </c>
      <c r="P575" s="95"/>
      <c r="Q575" s="95">
        <v>19377.66</v>
      </c>
      <c r="R575" s="95"/>
      <c r="S575" s="95">
        <v>0</v>
      </c>
      <c r="T575" s="95"/>
      <c r="U575" s="95">
        <v>0</v>
      </c>
      <c r="V575" s="95"/>
      <c r="W575" s="95">
        <v>0</v>
      </c>
      <c r="X575" s="95"/>
      <c r="Y575" s="95">
        <v>0</v>
      </c>
      <c r="Z575" s="95"/>
      <c r="AA575" s="95">
        <v>0</v>
      </c>
      <c r="AB575" s="95"/>
      <c r="AC575" s="95">
        <v>2476.86</v>
      </c>
      <c r="AD575" s="95"/>
      <c r="AE575" s="95">
        <f aca="true" t="shared" si="236" ref="AE575">SUM(E575:AC575)</f>
        <v>82928.06</v>
      </c>
      <c r="AF575" s="95"/>
      <c r="AG575" s="95">
        <v>9035.49</v>
      </c>
      <c r="AH575" s="95"/>
      <c r="AI575" s="95">
        <v>74697.96</v>
      </c>
      <c r="AJ575" s="95"/>
      <c r="AK575" s="95">
        <v>83733.45</v>
      </c>
      <c r="AL575" s="39">
        <f>+'Gov Rev'!AI574-'Gov Exp'!AE575+'Gov Exp'!AI575-'Gov Exp'!AK575</f>
        <v>0</v>
      </c>
      <c r="AM575" s="15" t="str">
        <f>'Gov Rev'!A574</f>
        <v>Sherrodsville</v>
      </c>
      <c r="AN575" s="15" t="str">
        <f t="shared" si="228"/>
        <v>Sherrodsville</v>
      </c>
      <c r="AO575" s="15" t="b">
        <f t="shared" si="229"/>
        <v>1</v>
      </c>
    </row>
    <row r="576" spans="1:41" ht="12.75">
      <c r="A576" s="15" t="s">
        <v>56</v>
      </c>
      <c r="C576" s="15" t="s">
        <v>763</v>
      </c>
      <c r="D576" s="28"/>
      <c r="E576" s="36">
        <v>89676.83</v>
      </c>
      <c r="F576" s="36"/>
      <c r="G576" s="36">
        <v>2088.42</v>
      </c>
      <c r="H576" s="36"/>
      <c r="I576" s="36">
        <v>34389.15</v>
      </c>
      <c r="J576" s="36"/>
      <c r="K576" s="36">
        <v>538.25</v>
      </c>
      <c r="L576" s="36"/>
      <c r="M576" s="36">
        <v>0</v>
      </c>
      <c r="N576" s="36"/>
      <c r="O576" s="36">
        <v>50827.22</v>
      </c>
      <c r="P576" s="36"/>
      <c r="Q576" s="36">
        <v>102467.88</v>
      </c>
      <c r="R576" s="36"/>
      <c r="S576" s="36">
        <v>13527.11</v>
      </c>
      <c r="T576" s="36"/>
      <c r="U576" s="36">
        <v>18665.37</v>
      </c>
      <c r="V576" s="36"/>
      <c r="W576" s="36">
        <v>7000.63</v>
      </c>
      <c r="X576" s="36"/>
      <c r="Y576" s="36">
        <v>20810.74</v>
      </c>
      <c r="Z576" s="36"/>
      <c r="AA576" s="36">
        <v>0</v>
      </c>
      <c r="AB576" s="36"/>
      <c r="AC576" s="36">
        <v>0</v>
      </c>
      <c r="AD576" s="36"/>
      <c r="AE576" s="36">
        <f aca="true" t="shared" si="237" ref="AE576">SUM(E576:AC576)</f>
        <v>339991.6</v>
      </c>
      <c r="AF576" s="36"/>
      <c r="AG576" s="36">
        <v>17755.18</v>
      </c>
      <c r="AH576" s="36"/>
      <c r="AI576" s="36">
        <v>234497.8</v>
      </c>
      <c r="AJ576" s="36"/>
      <c r="AK576" s="36">
        <v>252252.98</v>
      </c>
      <c r="AL576" s="39">
        <f>+'Gov Rev'!AI575-'Gov Exp'!AE576+'Gov Exp'!AI576-'Gov Exp'!AK576</f>
        <v>0</v>
      </c>
      <c r="AM576" s="15" t="str">
        <f>'Gov Rev'!A575</f>
        <v>Sherwood</v>
      </c>
      <c r="AN576" s="15" t="str">
        <f t="shared" si="228"/>
        <v>Sherwood</v>
      </c>
      <c r="AO576" s="15" t="b">
        <f t="shared" si="229"/>
        <v>1</v>
      </c>
    </row>
    <row r="577" spans="1:41" s="24" customFormat="1" ht="12.75">
      <c r="A577" s="24" t="s">
        <v>523</v>
      </c>
      <c r="C577" s="24" t="s">
        <v>520</v>
      </c>
      <c r="E577" s="24">
        <v>31629</v>
      </c>
      <c r="G577" s="24">
        <v>585</v>
      </c>
      <c r="I577" s="24">
        <v>1929</v>
      </c>
      <c r="K577" s="24">
        <v>1385</v>
      </c>
      <c r="M577" s="24">
        <v>978</v>
      </c>
      <c r="O577" s="24">
        <v>68132</v>
      </c>
      <c r="Q577" s="24">
        <v>39193</v>
      </c>
      <c r="S577" s="24">
        <v>3000</v>
      </c>
      <c r="U577" s="24">
        <v>3487</v>
      </c>
      <c r="W577" s="24">
        <v>0</v>
      </c>
      <c r="Y577" s="24">
        <v>0</v>
      </c>
      <c r="AA577" s="24">
        <v>0</v>
      </c>
      <c r="AC577" s="24">
        <v>0</v>
      </c>
      <c r="AE577" s="24">
        <f t="shared" si="220"/>
        <v>150318</v>
      </c>
      <c r="AG577" s="24">
        <v>17704</v>
      </c>
      <c r="AI577" s="24">
        <v>81586</v>
      </c>
      <c r="AK577" s="24">
        <v>99290</v>
      </c>
      <c r="AL577" s="39">
        <f>+'Gov Rev'!AI576-'Gov Exp'!AE577+'Gov Exp'!AI577-'Gov Exp'!AK577</f>
        <v>0</v>
      </c>
      <c r="AM577" s="15" t="str">
        <f>'Gov Rev'!A576</f>
        <v>Shiloh</v>
      </c>
      <c r="AN577" s="15" t="str">
        <f t="shared" si="228"/>
        <v>Shiloh</v>
      </c>
      <c r="AO577" s="15" t="b">
        <f t="shared" si="229"/>
        <v>1</v>
      </c>
    </row>
    <row r="578" spans="1:41" ht="12.75">
      <c r="A578" s="15" t="s">
        <v>913</v>
      </c>
      <c r="C578" s="15" t="s">
        <v>590</v>
      </c>
      <c r="E578" s="24">
        <v>290741.86</v>
      </c>
      <c r="G578" s="24">
        <v>0</v>
      </c>
      <c r="I578" s="24">
        <v>0</v>
      </c>
      <c r="K578" s="24">
        <v>0</v>
      </c>
      <c r="M578" s="24">
        <v>0</v>
      </c>
      <c r="O578" s="24">
        <v>69092.95</v>
      </c>
      <c r="Q578" s="24">
        <v>114991.07</v>
      </c>
      <c r="S578" s="24">
        <v>32845.32</v>
      </c>
      <c r="U578" s="24">
        <v>0</v>
      </c>
      <c r="W578" s="24">
        <v>0</v>
      </c>
      <c r="Y578" s="24">
        <v>42775</v>
      </c>
      <c r="AA578" s="24">
        <v>0</v>
      </c>
      <c r="AC578" s="24">
        <v>13451.16</v>
      </c>
      <c r="AE578" s="24">
        <f t="shared" si="220"/>
        <v>563897.36</v>
      </c>
      <c r="AF578" s="24"/>
      <c r="AG578" s="24">
        <v>-13451.16</v>
      </c>
      <c r="AH578" s="24"/>
      <c r="AI578" s="24">
        <v>134310.61</v>
      </c>
      <c r="AJ578" s="24"/>
      <c r="AK578" s="24">
        <v>121031.34</v>
      </c>
      <c r="AL578" s="39">
        <f>+'Gov Rev'!AI577-'Gov Exp'!AE578+'Gov Exp'!AI578-'Gov Exp'!AK578</f>
        <v>0</v>
      </c>
      <c r="AM578" s="15" t="str">
        <f>'Gov Rev'!A577</f>
        <v>Shreve</v>
      </c>
      <c r="AN578" s="15" t="str">
        <f t="shared" si="228"/>
        <v>Shreve</v>
      </c>
      <c r="AO578" s="15" t="b">
        <f t="shared" si="229"/>
        <v>1</v>
      </c>
    </row>
    <row r="579" spans="1:41" ht="12.75">
      <c r="A579" s="15" t="s">
        <v>556</v>
      </c>
      <c r="C579" s="15" t="s">
        <v>551</v>
      </c>
      <c r="E579" s="24">
        <v>1045125</v>
      </c>
      <c r="G579" s="24">
        <v>29046</v>
      </c>
      <c r="I579" s="24">
        <v>72339</v>
      </c>
      <c r="K579" s="24">
        <v>2250</v>
      </c>
      <c r="M579" s="24">
        <v>0</v>
      </c>
      <c r="O579" s="24">
        <v>605394</v>
      </c>
      <c r="Q579" s="24">
        <v>450266</v>
      </c>
      <c r="S579" s="24">
        <v>25731</v>
      </c>
      <c r="U579" s="24">
        <v>10000</v>
      </c>
      <c r="W579" s="24">
        <v>3383</v>
      </c>
      <c r="Y579" s="24">
        <v>316300</v>
      </c>
      <c r="AA579" s="24">
        <v>0</v>
      </c>
      <c r="AC579" s="24">
        <v>6449</v>
      </c>
      <c r="AE579" s="24">
        <f t="shared" si="220"/>
        <v>2566283</v>
      </c>
      <c r="AF579" s="24"/>
      <c r="AG579" s="24">
        <v>520233</v>
      </c>
      <c r="AH579" s="24"/>
      <c r="AI579" s="24">
        <v>1951968</v>
      </c>
      <c r="AJ579" s="24"/>
      <c r="AK579" s="24">
        <v>2472201</v>
      </c>
      <c r="AL579" s="39">
        <f>+'Gov Rev'!AI578-'Gov Exp'!AE579+'Gov Exp'!AI579-'Gov Exp'!AK579</f>
        <v>0</v>
      </c>
      <c r="AM579" s="15" t="str">
        <f>'Gov Rev'!A578</f>
        <v>Silver Lake</v>
      </c>
      <c r="AN579" s="15" t="str">
        <f t="shared" si="228"/>
        <v>Silver Lake</v>
      </c>
      <c r="AO579" s="15" t="b">
        <f t="shared" si="229"/>
        <v>1</v>
      </c>
    </row>
    <row r="580" spans="1:41" ht="12.75">
      <c r="A580" s="15" t="s">
        <v>962</v>
      </c>
      <c r="C580" s="15" t="s">
        <v>378</v>
      </c>
      <c r="E580" s="24">
        <v>1498812</v>
      </c>
      <c r="G580" s="24">
        <v>5051</v>
      </c>
      <c r="I580" s="24">
        <v>3018</v>
      </c>
      <c r="K580" s="24">
        <v>483290</v>
      </c>
      <c r="M580" s="24">
        <v>0</v>
      </c>
      <c r="O580" s="24">
        <v>278525</v>
      </c>
      <c r="Q580" s="24">
        <v>655260</v>
      </c>
      <c r="S580" s="24">
        <v>179487</v>
      </c>
      <c r="U580" s="24">
        <v>168113</v>
      </c>
      <c r="W580" s="24">
        <v>17846</v>
      </c>
      <c r="Y580" s="24">
        <v>466118</v>
      </c>
      <c r="AA580" s="24">
        <v>0</v>
      </c>
      <c r="AC580" s="24">
        <v>676091</v>
      </c>
      <c r="AE580" s="24">
        <f t="shared" si="220"/>
        <v>4431611</v>
      </c>
      <c r="AF580" s="24"/>
      <c r="AG580" s="24">
        <v>-946484</v>
      </c>
      <c r="AH580" s="24"/>
      <c r="AI580" s="24">
        <v>2907007</v>
      </c>
      <c r="AJ580" s="24"/>
      <c r="AK580" s="24">
        <v>1960565</v>
      </c>
      <c r="AL580" s="39">
        <f>+'Gov Rev'!AI579-'Gov Exp'!AE580+'Gov Exp'!AI580-'Gov Exp'!AK580</f>
        <v>-42</v>
      </c>
      <c r="AM580" s="15" t="str">
        <f>'Gov Rev'!A579</f>
        <v>Silverton</v>
      </c>
      <c r="AN580" s="15" t="str">
        <f t="shared" si="228"/>
        <v>Silverton</v>
      </c>
      <c r="AO580" s="15" t="b">
        <f t="shared" si="229"/>
        <v>1</v>
      </c>
    </row>
    <row r="581" spans="1:41" ht="12.75">
      <c r="A581" s="15" t="s">
        <v>411</v>
      </c>
      <c r="C581" s="15" t="s">
        <v>409</v>
      </c>
      <c r="E581" s="24">
        <v>4773</v>
      </c>
      <c r="G581" s="24">
        <v>2501</v>
      </c>
      <c r="I581" s="24">
        <v>0</v>
      </c>
      <c r="K581" s="24">
        <v>0</v>
      </c>
      <c r="M581" s="24">
        <v>0</v>
      </c>
      <c r="O581" s="24">
        <v>2155</v>
      </c>
      <c r="Q581" s="24">
        <v>11727</v>
      </c>
      <c r="S581" s="24">
        <v>53739</v>
      </c>
      <c r="U581" s="24">
        <v>0</v>
      </c>
      <c r="W581" s="24">
        <v>0</v>
      </c>
      <c r="Y581" s="24">
        <v>0</v>
      </c>
      <c r="AA581" s="24">
        <v>0</v>
      </c>
      <c r="AC581" s="24">
        <v>0</v>
      </c>
      <c r="AE581" s="24">
        <f t="shared" si="220"/>
        <v>74895</v>
      </c>
      <c r="AF581" s="24"/>
      <c r="AG581" s="24"/>
      <c r="AH581" s="24"/>
      <c r="AI581" s="24">
        <f>70868+37887+18000</f>
        <v>126755</v>
      </c>
      <c r="AJ581" s="24"/>
      <c r="AK581" s="24">
        <f>81475+42720+32261</f>
        <v>156456</v>
      </c>
      <c r="AL581" s="39">
        <f>+'Gov Rev'!AI580-'Gov Exp'!AE581+'Gov Exp'!AI581-'Gov Exp'!AK581</f>
        <v>-3005</v>
      </c>
      <c r="AM581" s="15" t="str">
        <f>'Gov Rev'!A580</f>
        <v>Sinking Spring</v>
      </c>
      <c r="AN581" s="15" t="str">
        <f t="shared" si="228"/>
        <v>Sinking Spring</v>
      </c>
      <c r="AO581" s="15" t="b">
        <f t="shared" si="229"/>
        <v>1</v>
      </c>
    </row>
    <row r="582" spans="1:41" ht="12.75">
      <c r="A582" s="15" t="s">
        <v>596</v>
      </c>
      <c r="C582" s="15" t="s">
        <v>590</v>
      </c>
      <c r="E582" s="24">
        <v>299509</v>
      </c>
      <c r="G582" s="24">
        <v>18454</v>
      </c>
      <c r="I582" s="24">
        <v>39364</v>
      </c>
      <c r="K582" s="24">
        <v>13206</v>
      </c>
      <c r="M582" s="24">
        <v>0</v>
      </c>
      <c r="O582" s="24">
        <v>194474</v>
      </c>
      <c r="Q582" s="24">
        <v>124565</v>
      </c>
      <c r="S582" s="24">
        <v>1000</v>
      </c>
      <c r="U582" s="24">
        <v>1454</v>
      </c>
      <c r="W582" s="24">
        <v>0</v>
      </c>
      <c r="Y582" s="24">
        <v>0</v>
      </c>
      <c r="AA582" s="24">
        <v>0</v>
      </c>
      <c r="AC582" s="24">
        <v>201081</v>
      </c>
      <c r="AE582" s="24">
        <f t="shared" si="220"/>
        <v>893107</v>
      </c>
      <c r="AF582" s="24"/>
      <c r="AG582" s="24">
        <v>15616</v>
      </c>
      <c r="AH582" s="24"/>
      <c r="AI582" s="24">
        <v>899832</v>
      </c>
      <c r="AJ582" s="24"/>
      <c r="AK582" s="24">
        <v>915451</v>
      </c>
      <c r="AL582" s="39">
        <f>+'Gov Rev'!AI581-'Gov Exp'!AE582+'Gov Exp'!AI582-'Gov Exp'!AK582</f>
        <v>-3</v>
      </c>
      <c r="AM582" s="15" t="str">
        <f>'Gov Rev'!A581</f>
        <v>Smithville</v>
      </c>
      <c r="AN582" s="15" t="str">
        <f t="shared" si="228"/>
        <v>Smithville</v>
      </c>
      <c r="AO582" s="15" t="b">
        <f t="shared" si="229"/>
        <v>1</v>
      </c>
    </row>
    <row r="583" spans="1:41" ht="12.75">
      <c r="A583" s="15" t="s">
        <v>503</v>
      </c>
      <c r="C583" s="15" t="s">
        <v>501</v>
      </c>
      <c r="E583" s="24">
        <v>139469.56</v>
      </c>
      <c r="G583" s="24">
        <v>0</v>
      </c>
      <c r="I583" s="24">
        <v>1500</v>
      </c>
      <c r="K583" s="24">
        <v>61.5</v>
      </c>
      <c r="M583" s="24">
        <v>0</v>
      </c>
      <c r="O583" s="24">
        <v>52704.39</v>
      </c>
      <c r="Q583" s="24">
        <v>43118.76</v>
      </c>
      <c r="S583" s="24">
        <v>49530.85</v>
      </c>
      <c r="U583" s="24">
        <v>0</v>
      </c>
      <c r="W583" s="24">
        <v>0</v>
      </c>
      <c r="Y583" s="24">
        <v>0</v>
      </c>
      <c r="AA583" s="24">
        <v>0</v>
      </c>
      <c r="AC583" s="24">
        <v>81.77</v>
      </c>
      <c r="AE583" s="24">
        <f t="shared" si="220"/>
        <v>286466.83</v>
      </c>
      <c r="AF583" s="24"/>
      <c r="AG583" s="24">
        <v>35541.49</v>
      </c>
      <c r="AH583" s="24"/>
      <c r="AI583" s="24">
        <v>550122.86</v>
      </c>
      <c r="AJ583" s="24"/>
      <c r="AK583" s="24">
        <v>585664.35</v>
      </c>
      <c r="AL583" s="39">
        <f>+'Gov Rev'!AI582-'Gov Exp'!AE583+'Gov Exp'!AI583-'Gov Exp'!AK583</f>
        <v>0</v>
      </c>
      <c r="AM583" s="15" t="str">
        <f>'Gov Rev'!A582</f>
        <v>Somerset</v>
      </c>
      <c r="AN583" s="15" t="str">
        <f t="shared" si="228"/>
        <v>Somerset</v>
      </c>
      <c r="AO583" s="15" t="b">
        <f t="shared" si="229"/>
        <v>1</v>
      </c>
    </row>
    <row r="584" spans="1:41" ht="12.75">
      <c r="A584" s="15" t="s">
        <v>955</v>
      </c>
      <c r="C584" s="15" t="s">
        <v>519</v>
      </c>
      <c r="E584" s="36">
        <v>10437.73</v>
      </c>
      <c r="F584" s="36"/>
      <c r="G584" s="36">
        <v>0</v>
      </c>
      <c r="H584" s="36"/>
      <c r="I584" s="36">
        <v>0</v>
      </c>
      <c r="J584" s="36"/>
      <c r="K584" s="36">
        <v>0</v>
      </c>
      <c r="L584" s="36"/>
      <c r="M584" s="36">
        <v>0</v>
      </c>
      <c r="N584" s="36"/>
      <c r="O584" s="36">
        <v>12611.5</v>
      </c>
      <c r="P584" s="36"/>
      <c r="Q584" s="36">
        <v>9900.07</v>
      </c>
      <c r="R584" s="36"/>
      <c r="S584" s="36">
        <v>0</v>
      </c>
      <c r="T584" s="36"/>
      <c r="U584" s="36">
        <v>0</v>
      </c>
      <c r="V584" s="36"/>
      <c r="W584" s="36">
        <v>0</v>
      </c>
      <c r="X584" s="36"/>
      <c r="Y584" s="36">
        <v>0</v>
      </c>
      <c r="Z584" s="36"/>
      <c r="AA584" s="36">
        <v>0</v>
      </c>
      <c r="AB584" s="36"/>
      <c r="AC584" s="36">
        <v>0</v>
      </c>
      <c r="AD584" s="36"/>
      <c r="AE584" s="36">
        <f aca="true" t="shared" si="238" ref="AE584">SUM(E584:AC584)</f>
        <v>32949.3</v>
      </c>
      <c r="AF584" s="36"/>
      <c r="AG584" s="36">
        <v>10541.77</v>
      </c>
      <c r="AH584" s="36"/>
      <c r="AI584" s="36">
        <v>40194.44</v>
      </c>
      <c r="AJ584" s="36"/>
      <c r="AK584" s="36">
        <v>50736.21</v>
      </c>
      <c r="AL584" s="39">
        <f>+'Gov Rev'!AI583-'Gov Exp'!AE584+'Gov Exp'!AI584-'Gov Exp'!AK584</f>
        <v>0</v>
      </c>
      <c r="AM584" s="15" t="str">
        <f>'Gov Rev'!A583</f>
        <v>Somerville</v>
      </c>
      <c r="AN584" s="15" t="str">
        <f t="shared" si="228"/>
        <v>Somerville</v>
      </c>
      <c r="AO584" s="15" t="b">
        <f t="shared" si="229"/>
        <v>1</v>
      </c>
    </row>
    <row r="585" spans="1:41" ht="12.75" hidden="1">
      <c r="A585" s="15" t="s">
        <v>915</v>
      </c>
      <c r="C585" s="15" t="s">
        <v>451</v>
      </c>
      <c r="AE585" s="24">
        <f t="shared" si="220"/>
        <v>0</v>
      </c>
      <c r="AF585" s="24"/>
      <c r="AG585" s="24"/>
      <c r="AH585" s="24"/>
      <c r="AI585" s="24"/>
      <c r="AJ585" s="24"/>
      <c r="AK585" s="24"/>
      <c r="AL585" s="39">
        <f>+'Gov Rev'!AI584-'Gov Exp'!AE585+'Gov Exp'!AI585-'Gov Exp'!AK585</f>
        <v>0</v>
      </c>
      <c r="AM585" s="15" t="str">
        <f>'Gov Rev'!A584</f>
        <v>South Amherst</v>
      </c>
      <c r="AN585" s="15" t="str">
        <f t="shared" si="228"/>
        <v>South Amherst</v>
      </c>
      <c r="AO585" s="15" t="b">
        <f t="shared" si="229"/>
        <v>1</v>
      </c>
    </row>
    <row r="586" spans="1:41" ht="12.75">
      <c r="A586" s="15" t="s">
        <v>268</v>
      </c>
      <c r="C586" s="15" t="s">
        <v>804</v>
      </c>
      <c r="E586" s="36">
        <v>329890.36</v>
      </c>
      <c r="F586" s="36"/>
      <c r="G586" s="36">
        <v>9363.6</v>
      </c>
      <c r="H586" s="36"/>
      <c r="I586" s="36">
        <v>6955</v>
      </c>
      <c r="J586" s="36"/>
      <c r="K586" s="36">
        <v>7861.54</v>
      </c>
      <c r="L586" s="36"/>
      <c r="M586" s="36">
        <v>141847.33</v>
      </c>
      <c r="N586" s="36"/>
      <c r="O586" s="36">
        <v>121056</v>
      </c>
      <c r="P586" s="36"/>
      <c r="Q586" s="36">
        <v>155538.27</v>
      </c>
      <c r="R586" s="36"/>
      <c r="S586" s="36">
        <v>0</v>
      </c>
      <c r="T586" s="36"/>
      <c r="U586" s="36">
        <v>0</v>
      </c>
      <c r="V586" s="36"/>
      <c r="W586" s="36">
        <v>0</v>
      </c>
      <c r="X586" s="36"/>
      <c r="Y586" s="36">
        <v>0</v>
      </c>
      <c r="Z586" s="36"/>
      <c r="AA586" s="36">
        <v>0</v>
      </c>
      <c r="AB586" s="36"/>
      <c r="AC586" s="36">
        <v>1831.69</v>
      </c>
      <c r="AD586" s="36"/>
      <c r="AE586" s="36">
        <f aca="true" t="shared" si="239" ref="AE586:AE589">SUM(E586:AC586)</f>
        <v>774343.7899999999</v>
      </c>
      <c r="AF586" s="36"/>
      <c r="AG586" s="36">
        <v>-3212.57</v>
      </c>
      <c r="AH586" s="36"/>
      <c r="AI586" s="36">
        <v>493835.55</v>
      </c>
      <c r="AJ586" s="36"/>
      <c r="AK586" s="36">
        <v>490622.98</v>
      </c>
      <c r="AL586" s="39">
        <f>+'Gov Rev'!AI585-'Gov Exp'!AE586+'Gov Exp'!AI586-'Gov Exp'!AK586</f>
        <v>0</v>
      </c>
      <c r="AM586" s="15" t="str">
        <f>'Gov Rev'!A585</f>
        <v>South Bloomfield</v>
      </c>
      <c r="AN586" s="15" t="str">
        <f t="shared" si="228"/>
        <v>South Bloomfield</v>
      </c>
      <c r="AO586" s="15" t="b">
        <f t="shared" si="229"/>
        <v>1</v>
      </c>
    </row>
    <row r="587" spans="1:41" s="24" customFormat="1" ht="12.75">
      <c r="A587" s="24" t="s">
        <v>834</v>
      </c>
      <c r="C587" s="24" t="s">
        <v>755</v>
      </c>
      <c r="D587" s="73"/>
      <c r="E587" s="36">
        <v>177277.51</v>
      </c>
      <c r="F587" s="36"/>
      <c r="G587" s="36">
        <v>20083.84</v>
      </c>
      <c r="H587" s="36"/>
      <c r="I587" s="36">
        <v>0</v>
      </c>
      <c r="J587" s="36"/>
      <c r="K587" s="36">
        <v>0</v>
      </c>
      <c r="L587" s="36"/>
      <c r="M587" s="36">
        <v>0</v>
      </c>
      <c r="N587" s="36"/>
      <c r="O587" s="36">
        <v>30288.63</v>
      </c>
      <c r="P587" s="36"/>
      <c r="Q587" s="36">
        <v>348687.87</v>
      </c>
      <c r="R587" s="36"/>
      <c r="S587" s="36">
        <v>49987.13</v>
      </c>
      <c r="T587" s="36"/>
      <c r="U587" s="36">
        <v>11049.17</v>
      </c>
      <c r="V587" s="36"/>
      <c r="W587" s="36">
        <v>2286.61</v>
      </c>
      <c r="X587" s="36"/>
      <c r="Y587" s="36">
        <v>0</v>
      </c>
      <c r="Z587" s="36"/>
      <c r="AA587" s="36">
        <v>0</v>
      </c>
      <c r="AB587" s="36"/>
      <c r="AC587" s="36">
        <v>0</v>
      </c>
      <c r="AD587" s="36"/>
      <c r="AE587" s="36">
        <f t="shared" si="239"/>
        <v>639660.76</v>
      </c>
      <c r="AF587" s="36"/>
      <c r="AG587" s="36">
        <v>66197.5</v>
      </c>
      <c r="AH587" s="36"/>
      <c r="AI587" s="36">
        <v>278447.17</v>
      </c>
      <c r="AJ587" s="36"/>
      <c r="AK587" s="36">
        <v>344644.67</v>
      </c>
      <c r="AL587" s="39">
        <f>+'Gov Rev'!AI586-'Gov Exp'!AE587+'Gov Exp'!AI587-'Gov Exp'!AK587</f>
        <v>0</v>
      </c>
      <c r="AM587" s="15" t="str">
        <f>'Gov Rev'!A586</f>
        <v>South Charleston</v>
      </c>
      <c r="AN587" s="15" t="str">
        <f t="shared" si="228"/>
        <v>South Charleston</v>
      </c>
      <c r="AO587" s="15" t="b">
        <f t="shared" si="229"/>
        <v>1</v>
      </c>
    </row>
    <row r="588" spans="1:41" ht="12.75">
      <c r="A588" s="15" t="s">
        <v>584</v>
      </c>
      <c r="C588" s="15" t="s">
        <v>583</v>
      </c>
      <c r="E588" s="36">
        <v>562086.91</v>
      </c>
      <c r="F588" s="36"/>
      <c r="G588" s="36">
        <v>0</v>
      </c>
      <c r="H588" s="36"/>
      <c r="I588" s="36">
        <v>67776.99</v>
      </c>
      <c r="J588" s="36"/>
      <c r="K588" s="36">
        <v>0</v>
      </c>
      <c r="L588" s="36"/>
      <c r="M588" s="36">
        <v>0</v>
      </c>
      <c r="N588" s="36"/>
      <c r="O588" s="36">
        <v>179274.84</v>
      </c>
      <c r="P588" s="36"/>
      <c r="Q588" s="36">
        <v>506871.13</v>
      </c>
      <c r="R588" s="36"/>
      <c r="S588" s="36">
        <v>59205.48</v>
      </c>
      <c r="T588" s="36"/>
      <c r="U588" s="36">
        <v>0</v>
      </c>
      <c r="V588" s="36"/>
      <c r="W588" s="36">
        <v>0</v>
      </c>
      <c r="X588" s="36"/>
      <c r="Y588" s="36">
        <v>0</v>
      </c>
      <c r="Z588" s="36"/>
      <c r="AA588" s="36">
        <v>0</v>
      </c>
      <c r="AB588" s="36"/>
      <c r="AC588" s="36">
        <v>41800</v>
      </c>
      <c r="AD588" s="36"/>
      <c r="AE588" s="36">
        <f t="shared" si="239"/>
        <v>1417015.35</v>
      </c>
      <c r="AF588" s="36"/>
      <c r="AG588" s="36">
        <v>464534.15</v>
      </c>
      <c r="AH588" s="36"/>
      <c r="AI588" s="36">
        <v>1656174.18</v>
      </c>
      <c r="AJ588" s="36"/>
      <c r="AK588" s="36">
        <v>2120708.33</v>
      </c>
      <c r="AL588" s="39">
        <f>+'Gov Rev'!AI587-'Gov Exp'!AE588+'Gov Exp'!AI588-'Gov Exp'!AK588</f>
        <v>0</v>
      </c>
      <c r="AM588" s="15" t="str">
        <f>'Gov Rev'!A587</f>
        <v>South Lebanon</v>
      </c>
      <c r="AN588" s="15" t="str">
        <f t="shared" si="228"/>
        <v>South Lebanon</v>
      </c>
      <c r="AO588" s="15" t="b">
        <f t="shared" si="229"/>
        <v>1</v>
      </c>
    </row>
    <row r="589" spans="1:41" s="31" customFormat="1" ht="12.75">
      <c r="A589" s="15" t="s">
        <v>128</v>
      </c>
      <c r="B589" s="15"/>
      <c r="C589" s="15" t="s">
        <v>784</v>
      </c>
      <c r="D589" s="28"/>
      <c r="E589" s="36">
        <v>333344.24</v>
      </c>
      <c r="F589" s="36"/>
      <c r="G589" s="36">
        <v>0</v>
      </c>
      <c r="H589" s="36"/>
      <c r="I589" s="36">
        <v>0</v>
      </c>
      <c r="J589" s="36"/>
      <c r="K589" s="36">
        <v>0</v>
      </c>
      <c r="L589" s="36"/>
      <c r="M589" s="36">
        <v>0</v>
      </c>
      <c r="N589" s="36"/>
      <c r="O589" s="36">
        <v>237246.27</v>
      </c>
      <c r="P589" s="36"/>
      <c r="Q589" s="36">
        <v>67195.51</v>
      </c>
      <c r="R589" s="36"/>
      <c r="S589" s="36">
        <v>435766.27</v>
      </c>
      <c r="T589" s="36"/>
      <c r="U589" s="36">
        <v>53860.42</v>
      </c>
      <c r="V589" s="36"/>
      <c r="W589" s="36">
        <v>7905</v>
      </c>
      <c r="X589" s="36"/>
      <c r="Y589" s="36">
        <v>46784.2</v>
      </c>
      <c r="Z589" s="36"/>
      <c r="AA589" s="36">
        <v>0</v>
      </c>
      <c r="AB589" s="36"/>
      <c r="AC589" s="36">
        <v>0</v>
      </c>
      <c r="AD589" s="36"/>
      <c r="AE589" s="36">
        <f t="shared" si="239"/>
        <v>1182101.91</v>
      </c>
      <c r="AF589" s="36"/>
      <c r="AG589" s="36">
        <v>31798.14</v>
      </c>
      <c r="AH589" s="36"/>
      <c r="AI589" s="36">
        <v>324433.79</v>
      </c>
      <c r="AJ589" s="36"/>
      <c r="AK589" s="36">
        <v>356231.93</v>
      </c>
      <c r="AL589" s="39">
        <f>+'Gov Rev'!AI588-'Gov Exp'!AE589+'Gov Exp'!AI589-'Gov Exp'!AK589</f>
        <v>0</v>
      </c>
      <c r="AM589" s="15" t="str">
        <f>'Gov Rev'!A588</f>
        <v>South Point</v>
      </c>
      <c r="AN589" s="15" t="str">
        <f t="shared" si="228"/>
        <v>South Point</v>
      </c>
      <c r="AO589" s="15" t="b">
        <f t="shared" si="229"/>
        <v>1</v>
      </c>
    </row>
    <row r="590" spans="1:41" s="31" customFormat="1" ht="12.75">
      <c r="A590" s="15" t="s">
        <v>369</v>
      </c>
      <c r="B590" s="15"/>
      <c r="C590" s="15" t="s">
        <v>368</v>
      </c>
      <c r="D590" s="15"/>
      <c r="E590" s="24">
        <v>1446095</v>
      </c>
      <c r="F590" s="24"/>
      <c r="G590" s="24">
        <v>417</v>
      </c>
      <c r="H590" s="24"/>
      <c r="I590" s="24">
        <v>0</v>
      </c>
      <c r="J590" s="24"/>
      <c r="K590" s="24">
        <v>178150</v>
      </c>
      <c r="L590" s="24"/>
      <c r="M590" s="24">
        <v>0</v>
      </c>
      <c r="N590" s="24"/>
      <c r="O590" s="24">
        <v>153703</v>
      </c>
      <c r="P590" s="24"/>
      <c r="Q590" s="24">
        <v>963459</v>
      </c>
      <c r="R590" s="24"/>
      <c r="S590" s="24">
        <v>0</v>
      </c>
      <c r="T590" s="24"/>
      <c r="U590" s="24">
        <v>0</v>
      </c>
      <c r="V590" s="24"/>
      <c r="W590" s="24">
        <v>0</v>
      </c>
      <c r="X590" s="24"/>
      <c r="Y590" s="24">
        <v>1163854</v>
      </c>
      <c r="Z590" s="24"/>
      <c r="AA590" s="24">
        <v>0</v>
      </c>
      <c r="AB590" s="24"/>
      <c r="AC590" s="24">
        <v>0</v>
      </c>
      <c r="AD590" s="24"/>
      <c r="AE590" s="24">
        <f t="shared" si="220"/>
        <v>3905678</v>
      </c>
      <c r="AF590" s="24"/>
      <c r="AG590" s="24">
        <v>360820</v>
      </c>
      <c r="AH590" s="24"/>
      <c r="AI590" s="24">
        <v>1532267</v>
      </c>
      <c r="AJ590" s="24"/>
      <c r="AK590" s="24">
        <v>1893087</v>
      </c>
      <c r="AL590" s="39">
        <f>+'Gov Rev'!AI589-'Gov Exp'!AE590+'Gov Exp'!AI590-'Gov Exp'!AK590</f>
        <v>0</v>
      </c>
      <c r="AM590" s="15" t="str">
        <f>'Gov Rev'!A589</f>
        <v>South Russell</v>
      </c>
      <c r="AN590" s="15" t="str">
        <f t="shared" si="228"/>
        <v>South Russell</v>
      </c>
      <c r="AO590" s="15" t="b">
        <f t="shared" si="229"/>
        <v>1</v>
      </c>
    </row>
    <row r="591" spans="1:41" ht="12.75">
      <c r="A591" s="15" t="s">
        <v>524</v>
      </c>
      <c r="C591" s="15" t="s">
        <v>525</v>
      </c>
      <c r="E591" s="95">
        <v>4427.43</v>
      </c>
      <c r="F591" s="95"/>
      <c r="G591" s="95">
        <v>0</v>
      </c>
      <c r="H591" s="95"/>
      <c r="I591" s="95">
        <v>0</v>
      </c>
      <c r="J591" s="95"/>
      <c r="K591" s="95">
        <v>0</v>
      </c>
      <c r="L591" s="95"/>
      <c r="M591" s="95">
        <v>0</v>
      </c>
      <c r="N591" s="95"/>
      <c r="O591" s="95">
        <v>3887.47</v>
      </c>
      <c r="P591" s="95"/>
      <c r="Q591" s="95">
        <v>18369.49</v>
      </c>
      <c r="R591" s="95"/>
      <c r="S591" s="95">
        <v>0</v>
      </c>
      <c r="T591" s="95"/>
      <c r="U591" s="95">
        <v>0</v>
      </c>
      <c r="V591" s="95"/>
      <c r="W591" s="95">
        <v>0</v>
      </c>
      <c r="X591" s="95"/>
      <c r="Y591" s="95">
        <v>0</v>
      </c>
      <c r="Z591" s="95"/>
      <c r="AA591" s="95">
        <v>0</v>
      </c>
      <c r="AB591" s="95"/>
      <c r="AC591" s="95">
        <v>0</v>
      </c>
      <c r="AD591" s="95"/>
      <c r="AE591" s="95">
        <f aca="true" t="shared" si="240" ref="AE591">SUM(E591:AC591)</f>
        <v>26684.39</v>
      </c>
      <c r="AF591" s="95"/>
      <c r="AG591" s="95">
        <v>11398.62</v>
      </c>
      <c r="AH591" s="95"/>
      <c r="AI591" s="95">
        <v>115316.85</v>
      </c>
      <c r="AJ591" s="95"/>
      <c r="AK591" s="95">
        <v>126715.47</v>
      </c>
      <c r="AL591" s="39">
        <f>+'Gov Rev'!AI590-'Gov Exp'!AE591+'Gov Exp'!AI591-'Gov Exp'!AK591</f>
        <v>0</v>
      </c>
      <c r="AM591" s="15" t="str">
        <f>'Gov Rev'!A590</f>
        <v>South Salem</v>
      </c>
      <c r="AN591" s="15" t="str">
        <f t="shared" si="228"/>
        <v>South Salem</v>
      </c>
      <c r="AO591" s="15" t="b">
        <f t="shared" si="229"/>
        <v>1</v>
      </c>
    </row>
    <row r="592" spans="1:41" s="31" customFormat="1" ht="12.75">
      <c r="A592" s="15" t="s">
        <v>142</v>
      </c>
      <c r="B592" s="15"/>
      <c r="C592" s="15" t="s">
        <v>789</v>
      </c>
      <c r="D592" s="28"/>
      <c r="E592" s="36">
        <v>7290.09</v>
      </c>
      <c r="F592" s="36"/>
      <c r="G592" s="36">
        <v>0</v>
      </c>
      <c r="H592" s="36"/>
      <c r="I592" s="36">
        <v>499.68</v>
      </c>
      <c r="J592" s="36"/>
      <c r="K592" s="36">
        <v>0</v>
      </c>
      <c r="L592" s="36"/>
      <c r="M592" s="36">
        <v>17048.39</v>
      </c>
      <c r="N592" s="36"/>
      <c r="O592" s="36">
        <v>16646.54</v>
      </c>
      <c r="P592" s="36"/>
      <c r="Q592" s="36">
        <v>34554.6</v>
      </c>
      <c r="R592" s="36"/>
      <c r="S592" s="36">
        <v>121221</v>
      </c>
      <c r="T592" s="36"/>
      <c r="U592" s="36">
        <v>0</v>
      </c>
      <c r="V592" s="36"/>
      <c r="W592" s="36">
        <v>0</v>
      </c>
      <c r="X592" s="36"/>
      <c r="Y592" s="36">
        <v>0</v>
      </c>
      <c r="Z592" s="36"/>
      <c r="AA592" s="36">
        <v>0</v>
      </c>
      <c r="AB592" s="36"/>
      <c r="AC592" s="36">
        <v>0</v>
      </c>
      <c r="AD592" s="36"/>
      <c r="AE592" s="36">
        <f aca="true" t="shared" si="241" ref="AE592:AE598">SUM(E592:AC592)</f>
        <v>197260.3</v>
      </c>
      <c r="AF592" s="36"/>
      <c r="AG592" s="36">
        <v>18473.63</v>
      </c>
      <c r="AH592" s="36"/>
      <c r="AI592" s="36">
        <v>69384.66</v>
      </c>
      <c r="AJ592" s="36"/>
      <c r="AK592" s="36">
        <v>87858.29</v>
      </c>
      <c r="AL592" s="39">
        <f>+'Gov Rev'!AI591-'Gov Exp'!AE592+'Gov Exp'!AI592-'Gov Exp'!AK592</f>
        <v>0</v>
      </c>
      <c r="AM592" s="15" t="str">
        <f>'Gov Rev'!A591</f>
        <v>South Solon</v>
      </c>
      <c r="AN592" s="15" t="str">
        <f t="shared" si="228"/>
        <v>South Solon</v>
      </c>
      <c r="AO592" s="15" t="b">
        <f t="shared" si="229"/>
        <v>1</v>
      </c>
    </row>
    <row r="593" spans="1:41" ht="12.75">
      <c r="A593" s="15" t="s">
        <v>35</v>
      </c>
      <c r="C593" s="15" t="s">
        <v>755</v>
      </c>
      <c r="D593" s="28"/>
      <c r="E593" s="36">
        <v>55552.5</v>
      </c>
      <c r="F593" s="36"/>
      <c r="G593" s="36">
        <v>0</v>
      </c>
      <c r="H593" s="36"/>
      <c r="I593" s="36">
        <v>2157.65</v>
      </c>
      <c r="J593" s="36"/>
      <c r="K593" s="36">
        <v>0</v>
      </c>
      <c r="L593" s="36"/>
      <c r="M593" s="36">
        <v>2163.97</v>
      </c>
      <c r="N593" s="36"/>
      <c r="O593" s="36">
        <v>9912.78</v>
      </c>
      <c r="P593" s="36"/>
      <c r="Q593" s="36">
        <v>31697.9</v>
      </c>
      <c r="R593" s="36"/>
      <c r="S593" s="36">
        <v>0</v>
      </c>
      <c r="T593" s="36"/>
      <c r="U593" s="36">
        <v>0</v>
      </c>
      <c r="V593" s="36"/>
      <c r="W593" s="36">
        <v>0</v>
      </c>
      <c r="X593" s="36"/>
      <c r="Y593" s="36">
        <v>0</v>
      </c>
      <c r="Z593" s="36"/>
      <c r="AA593" s="36">
        <v>0</v>
      </c>
      <c r="AB593" s="36"/>
      <c r="AC593" s="36">
        <v>0</v>
      </c>
      <c r="AD593" s="36"/>
      <c r="AE593" s="36">
        <f t="shared" si="241"/>
        <v>101484.80000000002</v>
      </c>
      <c r="AF593" s="36"/>
      <c r="AG593" s="36">
        <v>148028.34</v>
      </c>
      <c r="AH593" s="36"/>
      <c r="AI593" s="36">
        <v>273046.66</v>
      </c>
      <c r="AJ593" s="36"/>
      <c r="AK593" s="36">
        <v>421075</v>
      </c>
      <c r="AL593" s="39">
        <f>+'Gov Rev'!AI592-'Gov Exp'!AE593+'Gov Exp'!AI593-'Gov Exp'!AK593</f>
        <v>0</v>
      </c>
      <c r="AM593" s="15" t="str">
        <f>'Gov Rev'!A592</f>
        <v>South Vienna</v>
      </c>
      <c r="AN593" s="15" t="str">
        <f t="shared" si="228"/>
        <v>South Vienna</v>
      </c>
      <c r="AO593" s="15" t="b">
        <f t="shared" si="229"/>
        <v>1</v>
      </c>
    </row>
    <row r="594" spans="1:41" ht="12.75">
      <c r="A594" s="15" t="s">
        <v>217</v>
      </c>
      <c r="C594" s="15" t="s">
        <v>812</v>
      </c>
      <c r="D594" s="28"/>
      <c r="E594" s="36">
        <v>11618.81</v>
      </c>
      <c r="F594" s="36"/>
      <c r="G594" s="36">
        <v>2847.69</v>
      </c>
      <c r="H594" s="36"/>
      <c r="I594" s="36">
        <v>0</v>
      </c>
      <c r="J594" s="36"/>
      <c r="K594" s="36">
        <v>0</v>
      </c>
      <c r="L594" s="36"/>
      <c r="M594" s="36">
        <v>6014.55</v>
      </c>
      <c r="N594" s="36"/>
      <c r="O594" s="36">
        <v>48575.05</v>
      </c>
      <c r="P594" s="36"/>
      <c r="Q594" s="36">
        <v>18152.58</v>
      </c>
      <c r="R594" s="36"/>
      <c r="S594" s="36">
        <v>1500</v>
      </c>
      <c r="T594" s="36"/>
      <c r="U594" s="36">
        <v>0</v>
      </c>
      <c r="V594" s="36"/>
      <c r="W594" s="36">
        <v>0</v>
      </c>
      <c r="X594" s="36"/>
      <c r="Y594" s="36">
        <v>0</v>
      </c>
      <c r="Z594" s="36"/>
      <c r="AA594" s="36">
        <v>0</v>
      </c>
      <c r="AB594" s="36"/>
      <c r="AC594" s="36">
        <v>0</v>
      </c>
      <c r="AD594" s="36"/>
      <c r="AE594" s="36">
        <f t="shared" si="241"/>
        <v>88708.68000000001</v>
      </c>
      <c r="AF594" s="36"/>
      <c r="AG594" s="36">
        <v>-6142.63</v>
      </c>
      <c r="AH594" s="36"/>
      <c r="AI594" s="36">
        <v>139988.35</v>
      </c>
      <c r="AJ594" s="36"/>
      <c r="AK594" s="36">
        <v>133845.72</v>
      </c>
      <c r="AL594" s="39">
        <f>+'Gov Rev'!AI593-'Gov Exp'!AE594+'Gov Exp'!AI594-'Gov Exp'!AK594</f>
        <v>0</v>
      </c>
      <c r="AM594" s="15" t="str">
        <f>'Gov Rev'!A593</f>
        <v>South Webster</v>
      </c>
      <c r="AN594" s="15" t="str">
        <f t="shared" si="228"/>
        <v>South Webster</v>
      </c>
      <c r="AO594" s="15" t="b">
        <f t="shared" si="229"/>
        <v>1</v>
      </c>
    </row>
    <row r="595" spans="1:41" ht="12.75">
      <c r="A595" s="15" t="s">
        <v>840</v>
      </c>
      <c r="C595" s="15" t="s">
        <v>799</v>
      </c>
      <c r="D595" s="28"/>
      <c r="E595" s="36">
        <v>3185.51</v>
      </c>
      <c r="F595" s="36"/>
      <c r="G595" s="36">
        <v>0</v>
      </c>
      <c r="H595" s="36"/>
      <c r="I595" s="36">
        <v>0</v>
      </c>
      <c r="J595" s="36"/>
      <c r="K595" s="36">
        <v>0</v>
      </c>
      <c r="L595" s="36"/>
      <c r="M595" s="36">
        <v>0</v>
      </c>
      <c r="N595" s="36"/>
      <c r="O595" s="36">
        <v>1155</v>
      </c>
      <c r="P595" s="36"/>
      <c r="Q595" s="36">
        <v>16921.56</v>
      </c>
      <c r="R595" s="36"/>
      <c r="S595" s="36">
        <v>5389</v>
      </c>
      <c r="T595" s="36"/>
      <c r="U595" s="36">
        <v>0</v>
      </c>
      <c r="V595" s="36"/>
      <c r="W595" s="36">
        <v>0</v>
      </c>
      <c r="X595" s="36"/>
      <c r="Y595" s="36">
        <v>0</v>
      </c>
      <c r="Z595" s="36"/>
      <c r="AA595" s="36">
        <v>0</v>
      </c>
      <c r="AB595" s="36"/>
      <c r="AC595" s="36">
        <v>0</v>
      </c>
      <c r="AD595" s="36"/>
      <c r="AE595" s="36">
        <f t="shared" si="241"/>
        <v>26651.07</v>
      </c>
      <c r="AF595" s="36"/>
      <c r="AG595" s="36">
        <v>5504.25</v>
      </c>
      <c r="AH595" s="36"/>
      <c r="AI595" s="36">
        <v>46432.64</v>
      </c>
      <c r="AJ595" s="36"/>
      <c r="AK595" s="36">
        <v>51936.89</v>
      </c>
      <c r="AL595" s="39">
        <f>+'Gov Rev'!AI594-'Gov Exp'!AE595+'Gov Exp'!AI595-'Gov Exp'!AK595</f>
        <v>0</v>
      </c>
      <c r="AM595" s="15" t="str">
        <f>'Gov Rev'!A594</f>
        <v>Sparta</v>
      </c>
      <c r="AN595" s="15" t="str">
        <f t="shared" si="228"/>
        <v>Sparta</v>
      </c>
      <c r="AO595" s="15" t="b">
        <f t="shared" si="229"/>
        <v>1</v>
      </c>
    </row>
    <row r="596" spans="1:41" ht="12.75">
      <c r="A596" s="15" t="s">
        <v>856</v>
      </c>
      <c r="C596" s="15" t="s">
        <v>792</v>
      </c>
      <c r="D596" s="28"/>
      <c r="E596" s="36">
        <v>144432.46</v>
      </c>
      <c r="F596" s="36"/>
      <c r="G596" s="36">
        <v>0</v>
      </c>
      <c r="H596" s="36"/>
      <c r="I596" s="36">
        <v>24633.21</v>
      </c>
      <c r="J596" s="36"/>
      <c r="K596" s="36">
        <v>4222.8</v>
      </c>
      <c r="L596" s="36"/>
      <c r="M596" s="36">
        <v>908.6</v>
      </c>
      <c r="N596" s="36"/>
      <c r="O596" s="36">
        <v>68823.18</v>
      </c>
      <c r="P596" s="36"/>
      <c r="Q596" s="36">
        <v>258423.49</v>
      </c>
      <c r="R596" s="36"/>
      <c r="S596" s="36">
        <v>0</v>
      </c>
      <c r="T596" s="36"/>
      <c r="U596" s="36">
        <v>0</v>
      </c>
      <c r="V596" s="36"/>
      <c r="W596" s="36">
        <v>0</v>
      </c>
      <c r="X596" s="36"/>
      <c r="Y596" s="36">
        <v>150000</v>
      </c>
      <c r="Z596" s="36"/>
      <c r="AA596" s="36">
        <v>7231</v>
      </c>
      <c r="AB596" s="36"/>
      <c r="AC596" s="36">
        <v>0</v>
      </c>
      <c r="AD596" s="36"/>
      <c r="AE596" s="36">
        <f t="shared" si="241"/>
        <v>658674.74</v>
      </c>
      <c r="AF596" s="36"/>
      <c r="AG596" s="36">
        <v>133189.89</v>
      </c>
      <c r="AH596" s="36"/>
      <c r="AI596" s="36">
        <v>274718.16</v>
      </c>
      <c r="AJ596" s="36"/>
      <c r="AK596" s="36">
        <v>407908.05</v>
      </c>
      <c r="AL596" s="39">
        <f>+'Gov Rev'!AI595-'Gov Exp'!AE596+'Gov Exp'!AI596-'Gov Exp'!AK596</f>
        <v>0</v>
      </c>
      <c r="AM596" s="15" t="str">
        <f>'Gov Rev'!A595</f>
        <v>Spencer</v>
      </c>
      <c r="AN596" s="15" t="str">
        <f t="shared" si="228"/>
        <v>Spencer</v>
      </c>
      <c r="AO596" s="15" t="b">
        <f t="shared" si="229"/>
        <v>1</v>
      </c>
    </row>
    <row r="597" spans="1:41" ht="12.75">
      <c r="A597" s="15" t="s">
        <v>6</v>
      </c>
      <c r="C597" s="15" t="s">
        <v>746</v>
      </c>
      <c r="D597" s="28"/>
      <c r="E597" s="36">
        <v>414075.27</v>
      </c>
      <c r="F597" s="36"/>
      <c r="G597" s="36">
        <v>6153.31</v>
      </c>
      <c r="H597" s="36"/>
      <c r="I597" s="36">
        <v>4973.19</v>
      </c>
      <c r="J597" s="36"/>
      <c r="K597" s="36">
        <v>2525</v>
      </c>
      <c r="L597" s="36"/>
      <c r="M597" s="36">
        <v>0</v>
      </c>
      <c r="N597" s="36"/>
      <c r="O597" s="36">
        <v>159425.24</v>
      </c>
      <c r="P597" s="36"/>
      <c r="Q597" s="36">
        <v>114361.63</v>
      </c>
      <c r="R597" s="36"/>
      <c r="S597" s="36">
        <v>130209.73</v>
      </c>
      <c r="T597" s="36"/>
      <c r="U597" s="36">
        <v>56492.5</v>
      </c>
      <c r="V597" s="36"/>
      <c r="W597" s="36">
        <v>19790</v>
      </c>
      <c r="X597" s="36"/>
      <c r="Y597" s="36">
        <v>555782.98</v>
      </c>
      <c r="Z597" s="36"/>
      <c r="AA597" s="36">
        <v>0</v>
      </c>
      <c r="AB597" s="36"/>
      <c r="AC597" s="36">
        <v>0</v>
      </c>
      <c r="AD597" s="36"/>
      <c r="AE597" s="36">
        <f t="shared" si="241"/>
        <v>1463788.85</v>
      </c>
      <c r="AF597" s="36"/>
      <c r="AG597" s="36">
        <v>-15269.1</v>
      </c>
      <c r="AH597" s="36"/>
      <c r="AI597" s="36">
        <v>751188.84</v>
      </c>
      <c r="AJ597" s="36"/>
      <c r="AK597" s="36">
        <v>735919.74</v>
      </c>
      <c r="AL597" s="39">
        <f>+'Gov Rev'!AI596-'Gov Exp'!AE597+'Gov Exp'!AI597-'Gov Exp'!AK597</f>
        <v>0</v>
      </c>
      <c r="AM597" s="15" t="str">
        <f>'Gov Rev'!A596</f>
        <v>Spencerville</v>
      </c>
      <c r="AN597" s="15" t="str">
        <f t="shared" si="228"/>
        <v>Spencerville</v>
      </c>
      <c r="AO597" s="15" t="b">
        <f t="shared" si="229"/>
        <v>1</v>
      </c>
    </row>
    <row r="598" spans="1:41" s="31" customFormat="1" ht="12.75">
      <c r="A598" s="15" t="s">
        <v>85</v>
      </c>
      <c r="B598" s="15"/>
      <c r="C598" s="15" t="s">
        <v>771</v>
      </c>
      <c r="D598" s="28"/>
      <c r="E598" s="92">
        <v>20213.35</v>
      </c>
      <c r="F598" s="92"/>
      <c r="G598" s="92">
        <v>1052.97</v>
      </c>
      <c r="H598" s="92"/>
      <c r="I598" s="92">
        <v>0</v>
      </c>
      <c r="J598" s="92"/>
      <c r="K598" s="92">
        <v>1711.52</v>
      </c>
      <c r="L598" s="92"/>
      <c r="M598" s="92">
        <v>5979.56</v>
      </c>
      <c r="N598" s="92"/>
      <c r="O598" s="92">
        <v>66112.02</v>
      </c>
      <c r="P598" s="92"/>
      <c r="Q598" s="92">
        <v>29488.27</v>
      </c>
      <c r="R598" s="92"/>
      <c r="S598" s="92">
        <v>0</v>
      </c>
      <c r="T598" s="92"/>
      <c r="U598" s="92">
        <v>0</v>
      </c>
      <c r="V598" s="92"/>
      <c r="W598" s="92">
        <v>0</v>
      </c>
      <c r="X598" s="92"/>
      <c r="Y598" s="92">
        <v>0</v>
      </c>
      <c r="Z598" s="92"/>
      <c r="AA598" s="92">
        <v>0</v>
      </c>
      <c r="AB598" s="92"/>
      <c r="AC598" s="92">
        <v>0</v>
      </c>
      <c r="AD598" s="92"/>
      <c r="AE598" s="92">
        <f t="shared" si="241"/>
        <v>124557.69000000002</v>
      </c>
      <c r="AF598" s="36"/>
      <c r="AG598" s="36">
        <v>6519.88</v>
      </c>
      <c r="AH598" s="36"/>
      <c r="AI598" s="36">
        <v>162228.37</v>
      </c>
      <c r="AJ598" s="36"/>
      <c r="AK598" s="36">
        <v>168748.25</v>
      </c>
      <c r="AL598" s="39">
        <f>+'Gov Rev'!AI597-'Gov Exp'!AE598+'Gov Exp'!AI598-'Gov Exp'!AK598</f>
        <v>0</v>
      </c>
      <c r="AM598" s="15" t="str">
        <f>'Gov Rev'!A597</f>
        <v>Spring Valley</v>
      </c>
      <c r="AN598" s="15" t="str">
        <f t="shared" si="228"/>
        <v>Spring Valley</v>
      </c>
      <c r="AO598" s="15" t="b">
        <f t="shared" si="229"/>
        <v>1</v>
      </c>
    </row>
    <row r="599" spans="1:41" s="39" customFormat="1" ht="12.75">
      <c r="A599" s="39" t="s">
        <v>443</v>
      </c>
      <c r="C599" s="39" t="s">
        <v>439</v>
      </c>
      <c r="E599" s="24">
        <v>41317</v>
      </c>
      <c r="F599" s="24"/>
      <c r="G599" s="24">
        <v>756</v>
      </c>
      <c r="H599" s="24"/>
      <c r="I599" s="24">
        <v>6024</v>
      </c>
      <c r="J599" s="24"/>
      <c r="K599" s="24">
        <v>889</v>
      </c>
      <c r="L599" s="24"/>
      <c r="M599" s="24">
        <v>0</v>
      </c>
      <c r="N599" s="24"/>
      <c r="O599" s="24">
        <v>18239</v>
      </c>
      <c r="P599" s="24"/>
      <c r="Q599" s="24">
        <v>42671</v>
      </c>
      <c r="R599" s="24"/>
      <c r="S599" s="24">
        <v>0</v>
      </c>
      <c r="T599" s="24"/>
      <c r="U599" s="24">
        <v>0</v>
      </c>
      <c r="V599" s="24"/>
      <c r="W599" s="24">
        <v>0</v>
      </c>
      <c r="X599" s="24"/>
      <c r="Y599" s="24">
        <v>0</v>
      </c>
      <c r="Z599" s="24"/>
      <c r="AA599" s="24">
        <v>0</v>
      </c>
      <c r="AB599" s="24"/>
      <c r="AC599" s="24">
        <v>0</v>
      </c>
      <c r="AD599" s="24"/>
      <c r="AE599" s="24">
        <f t="shared" si="220"/>
        <v>109896</v>
      </c>
      <c r="AF599" s="24"/>
      <c r="AG599" s="24">
        <v>-1064</v>
      </c>
      <c r="AH599" s="24"/>
      <c r="AI599" s="24">
        <v>24598</v>
      </c>
      <c r="AJ599" s="24"/>
      <c r="AK599" s="24">
        <v>23545</v>
      </c>
      <c r="AL599" s="39">
        <f>+'Gov Rev'!AI598-'Gov Exp'!AE599+'Gov Exp'!AI599-'Gov Exp'!AK599</f>
        <v>-11</v>
      </c>
      <c r="AM599" s="15" t="str">
        <f>'Gov Rev'!A598</f>
        <v>St. Louisville</v>
      </c>
      <c r="AN599" s="15" t="str">
        <f t="shared" si="228"/>
        <v>St. Louisville</v>
      </c>
      <c r="AO599" s="15" t="b">
        <f t="shared" si="229"/>
        <v>1</v>
      </c>
    </row>
    <row r="600" spans="1:41" ht="12.75">
      <c r="A600" s="15" t="s">
        <v>33</v>
      </c>
      <c r="C600" s="15" t="s">
        <v>754</v>
      </c>
      <c r="D600" s="28"/>
      <c r="E600" s="36">
        <v>327210.54</v>
      </c>
      <c r="F600" s="36"/>
      <c r="G600" s="36">
        <v>0</v>
      </c>
      <c r="H600" s="36"/>
      <c r="I600" s="36">
        <v>5414.28</v>
      </c>
      <c r="J600" s="36"/>
      <c r="K600" s="36">
        <v>738.66</v>
      </c>
      <c r="L600" s="36"/>
      <c r="M600" s="36">
        <v>0</v>
      </c>
      <c r="N600" s="36"/>
      <c r="O600" s="36">
        <v>542364.42</v>
      </c>
      <c r="P600" s="36"/>
      <c r="Q600" s="36">
        <v>133383.94</v>
      </c>
      <c r="R600" s="36"/>
      <c r="S600" s="36">
        <v>0</v>
      </c>
      <c r="T600" s="36"/>
      <c r="U600" s="36">
        <v>7630</v>
      </c>
      <c r="V600" s="36"/>
      <c r="W600" s="36">
        <v>0</v>
      </c>
      <c r="X600" s="36"/>
      <c r="Y600" s="36">
        <v>0</v>
      </c>
      <c r="Z600" s="36"/>
      <c r="AA600" s="36">
        <v>0</v>
      </c>
      <c r="AB600" s="36"/>
      <c r="AC600" s="36">
        <v>0</v>
      </c>
      <c r="AD600" s="36"/>
      <c r="AE600" s="36">
        <f aca="true" t="shared" si="242" ref="AE600">SUM(E600:AC600)</f>
        <v>1016741.8400000001</v>
      </c>
      <c r="AF600" s="36"/>
      <c r="AG600" s="36">
        <v>51452.87</v>
      </c>
      <c r="AH600" s="36"/>
      <c r="AI600" s="36">
        <v>139478.69</v>
      </c>
      <c r="AJ600" s="36"/>
      <c r="AK600" s="36">
        <v>190931.56</v>
      </c>
      <c r="AL600" s="39">
        <f>+'Gov Rev'!AI599-'Gov Exp'!AE600+'Gov Exp'!AI600-'Gov Exp'!AK600</f>
        <v>0</v>
      </c>
      <c r="AM600" s="15" t="str">
        <f>'Gov Rev'!A599</f>
        <v>St. Paris</v>
      </c>
      <c r="AN600" s="15" t="str">
        <f t="shared" si="228"/>
        <v>St. Paris</v>
      </c>
      <c r="AO600" s="15" t="b">
        <f t="shared" si="229"/>
        <v>1</v>
      </c>
    </row>
    <row r="601" spans="1:41" ht="12.75">
      <c r="A601" s="15" t="s">
        <v>477</v>
      </c>
      <c r="C601" s="15" t="s">
        <v>474</v>
      </c>
      <c r="E601" s="24">
        <v>3375</v>
      </c>
      <c r="G601" s="24">
        <v>283</v>
      </c>
      <c r="I601" s="24">
        <v>0</v>
      </c>
      <c r="K601" s="24">
        <v>0</v>
      </c>
      <c r="M601" s="24">
        <v>0</v>
      </c>
      <c r="O601" s="24">
        <v>287</v>
      </c>
      <c r="Q601" s="24">
        <v>3334</v>
      </c>
      <c r="S601" s="24">
        <v>0</v>
      </c>
      <c r="U601" s="24">
        <v>0</v>
      </c>
      <c r="W601" s="24">
        <v>0</v>
      </c>
      <c r="Y601" s="24">
        <v>0</v>
      </c>
      <c r="AA601" s="24">
        <v>0</v>
      </c>
      <c r="AC601" s="24">
        <v>0</v>
      </c>
      <c r="AE601" s="24">
        <f t="shared" si="220"/>
        <v>7279</v>
      </c>
      <c r="AF601" s="24"/>
      <c r="AG601" s="24"/>
      <c r="AH601" s="24"/>
      <c r="AI601" s="24">
        <v>32143</v>
      </c>
      <c r="AJ601" s="24"/>
      <c r="AK601" s="24">
        <v>35810</v>
      </c>
      <c r="AL601" s="39">
        <f>+'Gov Rev'!AI600-'Gov Exp'!AE601+'Gov Exp'!AI601-'Gov Exp'!AK601</f>
        <v>0</v>
      </c>
      <c r="AM601" s="15" t="str">
        <f>'Gov Rev'!A600</f>
        <v>Stafford</v>
      </c>
      <c r="AN601" s="15" t="str">
        <f t="shared" si="228"/>
        <v>Stafford</v>
      </c>
      <c r="AO601" s="15" t="b">
        <f t="shared" si="229"/>
        <v>1</v>
      </c>
    </row>
    <row r="602" spans="1:41" ht="12.75">
      <c r="A602" s="15" t="s">
        <v>169</v>
      </c>
      <c r="C602" s="15" t="s">
        <v>798</v>
      </c>
      <c r="D602" s="28"/>
      <c r="E602" s="36">
        <v>13830.63</v>
      </c>
      <c r="F602" s="36"/>
      <c r="G602" s="36">
        <v>7048.17</v>
      </c>
      <c r="H602" s="36"/>
      <c r="I602" s="36">
        <v>4320.44</v>
      </c>
      <c r="J602" s="36"/>
      <c r="K602" s="36">
        <v>0</v>
      </c>
      <c r="L602" s="36"/>
      <c r="M602" s="36">
        <v>127.82</v>
      </c>
      <c r="N602" s="36"/>
      <c r="O602" s="36">
        <v>21831.61</v>
      </c>
      <c r="P602" s="36"/>
      <c r="Q602" s="36">
        <v>29322.91</v>
      </c>
      <c r="R602" s="36"/>
      <c r="S602" s="36">
        <v>0</v>
      </c>
      <c r="T602" s="36"/>
      <c r="U602" s="36">
        <v>360.53</v>
      </c>
      <c r="V602" s="36"/>
      <c r="W602" s="36">
        <v>75.55</v>
      </c>
      <c r="X602" s="36"/>
      <c r="Y602" s="36">
        <v>0</v>
      </c>
      <c r="Z602" s="36"/>
      <c r="AA602" s="36">
        <v>0</v>
      </c>
      <c r="AB602" s="36"/>
      <c r="AC602" s="36">
        <v>0</v>
      </c>
      <c r="AD602" s="36"/>
      <c r="AE602" s="36">
        <f aca="true" t="shared" si="243" ref="AE602:AE604">SUM(E602:AC602)</f>
        <v>76917.66</v>
      </c>
      <c r="AF602" s="36"/>
      <c r="AG602" s="36">
        <v>5058.11</v>
      </c>
      <c r="AH602" s="36"/>
      <c r="AI602" s="36">
        <v>49470.46</v>
      </c>
      <c r="AJ602" s="36"/>
      <c r="AK602" s="36">
        <v>54528.57</v>
      </c>
      <c r="AL602" s="39">
        <f>+'Gov Rev'!AI601-'Gov Exp'!AE602+'Gov Exp'!AI602-'Gov Exp'!AK602</f>
        <v>0</v>
      </c>
      <c r="AM602" s="15" t="str">
        <f>'Gov Rev'!A601</f>
        <v>Stockport</v>
      </c>
      <c r="AN602" s="15" t="str">
        <f t="shared" si="228"/>
        <v>Stockport</v>
      </c>
      <c r="AO602" s="15" t="b">
        <f t="shared" si="229"/>
        <v>1</v>
      </c>
    </row>
    <row r="603" spans="1:41" ht="12.75">
      <c r="A603" s="15" t="s">
        <v>568</v>
      </c>
      <c r="C603" s="15" t="s">
        <v>562</v>
      </c>
      <c r="E603" s="36">
        <v>4745.6</v>
      </c>
      <c r="F603" s="36"/>
      <c r="G603" s="36">
        <v>644.7</v>
      </c>
      <c r="H603" s="36"/>
      <c r="I603" s="36">
        <v>1380.85</v>
      </c>
      <c r="J603" s="36"/>
      <c r="K603" s="36">
        <v>46</v>
      </c>
      <c r="L603" s="36"/>
      <c r="M603" s="36">
        <v>0</v>
      </c>
      <c r="N603" s="36"/>
      <c r="O603" s="36">
        <v>12328.2</v>
      </c>
      <c r="P603" s="36"/>
      <c r="Q603" s="36">
        <v>27449.29</v>
      </c>
      <c r="R603" s="36"/>
      <c r="S603" s="36">
        <v>0</v>
      </c>
      <c r="T603" s="36"/>
      <c r="U603" s="36">
        <v>0</v>
      </c>
      <c r="V603" s="36"/>
      <c r="W603" s="36">
        <v>0</v>
      </c>
      <c r="X603" s="36"/>
      <c r="Y603" s="36">
        <v>0</v>
      </c>
      <c r="Z603" s="36"/>
      <c r="AA603" s="36">
        <v>40</v>
      </c>
      <c r="AB603" s="36"/>
      <c r="AC603" s="36">
        <v>468.79</v>
      </c>
      <c r="AD603" s="36"/>
      <c r="AE603" s="36">
        <f t="shared" si="243"/>
        <v>47103.43</v>
      </c>
      <c r="AF603" s="36"/>
      <c r="AG603" s="36">
        <v>-11579.3</v>
      </c>
      <c r="AH603" s="36"/>
      <c r="AI603" s="36">
        <v>35615.39</v>
      </c>
      <c r="AJ603" s="36"/>
      <c r="AK603" s="36">
        <v>24036.09</v>
      </c>
      <c r="AL603" s="39">
        <f>+'Gov Rev'!AI602-'Gov Exp'!AE603+'Gov Exp'!AI603-'Gov Exp'!AK603</f>
        <v>0</v>
      </c>
      <c r="AM603" s="15" t="str">
        <f>'Gov Rev'!A602</f>
        <v>Stone Creek</v>
      </c>
      <c r="AN603" s="15" t="str">
        <f t="shared" si="228"/>
        <v>Stone Creek</v>
      </c>
      <c r="AO603" s="15" t="b">
        <f t="shared" si="229"/>
        <v>1</v>
      </c>
    </row>
    <row r="604" spans="1:41" ht="12.75">
      <c r="A604" s="15" t="s">
        <v>956</v>
      </c>
      <c r="C604" s="15" t="s">
        <v>350</v>
      </c>
      <c r="E604" s="36">
        <v>7081.88</v>
      </c>
      <c r="F604" s="36"/>
      <c r="G604" s="36">
        <v>1870.1</v>
      </c>
      <c r="H604" s="36"/>
      <c r="I604" s="36">
        <v>12824.18</v>
      </c>
      <c r="J604" s="36"/>
      <c r="K604" s="36">
        <v>0</v>
      </c>
      <c r="L604" s="36"/>
      <c r="M604" s="36">
        <v>0</v>
      </c>
      <c r="N604" s="36"/>
      <c r="O604" s="36">
        <v>14038.16</v>
      </c>
      <c r="P604" s="36"/>
      <c r="Q604" s="36">
        <v>38872.8</v>
      </c>
      <c r="R604" s="36"/>
      <c r="S604" s="36">
        <v>0</v>
      </c>
      <c r="T604" s="36"/>
      <c r="U604" s="36">
        <v>3012.65</v>
      </c>
      <c r="V604" s="36"/>
      <c r="W604" s="36">
        <v>1373.31</v>
      </c>
      <c r="X604" s="36"/>
      <c r="Y604" s="36">
        <v>0</v>
      </c>
      <c r="Z604" s="36"/>
      <c r="AA604" s="36">
        <v>0</v>
      </c>
      <c r="AB604" s="36"/>
      <c r="AC604" s="36">
        <v>0</v>
      </c>
      <c r="AD604" s="36"/>
      <c r="AE604" s="36">
        <f t="shared" si="243"/>
        <v>79073.07999999999</v>
      </c>
      <c r="AF604" s="36"/>
      <c r="AG604" s="36">
        <v>10925.7</v>
      </c>
      <c r="AH604" s="36"/>
      <c r="AI604" s="36">
        <v>235808.57</v>
      </c>
      <c r="AJ604" s="36"/>
      <c r="AK604" s="36">
        <v>246734.27</v>
      </c>
      <c r="AL604" s="39">
        <f>+'Gov Rev'!AI603-'Gov Exp'!AE604+'Gov Exp'!AI604-'Gov Exp'!AK604</f>
        <v>0</v>
      </c>
      <c r="AM604" s="15" t="str">
        <f>'Gov Rev'!A603</f>
        <v>Stoutsville</v>
      </c>
      <c r="AN604" s="15" t="str">
        <f t="shared" si="228"/>
        <v>Stoutsville</v>
      </c>
      <c r="AO604" s="15" t="b">
        <f t="shared" si="229"/>
        <v>1</v>
      </c>
    </row>
    <row r="605" spans="1:41" ht="12.75">
      <c r="A605" s="15" t="s">
        <v>569</v>
      </c>
      <c r="C605" s="15" t="s">
        <v>562</v>
      </c>
      <c r="E605" s="24">
        <v>372364.83</v>
      </c>
      <c r="G605" s="24">
        <v>1790.63</v>
      </c>
      <c r="I605" s="24">
        <v>37418.27</v>
      </c>
      <c r="K605" s="24">
        <v>4025</v>
      </c>
      <c r="M605" s="24">
        <v>79999.38</v>
      </c>
      <c r="O605" s="24">
        <v>127079.13</v>
      </c>
      <c r="Q605" s="24">
        <v>236836.05</v>
      </c>
      <c r="S605" s="24">
        <v>297111.81</v>
      </c>
      <c r="U605" s="24">
        <v>0</v>
      </c>
      <c r="W605" s="24">
        <v>0</v>
      </c>
      <c r="Y605" s="24">
        <v>359669.12</v>
      </c>
      <c r="AA605" s="24">
        <v>0</v>
      </c>
      <c r="AC605" s="24">
        <v>4085</v>
      </c>
      <c r="AE605" s="24">
        <f t="shared" si="220"/>
        <v>1520379.2200000002</v>
      </c>
      <c r="AF605" s="24"/>
      <c r="AG605" s="24">
        <v>-98894.29</v>
      </c>
      <c r="AH605" s="24"/>
      <c r="AI605" s="24">
        <v>390240.09</v>
      </c>
      <c r="AJ605" s="24"/>
      <c r="AK605" s="24">
        <v>291345.8</v>
      </c>
      <c r="AL605" s="39">
        <f>+'Gov Rev'!AI604-'Gov Exp'!AE605+'Gov Exp'!AI605-'Gov Exp'!AK605</f>
        <v>0</v>
      </c>
      <c r="AM605" s="15" t="str">
        <f>'Gov Rev'!A604</f>
        <v>Strasburg</v>
      </c>
      <c r="AN605" s="15" t="str">
        <f t="shared" si="228"/>
        <v>Strasburg</v>
      </c>
      <c r="AO605" s="15" t="b">
        <f t="shared" si="229"/>
        <v>1</v>
      </c>
    </row>
    <row r="606" spans="1:41" ht="12.75">
      <c r="A606" s="15" t="s">
        <v>424</v>
      </c>
      <c r="C606" s="15" t="s">
        <v>420</v>
      </c>
      <c r="E606" s="92">
        <v>95791.94</v>
      </c>
      <c r="F606" s="92"/>
      <c r="G606" s="92">
        <v>37968.36</v>
      </c>
      <c r="H606" s="92"/>
      <c r="I606" s="92">
        <v>214808.05</v>
      </c>
      <c r="J606" s="92"/>
      <c r="K606" s="92">
        <v>0</v>
      </c>
      <c r="L606" s="92"/>
      <c r="M606" s="92">
        <v>200552.79</v>
      </c>
      <c r="N606" s="92"/>
      <c r="O606" s="92">
        <v>135865.74</v>
      </c>
      <c r="P606" s="92"/>
      <c r="Q606" s="92">
        <v>1204875.64</v>
      </c>
      <c r="R606" s="92"/>
      <c r="S606" s="92">
        <v>275913.95</v>
      </c>
      <c r="T606" s="92"/>
      <c r="U606" s="92">
        <v>82867.5</v>
      </c>
      <c r="V606" s="92"/>
      <c r="W606" s="92">
        <v>0</v>
      </c>
      <c r="X606" s="92"/>
      <c r="Y606" s="92">
        <v>142867.5</v>
      </c>
      <c r="Z606" s="92"/>
      <c r="AA606" s="92">
        <v>0</v>
      </c>
      <c r="AB606" s="92"/>
      <c r="AC606" s="92">
        <v>0</v>
      </c>
      <c r="AD606" s="92"/>
      <c r="AE606" s="92">
        <f aca="true" t="shared" si="244" ref="AE606">SUM(E606:AC606)</f>
        <v>2391511.47</v>
      </c>
      <c r="AF606" s="24"/>
      <c r="AG606" s="24">
        <v>-345960.79</v>
      </c>
      <c r="AH606" s="24"/>
      <c r="AI606" s="24">
        <v>2403741.05</v>
      </c>
      <c r="AJ606" s="24"/>
      <c r="AK606" s="24">
        <v>2057780.26</v>
      </c>
      <c r="AL606" s="39">
        <f>+'Gov Rev'!AI605-'Gov Exp'!AE606+'Gov Exp'!AI606-'Gov Exp'!AK606</f>
        <v>0</v>
      </c>
      <c r="AM606" s="15" t="str">
        <f>'Gov Rev'!A605</f>
        <v>Stratton</v>
      </c>
      <c r="AN606" s="15" t="str">
        <f aca="true" t="shared" si="245" ref="AN606">A606</f>
        <v>Stratton</v>
      </c>
      <c r="AO606" s="15" t="b">
        <f aca="true" t="shared" si="246" ref="AO606">AM606=AN606</f>
        <v>1</v>
      </c>
    </row>
    <row r="607" spans="1:41" s="31" customFormat="1" ht="12.6" customHeight="1">
      <c r="A607" s="15"/>
      <c r="B607" s="15"/>
      <c r="C607" s="15"/>
      <c r="D607" s="15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83" t="s">
        <v>864</v>
      </c>
      <c r="AF607" s="24"/>
      <c r="AG607" s="24"/>
      <c r="AH607" s="24"/>
      <c r="AI607" s="24"/>
      <c r="AJ607" s="24"/>
      <c r="AK607" s="24"/>
      <c r="AL607" s="39"/>
      <c r="AM607" s="15"/>
      <c r="AN607" s="15"/>
      <c r="AO607" s="15"/>
    </row>
    <row r="608" spans="1:41" ht="12.75">
      <c r="A608" s="15" t="s">
        <v>600</v>
      </c>
      <c r="C608" s="15" t="s">
        <v>598</v>
      </c>
      <c r="E608" s="94">
        <v>237664.59</v>
      </c>
      <c r="F608" s="94"/>
      <c r="G608" s="94">
        <v>8675.91</v>
      </c>
      <c r="H608" s="94"/>
      <c r="I608" s="94">
        <v>4000</v>
      </c>
      <c r="J608" s="94"/>
      <c r="K608" s="94">
        <v>6857</v>
      </c>
      <c r="L608" s="94"/>
      <c r="M608" s="94">
        <v>6641.12</v>
      </c>
      <c r="N608" s="94"/>
      <c r="O608" s="94">
        <v>110367.02</v>
      </c>
      <c r="P608" s="94"/>
      <c r="Q608" s="94">
        <f>233647.39+11489.73</f>
        <v>245137.12000000002</v>
      </c>
      <c r="R608" s="94"/>
      <c r="S608" s="94">
        <f>40949.03+41880.78+61260.45</f>
        <v>144090.26</v>
      </c>
      <c r="T608" s="94"/>
      <c r="U608" s="94">
        <v>80366.01</v>
      </c>
      <c r="V608" s="94"/>
      <c r="W608" s="94">
        <v>0</v>
      </c>
      <c r="X608" s="94"/>
      <c r="Y608" s="94">
        <v>33000</v>
      </c>
      <c r="Z608" s="94"/>
      <c r="AA608" s="94">
        <v>0</v>
      </c>
      <c r="AB608" s="94"/>
      <c r="AC608" s="94">
        <v>0</v>
      </c>
      <c r="AD608" s="94"/>
      <c r="AE608" s="94">
        <f aca="true" t="shared" si="247" ref="AE608:AE676">SUM(E608:AC608)</f>
        <v>876799.03</v>
      </c>
      <c r="AF608" s="24"/>
      <c r="AG608" s="24">
        <f>-154545.51-8298.59+14388.01</f>
        <v>-148456.09</v>
      </c>
      <c r="AH608" s="24"/>
      <c r="AI608" s="24">
        <f>306111.23+138336.45+430990.96</f>
        <v>875438.64</v>
      </c>
      <c r="AJ608" s="24"/>
      <c r="AK608" s="24">
        <f>151565.72+130037.86+445378.97</f>
        <v>726982.55</v>
      </c>
      <c r="AL608" s="39">
        <f>+'Gov Rev'!AI606-'Gov Exp'!AE608+'Gov Exp'!AI608-'Gov Exp'!AK608</f>
        <v>0.2999999999301508</v>
      </c>
      <c r="AM608" s="15" t="str">
        <f>'Gov Rev'!A606</f>
        <v>Stryker</v>
      </c>
      <c r="AN608" s="15" t="str">
        <f t="shared" si="228"/>
        <v>Stryker</v>
      </c>
      <c r="AO608" s="15" t="b">
        <f t="shared" si="229"/>
        <v>1</v>
      </c>
    </row>
    <row r="609" spans="1:41" ht="12.75">
      <c r="A609" s="15" t="s">
        <v>196</v>
      </c>
      <c r="C609" s="15" t="s">
        <v>806</v>
      </c>
      <c r="D609" s="28"/>
      <c r="E609" s="95">
        <v>21546.51</v>
      </c>
      <c r="F609" s="95"/>
      <c r="G609" s="95">
        <v>0</v>
      </c>
      <c r="H609" s="95"/>
      <c r="I609" s="95">
        <v>0</v>
      </c>
      <c r="J609" s="95"/>
      <c r="K609" s="95">
        <v>14580</v>
      </c>
      <c r="L609" s="95"/>
      <c r="M609" s="95">
        <v>25011</v>
      </c>
      <c r="N609" s="95"/>
      <c r="O609" s="95">
        <v>19806</v>
      </c>
      <c r="P609" s="95"/>
      <c r="Q609" s="95">
        <v>28688.84</v>
      </c>
      <c r="R609" s="95"/>
      <c r="S609" s="95">
        <v>0</v>
      </c>
      <c r="T609" s="95"/>
      <c r="U609" s="95">
        <v>0</v>
      </c>
      <c r="V609" s="95"/>
      <c r="W609" s="95">
        <v>0</v>
      </c>
      <c r="X609" s="95"/>
      <c r="Y609" s="95">
        <v>0</v>
      </c>
      <c r="Z609" s="95"/>
      <c r="AA609" s="95">
        <v>0</v>
      </c>
      <c r="AB609" s="95"/>
      <c r="AC609" s="95">
        <v>0</v>
      </c>
      <c r="AD609" s="95"/>
      <c r="AE609" s="95">
        <f aca="true" t="shared" si="248" ref="AE609">SUM(E609:AC609)</f>
        <v>109632.34999999999</v>
      </c>
      <c r="AF609" s="95"/>
      <c r="AG609" s="95">
        <v>22457.53</v>
      </c>
      <c r="AH609" s="95"/>
      <c r="AI609" s="95">
        <v>240933.06</v>
      </c>
      <c r="AJ609" s="95"/>
      <c r="AK609" s="95">
        <v>263390.59</v>
      </c>
      <c r="AL609" s="39">
        <f>+'Gov Rev'!AI607-'Gov Exp'!AE609+'Gov Exp'!AI609-'Gov Exp'!AK609</f>
        <v>0</v>
      </c>
      <c r="AM609" s="15" t="str">
        <f>'Gov Rev'!A607</f>
        <v>Sugar Bush Knolls</v>
      </c>
      <c r="AN609" s="15" t="str">
        <f t="shared" si="228"/>
        <v>Sugar Bush Knolls</v>
      </c>
      <c r="AO609" s="15" t="b">
        <f t="shared" si="229"/>
        <v>1</v>
      </c>
    </row>
    <row r="610" spans="1:41" s="31" customFormat="1" ht="12.75">
      <c r="A610" s="15" t="s">
        <v>66</v>
      </c>
      <c r="B610" s="15"/>
      <c r="C610" s="15" t="s">
        <v>766</v>
      </c>
      <c r="D610" s="28"/>
      <c r="E610" s="36">
        <v>29837.02</v>
      </c>
      <c r="F610" s="36"/>
      <c r="G610" s="36">
        <v>1333.78</v>
      </c>
      <c r="H610" s="36"/>
      <c r="I610" s="36">
        <v>204.33</v>
      </c>
      <c r="J610" s="36"/>
      <c r="K610" s="36">
        <v>0</v>
      </c>
      <c r="L610" s="36"/>
      <c r="M610" s="36">
        <v>0</v>
      </c>
      <c r="N610" s="36"/>
      <c r="O610" s="36">
        <v>16979.96</v>
      </c>
      <c r="P610" s="36"/>
      <c r="Q610" s="36">
        <v>90010.83</v>
      </c>
      <c r="R610" s="36"/>
      <c r="S610" s="36">
        <v>201883.63</v>
      </c>
      <c r="T610" s="36"/>
      <c r="U610" s="36">
        <v>0</v>
      </c>
      <c r="V610" s="36"/>
      <c r="W610" s="36">
        <v>0</v>
      </c>
      <c r="X610" s="36"/>
      <c r="Y610" s="36">
        <v>9031.47</v>
      </c>
      <c r="Z610" s="36"/>
      <c r="AA610" s="36">
        <v>0</v>
      </c>
      <c r="AB610" s="36"/>
      <c r="AC610" s="36">
        <v>0</v>
      </c>
      <c r="AD610" s="36"/>
      <c r="AE610" s="36">
        <f aca="true" t="shared" si="249" ref="AE610">SUM(E610:AC610)</f>
        <v>349281.01999999996</v>
      </c>
      <c r="AF610" s="36"/>
      <c r="AG610" s="36">
        <v>-19943.69</v>
      </c>
      <c r="AH610" s="36"/>
      <c r="AI610" s="36">
        <v>236890.83</v>
      </c>
      <c r="AJ610" s="36"/>
      <c r="AK610" s="36">
        <v>216947.14</v>
      </c>
      <c r="AL610" s="39">
        <f>+'Gov Rev'!AI608-'Gov Exp'!AE610+'Gov Exp'!AI610-'Gov Exp'!AK610</f>
        <v>0</v>
      </c>
      <c r="AM610" s="15" t="str">
        <f>'Gov Rev'!A608</f>
        <v>Sugar Grove</v>
      </c>
      <c r="AN610" s="15" t="str">
        <f t="shared" si="228"/>
        <v>Sugar Grove</v>
      </c>
      <c r="AO610" s="15" t="b">
        <f t="shared" si="229"/>
        <v>1</v>
      </c>
    </row>
    <row r="611" spans="1:41" ht="12.75">
      <c r="A611" s="15" t="s">
        <v>570</v>
      </c>
      <c r="C611" s="15" t="s">
        <v>562</v>
      </c>
      <c r="E611" s="24">
        <v>465250.64</v>
      </c>
      <c r="G611" s="24">
        <v>2209.97</v>
      </c>
      <c r="I611" s="24">
        <v>32001.34</v>
      </c>
      <c r="K611" s="24">
        <v>5544.33</v>
      </c>
      <c r="M611" s="24">
        <v>123186</v>
      </c>
      <c r="O611" s="24">
        <v>274388.21</v>
      </c>
      <c r="Q611" s="24">
        <v>386960.54</v>
      </c>
      <c r="S611" s="24">
        <v>677971.84</v>
      </c>
      <c r="U611" s="24">
        <v>461420.26</v>
      </c>
      <c r="W611" s="24">
        <v>98966.08</v>
      </c>
      <c r="Y611" s="24">
        <v>0</v>
      </c>
      <c r="AA611" s="24">
        <v>0</v>
      </c>
      <c r="AC611" s="24">
        <v>18457.87</v>
      </c>
      <c r="AE611" s="24">
        <f t="shared" si="247"/>
        <v>2546357.08</v>
      </c>
      <c r="AF611" s="24"/>
      <c r="AG611" s="24">
        <v>-33743.88</v>
      </c>
      <c r="AH611" s="24"/>
      <c r="AI611" s="24">
        <v>1807441.31</v>
      </c>
      <c r="AJ611" s="24"/>
      <c r="AK611" s="24">
        <v>1773697.15</v>
      </c>
      <c r="AL611" s="39">
        <f>+'Gov Rev'!AI609-'Gov Exp'!AE611+'Gov Exp'!AI611-'Gov Exp'!AK611</f>
        <v>0.2800000002607703</v>
      </c>
      <c r="AM611" s="15" t="str">
        <f>'Gov Rev'!A609</f>
        <v>Sugarcreek</v>
      </c>
      <c r="AN611" s="15" t="str">
        <f t="shared" si="228"/>
        <v>Sugarcreek</v>
      </c>
      <c r="AO611" s="15" t="b">
        <f t="shared" si="229"/>
        <v>1</v>
      </c>
    </row>
    <row r="612" spans="1:41" ht="12.75">
      <c r="A612" s="15" t="s">
        <v>178</v>
      </c>
      <c r="C612" s="15" t="s">
        <v>801</v>
      </c>
      <c r="D612" s="28"/>
      <c r="E612" s="36">
        <v>9487.63</v>
      </c>
      <c r="F612" s="36"/>
      <c r="G612" s="36">
        <v>0</v>
      </c>
      <c r="H612" s="36"/>
      <c r="I612" s="36">
        <v>4950.65</v>
      </c>
      <c r="J612" s="36"/>
      <c r="K612" s="36">
        <v>0</v>
      </c>
      <c r="L612" s="36"/>
      <c r="M612" s="36">
        <v>812.74</v>
      </c>
      <c r="N612" s="36"/>
      <c r="O612" s="36">
        <v>5988.8</v>
      </c>
      <c r="P612" s="36"/>
      <c r="Q612" s="36">
        <v>22895.88</v>
      </c>
      <c r="R612" s="36"/>
      <c r="S612" s="36">
        <v>0</v>
      </c>
      <c r="T612" s="36"/>
      <c r="U612" s="36">
        <v>0</v>
      </c>
      <c r="V612" s="36"/>
      <c r="W612" s="36">
        <v>0</v>
      </c>
      <c r="X612" s="36"/>
      <c r="Y612" s="36">
        <v>0</v>
      </c>
      <c r="Z612" s="36"/>
      <c r="AA612" s="36">
        <v>0</v>
      </c>
      <c r="AB612" s="36"/>
      <c r="AC612" s="36">
        <v>0</v>
      </c>
      <c r="AD612" s="36"/>
      <c r="AE612" s="36">
        <f aca="true" t="shared" si="250" ref="AE612:AE613">SUM(E612:AC612)</f>
        <v>44135.7</v>
      </c>
      <c r="AF612" s="36"/>
      <c r="AG612" s="36">
        <v>-5221.35</v>
      </c>
      <c r="AH612" s="36"/>
      <c r="AI612" s="36">
        <v>26746.58</v>
      </c>
      <c r="AJ612" s="36"/>
      <c r="AK612" s="36">
        <v>21525.23</v>
      </c>
      <c r="AL612" s="39">
        <f>+'Gov Rev'!AI610-'Gov Exp'!AE612+'Gov Exp'!AI612-'Gov Exp'!AK612</f>
        <v>0</v>
      </c>
      <c r="AM612" s="15" t="str">
        <f>'Gov Rev'!A610</f>
        <v>Summerfield</v>
      </c>
      <c r="AN612" s="15" t="str">
        <f t="shared" si="228"/>
        <v>Summerfield</v>
      </c>
      <c r="AO612" s="15" t="b">
        <f t="shared" si="229"/>
        <v>1</v>
      </c>
    </row>
    <row r="613" spans="1:41" ht="12.6" customHeight="1">
      <c r="A613" s="15" t="s">
        <v>47</v>
      </c>
      <c r="C613" s="15" t="s">
        <v>305</v>
      </c>
      <c r="E613" s="36">
        <v>12801.89</v>
      </c>
      <c r="F613" s="36"/>
      <c r="G613" s="36">
        <v>0</v>
      </c>
      <c r="H613" s="36"/>
      <c r="I613" s="36">
        <v>0</v>
      </c>
      <c r="J613" s="36"/>
      <c r="K613" s="36">
        <v>4097</v>
      </c>
      <c r="L613" s="36"/>
      <c r="M613" s="36">
        <v>4370.99</v>
      </c>
      <c r="N613" s="36"/>
      <c r="O613" s="36">
        <v>6694.96</v>
      </c>
      <c r="P613" s="36"/>
      <c r="Q613" s="36">
        <v>10544.54</v>
      </c>
      <c r="R613" s="36"/>
      <c r="S613" s="36">
        <v>0</v>
      </c>
      <c r="T613" s="36"/>
      <c r="U613" s="36">
        <v>0</v>
      </c>
      <c r="V613" s="36"/>
      <c r="W613" s="36">
        <v>0</v>
      </c>
      <c r="X613" s="36"/>
      <c r="Y613" s="36">
        <v>0</v>
      </c>
      <c r="Z613" s="36"/>
      <c r="AA613" s="36">
        <v>0</v>
      </c>
      <c r="AB613" s="36"/>
      <c r="AC613" s="36">
        <v>0</v>
      </c>
      <c r="AD613" s="36"/>
      <c r="AE613" s="36">
        <f t="shared" si="250"/>
        <v>38509.38</v>
      </c>
      <c r="AF613" s="36"/>
      <c r="AG613" s="36">
        <v>-8305.31</v>
      </c>
      <c r="AH613" s="36"/>
      <c r="AI613" s="36">
        <v>29083.17</v>
      </c>
      <c r="AJ613" s="36"/>
      <c r="AK613" s="36">
        <v>20777.86</v>
      </c>
      <c r="AL613" s="39">
        <f>+'Gov Rev'!AI611-'Gov Exp'!AE613+'Gov Exp'!AI613-'Gov Exp'!AK613</f>
        <v>0</v>
      </c>
      <c r="AM613" s="15" t="str">
        <f>'Gov Rev'!A611</f>
        <v>Summitville</v>
      </c>
      <c r="AN613" s="15" t="str">
        <f t="shared" si="228"/>
        <v>Summitville</v>
      </c>
      <c r="AO613" s="15" t="b">
        <f t="shared" si="229"/>
        <v>1</v>
      </c>
    </row>
    <row r="614" spans="1:41" s="31" customFormat="1" ht="12.6" customHeight="1">
      <c r="A614" s="15" t="s">
        <v>346</v>
      </c>
      <c r="B614" s="15"/>
      <c r="C614" s="15" t="s">
        <v>343</v>
      </c>
      <c r="D614" s="15"/>
      <c r="E614" s="24">
        <v>1064182</v>
      </c>
      <c r="F614" s="24"/>
      <c r="G614" s="24">
        <v>43003</v>
      </c>
      <c r="H614" s="24"/>
      <c r="I614" s="24">
        <v>0</v>
      </c>
      <c r="J614" s="24"/>
      <c r="K614" s="24">
        <v>279838</v>
      </c>
      <c r="L614" s="24"/>
      <c r="M614" s="24">
        <v>0</v>
      </c>
      <c r="N614" s="24"/>
      <c r="O614" s="24">
        <v>636319</v>
      </c>
      <c r="P614" s="24"/>
      <c r="Q614" s="24">
        <v>1457658</v>
      </c>
      <c r="R614" s="24"/>
      <c r="S614" s="24">
        <v>70739</v>
      </c>
      <c r="T614" s="24"/>
      <c r="U614" s="24">
        <v>549400</v>
      </c>
      <c r="V614" s="24"/>
      <c r="W614" s="24">
        <v>26147</v>
      </c>
      <c r="X614" s="24"/>
      <c r="Y614" s="24">
        <v>492793</v>
      </c>
      <c r="Z614" s="24"/>
      <c r="AA614" s="24">
        <v>0</v>
      </c>
      <c r="AB614" s="24"/>
      <c r="AC614" s="24">
        <v>1125166</v>
      </c>
      <c r="AD614" s="24"/>
      <c r="AE614" s="24">
        <f t="shared" si="247"/>
        <v>5745245</v>
      </c>
      <c r="AF614" s="24"/>
      <c r="AG614" s="24">
        <v>390717</v>
      </c>
      <c r="AH614" s="24"/>
      <c r="AI614" s="24">
        <v>2954140</v>
      </c>
      <c r="AJ614" s="24"/>
      <c r="AK614" s="24">
        <v>3344857</v>
      </c>
      <c r="AL614" s="39">
        <f>+'Gov Rev'!AI612-'Gov Exp'!AE614+'Gov Exp'!AI614-'Gov Exp'!AK614</f>
        <v>-2</v>
      </c>
      <c r="AM614" s="15" t="str">
        <f>'Gov Rev'!A612</f>
        <v>Sunbury</v>
      </c>
      <c r="AN614" s="15" t="str">
        <f t="shared" si="228"/>
        <v>Sunbury</v>
      </c>
      <c r="AO614" s="15" t="b">
        <f t="shared" si="229"/>
        <v>1</v>
      </c>
    </row>
    <row r="615" spans="1:41" s="31" customFormat="1" ht="12.75">
      <c r="A615" s="15" t="s">
        <v>362</v>
      </c>
      <c r="B615" s="15"/>
      <c r="C615" s="15" t="s">
        <v>358</v>
      </c>
      <c r="D615" s="15"/>
      <c r="E615" s="96">
        <v>598463.68</v>
      </c>
      <c r="F615" s="96"/>
      <c r="G615" s="96">
        <v>420</v>
      </c>
      <c r="H615" s="96"/>
      <c r="I615" s="96">
        <v>53931.41</v>
      </c>
      <c r="J615" s="96"/>
      <c r="K615" s="96">
        <v>0</v>
      </c>
      <c r="L615" s="96"/>
      <c r="M615" s="96">
        <v>44060.24</v>
      </c>
      <c r="N615" s="96"/>
      <c r="O615" s="96">
        <v>245137.14</v>
      </c>
      <c r="P615" s="96"/>
      <c r="Q615" s="96">
        <v>361222.57</v>
      </c>
      <c r="R615" s="96"/>
      <c r="S615" s="96">
        <v>288891.42</v>
      </c>
      <c r="T615" s="96"/>
      <c r="U615" s="96">
        <v>106374.56</v>
      </c>
      <c r="V615" s="96"/>
      <c r="W615" s="96">
        <v>1225.88</v>
      </c>
      <c r="X615" s="96"/>
      <c r="Y615" s="96">
        <v>425345.94</v>
      </c>
      <c r="Z615" s="96"/>
      <c r="AA615" s="96">
        <v>0</v>
      </c>
      <c r="AB615" s="96"/>
      <c r="AC615" s="96">
        <v>6831.39</v>
      </c>
      <c r="AD615" s="96"/>
      <c r="AE615" s="96">
        <f aca="true" t="shared" si="251" ref="AE615:AE618">SUM(E615:AC615)</f>
        <v>2131904.23</v>
      </c>
      <c r="AF615" s="36"/>
      <c r="AG615" s="36">
        <v>2720842.8</v>
      </c>
      <c r="AH615" s="36"/>
      <c r="AI615" s="36">
        <v>1608520.14</v>
      </c>
      <c r="AJ615" s="36"/>
      <c r="AK615" s="36">
        <v>4329362.94</v>
      </c>
      <c r="AL615" s="39">
        <f>+'Gov Rev'!AI613-'Gov Exp'!AE615+'Gov Exp'!AI615-'Gov Exp'!AK615</f>
        <v>0</v>
      </c>
      <c r="AM615" s="15" t="str">
        <f>'Gov Rev'!A613</f>
        <v>Swanton</v>
      </c>
      <c r="AN615" s="15" t="str">
        <f aca="true" t="shared" si="252" ref="AN615:AN681">A615</f>
        <v>Swanton</v>
      </c>
      <c r="AO615" s="15" t="b">
        <f aca="true" t="shared" si="253" ref="AO615:AO681">AM615=AN615</f>
        <v>1</v>
      </c>
    </row>
    <row r="616" spans="1:41" s="31" customFormat="1" ht="12.75">
      <c r="A616" s="15" t="s">
        <v>266</v>
      </c>
      <c r="B616" s="15"/>
      <c r="C616" s="15" t="s">
        <v>611</v>
      </c>
      <c r="D616" s="15"/>
      <c r="E616" s="36">
        <v>175766.26</v>
      </c>
      <c r="F616" s="36"/>
      <c r="G616" s="36">
        <v>1799.31</v>
      </c>
      <c r="H616" s="36"/>
      <c r="I616" s="36">
        <v>4023.54</v>
      </c>
      <c r="J616" s="36"/>
      <c r="K616" s="36">
        <v>0</v>
      </c>
      <c r="L616" s="36"/>
      <c r="M616" s="36">
        <v>0</v>
      </c>
      <c r="N616" s="36"/>
      <c r="O616" s="36">
        <v>31314.28</v>
      </c>
      <c r="P616" s="36"/>
      <c r="Q616" s="36">
        <v>94009.53</v>
      </c>
      <c r="R616" s="36"/>
      <c r="S616" s="36">
        <v>0</v>
      </c>
      <c r="T616" s="36"/>
      <c r="U616" s="36">
        <v>0</v>
      </c>
      <c r="V616" s="36"/>
      <c r="W616" s="36">
        <v>0</v>
      </c>
      <c r="X616" s="36"/>
      <c r="Y616" s="36">
        <v>113685.77</v>
      </c>
      <c r="Z616" s="36"/>
      <c r="AA616" s="36">
        <v>0</v>
      </c>
      <c r="AB616" s="36"/>
      <c r="AC616" s="36">
        <v>26</v>
      </c>
      <c r="AD616" s="36"/>
      <c r="AE616" s="36">
        <f t="shared" si="251"/>
        <v>420624.69000000006</v>
      </c>
      <c r="AF616" s="36"/>
      <c r="AG616" s="36">
        <v>84289.87</v>
      </c>
      <c r="AH616" s="36"/>
      <c r="AI616" s="36">
        <v>471769.68</v>
      </c>
      <c r="AJ616" s="36"/>
      <c r="AK616" s="36">
        <v>556059.55</v>
      </c>
      <c r="AL616" s="39">
        <f>+'Gov Rev'!AI614-'Gov Exp'!AE616+'Gov Exp'!AI616-'Gov Exp'!AK616</f>
        <v>0</v>
      </c>
      <c r="AM616" s="15" t="str">
        <f>'Gov Rev'!A614</f>
        <v>Sycamore</v>
      </c>
      <c r="AN616" s="15" t="str">
        <f aca="true" t="shared" si="254" ref="AN616">A616</f>
        <v>Sycamore</v>
      </c>
      <c r="AO616" s="15" t="b">
        <f aca="true" t="shared" si="255" ref="AO616">AM616=AN616</f>
        <v>1</v>
      </c>
    </row>
    <row r="617" spans="1:41" ht="12.75">
      <c r="A617" s="15" t="s">
        <v>159</v>
      </c>
      <c r="C617" s="15" t="s">
        <v>793</v>
      </c>
      <c r="D617" s="28"/>
      <c r="E617" s="36">
        <v>94092.44</v>
      </c>
      <c r="F617" s="36"/>
      <c r="G617" s="36">
        <v>0</v>
      </c>
      <c r="H617" s="36"/>
      <c r="I617" s="36">
        <v>27435.83</v>
      </c>
      <c r="J617" s="36"/>
      <c r="K617" s="36">
        <v>0</v>
      </c>
      <c r="L617" s="36"/>
      <c r="M617" s="36">
        <v>0</v>
      </c>
      <c r="N617" s="36"/>
      <c r="O617" s="36">
        <v>38442.14</v>
      </c>
      <c r="P617" s="36"/>
      <c r="Q617" s="36">
        <v>47817.36</v>
      </c>
      <c r="R617" s="36"/>
      <c r="S617" s="36">
        <v>19455.38</v>
      </c>
      <c r="T617" s="36"/>
      <c r="U617" s="36">
        <v>0</v>
      </c>
      <c r="V617" s="36"/>
      <c r="W617" s="36">
        <v>0</v>
      </c>
      <c r="X617" s="36"/>
      <c r="Y617" s="36">
        <v>14700</v>
      </c>
      <c r="Z617" s="36"/>
      <c r="AA617" s="36">
        <v>0</v>
      </c>
      <c r="AB617" s="36"/>
      <c r="AC617" s="36">
        <v>1340</v>
      </c>
      <c r="AD617" s="36"/>
      <c r="AE617" s="36">
        <f t="shared" si="251"/>
        <v>243283.15000000002</v>
      </c>
      <c r="AF617" s="36"/>
      <c r="AG617" s="36">
        <v>8916.93</v>
      </c>
      <c r="AH617" s="36"/>
      <c r="AI617" s="36">
        <v>248785.85</v>
      </c>
      <c r="AJ617" s="36"/>
      <c r="AK617" s="36">
        <v>257702.78</v>
      </c>
      <c r="AL617" s="39">
        <f>+'Gov Rev'!AI615-'Gov Exp'!AE617+'Gov Exp'!AI617-'Gov Exp'!AK617</f>
        <v>0</v>
      </c>
      <c r="AM617" s="15" t="str">
        <f>'Gov Rev'!A615</f>
        <v>Syracuse</v>
      </c>
      <c r="AN617" s="15" t="str">
        <f t="shared" si="252"/>
        <v>Syracuse</v>
      </c>
      <c r="AO617" s="15" t="b">
        <f t="shared" si="253"/>
        <v>1</v>
      </c>
    </row>
    <row r="618" spans="1:41" ht="12.75">
      <c r="A618" s="15" t="s">
        <v>191</v>
      </c>
      <c r="C618" s="15" t="s">
        <v>804</v>
      </c>
      <c r="D618" s="28"/>
      <c r="E618" s="36">
        <v>636.24</v>
      </c>
      <c r="F618" s="36"/>
      <c r="G618" s="36">
        <v>70.35</v>
      </c>
      <c r="H618" s="36"/>
      <c r="I618" s="36">
        <v>2256.43</v>
      </c>
      <c r="J618" s="36"/>
      <c r="K618" s="36">
        <v>0</v>
      </c>
      <c r="L618" s="36"/>
      <c r="M618" s="36">
        <v>107.96</v>
      </c>
      <c r="N618" s="36"/>
      <c r="O618" s="36">
        <v>38732.02</v>
      </c>
      <c r="P618" s="36"/>
      <c r="Q618" s="36">
        <v>28518.31</v>
      </c>
      <c r="R618" s="36"/>
      <c r="S618" s="36">
        <v>0</v>
      </c>
      <c r="T618" s="36"/>
      <c r="U618" s="36">
        <v>5167.12</v>
      </c>
      <c r="V618" s="36"/>
      <c r="W618" s="36">
        <v>1065.68</v>
      </c>
      <c r="X618" s="36"/>
      <c r="Y618" s="36">
        <v>6232.8</v>
      </c>
      <c r="Z618" s="36"/>
      <c r="AA618" s="36">
        <v>0</v>
      </c>
      <c r="AB618" s="36"/>
      <c r="AC618" s="36">
        <v>550</v>
      </c>
      <c r="AD618" s="36"/>
      <c r="AE618" s="36">
        <f t="shared" si="251"/>
        <v>83336.90999999999</v>
      </c>
      <c r="AF618" s="36"/>
      <c r="AG618" s="36">
        <v>-10151.75</v>
      </c>
      <c r="AH618" s="36"/>
      <c r="AI618" s="36">
        <v>71249.57</v>
      </c>
      <c r="AJ618" s="36"/>
      <c r="AK618" s="36">
        <v>61097.82</v>
      </c>
      <c r="AL618" s="39">
        <f>+'Gov Rev'!AI616-'Gov Exp'!AE618+'Gov Exp'!AI618-'Gov Exp'!AK618</f>
        <v>0</v>
      </c>
      <c r="AM618" s="15" t="str">
        <f>'Gov Rev'!A616</f>
        <v>Tarlton</v>
      </c>
      <c r="AN618" s="15" t="str">
        <f t="shared" si="252"/>
        <v>Tarlton</v>
      </c>
      <c r="AO618" s="15" t="b">
        <f t="shared" si="253"/>
        <v>1</v>
      </c>
    </row>
    <row r="619" spans="1:41" s="29" customFormat="1" ht="12.75">
      <c r="A619" s="24" t="s">
        <v>385</v>
      </c>
      <c r="B619" s="24"/>
      <c r="C619" s="24" t="s">
        <v>378</v>
      </c>
      <c r="D619" s="24"/>
      <c r="E619" s="95">
        <v>935357</v>
      </c>
      <c r="F619" s="95"/>
      <c r="G619" s="95">
        <v>0</v>
      </c>
      <c r="H619" s="95"/>
      <c r="I619" s="95">
        <v>1848.42</v>
      </c>
      <c r="J619" s="95"/>
      <c r="K619" s="95">
        <v>24095.29</v>
      </c>
      <c r="L619" s="95"/>
      <c r="M619" s="95">
        <v>121150.11</v>
      </c>
      <c r="N619" s="95"/>
      <c r="O619" s="95">
        <v>231125.76</v>
      </c>
      <c r="P619" s="95"/>
      <c r="Q619" s="95">
        <v>554117.12</v>
      </c>
      <c r="R619" s="95"/>
      <c r="S619" s="95">
        <v>0</v>
      </c>
      <c r="T619" s="95"/>
      <c r="U619" s="95">
        <v>45000</v>
      </c>
      <c r="V619" s="95"/>
      <c r="W619" s="95">
        <v>82581.26</v>
      </c>
      <c r="X619" s="95"/>
      <c r="Y619" s="95">
        <v>0</v>
      </c>
      <c r="Z619" s="95"/>
      <c r="AA619" s="95">
        <v>0</v>
      </c>
      <c r="AB619" s="95"/>
      <c r="AC619" s="95">
        <v>0</v>
      </c>
      <c r="AD619" s="95"/>
      <c r="AE619" s="95">
        <f aca="true" t="shared" si="256" ref="AE619">SUM(E619:AC619)</f>
        <v>1995274.9600000002</v>
      </c>
      <c r="AF619" s="95"/>
      <c r="AG619" s="95">
        <v>80240.66</v>
      </c>
      <c r="AH619" s="95"/>
      <c r="AI619" s="95">
        <v>1642801.66</v>
      </c>
      <c r="AJ619" s="95"/>
      <c r="AK619" s="95">
        <v>1723042.32</v>
      </c>
      <c r="AL619" s="39">
        <f>+'Gov Rev'!AI617-'Gov Exp'!AE619+'Gov Exp'!AI619-'Gov Exp'!AK619</f>
        <v>0</v>
      </c>
      <c r="AM619" s="15" t="str">
        <f>'Gov Rev'!A617</f>
        <v>Terrace Park</v>
      </c>
      <c r="AN619" s="15" t="str">
        <f t="shared" si="252"/>
        <v>Terrace Park</v>
      </c>
      <c r="AO619" s="15" t="b">
        <f t="shared" si="253"/>
        <v>1</v>
      </c>
    </row>
    <row r="620" spans="1:41" ht="12.75">
      <c r="A620" s="15" t="s">
        <v>504</v>
      </c>
      <c r="C620" s="15" t="s">
        <v>501</v>
      </c>
      <c r="E620" s="36">
        <v>71075.21</v>
      </c>
      <c r="F620" s="36"/>
      <c r="G620" s="36">
        <v>291</v>
      </c>
      <c r="H620" s="36"/>
      <c r="I620" s="36">
        <v>8944.68</v>
      </c>
      <c r="J620" s="36"/>
      <c r="K620" s="36">
        <v>8880.53</v>
      </c>
      <c r="L620" s="36"/>
      <c r="M620" s="36">
        <v>2532.08</v>
      </c>
      <c r="N620" s="36"/>
      <c r="O620" s="36">
        <v>68333.78</v>
      </c>
      <c r="P620" s="36"/>
      <c r="Q620" s="36">
        <v>86485.11</v>
      </c>
      <c r="R620" s="36"/>
      <c r="S620" s="36">
        <v>94281.72</v>
      </c>
      <c r="T620" s="36"/>
      <c r="U620" s="36">
        <v>0</v>
      </c>
      <c r="V620" s="36"/>
      <c r="W620" s="36">
        <v>0</v>
      </c>
      <c r="X620" s="36"/>
      <c r="Y620" s="36">
        <v>0</v>
      </c>
      <c r="Z620" s="36"/>
      <c r="AA620" s="36">
        <v>0</v>
      </c>
      <c r="AB620" s="36"/>
      <c r="AC620" s="36">
        <v>4930.51</v>
      </c>
      <c r="AD620" s="36"/>
      <c r="AE620" s="36">
        <f aca="true" t="shared" si="257" ref="AE620:AE622">SUM(E620:AC620)</f>
        <v>345754.62</v>
      </c>
      <c r="AF620" s="36"/>
      <c r="AG620" s="36">
        <v>154967.89</v>
      </c>
      <c r="AH620" s="36"/>
      <c r="AI620" s="36">
        <v>740440.07</v>
      </c>
      <c r="AJ620" s="36"/>
      <c r="AK620" s="36">
        <v>895407.96</v>
      </c>
      <c r="AL620" s="39">
        <f>+'Gov Rev'!AI618-'Gov Exp'!AE620+'Gov Exp'!AI620-'Gov Exp'!AK620</f>
        <v>0</v>
      </c>
      <c r="AM620" s="15" t="str">
        <f>'Gov Rev'!A618</f>
        <v>Thornville</v>
      </c>
      <c r="AN620" s="15" t="str">
        <f t="shared" si="252"/>
        <v>Thornville</v>
      </c>
      <c r="AO620" s="15" t="b">
        <f t="shared" si="253"/>
        <v>1</v>
      </c>
    </row>
    <row r="621" spans="1:41" s="31" customFormat="1" ht="12.75">
      <c r="A621" s="15" t="s">
        <v>67</v>
      </c>
      <c r="B621" s="15"/>
      <c r="C621" s="15" t="s">
        <v>766</v>
      </c>
      <c r="D621" s="28"/>
      <c r="E621" s="36">
        <v>80996.39</v>
      </c>
      <c r="F621" s="36"/>
      <c r="G621" s="36">
        <v>3578.62</v>
      </c>
      <c r="H621" s="36"/>
      <c r="I621" s="36">
        <v>22.91</v>
      </c>
      <c r="J621" s="36"/>
      <c r="K621" s="36">
        <v>549.63</v>
      </c>
      <c r="L621" s="36"/>
      <c r="M621" s="36">
        <v>16190.99</v>
      </c>
      <c r="N621" s="36"/>
      <c r="O621" s="36">
        <v>8065.55</v>
      </c>
      <c r="P621" s="36"/>
      <c r="Q621" s="36">
        <v>21121.38</v>
      </c>
      <c r="R621" s="36"/>
      <c r="S621" s="36">
        <v>105361.46</v>
      </c>
      <c r="T621" s="36"/>
      <c r="U621" s="36">
        <v>34051.35</v>
      </c>
      <c r="V621" s="36"/>
      <c r="W621" s="36">
        <v>423.75</v>
      </c>
      <c r="X621" s="36"/>
      <c r="Y621" s="36">
        <v>563.97</v>
      </c>
      <c r="Z621" s="36"/>
      <c r="AA621" s="36">
        <v>0</v>
      </c>
      <c r="AB621" s="36"/>
      <c r="AC621" s="36">
        <v>0</v>
      </c>
      <c r="AD621" s="36"/>
      <c r="AE621" s="36">
        <f t="shared" si="257"/>
        <v>270926</v>
      </c>
      <c r="AF621" s="36"/>
      <c r="AG621" s="36">
        <v>-77511.64</v>
      </c>
      <c r="AH621" s="36"/>
      <c r="AI621" s="36">
        <v>212251.78</v>
      </c>
      <c r="AJ621" s="36"/>
      <c r="AK621" s="36">
        <v>134740.14</v>
      </c>
      <c r="AL621" s="39">
        <f>+'Gov Rev'!AI619-'Gov Exp'!AE621+'Gov Exp'!AI621-'Gov Exp'!AK621</f>
        <v>0</v>
      </c>
      <c r="AM621" s="15" t="str">
        <f>'Gov Rev'!A619</f>
        <v>Thurston</v>
      </c>
      <c r="AN621" s="15" t="str">
        <f t="shared" si="252"/>
        <v>Thurston</v>
      </c>
      <c r="AO621" s="15" t="b">
        <f t="shared" si="253"/>
        <v>1</v>
      </c>
    </row>
    <row r="622" spans="1:41" s="31" customFormat="1" ht="12.75">
      <c r="A622" s="15" t="s">
        <v>120</v>
      </c>
      <c r="B622" s="15"/>
      <c r="C622" s="15" t="s">
        <v>781</v>
      </c>
      <c r="D622" s="28"/>
      <c r="E622" s="36">
        <v>158018.84</v>
      </c>
      <c r="F622" s="36"/>
      <c r="G622" s="36">
        <v>2230.22</v>
      </c>
      <c r="H622" s="36"/>
      <c r="I622" s="36">
        <v>998.52</v>
      </c>
      <c r="J622" s="36"/>
      <c r="K622" s="36">
        <v>0</v>
      </c>
      <c r="L622" s="36"/>
      <c r="M622" s="36">
        <v>0</v>
      </c>
      <c r="N622" s="36"/>
      <c r="O622" s="36">
        <v>61472.13</v>
      </c>
      <c r="P622" s="36"/>
      <c r="Q622" s="36">
        <v>58498.9</v>
      </c>
      <c r="R622" s="36"/>
      <c r="S622" s="36">
        <v>0</v>
      </c>
      <c r="T622" s="36"/>
      <c r="U622" s="36">
        <v>39406.17</v>
      </c>
      <c r="V622" s="36"/>
      <c r="W622" s="36">
        <v>5192.56</v>
      </c>
      <c r="X622" s="36"/>
      <c r="Y622" s="36">
        <v>0</v>
      </c>
      <c r="Z622" s="36"/>
      <c r="AA622" s="36">
        <v>0</v>
      </c>
      <c r="AB622" s="36"/>
      <c r="AC622" s="36">
        <v>0</v>
      </c>
      <c r="AD622" s="36"/>
      <c r="AE622" s="36">
        <f t="shared" si="257"/>
        <v>325817.33999999997</v>
      </c>
      <c r="AF622" s="36"/>
      <c r="AG622" s="36">
        <v>-10448.86</v>
      </c>
      <c r="AH622" s="36"/>
      <c r="AI622" s="36">
        <v>199489.7</v>
      </c>
      <c r="AJ622" s="36"/>
      <c r="AK622" s="36">
        <v>189040.84</v>
      </c>
      <c r="AL622" s="39">
        <f>+'Gov Rev'!AI620-'Gov Exp'!AE622+'Gov Exp'!AI622-'Gov Exp'!AK622</f>
        <v>0</v>
      </c>
      <c r="AM622" s="15" t="str">
        <f>'Gov Rev'!A620</f>
        <v>Tiltonsville</v>
      </c>
      <c r="AN622" s="15" t="str">
        <f t="shared" si="252"/>
        <v>Tiltonsville</v>
      </c>
      <c r="AO622" s="15" t="b">
        <f t="shared" si="253"/>
        <v>1</v>
      </c>
    </row>
    <row r="623" spans="1:41" s="31" customFormat="1" ht="12.75">
      <c r="A623" s="15" t="s">
        <v>434</v>
      </c>
      <c r="B623" s="15"/>
      <c r="C623" s="15" t="s">
        <v>430</v>
      </c>
      <c r="D623" s="15"/>
      <c r="E623" s="24">
        <v>263248.37</v>
      </c>
      <c r="F623" s="24"/>
      <c r="G623" s="24">
        <v>6088</v>
      </c>
      <c r="H623" s="24"/>
      <c r="I623" s="24">
        <v>59064.11</v>
      </c>
      <c r="J623" s="24"/>
      <c r="K623" s="24">
        <v>10097.37</v>
      </c>
      <c r="L623" s="24"/>
      <c r="M623" s="24">
        <v>84241.16</v>
      </c>
      <c r="N623" s="24"/>
      <c r="O623" s="24">
        <v>82947.14</v>
      </c>
      <c r="P623" s="24"/>
      <c r="Q623" s="24">
        <v>102162.04</v>
      </c>
      <c r="R623" s="24"/>
      <c r="S623" s="24">
        <v>0</v>
      </c>
      <c r="T623" s="24"/>
      <c r="U623" s="24">
        <v>0</v>
      </c>
      <c r="V623" s="24"/>
      <c r="W623" s="24">
        <v>0</v>
      </c>
      <c r="X623" s="24"/>
      <c r="Y623" s="24">
        <v>37114.75</v>
      </c>
      <c r="Z623" s="24"/>
      <c r="AA623" s="24">
        <v>0</v>
      </c>
      <c r="AB623" s="24"/>
      <c r="AC623" s="24">
        <v>0</v>
      </c>
      <c r="AD623" s="24"/>
      <c r="AE623" s="24">
        <f t="shared" si="247"/>
        <v>644962.9400000001</v>
      </c>
      <c r="AF623" s="24"/>
      <c r="AG623" s="24">
        <f>AK623-AI623</f>
        <v>-86072.23999999999</v>
      </c>
      <c r="AH623" s="24"/>
      <c r="AI623" s="24">
        <f>377182.72+24186.15</f>
        <v>401368.87</v>
      </c>
      <c r="AJ623" s="24"/>
      <c r="AK623" s="24">
        <f>301967.65+13328.98</f>
        <v>315296.63</v>
      </c>
      <c r="AL623" s="39">
        <f>+'Gov Rev'!AI621-'Gov Exp'!AE623+'Gov Exp'!AI623-'Gov Exp'!AK623</f>
        <v>119.91999999980908</v>
      </c>
      <c r="AM623" s="15" t="str">
        <f>'Gov Rev'!A621</f>
        <v>Timberlake</v>
      </c>
      <c r="AN623" s="15" t="str">
        <f t="shared" si="252"/>
        <v>Timberlake</v>
      </c>
      <c r="AO623" s="15" t="b">
        <f t="shared" si="253"/>
        <v>1</v>
      </c>
    </row>
    <row r="624" spans="1:41" s="31" customFormat="1" ht="12.75">
      <c r="A624" s="15" t="s">
        <v>857</v>
      </c>
      <c r="B624" s="15"/>
      <c r="C624" s="15" t="s">
        <v>760</v>
      </c>
      <c r="D624" s="28"/>
      <c r="E624" s="95">
        <v>3657.1</v>
      </c>
      <c r="F624" s="95"/>
      <c r="G624" s="95">
        <v>585.38</v>
      </c>
      <c r="H624" s="95"/>
      <c r="I624" s="95">
        <v>0</v>
      </c>
      <c r="J624" s="95"/>
      <c r="K624" s="95">
        <v>0</v>
      </c>
      <c r="L624" s="95"/>
      <c r="M624" s="95">
        <v>70.09</v>
      </c>
      <c r="N624" s="95"/>
      <c r="O624" s="95">
        <v>13939.35</v>
      </c>
      <c r="P624" s="95"/>
      <c r="Q624" s="95">
        <v>11613.03</v>
      </c>
      <c r="R624" s="95"/>
      <c r="S624" s="95">
        <v>0</v>
      </c>
      <c r="T624" s="95"/>
      <c r="U624" s="95">
        <v>6685.9</v>
      </c>
      <c r="V624" s="95"/>
      <c r="W624" s="95">
        <v>0</v>
      </c>
      <c r="X624" s="95"/>
      <c r="Y624" s="95">
        <v>0</v>
      </c>
      <c r="Z624" s="95"/>
      <c r="AA624" s="95">
        <v>0</v>
      </c>
      <c r="AB624" s="95"/>
      <c r="AC624" s="95">
        <v>0</v>
      </c>
      <c r="AD624" s="95"/>
      <c r="AE624" s="95">
        <f aca="true" t="shared" si="258" ref="AE624">SUM(E624:AC624)</f>
        <v>36550.85</v>
      </c>
      <c r="AF624" s="95"/>
      <c r="AG624" s="95">
        <v>-8664.56</v>
      </c>
      <c r="AH624" s="95"/>
      <c r="AI624" s="95">
        <v>102161.06</v>
      </c>
      <c r="AJ624" s="95"/>
      <c r="AK624" s="95">
        <v>93496.5</v>
      </c>
      <c r="AL624" s="39">
        <f>+'Gov Rev'!AI622-'Gov Exp'!AE624+'Gov Exp'!AI624-'Gov Exp'!AK624</f>
        <v>0</v>
      </c>
      <c r="AM624" s="15" t="str">
        <f>'Gov Rev'!A622</f>
        <v>Tiro</v>
      </c>
      <c r="AN624" s="15" t="str">
        <f t="shared" si="252"/>
        <v>Tiro</v>
      </c>
      <c r="AO624" s="15" t="b">
        <f t="shared" si="253"/>
        <v>1</v>
      </c>
    </row>
    <row r="625" spans="1:41" ht="12.75">
      <c r="A625" s="15" t="s">
        <v>609</v>
      </c>
      <c r="C625" s="15" t="s">
        <v>603</v>
      </c>
      <c r="E625" s="36">
        <v>30540.08</v>
      </c>
      <c r="F625" s="36"/>
      <c r="G625" s="36">
        <v>182</v>
      </c>
      <c r="H625" s="36"/>
      <c r="I625" s="36">
        <v>13078.09</v>
      </c>
      <c r="J625" s="36"/>
      <c r="K625" s="36">
        <v>1385.4</v>
      </c>
      <c r="L625" s="36"/>
      <c r="M625" s="36">
        <v>940.86</v>
      </c>
      <c r="N625" s="36"/>
      <c r="O625" s="36">
        <v>5939.05</v>
      </c>
      <c r="P625" s="36"/>
      <c r="Q625" s="36">
        <v>41645.68</v>
      </c>
      <c r="R625" s="36"/>
      <c r="S625" s="36">
        <v>197584.52</v>
      </c>
      <c r="T625" s="36"/>
      <c r="U625" s="36">
        <v>0</v>
      </c>
      <c r="V625" s="36"/>
      <c r="W625" s="36">
        <v>0</v>
      </c>
      <c r="X625" s="36"/>
      <c r="Y625" s="36">
        <v>0</v>
      </c>
      <c r="Z625" s="36"/>
      <c r="AA625" s="36">
        <v>0</v>
      </c>
      <c r="AB625" s="36"/>
      <c r="AC625" s="36">
        <v>0</v>
      </c>
      <c r="AD625" s="36"/>
      <c r="AE625" s="36">
        <f aca="true" t="shared" si="259" ref="AE625">SUM(E625:AC625)</f>
        <v>291295.68</v>
      </c>
      <c r="AF625" s="36"/>
      <c r="AG625" s="36">
        <v>-9185.31</v>
      </c>
      <c r="AH625" s="36"/>
      <c r="AI625" s="36">
        <v>258626.41</v>
      </c>
      <c r="AJ625" s="36"/>
      <c r="AK625" s="36">
        <v>249441.1</v>
      </c>
      <c r="AL625" s="39">
        <f>+'Gov Rev'!AI624-'Gov Exp'!AE625+'Gov Exp'!AI625-'Gov Exp'!AK625</f>
        <v>0</v>
      </c>
      <c r="AM625" s="15" t="str">
        <f>'Gov Rev'!A624</f>
        <v>Tontogany</v>
      </c>
      <c r="AN625" s="15" t="str">
        <f t="shared" si="252"/>
        <v>Tontogany</v>
      </c>
      <c r="AO625" s="15" t="b">
        <f t="shared" si="253"/>
        <v>1</v>
      </c>
    </row>
    <row r="626" spans="1:41" ht="12.75">
      <c r="A626" s="15" t="s">
        <v>961</v>
      </c>
      <c r="C626" s="15" t="s">
        <v>271</v>
      </c>
      <c r="E626" s="10">
        <v>2704.21</v>
      </c>
      <c r="F626" s="10"/>
      <c r="G626" s="10">
        <v>0</v>
      </c>
      <c r="H626" s="10"/>
      <c r="I626" s="10">
        <v>0</v>
      </c>
      <c r="J626" s="10"/>
      <c r="K626" s="10">
        <v>10848.15</v>
      </c>
      <c r="L626" s="10"/>
      <c r="M626" s="10">
        <v>10418.91</v>
      </c>
      <c r="N626" s="10"/>
      <c r="O626" s="10">
        <v>3356.52</v>
      </c>
      <c r="P626" s="10"/>
      <c r="Q626" s="10">
        <v>56298.04</v>
      </c>
      <c r="R626" s="10"/>
      <c r="S626" s="10">
        <v>0</v>
      </c>
      <c r="T626" s="10"/>
      <c r="U626" s="10">
        <v>0</v>
      </c>
      <c r="V626" s="10"/>
      <c r="W626" s="10">
        <v>0</v>
      </c>
      <c r="Y626" s="24">
        <v>0</v>
      </c>
      <c r="AA626" s="24">
        <v>0</v>
      </c>
      <c r="AC626" s="24">
        <v>0</v>
      </c>
      <c r="AE626" s="24">
        <f t="shared" si="247"/>
        <v>83625.83</v>
      </c>
      <c r="AF626" s="24"/>
      <c r="AG626" s="10">
        <f>AK626-AI626</f>
        <v>2467.31</v>
      </c>
      <c r="AH626" s="10"/>
      <c r="AI626" s="10">
        <v>0</v>
      </c>
      <c r="AJ626" s="10"/>
      <c r="AK626" s="10">
        <v>2467.31</v>
      </c>
      <c r="AL626" s="39">
        <f>+'Gov Rev'!AI625-'Gov Exp'!AE626+'Gov Exp'!AI626-'Gov Exp'!AK626</f>
        <v>1.2278178473934531E-11</v>
      </c>
      <c r="AM626" s="15" t="str">
        <f>'Gov Rev'!A625</f>
        <v>Trimble</v>
      </c>
      <c r="AN626" s="15" t="str">
        <f t="shared" si="252"/>
        <v>Trimble</v>
      </c>
      <c r="AO626" s="15" t="b">
        <f t="shared" si="253"/>
        <v>1</v>
      </c>
    </row>
    <row r="627" spans="1:41" ht="12.75">
      <c r="A627" s="15" t="s">
        <v>562</v>
      </c>
      <c r="C627" s="15" t="s">
        <v>562</v>
      </c>
      <c r="E627" s="36">
        <v>48960.02</v>
      </c>
      <c r="F627" s="36"/>
      <c r="G627" s="36">
        <v>245.04</v>
      </c>
      <c r="H627" s="36"/>
      <c r="I627" s="36">
        <v>32173.24</v>
      </c>
      <c r="J627" s="36"/>
      <c r="K627" s="36">
        <v>6672.61</v>
      </c>
      <c r="L627" s="36"/>
      <c r="M627" s="36">
        <v>35505.2</v>
      </c>
      <c r="N627" s="36"/>
      <c r="O627" s="36">
        <v>149300.26</v>
      </c>
      <c r="P627" s="36"/>
      <c r="Q627" s="36">
        <v>98464.26</v>
      </c>
      <c r="R627" s="36"/>
      <c r="S627" s="36">
        <v>72064.4</v>
      </c>
      <c r="T627" s="36"/>
      <c r="U627" s="36">
        <v>0</v>
      </c>
      <c r="V627" s="36"/>
      <c r="W627" s="36">
        <v>0</v>
      </c>
      <c r="X627" s="36"/>
      <c r="Y627" s="36">
        <v>0</v>
      </c>
      <c r="Z627" s="36"/>
      <c r="AA627" s="36">
        <v>0</v>
      </c>
      <c r="AB627" s="36"/>
      <c r="AC627" s="36">
        <v>0</v>
      </c>
      <c r="AD627" s="36"/>
      <c r="AE627" s="36">
        <f aca="true" t="shared" si="260" ref="AE627">SUM(E627:AC627)</f>
        <v>443385.03</v>
      </c>
      <c r="AF627" s="36"/>
      <c r="AG627" s="36">
        <v>-111722.48</v>
      </c>
      <c r="AH627" s="36"/>
      <c r="AI627" s="36">
        <v>434632.76</v>
      </c>
      <c r="AJ627" s="36"/>
      <c r="AK627" s="36">
        <v>322910.28</v>
      </c>
      <c r="AL627" s="39">
        <f>+'Gov Rev'!AI626-'Gov Exp'!AE627+'Gov Exp'!AI627-'Gov Exp'!AK627</f>
        <v>0</v>
      </c>
      <c r="AM627" s="15" t="str">
        <f>'Gov Rev'!A626</f>
        <v>Tuscarawas</v>
      </c>
      <c r="AN627" s="15" t="str">
        <f t="shared" si="252"/>
        <v>Tuscarawas</v>
      </c>
      <c r="AO627" s="15" t="b">
        <f t="shared" si="253"/>
        <v>1</v>
      </c>
    </row>
    <row r="628" spans="1:41" s="31" customFormat="1" ht="12.6" customHeight="1">
      <c r="A628" s="15" t="s">
        <v>337</v>
      </c>
      <c r="B628" s="15"/>
      <c r="C628" s="15" t="s">
        <v>329</v>
      </c>
      <c r="D628" s="15"/>
      <c r="E628" s="24">
        <v>632108</v>
      </c>
      <c r="F628" s="24"/>
      <c r="G628" s="24">
        <v>4435</v>
      </c>
      <c r="H628" s="24"/>
      <c r="I628" s="24">
        <v>2336</v>
      </c>
      <c r="J628" s="24"/>
      <c r="K628" s="24">
        <v>0</v>
      </c>
      <c r="L628" s="24"/>
      <c r="M628" s="24">
        <v>66339</v>
      </c>
      <c r="N628" s="24"/>
      <c r="O628" s="24">
        <v>67418</v>
      </c>
      <c r="P628" s="24"/>
      <c r="Q628" s="24">
        <v>208736</v>
      </c>
      <c r="R628" s="24"/>
      <c r="S628" s="24">
        <v>0</v>
      </c>
      <c r="T628" s="24"/>
      <c r="U628" s="24">
        <v>82485</v>
      </c>
      <c r="V628" s="24"/>
      <c r="W628" s="24">
        <v>20478</v>
      </c>
      <c r="X628" s="24"/>
      <c r="Y628" s="24">
        <v>102963</v>
      </c>
      <c r="Z628" s="24"/>
      <c r="AA628" s="24">
        <v>0</v>
      </c>
      <c r="AB628" s="24"/>
      <c r="AC628" s="24">
        <v>0</v>
      </c>
      <c r="AD628" s="24"/>
      <c r="AE628" s="24">
        <f t="shared" si="247"/>
        <v>1187298</v>
      </c>
      <c r="AF628" s="24"/>
      <c r="AG628" s="24">
        <v>139887</v>
      </c>
      <c r="AH628" s="24"/>
      <c r="AI628" s="24">
        <v>182948</v>
      </c>
      <c r="AJ628" s="24"/>
      <c r="AK628" s="24">
        <v>322835</v>
      </c>
      <c r="AL628" s="39">
        <f>+'Gov Rev'!AI627-'Gov Exp'!AE628+'Gov Exp'!AI628-'Gov Exp'!AK628</f>
        <v>0</v>
      </c>
      <c r="AM628" s="15" t="str">
        <f>'Gov Rev'!A627</f>
        <v>Union City</v>
      </c>
      <c r="AN628" s="15" t="str">
        <f t="shared" si="252"/>
        <v>Union City</v>
      </c>
      <c r="AO628" s="15" t="b">
        <f t="shared" si="253"/>
        <v>1</v>
      </c>
    </row>
    <row r="629" spans="1:41" ht="12.75">
      <c r="A629" s="15" t="s">
        <v>571</v>
      </c>
      <c r="C629" s="15" t="s">
        <v>572</v>
      </c>
      <c r="E629" s="36">
        <v>2574.52</v>
      </c>
      <c r="F629" s="36"/>
      <c r="G629" s="36">
        <v>0</v>
      </c>
      <c r="H629" s="36"/>
      <c r="I629" s="36">
        <v>1500</v>
      </c>
      <c r="J629" s="36"/>
      <c r="K629" s="36">
        <v>0</v>
      </c>
      <c r="L629" s="36"/>
      <c r="M629" s="36">
        <v>323.47</v>
      </c>
      <c r="N629" s="36"/>
      <c r="O629" s="36">
        <v>5498.05</v>
      </c>
      <c r="P629" s="36"/>
      <c r="Q629" s="36">
        <v>14858.01</v>
      </c>
      <c r="R629" s="36"/>
      <c r="S629" s="36">
        <v>0</v>
      </c>
      <c r="T629" s="36"/>
      <c r="U629" s="36">
        <v>0</v>
      </c>
      <c r="V629" s="36"/>
      <c r="W629" s="36">
        <v>0</v>
      </c>
      <c r="X629" s="36"/>
      <c r="Y629" s="36">
        <v>1000</v>
      </c>
      <c r="Z629" s="36"/>
      <c r="AA629" s="36">
        <v>0</v>
      </c>
      <c r="AB629" s="36"/>
      <c r="AC629" s="36">
        <v>0</v>
      </c>
      <c r="AD629" s="36"/>
      <c r="AE629" s="36">
        <f aca="true" t="shared" si="261" ref="AE629:AE631">SUM(E629:AC629)</f>
        <v>25754.050000000003</v>
      </c>
      <c r="AF629" s="36"/>
      <c r="AG629" s="36">
        <v>7464</v>
      </c>
      <c r="AH629" s="36"/>
      <c r="AI629" s="36">
        <v>86195.46</v>
      </c>
      <c r="AJ629" s="36"/>
      <c r="AK629" s="36">
        <v>93659.46</v>
      </c>
      <c r="AL629" s="39">
        <f>+'Gov Rev'!AI628-'Gov Exp'!AE629+'Gov Exp'!AI629-'Gov Exp'!AK629</f>
        <v>0</v>
      </c>
      <c r="AM629" s="15" t="str">
        <f>'Gov Rev'!A628</f>
        <v>Unionville Center</v>
      </c>
      <c r="AN629" s="15" t="str">
        <f t="shared" si="252"/>
        <v>Unionville Center</v>
      </c>
      <c r="AO629" s="15" t="b">
        <f t="shared" si="253"/>
        <v>1</v>
      </c>
    </row>
    <row r="630" spans="1:41" ht="12.75">
      <c r="A630" s="15" t="s">
        <v>13</v>
      </c>
      <c r="C630" s="15" t="s">
        <v>749</v>
      </c>
      <c r="D630" s="28"/>
      <c r="E630" s="36">
        <v>34951.85</v>
      </c>
      <c r="F630" s="36"/>
      <c r="G630" s="36">
        <v>0</v>
      </c>
      <c r="H630" s="36"/>
      <c r="I630" s="36">
        <v>2643.68</v>
      </c>
      <c r="J630" s="36"/>
      <c r="K630" s="36">
        <v>0</v>
      </c>
      <c r="L630" s="36"/>
      <c r="M630" s="36">
        <v>5606.28</v>
      </c>
      <c r="N630" s="36"/>
      <c r="O630" s="36">
        <v>3389.7</v>
      </c>
      <c r="P630" s="36"/>
      <c r="Q630" s="36">
        <v>65369.54</v>
      </c>
      <c r="R630" s="36"/>
      <c r="S630" s="36">
        <v>0</v>
      </c>
      <c r="T630" s="36"/>
      <c r="U630" s="36">
        <v>2094.6</v>
      </c>
      <c r="V630" s="36"/>
      <c r="W630" s="36">
        <v>0</v>
      </c>
      <c r="X630" s="36"/>
      <c r="Y630" s="36">
        <v>0</v>
      </c>
      <c r="Z630" s="36"/>
      <c r="AA630" s="36">
        <v>0</v>
      </c>
      <c r="AB630" s="36"/>
      <c r="AC630" s="36">
        <v>0</v>
      </c>
      <c r="AD630" s="36"/>
      <c r="AE630" s="36">
        <f t="shared" si="261"/>
        <v>114055.65</v>
      </c>
      <c r="AF630" s="36"/>
      <c r="AG630" s="36">
        <v>-26279.52</v>
      </c>
      <c r="AH630" s="36"/>
      <c r="AI630" s="36">
        <v>191802.88</v>
      </c>
      <c r="AJ630" s="36"/>
      <c r="AK630" s="36">
        <v>165523.36</v>
      </c>
      <c r="AL630" s="39">
        <f>+'Gov Rev'!AI629-'Gov Exp'!AE630+'Gov Exp'!AI630-'Gov Exp'!AK630</f>
        <v>0</v>
      </c>
      <c r="AM630" s="15" t="str">
        <f>'Gov Rev'!A629</f>
        <v>Uniopolis</v>
      </c>
      <c r="AN630" s="15" t="str">
        <f t="shared" si="252"/>
        <v>Uniopolis</v>
      </c>
      <c r="AO630" s="15" t="b">
        <f t="shared" si="253"/>
        <v>1</v>
      </c>
    </row>
    <row r="631" spans="1:41" ht="12.75">
      <c r="A631" s="15" t="s">
        <v>76</v>
      </c>
      <c r="C631" s="15" t="s">
        <v>768</v>
      </c>
      <c r="D631" s="28"/>
      <c r="E631" s="36">
        <v>45296.49</v>
      </c>
      <c r="F631" s="36"/>
      <c r="G631" s="36">
        <v>0</v>
      </c>
      <c r="H631" s="36"/>
      <c r="I631" s="36">
        <v>29189.09</v>
      </c>
      <c r="J631" s="36"/>
      <c r="K631" s="36">
        <v>14762.51</v>
      </c>
      <c r="L631" s="36"/>
      <c r="M631" s="36">
        <v>0</v>
      </c>
      <c r="N631" s="36"/>
      <c r="O631" s="36">
        <v>117657.04</v>
      </c>
      <c r="P631" s="36"/>
      <c r="Q631" s="36">
        <v>348124.37</v>
      </c>
      <c r="R631" s="36"/>
      <c r="S631" s="36">
        <v>0</v>
      </c>
      <c r="T631" s="36"/>
      <c r="U631" s="36">
        <v>0</v>
      </c>
      <c r="V631" s="36"/>
      <c r="W631" s="36">
        <v>0</v>
      </c>
      <c r="X631" s="36"/>
      <c r="Y631" s="36">
        <v>0</v>
      </c>
      <c r="Z631" s="36"/>
      <c r="AA631" s="36">
        <v>0</v>
      </c>
      <c r="AB631" s="36"/>
      <c r="AC631" s="36">
        <v>98312</v>
      </c>
      <c r="AD631" s="36"/>
      <c r="AE631" s="36">
        <f t="shared" si="261"/>
        <v>653341.5</v>
      </c>
      <c r="AF631" s="36"/>
      <c r="AG631" s="36">
        <v>475122.45</v>
      </c>
      <c r="AH631" s="36"/>
      <c r="AI631" s="36">
        <v>1971174.86</v>
      </c>
      <c r="AJ631" s="36"/>
      <c r="AK631" s="36">
        <v>2446297.31</v>
      </c>
      <c r="AL631" s="39">
        <f>+'Gov Rev'!AI630-'Gov Exp'!AE631+'Gov Exp'!AI631-'Gov Exp'!AK631</f>
        <v>0</v>
      </c>
      <c r="AM631" s="15" t="str">
        <f>'Gov Rev'!A630</f>
        <v>Urbancrest</v>
      </c>
      <c r="AN631" s="15" t="str">
        <f t="shared" si="252"/>
        <v>Urbancrest</v>
      </c>
      <c r="AO631" s="15" t="b">
        <f t="shared" si="253"/>
        <v>1</v>
      </c>
    </row>
    <row r="632" spans="1:41" s="31" customFormat="1" ht="12.75">
      <c r="A632" s="15" t="s">
        <v>444</v>
      </c>
      <c r="B632" s="15"/>
      <c r="C632" s="15" t="s">
        <v>439</v>
      </c>
      <c r="D632" s="15"/>
      <c r="E632" s="24">
        <v>367594</v>
      </c>
      <c r="F632" s="24"/>
      <c r="G632" s="24">
        <v>6525</v>
      </c>
      <c r="H632" s="24"/>
      <c r="I632" s="24">
        <v>0</v>
      </c>
      <c r="J632" s="24"/>
      <c r="K632" s="24">
        <v>30536</v>
      </c>
      <c r="L632" s="24"/>
      <c r="M632" s="24">
        <v>2055</v>
      </c>
      <c r="N632" s="24"/>
      <c r="O632" s="24">
        <v>142176</v>
      </c>
      <c r="P632" s="24"/>
      <c r="Q632" s="24">
        <v>851628</v>
      </c>
      <c r="R632" s="24"/>
      <c r="S632" s="24">
        <v>7751</v>
      </c>
      <c r="T632" s="24"/>
      <c r="U632" s="24">
        <v>34700</v>
      </c>
      <c r="V632" s="24"/>
      <c r="W632" s="24">
        <v>0</v>
      </c>
      <c r="X632" s="24"/>
      <c r="Y632" s="24">
        <v>118005</v>
      </c>
      <c r="Z632" s="24"/>
      <c r="AA632" s="24">
        <v>0</v>
      </c>
      <c r="AB632" s="24"/>
      <c r="AC632" s="24">
        <v>0</v>
      </c>
      <c r="AD632" s="24"/>
      <c r="AE632" s="24">
        <f t="shared" si="247"/>
        <v>1560970</v>
      </c>
      <c r="AF632" s="24"/>
      <c r="AG632" s="24">
        <v>168866</v>
      </c>
      <c r="AH632" s="24"/>
      <c r="AI632" s="24">
        <v>297403</v>
      </c>
      <c r="AJ632" s="24"/>
      <c r="AK632" s="24">
        <v>466269</v>
      </c>
      <c r="AL632" s="39">
        <f>+'Gov Rev'!AI631-'Gov Exp'!AE632+'Gov Exp'!AI632-'Gov Exp'!AK632</f>
        <v>100</v>
      </c>
      <c r="AM632" s="15" t="str">
        <f>'Gov Rev'!A631</f>
        <v>Utica</v>
      </c>
      <c r="AN632" s="15" t="str">
        <f t="shared" si="252"/>
        <v>Utica</v>
      </c>
      <c r="AO632" s="15" t="b">
        <f t="shared" si="253"/>
        <v>1</v>
      </c>
    </row>
    <row r="633" spans="1:41" s="31" customFormat="1" ht="12.75">
      <c r="A633" s="15" t="s">
        <v>448</v>
      </c>
      <c r="B633" s="15"/>
      <c r="C633" s="15" t="s">
        <v>446</v>
      </c>
      <c r="D633" s="15"/>
      <c r="E633" s="24">
        <v>0</v>
      </c>
      <c r="F633" s="24"/>
      <c r="G633" s="24">
        <v>0</v>
      </c>
      <c r="H633" s="24"/>
      <c r="I633" s="24">
        <v>0</v>
      </c>
      <c r="J633" s="24"/>
      <c r="K633" s="24">
        <v>0</v>
      </c>
      <c r="L633" s="24"/>
      <c r="M633" s="24">
        <v>0</v>
      </c>
      <c r="N633" s="24"/>
      <c r="O633" s="24">
        <v>16173</v>
      </c>
      <c r="P633" s="24"/>
      <c r="Q633" s="24">
        <v>69423</v>
      </c>
      <c r="R633" s="24"/>
      <c r="S633" s="24">
        <v>0</v>
      </c>
      <c r="T633" s="24"/>
      <c r="U633" s="24">
        <v>0</v>
      </c>
      <c r="V633" s="24"/>
      <c r="W633" s="24">
        <v>0</v>
      </c>
      <c r="X633" s="24"/>
      <c r="Y633" s="24">
        <v>0</v>
      </c>
      <c r="Z633" s="24"/>
      <c r="AA633" s="24">
        <v>0</v>
      </c>
      <c r="AB633" s="24"/>
      <c r="AC633" s="24">
        <v>0</v>
      </c>
      <c r="AD633" s="24"/>
      <c r="AE633" s="24">
        <f t="shared" si="247"/>
        <v>85596</v>
      </c>
      <c r="AF633" s="24"/>
      <c r="AG633" s="24">
        <v>-44853</v>
      </c>
      <c r="AH633" s="24"/>
      <c r="AI633" s="24">
        <v>52667</v>
      </c>
      <c r="AJ633" s="24"/>
      <c r="AK633" s="24">
        <v>7814</v>
      </c>
      <c r="AL633" s="39">
        <f>+'Gov Rev'!AI632-'Gov Exp'!AE633+'Gov Exp'!AI633-'Gov Exp'!AK633</f>
        <v>0</v>
      </c>
      <c r="AM633" s="15" t="str">
        <f>'Gov Rev'!A632</f>
        <v>Valley Hi</v>
      </c>
      <c r="AN633" s="15" t="str">
        <f t="shared" si="252"/>
        <v>Valley Hi</v>
      </c>
      <c r="AO633" s="15" t="b">
        <f t="shared" si="253"/>
        <v>1</v>
      </c>
    </row>
    <row r="634" spans="1:41" s="31" customFormat="1" ht="12.6" customHeight="1">
      <c r="A634" s="15" t="s">
        <v>326</v>
      </c>
      <c r="B634" s="15"/>
      <c r="C634" s="15" t="s">
        <v>316</v>
      </c>
      <c r="D634" s="15"/>
      <c r="E634" s="24">
        <v>4494094</v>
      </c>
      <c r="F634" s="24"/>
      <c r="G634" s="24">
        <v>11559</v>
      </c>
      <c r="H634" s="24"/>
      <c r="I634" s="24">
        <v>645254</v>
      </c>
      <c r="J634" s="24"/>
      <c r="K634" s="24">
        <v>0</v>
      </c>
      <c r="L634" s="24"/>
      <c r="M634" s="24">
        <v>281999</v>
      </c>
      <c r="N634" s="24"/>
      <c r="O634" s="24">
        <v>1252221</v>
      </c>
      <c r="P634" s="24"/>
      <c r="Q634" s="24">
        <v>1779056</v>
      </c>
      <c r="R634" s="24"/>
      <c r="S634" s="24">
        <v>2559535</v>
      </c>
      <c r="T634" s="24"/>
      <c r="U634" s="24">
        <v>550000</v>
      </c>
      <c r="V634" s="24"/>
      <c r="W634" s="24">
        <v>131170</v>
      </c>
      <c r="X634" s="24"/>
      <c r="Y634" s="24">
        <v>861200</v>
      </c>
      <c r="Z634" s="24"/>
      <c r="AA634" s="24">
        <v>92996</v>
      </c>
      <c r="AB634" s="24"/>
      <c r="AC634" s="24">
        <v>0</v>
      </c>
      <c r="AD634" s="24"/>
      <c r="AE634" s="24">
        <f t="shared" si="247"/>
        <v>12659084</v>
      </c>
      <c r="AF634" s="24"/>
      <c r="AG634" s="24">
        <v>1823189</v>
      </c>
      <c r="AH634" s="24"/>
      <c r="AI634" s="24">
        <v>6849950</v>
      </c>
      <c r="AJ634" s="24"/>
      <c r="AK634" s="24">
        <v>8673139</v>
      </c>
      <c r="AL634" s="39">
        <f>+'Gov Rev'!AI633-'Gov Exp'!AE634+'Gov Exp'!AI634-'Gov Exp'!AK634</f>
        <v>0</v>
      </c>
      <c r="AM634" s="15" t="str">
        <f>'Gov Rev'!A633</f>
        <v>Valley View</v>
      </c>
      <c r="AN634" s="15" t="str">
        <f t="shared" si="252"/>
        <v>Valley View</v>
      </c>
      <c r="AO634" s="15" t="b">
        <f t="shared" si="253"/>
        <v>1</v>
      </c>
    </row>
    <row r="635" spans="1:41" s="31" customFormat="1" ht="12.75">
      <c r="A635" s="15" t="s">
        <v>77</v>
      </c>
      <c r="B635" s="15"/>
      <c r="C635" s="15" t="s">
        <v>768</v>
      </c>
      <c r="D635" s="28"/>
      <c r="E635" s="36">
        <v>210278.82</v>
      </c>
      <c r="F635" s="36"/>
      <c r="G635" s="36">
        <v>0</v>
      </c>
      <c r="H635" s="36"/>
      <c r="I635" s="36">
        <v>2660.6</v>
      </c>
      <c r="J635" s="36"/>
      <c r="K635" s="36">
        <v>0</v>
      </c>
      <c r="L635" s="36"/>
      <c r="M635" s="36">
        <v>0</v>
      </c>
      <c r="N635" s="36"/>
      <c r="O635" s="36">
        <v>11468.8</v>
      </c>
      <c r="P635" s="36"/>
      <c r="Q635" s="36">
        <v>112045</v>
      </c>
      <c r="R635" s="36"/>
      <c r="S635" s="36">
        <v>1534.86</v>
      </c>
      <c r="T635" s="36"/>
      <c r="U635" s="36">
        <v>18524.59</v>
      </c>
      <c r="V635" s="36"/>
      <c r="W635" s="36">
        <v>1213.42</v>
      </c>
      <c r="X635" s="36"/>
      <c r="Y635" s="36">
        <v>800</v>
      </c>
      <c r="Z635" s="36"/>
      <c r="AA635" s="36">
        <v>0</v>
      </c>
      <c r="AB635" s="36"/>
      <c r="AC635" s="36">
        <v>0</v>
      </c>
      <c r="AD635" s="36"/>
      <c r="AE635" s="36">
        <f aca="true" t="shared" si="262" ref="AE635">SUM(E635:AC635)</f>
        <v>358526.08999999997</v>
      </c>
      <c r="AF635" s="36"/>
      <c r="AG635" s="36">
        <v>-63032.64</v>
      </c>
      <c r="AH635" s="36"/>
      <c r="AI635" s="36">
        <v>202561.83</v>
      </c>
      <c r="AJ635" s="36"/>
      <c r="AK635" s="36">
        <v>139529.19</v>
      </c>
      <c r="AL635" s="39">
        <f>+'Gov Rev'!AI634-'Gov Exp'!AE635+'Gov Exp'!AI635-'Gov Exp'!AK635</f>
        <v>0</v>
      </c>
      <c r="AM635" s="15" t="str">
        <f>'Gov Rev'!A634</f>
        <v>Valleyview</v>
      </c>
      <c r="AN635" s="15" t="str">
        <f t="shared" si="252"/>
        <v>Valleyview</v>
      </c>
      <c r="AO635" s="15" t="b">
        <f t="shared" si="253"/>
        <v>1</v>
      </c>
    </row>
    <row r="636" spans="1:41" s="31" customFormat="1" ht="12.75">
      <c r="A636" s="15" t="s">
        <v>393</v>
      </c>
      <c r="B636" s="15"/>
      <c r="C636" s="15" t="s">
        <v>388</v>
      </c>
      <c r="D636" s="15"/>
      <c r="E636" s="95">
        <v>13760.47</v>
      </c>
      <c r="F636" s="95"/>
      <c r="G636" s="95">
        <v>1984.16</v>
      </c>
      <c r="H636" s="95"/>
      <c r="I636" s="95">
        <v>379.71</v>
      </c>
      <c r="J636" s="95"/>
      <c r="K636" s="95">
        <v>3435</v>
      </c>
      <c r="L636" s="95"/>
      <c r="M636" s="95">
        <v>952</v>
      </c>
      <c r="N636" s="95"/>
      <c r="O636" s="95">
        <v>26942.8</v>
      </c>
      <c r="P636" s="95"/>
      <c r="Q636" s="95">
        <v>30473.39</v>
      </c>
      <c r="R636" s="95"/>
      <c r="S636" s="95">
        <v>18763.63</v>
      </c>
      <c r="T636" s="95"/>
      <c r="U636" s="95">
        <v>89075.42</v>
      </c>
      <c r="V636" s="95"/>
      <c r="W636" s="95">
        <v>92562.93</v>
      </c>
      <c r="X636" s="95"/>
      <c r="Y636" s="95">
        <v>0</v>
      </c>
      <c r="Z636" s="95"/>
      <c r="AA636" s="95">
        <v>0</v>
      </c>
      <c r="AB636" s="95"/>
      <c r="AC636" s="95">
        <v>0</v>
      </c>
      <c r="AD636" s="95"/>
      <c r="AE636" s="95">
        <f aca="true" t="shared" si="263" ref="AE636:AE637">SUM(E636:AC636)</f>
        <v>278329.51</v>
      </c>
      <c r="AF636" s="95"/>
      <c r="AG636" s="95">
        <v>12362.86</v>
      </c>
      <c r="AH636" s="95"/>
      <c r="AI636" s="95">
        <v>386811.88</v>
      </c>
      <c r="AJ636" s="95"/>
      <c r="AK636" s="95">
        <v>399174.74</v>
      </c>
      <c r="AL636" s="39">
        <f>+'Gov Rev'!AI635-'Gov Exp'!AE636+'Gov Exp'!AI636-'Gov Exp'!AK636</f>
        <v>0</v>
      </c>
      <c r="AM636" s="15" t="str">
        <f>'Gov Rev'!A635</f>
        <v>Van Buren</v>
      </c>
      <c r="AN636" s="15" t="str">
        <f t="shared" si="252"/>
        <v>Van Buren</v>
      </c>
      <c r="AO636" s="15" t="b">
        <f t="shared" si="253"/>
        <v>1</v>
      </c>
    </row>
    <row r="637" spans="1:41" s="31" customFormat="1" ht="12.75">
      <c r="A637" s="15" t="s">
        <v>394</v>
      </c>
      <c r="B637" s="15"/>
      <c r="C637" s="15" t="s">
        <v>388</v>
      </c>
      <c r="D637" s="15"/>
      <c r="E637" s="95">
        <v>16277.95</v>
      </c>
      <c r="F637" s="95"/>
      <c r="G637" s="95">
        <v>1817.84</v>
      </c>
      <c r="H637" s="95"/>
      <c r="I637" s="95">
        <v>4074.43</v>
      </c>
      <c r="J637" s="95"/>
      <c r="K637" s="95">
        <v>182.9</v>
      </c>
      <c r="L637" s="95"/>
      <c r="M637" s="95">
        <v>0</v>
      </c>
      <c r="N637" s="95"/>
      <c r="O637" s="95">
        <v>33660.45</v>
      </c>
      <c r="P637" s="95"/>
      <c r="Q637" s="95">
        <v>39906.98</v>
      </c>
      <c r="R637" s="95"/>
      <c r="S637" s="95">
        <v>0</v>
      </c>
      <c r="T637" s="95"/>
      <c r="U637" s="95">
        <v>1000</v>
      </c>
      <c r="V637" s="95"/>
      <c r="W637" s="95">
        <v>1782.81</v>
      </c>
      <c r="X637" s="95"/>
      <c r="Y637" s="95">
        <v>0</v>
      </c>
      <c r="Z637" s="95"/>
      <c r="AA637" s="95">
        <v>0</v>
      </c>
      <c r="AB637" s="95"/>
      <c r="AC637" s="95">
        <v>5113.47</v>
      </c>
      <c r="AD637" s="95"/>
      <c r="AE637" s="95">
        <f t="shared" si="263"/>
        <v>103816.83</v>
      </c>
      <c r="AF637" s="95"/>
      <c r="AG637" s="95">
        <v>-10391.58</v>
      </c>
      <c r="AH637" s="95"/>
      <c r="AI637" s="95">
        <v>152626.41</v>
      </c>
      <c r="AJ637" s="95"/>
      <c r="AK637" s="95">
        <v>142234.83</v>
      </c>
      <c r="AL637" s="39">
        <f>+'Gov Rev'!AI636-'Gov Exp'!AE637+'Gov Exp'!AI637-'Gov Exp'!AK637</f>
        <v>0</v>
      </c>
      <c r="AM637" s="15" t="str">
        <f>'Gov Rev'!A636</f>
        <v>Vanlue</v>
      </c>
      <c r="AN637" s="15" t="str">
        <f t="shared" si="252"/>
        <v>Vanlue</v>
      </c>
      <c r="AO637" s="15" t="b">
        <f t="shared" si="253"/>
        <v>1</v>
      </c>
    </row>
    <row r="638" spans="1:41" ht="12.75">
      <c r="A638" s="15" t="s">
        <v>577</v>
      </c>
      <c r="C638" s="15" t="s">
        <v>574</v>
      </c>
      <c r="E638" s="36">
        <v>5292.59</v>
      </c>
      <c r="F638" s="36"/>
      <c r="G638" s="36">
        <v>438.13</v>
      </c>
      <c r="H638" s="36"/>
      <c r="I638" s="36">
        <v>936.7</v>
      </c>
      <c r="J638" s="36"/>
      <c r="K638" s="36">
        <v>0</v>
      </c>
      <c r="L638" s="36"/>
      <c r="M638" s="36">
        <v>0</v>
      </c>
      <c r="N638" s="36"/>
      <c r="O638" s="36">
        <v>4258.71</v>
      </c>
      <c r="P638" s="36"/>
      <c r="Q638" s="36">
        <v>13900.45</v>
      </c>
      <c r="R638" s="36"/>
      <c r="S638" s="36">
        <v>500</v>
      </c>
      <c r="T638" s="36"/>
      <c r="U638" s="36">
        <v>0</v>
      </c>
      <c r="V638" s="36"/>
      <c r="W638" s="36">
        <v>0</v>
      </c>
      <c r="X638" s="36"/>
      <c r="Y638" s="36">
        <v>0</v>
      </c>
      <c r="Z638" s="36"/>
      <c r="AA638" s="36">
        <v>0</v>
      </c>
      <c r="AB638" s="36"/>
      <c r="AC638" s="36">
        <v>0</v>
      </c>
      <c r="AD638" s="36"/>
      <c r="AE638" s="36">
        <f aca="true" t="shared" si="264" ref="AE638">SUM(E638:AC638)</f>
        <v>25326.58</v>
      </c>
      <c r="AF638" s="36"/>
      <c r="AG638" s="36">
        <v>1777.04</v>
      </c>
      <c r="AH638" s="36"/>
      <c r="AI638" s="36">
        <v>80575.6</v>
      </c>
      <c r="AJ638" s="36"/>
      <c r="AK638" s="36">
        <v>82352.64</v>
      </c>
      <c r="AL638" s="39">
        <f>+'Gov Rev'!AI637-'Gov Exp'!AE638+'Gov Exp'!AI638-'Gov Exp'!AK638</f>
        <v>0</v>
      </c>
      <c r="AM638" s="15" t="str">
        <f>'Gov Rev'!A637</f>
        <v>Venedocia</v>
      </c>
      <c r="AN638" s="15" t="str">
        <f t="shared" si="252"/>
        <v>Venedocia</v>
      </c>
      <c r="AO638" s="15" t="b">
        <f t="shared" si="253"/>
        <v>1</v>
      </c>
    </row>
    <row r="639" spans="1:41" ht="12.75">
      <c r="A639" s="15" t="s">
        <v>512</v>
      </c>
      <c r="C639" s="15" t="s">
        <v>510</v>
      </c>
      <c r="E639" s="24">
        <v>28487.7</v>
      </c>
      <c r="G639" s="24">
        <v>0</v>
      </c>
      <c r="I639" s="24">
        <v>542.86</v>
      </c>
      <c r="K639" s="24">
        <v>1202.57</v>
      </c>
      <c r="M639" s="24">
        <v>0</v>
      </c>
      <c r="O639" s="24">
        <v>0</v>
      </c>
      <c r="Q639" s="24">
        <v>592927.99</v>
      </c>
      <c r="S639" s="24">
        <v>175448.35</v>
      </c>
      <c r="U639" s="24">
        <v>0</v>
      </c>
      <c r="W639" s="24">
        <v>0</v>
      </c>
      <c r="Y639" s="24">
        <v>91451.85</v>
      </c>
      <c r="AA639" s="24">
        <v>0</v>
      </c>
      <c r="AC639" s="24">
        <v>2902.55</v>
      </c>
      <c r="AE639" s="24">
        <f t="shared" si="247"/>
        <v>892963.87</v>
      </c>
      <c r="AF639" s="24"/>
      <c r="AG639" s="24">
        <f>AK639-AI639</f>
        <v>-66889.45000000001</v>
      </c>
      <c r="AH639" s="24"/>
      <c r="AI639" s="24">
        <v>484265.83</v>
      </c>
      <c r="AJ639" s="24"/>
      <c r="AK639" s="24">
        <v>417376.38</v>
      </c>
      <c r="AL639" s="39">
        <f>+'Gov Rev'!AI638-'Gov Exp'!AE639+'Gov Exp'!AI639-'Gov Exp'!AK639</f>
        <v>0.5000000000582077</v>
      </c>
      <c r="AM639" s="15" t="str">
        <f>'Gov Rev'!A638</f>
        <v>Verona</v>
      </c>
      <c r="AN639" s="15" t="str">
        <f t="shared" si="252"/>
        <v>Verona</v>
      </c>
      <c r="AO639" s="15" t="b">
        <f t="shared" si="253"/>
        <v>1</v>
      </c>
    </row>
    <row r="640" spans="1:41" ht="12.6" customHeight="1">
      <c r="A640" s="15" t="s">
        <v>338</v>
      </c>
      <c r="C640" s="15" t="s">
        <v>329</v>
      </c>
      <c r="E640" s="24">
        <v>775513</v>
      </c>
      <c r="G640" s="24">
        <v>35605</v>
      </c>
      <c r="I640" s="24">
        <v>63223</v>
      </c>
      <c r="K640" s="24">
        <v>20375</v>
      </c>
      <c r="M640" s="24">
        <v>183227</v>
      </c>
      <c r="O640" s="24">
        <v>387803</v>
      </c>
      <c r="Q640" s="24">
        <v>180312</v>
      </c>
      <c r="S640" s="24">
        <v>3167510</v>
      </c>
      <c r="U640" s="24">
        <v>511668</v>
      </c>
      <c r="W640" s="24">
        <v>308076</v>
      </c>
      <c r="Y640" s="24">
        <v>1061535</v>
      </c>
      <c r="AA640" s="24">
        <v>0</v>
      </c>
      <c r="AC640" s="24">
        <v>0</v>
      </c>
      <c r="AE640" s="24">
        <f t="shared" si="247"/>
        <v>6694847</v>
      </c>
      <c r="AF640" s="24"/>
      <c r="AG640" s="24">
        <v>-382832</v>
      </c>
      <c r="AH640" s="24"/>
      <c r="AI640" s="24">
        <v>6358616</v>
      </c>
      <c r="AJ640" s="24"/>
      <c r="AK640" s="24">
        <v>5975784</v>
      </c>
      <c r="AL640" s="39">
        <f>+'Gov Rev'!AI639-'Gov Exp'!AE640+'Gov Exp'!AI640-'Gov Exp'!AK640</f>
        <v>-1</v>
      </c>
      <c r="AM640" s="15" t="str">
        <f>'Gov Rev'!A639</f>
        <v>Versailles</v>
      </c>
      <c r="AN640" s="15" t="str">
        <f t="shared" si="252"/>
        <v>Versailles</v>
      </c>
      <c r="AO640" s="15" t="b">
        <f t="shared" si="253"/>
        <v>1</v>
      </c>
    </row>
    <row r="641" spans="1:41" ht="12.75">
      <c r="A641" s="15" t="s">
        <v>82</v>
      </c>
      <c r="C641" s="15" t="s">
        <v>770</v>
      </c>
      <c r="D641" s="28"/>
      <c r="E641" s="36">
        <v>22527.54</v>
      </c>
      <c r="F641" s="36"/>
      <c r="G641" s="36">
        <v>35064.77</v>
      </c>
      <c r="H641" s="36"/>
      <c r="I641" s="36">
        <v>21346.4</v>
      </c>
      <c r="J641" s="36"/>
      <c r="K641" s="36">
        <v>0</v>
      </c>
      <c r="L641" s="36"/>
      <c r="M641" s="36">
        <v>3885.12</v>
      </c>
      <c r="N641" s="36"/>
      <c r="O641" s="36">
        <v>57970.67</v>
      </c>
      <c r="P641" s="36"/>
      <c r="Q641" s="36">
        <v>27787.23</v>
      </c>
      <c r="R641" s="36"/>
      <c r="S641" s="36">
        <v>3795.69</v>
      </c>
      <c r="T641" s="36"/>
      <c r="U641" s="36">
        <v>0</v>
      </c>
      <c r="V641" s="36"/>
      <c r="W641" s="36">
        <v>0</v>
      </c>
      <c r="X641" s="36"/>
      <c r="Y641" s="36">
        <v>10000</v>
      </c>
      <c r="Z641" s="36"/>
      <c r="AA641" s="36">
        <v>0</v>
      </c>
      <c r="AB641" s="36"/>
      <c r="AC641" s="36">
        <v>0</v>
      </c>
      <c r="AD641" s="36"/>
      <c r="AE641" s="36">
        <f aca="true" t="shared" si="265" ref="AE641">SUM(E641:AC641)</f>
        <v>182377.42</v>
      </c>
      <c r="AF641" s="36"/>
      <c r="AG641" s="36">
        <v>38302.56</v>
      </c>
      <c r="AH641" s="36"/>
      <c r="AI641" s="36">
        <v>9907.8</v>
      </c>
      <c r="AJ641" s="36"/>
      <c r="AK641" s="36">
        <v>48210.36</v>
      </c>
      <c r="AL641" s="39">
        <f>+'Gov Rev'!AI640-'Gov Exp'!AE641+'Gov Exp'!AI641-'Gov Exp'!AK641</f>
        <v>0</v>
      </c>
      <c r="AM641" s="15" t="str">
        <f>'Gov Rev'!A640</f>
        <v>Vinton</v>
      </c>
      <c r="AN641" s="15" t="str">
        <f t="shared" si="252"/>
        <v>Vinton</v>
      </c>
      <c r="AO641" s="15" t="b">
        <f t="shared" si="253"/>
        <v>1</v>
      </c>
    </row>
    <row r="642" spans="1:41" s="31" customFormat="1" ht="12.75">
      <c r="A642" s="15" t="s">
        <v>435</v>
      </c>
      <c r="B642" s="15"/>
      <c r="C642" s="15" t="s">
        <v>430</v>
      </c>
      <c r="D642" s="15"/>
      <c r="E642" s="24">
        <v>705512</v>
      </c>
      <c r="F642" s="24"/>
      <c r="G642" s="24">
        <v>15192</v>
      </c>
      <c r="H642" s="24"/>
      <c r="I642" s="24">
        <v>0</v>
      </c>
      <c r="J642" s="24"/>
      <c r="K642" s="24">
        <v>21274</v>
      </c>
      <c r="L642" s="24"/>
      <c r="M642" s="24">
        <v>35192</v>
      </c>
      <c r="N642" s="24"/>
      <c r="O642" s="24">
        <v>340682</v>
      </c>
      <c r="P642" s="24"/>
      <c r="Q642" s="24">
        <v>239928</v>
      </c>
      <c r="R642" s="24"/>
      <c r="S642" s="24">
        <v>785777</v>
      </c>
      <c r="T642" s="24"/>
      <c r="U642" s="24">
        <v>0</v>
      </c>
      <c r="V642" s="24"/>
      <c r="W642" s="24">
        <v>77714</v>
      </c>
      <c r="X642" s="24"/>
      <c r="Y642" s="24">
        <v>277750</v>
      </c>
      <c r="Z642" s="24"/>
      <c r="AA642" s="24">
        <v>0</v>
      </c>
      <c r="AB642" s="24"/>
      <c r="AC642" s="24">
        <v>0</v>
      </c>
      <c r="AD642" s="24"/>
      <c r="AE642" s="24">
        <f t="shared" si="247"/>
        <v>2499021</v>
      </c>
      <c r="AF642" s="24"/>
      <c r="AG642" s="24">
        <v>195909</v>
      </c>
      <c r="AH642" s="24"/>
      <c r="AI642" s="24">
        <v>10858917</v>
      </c>
      <c r="AJ642" s="24"/>
      <c r="AK642" s="24">
        <v>11054826</v>
      </c>
      <c r="AL642" s="39">
        <f>+'Gov Rev'!AI641-'Gov Exp'!AE642+'Gov Exp'!AI642-'Gov Exp'!AK642</f>
        <v>0</v>
      </c>
      <c r="AM642" s="15" t="str">
        <f>'Gov Rev'!A641</f>
        <v>Waite Hill</v>
      </c>
      <c r="AN642" s="15" t="str">
        <f t="shared" si="252"/>
        <v>Waite Hill</v>
      </c>
      <c r="AO642" s="15" t="b">
        <f t="shared" si="253"/>
        <v>1</v>
      </c>
    </row>
    <row r="643" spans="1:41" s="24" customFormat="1" ht="12.75">
      <c r="A643" s="24" t="s">
        <v>419</v>
      </c>
      <c r="C643" s="24" t="s">
        <v>416</v>
      </c>
      <c r="E643" s="36">
        <v>156449.87</v>
      </c>
      <c r="F643" s="36"/>
      <c r="G643" s="36">
        <v>1069.38</v>
      </c>
      <c r="H643" s="36"/>
      <c r="I643" s="36">
        <v>20618.84</v>
      </c>
      <c r="J643" s="36"/>
      <c r="K643" s="36">
        <v>1459.88</v>
      </c>
      <c r="L643" s="36"/>
      <c r="M643" s="36">
        <v>3514.64</v>
      </c>
      <c r="N643" s="36"/>
      <c r="O643" s="36">
        <v>93224.03</v>
      </c>
      <c r="P643" s="36"/>
      <c r="Q643" s="36">
        <v>108728.17</v>
      </c>
      <c r="R643" s="36"/>
      <c r="S643" s="36">
        <v>102992.79</v>
      </c>
      <c r="T643" s="36"/>
      <c r="U643" s="36">
        <v>579.9</v>
      </c>
      <c r="V643" s="36"/>
      <c r="W643" s="36">
        <v>0</v>
      </c>
      <c r="X643" s="36"/>
      <c r="Y643" s="36">
        <v>63500</v>
      </c>
      <c r="Z643" s="36"/>
      <c r="AA643" s="36">
        <v>0</v>
      </c>
      <c r="AB643" s="36"/>
      <c r="AC643" s="36">
        <v>0</v>
      </c>
      <c r="AD643" s="36"/>
      <c r="AE643" s="36">
        <f aca="true" t="shared" si="266" ref="AE643:AE645">SUM(E643:AC643)</f>
        <v>552137.5</v>
      </c>
      <c r="AF643" s="36"/>
      <c r="AG643" s="36">
        <v>59451.26</v>
      </c>
      <c r="AH643" s="36"/>
      <c r="AI643" s="36">
        <v>451944.94</v>
      </c>
      <c r="AJ643" s="36"/>
      <c r="AK643" s="36">
        <v>511396.2</v>
      </c>
      <c r="AL643" s="39">
        <f>+'Gov Rev'!AI642-'Gov Exp'!AE643+'Gov Exp'!AI643-'Gov Exp'!AK643</f>
        <v>0</v>
      </c>
      <c r="AM643" s="15" t="str">
        <f>'Gov Rev'!A642</f>
        <v>Wakeman</v>
      </c>
      <c r="AN643" s="15" t="str">
        <f t="shared" si="252"/>
        <v>Wakeman</v>
      </c>
      <c r="AO643" s="15" t="b">
        <f t="shared" si="253"/>
        <v>1</v>
      </c>
    </row>
    <row r="644" spans="1:41" ht="12.75">
      <c r="A644" s="15" t="s">
        <v>261</v>
      </c>
      <c r="C644" s="15" t="s">
        <v>825</v>
      </c>
      <c r="D644" s="28"/>
      <c r="E644" s="36">
        <v>443074.69</v>
      </c>
      <c r="F644" s="36"/>
      <c r="G644" s="36">
        <v>2800</v>
      </c>
      <c r="H644" s="36"/>
      <c r="I644" s="36">
        <v>46830.49</v>
      </c>
      <c r="J644" s="36"/>
      <c r="K644" s="36">
        <v>0</v>
      </c>
      <c r="L644" s="36"/>
      <c r="M644" s="36">
        <v>0</v>
      </c>
      <c r="N644" s="36"/>
      <c r="O644" s="36">
        <v>200568.88</v>
      </c>
      <c r="P644" s="36"/>
      <c r="Q644" s="36">
        <v>406732.6</v>
      </c>
      <c r="R644" s="36"/>
      <c r="S644" s="36">
        <v>123249</v>
      </c>
      <c r="T644" s="36"/>
      <c r="U644" s="36">
        <v>8311.94</v>
      </c>
      <c r="V644" s="36"/>
      <c r="W644" s="36">
        <v>19365.1</v>
      </c>
      <c r="X644" s="36"/>
      <c r="Y644" s="36">
        <v>0</v>
      </c>
      <c r="Z644" s="36"/>
      <c r="AA644" s="36">
        <v>0</v>
      </c>
      <c r="AB644" s="36"/>
      <c r="AC644" s="36">
        <v>0</v>
      </c>
      <c r="AD644" s="36"/>
      <c r="AE644" s="36">
        <f t="shared" si="266"/>
        <v>1250932.7000000002</v>
      </c>
      <c r="AF644" s="36"/>
      <c r="AG644" s="36">
        <v>94872.1</v>
      </c>
      <c r="AH644" s="36"/>
      <c r="AI644" s="36">
        <v>1511154.75</v>
      </c>
      <c r="AJ644" s="36"/>
      <c r="AK644" s="36">
        <v>1606026.85</v>
      </c>
      <c r="AL644" s="39">
        <f>+'Gov Rev'!AI643-'Gov Exp'!AE644+'Gov Exp'!AI644-'Gov Exp'!AK644</f>
        <v>0</v>
      </c>
      <c r="AM644" s="15" t="str">
        <f>'Gov Rev'!A643</f>
        <v>Walbridge</v>
      </c>
      <c r="AN644" s="15" t="str">
        <f t="shared" si="252"/>
        <v>Walbridge</v>
      </c>
      <c r="AO644" s="15" t="b">
        <f t="shared" si="253"/>
        <v>1</v>
      </c>
    </row>
    <row r="645" spans="1:41" ht="12.75">
      <c r="A645" s="15" t="s">
        <v>151</v>
      </c>
      <c r="C645" s="15" t="s">
        <v>791</v>
      </c>
      <c r="D645" s="28"/>
      <c r="E645" s="36">
        <v>5087.66</v>
      </c>
      <c r="F645" s="36"/>
      <c r="G645" s="36">
        <v>0</v>
      </c>
      <c r="H645" s="36"/>
      <c r="I645" s="36">
        <v>0</v>
      </c>
      <c r="J645" s="36"/>
      <c r="K645" s="36">
        <v>7906.87</v>
      </c>
      <c r="L645" s="36"/>
      <c r="M645" s="36">
        <v>75792.01</v>
      </c>
      <c r="N645" s="36"/>
      <c r="O645" s="36">
        <v>2871.09</v>
      </c>
      <c r="P645" s="36"/>
      <c r="Q645" s="36">
        <v>18073.62</v>
      </c>
      <c r="R645" s="36"/>
      <c r="S645" s="36">
        <v>52247.5</v>
      </c>
      <c r="T645" s="36"/>
      <c r="U645" s="36">
        <v>0</v>
      </c>
      <c r="V645" s="36"/>
      <c r="W645" s="36">
        <v>0</v>
      </c>
      <c r="X645" s="36"/>
      <c r="Y645" s="36">
        <v>0</v>
      </c>
      <c r="Z645" s="36"/>
      <c r="AA645" s="36">
        <v>0</v>
      </c>
      <c r="AB645" s="36"/>
      <c r="AC645" s="36">
        <v>0</v>
      </c>
      <c r="AD645" s="36"/>
      <c r="AE645" s="36">
        <f t="shared" si="266"/>
        <v>161978.75</v>
      </c>
      <c r="AF645" s="36"/>
      <c r="AG645" s="36">
        <v>-30458.51</v>
      </c>
      <c r="AH645" s="36"/>
      <c r="AI645" s="36">
        <v>293055.23</v>
      </c>
      <c r="AJ645" s="36"/>
      <c r="AK645" s="36">
        <v>262596.72</v>
      </c>
      <c r="AL645" s="39">
        <f>+'Gov Rev'!AI644-'Gov Exp'!AE645+'Gov Exp'!AI645-'Gov Exp'!AK645</f>
        <v>0</v>
      </c>
      <c r="AM645" s="15" t="str">
        <f>'Gov Rev'!A644</f>
        <v>Waldo</v>
      </c>
      <c r="AN645" s="15" t="str">
        <f t="shared" si="252"/>
        <v>Waldo</v>
      </c>
      <c r="AO645" s="15" t="b">
        <f t="shared" si="253"/>
        <v>1</v>
      </c>
    </row>
    <row r="646" spans="1:41" s="31" customFormat="1" ht="12.75">
      <c r="A646" s="15" t="s">
        <v>50</v>
      </c>
      <c r="B646" s="15"/>
      <c r="C646" s="15" t="s">
        <v>761</v>
      </c>
      <c r="D646" s="28"/>
      <c r="E646" s="95">
        <v>2531015.81</v>
      </c>
      <c r="F646" s="95"/>
      <c r="G646" s="95">
        <v>9240.3</v>
      </c>
      <c r="H646" s="95"/>
      <c r="I646" s="95">
        <v>177205.52</v>
      </c>
      <c r="J646" s="95"/>
      <c r="K646" s="95">
        <v>83068.69</v>
      </c>
      <c r="L646" s="95"/>
      <c r="M646" s="95">
        <v>337791.09</v>
      </c>
      <c r="N646" s="95"/>
      <c r="O646" s="95">
        <v>772106.46</v>
      </c>
      <c r="P646" s="95"/>
      <c r="Q646" s="95">
        <v>663555.09</v>
      </c>
      <c r="R646" s="95"/>
      <c r="S646" s="95">
        <v>653619.82</v>
      </c>
      <c r="T646" s="95"/>
      <c r="U646" s="95">
        <v>235463.65</v>
      </c>
      <c r="V646" s="95"/>
      <c r="W646" s="95">
        <v>10319.76</v>
      </c>
      <c r="X646" s="95"/>
      <c r="Y646" s="95">
        <v>575000</v>
      </c>
      <c r="Z646" s="95"/>
      <c r="AA646" s="95">
        <v>0</v>
      </c>
      <c r="AB646" s="95"/>
      <c r="AC646" s="95">
        <v>35810.7</v>
      </c>
      <c r="AD646" s="95"/>
      <c r="AE646" s="95">
        <f aca="true" t="shared" si="267" ref="AE646">SUM(E646:AC646)</f>
        <v>6084196.890000001</v>
      </c>
      <c r="AF646" s="95"/>
      <c r="AG646" s="95">
        <v>-571629.35</v>
      </c>
      <c r="AH646" s="95"/>
      <c r="AI646" s="95">
        <v>4855440.54</v>
      </c>
      <c r="AJ646" s="95"/>
      <c r="AK646" s="95">
        <v>4283811.19</v>
      </c>
      <c r="AL646" s="39">
        <f>+'Gov Rev'!AI645-'Gov Exp'!AE646+'Gov Exp'!AI646-'Gov Exp'!AK646</f>
        <v>0</v>
      </c>
      <c r="AM646" s="15" t="str">
        <f>'Gov Rev'!A645</f>
        <v>Walton Hills</v>
      </c>
      <c r="AN646" s="15" t="str">
        <f t="shared" si="252"/>
        <v>Walton Hills</v>
      </c>
      <c r="AO646" s="15" t="b">
        <f t="shared" si="253"/>
        <v>1</v>
      </c>
    </row>
    <row r="647" spans="1:41" s="31" customFormat="1" ht="12.75">
      <c r="A647" s="15" t="s">
        <v>848</v>
      </c>
      <c r="B647" s="15"/>
      <c r="C647" s="15" t="s">
        <v>759</v>
      </c>
      <c r="D647" s="28"/>
      <c r="E647" s="36">
        <v>38221.47</v>
      </c>
      <c r="F647" s="36"/>
      <c r="G647" s="36">
        <v>13905.63</v>
      </c>
      <c r="H647" s="36"/>
      <c r="I647" s="36">
        <v>104202.31</v>
      </c>
      <c r="J647" s="36"/>
      <c r="K647" s="36">
        <v>5471.13</v>
      </c>
      <c r="L647" s="36"/>
      <c r="M647" s="36">
        <v>3358.69</v>
      </c>
      <c r="N647" s="36"/>
      <c r="O647" s="36">
        <v>25462.69</v>
      </c>
      <c r="P647" s="36"/>
      <c r="Q647" s="36">
        <v>43608.14</v>
      </c>
      <c r="R647" s="36"/>
      <c r="S647" s="36">
        <v>0</v>
      </c>
      <c r="T647" s="36"/>
      <c r="U647" s="36">
        <v>1370.24</v>
      </c>
      <c r="V647" s="36"/>
      <c r="W647" s="36">
        <v>161.01</v>
      </c>
      <c r="X647" s="36"/>
      <c r="Y647" s="36">
        <v>45.32</v>
      </c>
      <c r="Z647" s="36"/>
      <c r="AA647" s="36">
        <v>0</v>
      </c>
      <c r="AB647" s="36"/>
      <c r="AC647" s="36">
        <v>1247.96</v>
      </c>
      <c r="AD647" s="36"/>
      <c r="AE647" s="36">
        <f aca="true" t="shared" si="268" ref="AE647:AE648">SUM(E647:AC647)</f>
        <v>237054.59</v>
      </c>
      <c r="AF647" s="36"/>
      <c r="AG647" s="36">
        <v>55825.59</v>
      </c>
      <c r="AH647" s="36"/>
      <c r="AI647" s="36">
        <v>255750.24</v>
      </c>
      <c r="AJ647" s="36"/>
      <c r="AK647" s="36">
        <v>311575.83</v>
      </c>
      <c r="AL647" s="39">
        <f>+'Gov Rev'!AI646-'Gov Exp'!AE647+'Gov Exp'!AI647-'Gov Exp'!AK647</f>
        <v>0</v>
      </c>
      <c r="AM647" s="15" t="str">
        <f>'Gov Rev'!A646</f>
        <v>Warsaw</v>
      </c>
      <c r="AN647" s="15" t="str">
        <f t="shared" si="252"/>
        <v>Warsaw</v>
      </c>
      <c r="AO647" s="15" t="b">
        <f t="shared" si="253"/>
        <v>1</v>
      </c>
    </row>
    <row r="648" spans="1:41" ht="12.75">
      <c r="A648" s="15" t="s">
        <v>48</v>
      </c>
      <c r="C648" s="15" t="s">
        <v>758</v>
      </c>
      <c r="D648" s="28"/>
      <c r="E648" s="36">
        <v>108264.66</v>
      </c>
      <c r="F648" s="36"/>
      <c r="G648" s="36">
        <v>552.21</v>
      </c>
      <c r="H648" s="36"/>
      <c r="I648" s="36">
        <v>0</v>
      </c>
      <c r="J648" s="36"/>
      <c r="K648" s="36">
        <v>0</v>
      </c>
      <c r="L648" s="36"/>
      <c r="M648" s="36">
        <v>0</v>
      </c>
      <c r="N648" s="36"/>
      <c r="O648" s="36">
        <v>35468.79</v>
      </c>
      <c r="P648" s="36"/>
      <c r="Q648" s="36">
        <v>50073.19</v>
      </c>
      <c r="R648" s="36"/>
      <c r="S648" s="36">
        <v>38867.67</v>
      </c>
      <c r="T648" s="36"/>
      <c r="U648" s="36">
        <v>0</v>
      </c>
      <c r="V648" s="36"/>
      <c r="W648" s="36">
        <v>0</v>
      </c>
      <c r="X648" s="36"/>
      <c r="Y648" s="36">
        <v>0</v>
      </c>
      <c r="Z648" s="36"/>
      <c r="AA648" s="36">
        <v>0</v>
      </c>
      <c r="AB648" s="36"/>
      <c r="AC648" s="36">
        <v>0</v>
      </c>
      <c r="AD648" s="36"/>
      <c r="AE648" s="36">
        <f t="shared" si="268"/>
        <v>233226.52000000002</v>
      </c>
      <c r="AF648" s="36"/>
      <c r="AG648" s="36">
        <v>-11747.35</v>
      </c>
      <c r="AH648" s="36"/>
      <c r="AI648" s="36">
        <v>376677.76</v>
      </c>
      <c r="AJ648" s="36"/>
      <c r="AK648" s="36">
        <v>364930.41</v>
      </c>
      <c r="AL648" s="39">
        <f>+'Gov Rev'!AI647-'Gov Exp'!AE648+'Gov Exp'!AI648-'Gov Exp'!AK648</f>
        <v>0</v>
      </c>
      <c r="AM648" s="15" t="str">
        <f>'Gov Rev'!A647</f>
        <v>Washingtonville</v>
      </c>
      <c r="AN648" s="15" t="str">
        <f t="shared" si="252"/>
        <v>Washingtonville</v>
      </c>
      <c r="AO648" s="15" t="b">
        <f t="shared" si="253"/>
        <v>1</v>
      </c>
    </row>
    <row r="649" spans="1:41" s="24" customFormat="1" ht="12.75" hidden="1">
      <c r="A649" s="24" t="s">
        <v>457</v>
      </c>
      <c r="C649" s="24" t="s">
        <v>455</v>
      </c>
      <c r="AE649" s="24">
        <f t="shared" si="247"/>
        <v>0</v>
      </c>
      <c r="AL649" s="39">
        <f>+'Gov Rev'!AI648-'Gov Exp'!AE649+'Gov Exp'!AI649-'Gov Exp'!AK649</f>
        <v>0</v>
      </c>
      <c r="AM649" s="15" t="str">
        <f>'Gov Rev'!A648</f>
        <v>Waterville</v>
      </c>
      <c r="AN649" s="15" t="str">
        <f t="shared" si="252"/>
        <v>Waterville</v>
      </c>
      <c r="AO649" s="15" t="b">
        <f t="shared" si="253"/>
        <v>1</v>
      </c>
    </row>
    <row r="650" spans="1:41" ht="12.6" customHeight="1">
      <c r="A650" s="15" t="s">
        <v>590</v>
      </c>
      <c r="C650" s="15" t="s">
        <v>603</v>
      </c>
      <c r="E650" s="24">
        <v>150872.95</v>
      </c>
      <c r="G650" s="24">
        <v>580.24</v>
      </c>
      <c r="I650" s="24">
        <v>2041.31</v>
      </c>
      <c r="K650" s="24">
        <v>7470</v>
      </c>
      <c r="M650" s="24">
        <v>2306.4</v>
      </c>
      <c r="O650" s="24">
        <v>0</v>
      </c>
      <c r="Q650" s="24">
        <v>62564.41</v>
      </c>
      <c r="S650" s="24">
        <v>15014.53</v>
      </c>
      <c r="U650" s="24">
        <v>27326.2</v>
      </c>
      <c r="W650" s="24">
        <v>2793.29</v>
      </c>
      <c r="Y650" s="24">
        <v>0</v>
      </c>
      <c r="AA650" s="24">
        <v>0</v>
      </c>
      <c r="AC650" s="24">
        <v>0</v>
      </c>
      <c r="AE650" s="24">
        <f t="shared" si="247"/>
        <v>270969.32999999996</v>
      </c>
      <c r="AF650" s="24"/>
      <c r="AG650" s="24">
        <v>15070.9</v>
      </c>
      <c r="AH650" s="24"/>
      <c r="AI650" s="24">
        <v>476263.58</v>
      </c>
      <c r="AJ650" s="24"/>
      <c r="AK650" s="24">
        <v>491334.28</v>
      </c>
      <c r="AL650" s="39">
        <f>+'Gov Rev'!AI649-'Gov Exp'!AE650+'Gov Exp'!AI650-'Gov Exp'!AK650</f>
        <v>0.2000000000698492</v>
      </c>
      <c r="AM650" s="15" t="str">
        <f>'Gov Rev'!A649</f>
        <v>Wayne</v>
      </c>
      <c r="AN650" s="15" t="str">
        <f t="shared" si="252"/>
        <v>Wayne</v>
      </c>
      <c r="AO650" s="15" t="b">
        <f t="shared" si="253"/>
        <v>1</v>
      </c>
    </row>
    <row r="651" spans="1:41" ht="12.6" customHeight="1" hidden="1">
      <c r="A651" s="15" t="s">
        <v>339</v>
      </c>
      <c r="C651" s="15" t="s">
        <v>329</v>
      </c>
      <c r="AE651" s="24">
        <f t="shared" si="247"/>
        <v>0</v>
      </c>
      <c r="AF651" s="24"/>
      <c r="AG651" s="24"/>
      <c r="AH651" s="24"/>
      <c r="AI651" s="24"/>
      <c r="AJ651" s="24"/>
      <c r="AK651" s="24"/>
      <c r="AL651" s="39">
        <f>+'Gov Rev'!AI650-'Gov Exp'!AE651+'Gov Exp'!AI651-'Gov Exp'!AK651</f>
        <v>0</v>
      </c>
      <c r="AM651" s="15" t="str">
        <f>'Gov Rev'!A650</f>
        <v>Wayne Lakes</v>
      </c>
      <c r="AN651" s="15" t="str">
        <f t="shared" si="252"/>
        <v>Wayne Lakes</v>
      </c>
      <c r="AO651" s="15" t="b">
        <f t="shared" si="253"/>
        <v>1</v>
      </c>
    </row>
    <row r="652" spans="1:41" ht="12.75">
      <c r="A652" s="15" t="s">
        <v>549</v>
      </c>
      <c r="C652" s="15" t="s">
        <v>542</v>
      </c>
      <c r="E652" s="24">
        <v>113602</v>
      </c>
      <c r="G652" s="24">
        <v>21542</v>
      </c>
      <c r="I652" s="24">
        <v>0</v>
      </c>
      <c r="K652" s="24">
        <v>0</v>
      </c>
      <c r="M652" s="24">
        <v>0</v>
      </c>
      <c r="O652" s="24">
        <v>21232</v>
      </c>
      <c r="Q652" s="24">
        <v>131256</v>
      </c>
      <c r="S652" s="24">
        <v>23958</v>
      </c>
      <c r="U652" s="24">
        <v>9107</v>
      </c>
      <c r="W652" s="24">
        <v>916</v>
      </c>
      <c r="Y652" s="24">
        <v>0</v>
      </c>
      <c r="AA652" s="24">
        <v>0</v>
      </c>
      <c r="AC652" s="24">
        <v>0</v>
      </c>
      <c r="AE652" s="24">
        <f t="shared" si="247"/>
        <v>321613</v>
      </c>
      <c r="AF652" s="24"/>
      <c r="AG652" s="24"/>
      <c r="AH652" s="24"/>
      <c r="AI652" s="24">
        <v>272047</v>
      </c>
      <c r="AJ652" s="24"/>
      <c r="AK652" s="24">
        <v>316476</v>
      </c>
      <c r="AL652" s="39">
        <f>+'Gov Rev'!AI651-'Gov Exp'!AE652+'Gov Exp'!AI652-'Gov Exp'!AK652</f>
        <v>-3869</v>
      </c>
      <c r="AM652" s="15" t="str">
        <f>'Gov Rev'!A651</f>
        <v>Waynesburg</v>
      </c>
      <c r="AN652" s="15" t="str">
        <f t="shared" si="252"/>
        <v>Waynesburg</v>
      </c>
      <c r="AO652" s="15" t="b">
        <f t="shared" si="253"/>
        <v>1</v>
      </c>
    </row>
    <row r="653" spans="1:41" ht="12.75">
      <c r="A653" s="15" t="s">
        <v>14</v>
      </c>
      <c r="C653" s="15" t="s">
        <v>749</v>
      </c>
      <c r="D653" s="28"/>
      <c r="E653" s="36">
        <v>80785.86</v>
      </c>
      <c r="F653" s="36"/>
      <c r="G653" s="36">
        <v>28.8</v>
      </c>
      <c r="H653" s="36"/>
      <c r="I653" s="36">
        <v>7441.44</v>
      </c>
      <c r="J653" s="36"/>
      <c r="K653" s="36">
        <v>0</v>
      </c>
      <c r="L653" s="36"/>
      <c r="M653" s="36">
        <v>0</v>
      </c>
      <c r="N653" s="36"/>
      <c r="O653" s="36">
        <v>33199.56</v>
      </c>
      <c r="P653" s="36"/>
      <c r="Q653" s="36">
        <v>165268.48</v>
      </c>
      <c r="R653" s="36"/>
      <c r="S653" s="36">
        <v>0</v>
      </c>
      <c r="T653" s="36"/>
      <c r="U653" s="36">
        <v>14363.04</v>
      </c>
      <c r="V653" s="36"/>
      <c r="W653" s="36">
        <v>0</v>
      </c>
      <c r="X653" s="36"/>
      <c r="Y653" s="36">
        <v>0</v>
      </c>
      <c r="Z653" s="36"/>
      <c r="AA653" s="36">
        <v>0</v>
      </c>
      <c r="AB653" s="36"/>
      <c r="AC653" s="36">
        <v>0</v>
      </c>
      <c r="AD653" s="36"/>
      <c r="AE653" s="36">
        <f aca="true" t="shared" si="269" ref="AE653">SUM(E653:AC653)</f>
        <v>301087.18</v>
      </c>
      <c r="AF653" s="36"/>
      <c r="AG653" s="36">
        <v>-4450.68</v>
      </c>
      <c r="AH653" s="36"/>
      <c r="AI653" s="36">
        <v>320421.89</v>
      </c>
      <c r="AJ653" s="36"/>
      <c r="AK653" s="36">
        <v>315971.21</v>
      </c>
      <c r="AL653" s="39">
        <f>+'Gov Rev'!AI652-'Gov Exp'!AE653+'Gov Exp'!AI653-'Gov Exp'!AK653</f>
        <v>0</v>
      </c>
      <c r="AM653" s="15" t="str">
        <f>'Gov Rev'!A652</f>
        <v>Waynesfield</v>
      </c>
      <c r="AN653" s="15" t="str">
        <f t="shared" si="252"/>
        <v>Waynesfield</v>
      </c>
      <c r="AO653" s="15" t="b">
        <f t="shared" si="253"/>
        <v>1</v>
      </c>
    </row>
    <row r="654" spans="1:41" ht="12.75">
      <c r="A654" s="15" t="s">
        <v>585</v>
      </c>
      <c r="C654" s="15" t="s">
        <v>583</v>
      </c>
      <c r="E654" s="24">
        <v>326419</v>
      </c>
      <c r="G654" s="24">
        <v>1760</v>
      </c>
      <c r="I654" s="24">
        <v>0</v>
      </c>
      <c r="K654" s="24">
        <v>0</v>
      </c>
      <c r="M654" s="24">
        <v>0</v>
      </c>
      <c r="O654" s="24">
        <v>138682</v>
      </c>
      <c r="Q654" s="24">
        <v>236706</v>
      </c>
      <c r="S654" s="24">
        <v>11238</v>
      </c>
      <c r="U654" s="24">
        <v>325600</v>
      </c>
      <c r="W654" s="24">
        <v>44240</v>
      </c>
      <c r="Y654" s="24">
        <v>46494</v>
      </c>
      <c r="AA654" s="24">
        <v>0</v>
      </c>
      <c r="AC654" s="24">
        <v>0</v>
      </c>
      <c r="AE654" s="24">
        <f t="shared" si="247"/>
        <v>1131139</v>
      </c>
      <c r="AF654" s="24"/>
      <c r="AG654" s="24">
        <v>258062</v>
      </c>
      <c r="AH654" s="24"/>
      <c r="AI654" s="24">
        <v>632134</v>
      </c>
      <c r="AJ654" s="24"/>
      <c r="AK654" s="24">
        <v>890196</v>
      </c>
      <c r="AL654" s="39">
        <f>+'Gov Rev'!AI653-'Gov Exp'!AE654+'Gov Exp'!AI654-'Gov Exp'!AK654</f>
        <v>1</v>
      </c>
      <c r="AM654" s="15" t="str">
        <f>'Gov Rev'!A653</f>
        <v>Waynesville</v>
      </c>
      <c r="AN654" s="15" t="str">
        <f t="shared" si="252"/>
        <v>Waynesville</v>
      </c>
      <c r="AO654" s="15" t="b">
        <f t="shared" si="253"/>
        <v>1</v>
      </c>
    </row>
    <row r="655" spans="1:41" s="31" customFormat="1" ht="12.75">
      <c r="A655" s="15" t="s">
        <v>453</v>
      </c>
      <c r="B655" s="15"/>
      <c r="C655" s="15" t="s">
        <v>451</v>
      </c>
      <c r="D655" s="15"/>
      <c r="E655" s="24">
        <v>956627</v>
      </c>
      <c r="F655" s="24"/>
      <c r="G655" s="24">
        <v>54065</v>
      </c>
      <c r="H655" s="24"/>
      <c r="I655" s="24">
        <v>63649</v>
      </c>
      <c r="J655" s="24"/>
      <c r="K655" s="24">
        <v>120510</v>
      </c>
      <c r="L655" s="24"/>
      <c r="M655" s="24">
        <v>0</v>
      </c>
      <c r="N655" s="24"/>
      <c r="O655" s="24">
        <v>902043</v>
      </c>
      <c r="P655" s="24"/>
      <c r="Q655" s="24">
        <v>386635</v>
      </c>
      <c r="R655" s="24"/>
      <c r="S655" s="24">
        <v>917649</v>
      </c>
      <c r="T655" s="24"/>
      <c r="U655" s="24">
        <v>45800</v>
      </c>
      <c r="V655" s="24"/>
      <c r="W655" s="24">
        <v>1743</v>
      </c>
      <c r="X655" s="24"/>
      <c r="Y655" s="24">
        <v>0</v>
      </c>
      <c r="Z655" s="24"/>
      <c r="AA655" s="24">
        <v>0</v>
      </c>
      <c r="AB655" s="24"/>
      <c r="AC655" s="24">
        <v>0</v>
      </c>
      <c r="AD655" s="24"/>
      <c r="AE655" s="24">
        <f t="shared" si="247"/>
        <v>3448721</v>
      </c>
      <c r="AF655" s="24"/>
      <c r="AG655" s="24">
        <v>-310091</v>
      </c>
      <c r="AH655" s="24"/>
      <c r="AI655" s="24">
        <v>2841806</v>
      </c>
      <c r="AJ655" s="24"/>
      <c r="AK655" s="24">
        <v>2531715</v>
      </c>
      <c r="AL655" s="39">
        <f>+'Gov Rev'!AI654-'Gov Exp'!AE655+'Gov Exp'!AI655-'Gov Exp'!AK655</f>
        <v>0</v>
      </c>
      <c r="AM655" s="15" t="str">
        <f>'Gov Rev'!A654</f>
        <v>Wellington</v>
      </c>
      <c r="AN655" s="15" t="str">
        <f t="shared" si="252"/>
        <v>Wellington</v>
      </c>
      <c r="AO655" s="15" t="b">
        <f t="shared" si="253"/>
        <v>1</v>
      </c>
    </row>
    <row r="656" spans="1:41" ht="12.6" customHeight="1">
      <c r="A656" s="15" t="s">
        <v>306</v>
      </c>
      <c r="C656" s="15" t="s">
        <v>305</v>
      </c>
      <c r="E656" s="36">
        <v>870563.66</v>
      </c>
      <c r="F656" s="36"/>
      <c r="G656" s="36">
        <v>74080.5</v>
      </c>
      <c r="H656" s="36"/>
      <c r="I656" s="36">
        <v>5409.91</v>
      </c>
      <c r="J656" s="36"/>
      <c r="K656" s="36">
        <v>12880.83</v>
      </c>
      <c r="L656" s="36"/>
      <c r="M656" s="36">
        <v>0</v>
      </c>
      <c r="N656" s="36"/>
      <c r="O656" s="36">
        <v>171720.19</v>
      </c>
      <c r="P656" s="36"/>
      <c r="Q656" s="36">
        <v>271471.92</v>
      </c>
      <c r="R656" s="36"/>
      <c r="S656" s="36">
        <v>65680.85</v>
      </c>
      <c r="T656" s="36"/>
      <c r="U656" s="36">
        <v>0</v>
      </c>
      <c r="V656" s="36"/>
      <c r="W656" s="36">
        <v>0</v>
      </c>
      <c r="X656" s="36"/>
      <c r="Y656" s="36">
        <v>0</v>
      </c>
      <c r="Z656" s="36"/>
      <c r="AA656" s="36">
        <v>0</v>
      </c>
      <c r="AB656" s="36"/>
      <c r="AC656" s="36">
        <v>0</v>
      </c>
      <c r="AD656" s="36"/>
      <c r="AE656" s="36">
        <f aca="true" t="shared" si="270" ref="AE656">SUM(E656:AC656)</f>
        <v>1471807.86</v>
      </c>
      <c r="AF656" s="36"/>
      <c r="AG656" s="36">
        <v>-34113.46</v>
      </c>
      <c r="AH656" s="36"/>
      <c r="AI656" s="36">
        <v>258461.75</v>
      </c>
      <c r="AJ656" s="36"/>
      <c r="AK656" s="36">
        <v>224348.29</v>
      </c>
      <c r="AL656" s="39">
        <f>+'Gov Rev'!AI655-'Gov Exp'!AE656+'Gov Exp'!AI656-'Gov Exp'!AK656</f>
        <v>0</v>
      </c>
      <c r="AM656" s="15" t="str">
        <f>'Gov Rev'!A655</f>
        <v>Wellsville</v>
      </c>
      <c r="AN656" s="15" t="str">
        <f t="shared" si="252"/>
        <v>Wellsville</v>
      </c>
      <c r="AO656" s="15" t="b">
        <f t="shared" si="253"/>
        <v>1</v>
      </c>
    </row>
    <row r="657" spans="1:41" ht="12.75">
      <c r="A657" s="15" t="s">
        <v>513</v>
      </c>
      <c r="C657" s="15" t="s">
        <v>510</v>
      </c>
      <c r="E657" s="24">
        <v>586502.72</v>
      </c>
      <c r="G657" s="24">
        <v>3938.5</v>
      </c>
      <c r="I657" s="24">
        <v>3005.64</v>
      </c>
      <c r="K657" s="24">
        <v>5891.76</v>
      </c>
      <c r="M657" s="24">
        <v>4256.16</v>
      </c>
      <c r="O657" s="24">
        <v>78433.98</v>
      </c>
      <c r="Q657" s="24">
        <v>421048.97</v>
      </c>
      <c r="S657" s="24">
        <v>0</v>
      </c>
      <c r="U657" s="24">
        <v>0</v>
      </c>
      <c r="W657" s="24">
        <v>0</v>
      </c>
      <c r="Y657" s="24">
        <v>0</v>
      </c>
      <c r="AA657" s="24">
        <v>0</v>
      </c>
      <c r="AC657" s="24">
        <v>0</v>
      </c>
      <c r="AE657" s="24">
        <f t="shared" si="247"/>
        <v>1103077.73</v>
      </c>
      <c r="AF657" s="24"/>
      <c r="AG657" s="24">
        <f>AK657-AI657</f>
        <v>128456.02000000002</v>
      </c>
      <c r="AH657" s="24"/>
      <c r="AI657" s="24">
        <v>946401.98</v>
      </c>
      <c r="AJ657" s="24"/>
      <c r="AK657" s="24">
        <v>1074858</v>
      </c>
      <c r="AL657" s="39">
        <f>+'Gov Rev'!AI656-'Gov Exp'!AE657+'Gov Exp'!AI657-'Gov Exp'!AK657</f>
        <v>0</v>
      </c>
      <c r="AM657" s="15" t="str">
        <f>'Gov Rev'!A656</f>
        <v>West Alexandria</v>
      </c>
      <c r="AN657" s="15" t="str">
        <f t="shared" si="252"/>
        <v>West Alexandria</v>
      </c>
      <c r="AO657" s="15" t="b">
        <f t="shared" si="253"/>
        <v>1</v>
      </c>
    </row>
    <row r="658" spans="1:41" ht="12.75">
      <c r="A658" s="15" t="s">
        <v>957</v>
      </c>
      <c r="C658" s="15" t="s">
        <v>510</v>
      </c>
      <c r="E658" s="36">
        <v>9121.64</v>
      </c>
      <c r="F658" s="36"/>
      <c r="G658" s="36">
        <v>0</v>
      </c>
      <c r="H658" s="36"/>
      <c r="I658" s="36">
        <v>600</v>
      </c>
      <c r="J658" s="36"/>
      <c r="K658" s="36">
        <v>0</v>
      </c>
      <c r="L658" s="36"/>
      <c r="M658" s="36">
        <v>0</v>
      </c>
      <c r="N658" s="36"/>
      <c r="O658" s="36">
        <v>18604.88</v>
      </c>
      <c r="P658" s="36"/>
      <c r="Q658" s="36">
        <v>35792.6</v>
      </c>
      <c r="R658" s="36"/>
      <c r="S658" s="36">
        <v>12541.83</v>
      </c>
      <c r="T658" s="36"/>
      <c r="U658" s="36">
        <v>0</v>
      </c>
      <c r="V658" s="36"/>
      <c r="W658" s="36">
        <v>0</v>
      </c>
      <c r="X658" s="36"/>
      <c r="Y658" s="36">
        <v>0</v>
      </c>
      <c r="Z658" s="36"/>
      <c r="AA658" s="36">
        <v>0</v>
      </c>
      <c r="AB658" s="36"/>
      <c r="AC658" s="36">
        <v>0</v>
      </c>
      <c r="AD658" s="36"/>
      <c r="AE658" s="36">
        <f aca="true" t="shared" si="271" ref="AE658">SUM(E658:AC658)</f>
        <v>76660.95</v>
      </c>
      <c r="AF658" s="36"/>
      <c r="AG658" s="36">
        <v>17352.89</v>
      </c>
      <c r="AH658" s="36"/>
      <c r="AI658" s="36">
        <v>76330.72</v>
      </c>
      <c r="AJ658" s="36"/>
      <c r="AK658" s="36">
        <v>93683.61</v>
      </c>
      <c r="AL658" s="39">
        <f>+'Gov Rev'!AI657-'Gov Exp'!AE658+'Gov Exp'!AI658-'Gov Exp'!AK658</f>
        <v>0</v>
      </c>
      <c r="AM658" s="15" t="str">
        <f>'Gov Rev'!A657</f>
        <v>West Elkton</v>
      </c>
      <c r="AN658" s="15" t="str">
        <f t="shared" si="252"/>
        <v>West Elkton</v>
      </c>
      <c r="AO658" s="15" t="b">
        <f t="shared" si="253"/>
        <v>1</v>
      </c>
    </row>
    <row r="659" spans="1:41" ht="12.75">
      <c r="A659" s="15" t="s">
        <v>230</v>
      </c>
      <c r="C659" s="15" t="s">
        <v>817</v>
      </c>
      <c r="D659" s="28"/>
      <c r="E659" s="95">
        <v>53339.23</v>
      </c>
      <c r="F659" s="95"/>
      <c r="G659" s="95">
        <v>0</v>
      </c>
      <c r="H659" s="95"/>
      <c r="I659" s="95">
        <v>8890.32</v>
      </c>
      <c r="J659" s="95"/>
      <c r="K659" s="95">
        <v>60</v>
      </c>
      <c r="L659" s="95"/>
      <c r="M659" s="95">
        <v>0</v>
      </c>
      <c r="N659" s="95"/>
      <c r="O659" s="95">
        <v>28219.98</v>
      </c>
      <c r="P659" s="95"/>
      <c r="Q659" s="95">
        <v>44289.03</v>
      </c>
      <c r="R659" s="95"/>
      <c r="S659" s="95">
        <v>4590.48</v>
      </c>
      <c r="T659" s="95"/>
      <c r="U659" s="95">
        <v>0</v>
      </c>
      <c r="V659" s="95"/>
      <c r="W659" s="95">
        <v>0</v>
      </c>
      <c r="X659" s="95"/>
      <c r="Y659" s="95">
        <v>41550</v>
      </c>
      <c r="Z659" s="95"/>
      <c r="AA659" s="95">
        <v>0</v>
      </c>
      <c r="AB659" s="95"/>
      <c r="AC659" s="95">
        <v>0</v>
      </c>
      <c r="AD659" s="95"/>
      <c r="AE659" s="95">
        <f aca="true" t="shared" si="272" ref="AE659">SUM(E659:AC659)</f>
        <v>180939.04</v>
      </c>
      <c r="AF659" s="95"/>
      <c r="AG659" s="95">
        <v>11248.4</v>
      </c>
      <c r="AH659" s="95"/>
      <c r="AI659" s="95">
        <v>88809.84</v>
      </c>
      <c r="AJ659" s="95"/>
      <c r="AK659" s="95">
        <v>100058.24</v>
      </c>
      <c r="AL659" s="39">
        <f>+'Gov Rev'!AI658-'Gov Exp'!AE659+'Gov Exp'!AI659-'Gov Exp'!AK659</f>
        <v>0</v>
      </c>
      <c r="AM659" s="15" t="str">
        <f>'Gov Rev'!A658</f>
        <v>West Farmington</v>
      </c>
      <c r="AN659" s="15" t="str">
        <f t="shared" si="252"/>
        <v>West Farmington</v>
      </c>
      <c r="AO659" s="15" t="b">
        <f t="shared" si="253"/>
        <v>1</v>
      </c>
    </row>
    <row r="660" spans="1:41" ht="12.75">
      <c r="A660" s="15" t="s">
        <v>958</v>
      </c>
      <c r="C660" s="15" t="s">
        <v>432</v>
      </c>
      <c r="D660" s="28"/>
      <c r="E660" s="36">
        <v>1205337.22</v>
      </c>
      <c r="F660" s="36"/>
      <c r="G660" s="36">
        <v>0</v>
      </c>
      <c r="H660" s="36"/>
      <c r="I660" s="36">
        <v>39711.26</v>
      </c>
      <c r="J660" s="36"/>
      <c r="K660" s="36">
        <v>101884.91</v>
      </c>
      <c r="L660" s="36"/>
      <c r="M660" s="36">
        <v>0</v>
      </c>
      <c r="N660" s="36"/>
      <c r="O660" s="36">
        <v>474214.32</v>
      </c>
      <c r="P660" s="36"/>
      <c r="Q660" s="36">
        <v>828332.03</v>
      </c>
      <c r="R660" s="36"/>
      <c r="S660" s="36">
        <v>1004204</v>
      </c>
      <c r="T660" s="36"/>
      <c r="U660" s="36">
        <v>363057.89</v>
      </c>
      <c r="V660" s="36"/>
      <c r="W660" s="36">
        <v>105999.33</v>
      </c>
      <c r="X660" s="36"/>
      <c r="Y660" s="36">
        <v>6000</v>
      </c>
      <c r="Z660" s="36"/>
      <c r="AA660" s="36">
        <v>0</v>
      </c>
      <c r="AB660" s="36"/>
      <c r="AC660" s="36">
        <v>0</v>
      </c>
      <c r="AD660" s="36"/>
      <c r="AE660" s="36">
        <f aca="true" t="shared" si="273" ref="AE660">SUM(E660:AC660)</f>
        <v>4128740.9600000004</v>
      </c>
      <c r="AF660" s="36"/>
      <c r="AG660" s="36">
        <v>-183875.6</v>
      </c>
      <c r="AH660" s="36"/>
      <c r="AI660" s="36">
        <v>1769213.38</v>
      </c>
      <c r="AJ660" s="36"/>
      <c r="AK660" s="36">
        <v>1585337.78</v>
      </c>
      <c r="AL660" s="39">
        <f>+'Gov Rev'!AI659-'Gov Exp'!AE660+'Gov Exp'!AI660-'Gov Exp'!AK660</f>
        <v>0</v>
      </c>
      <c r="AM660" s="15" t="str">
        <f>'Gov Rev'!A659</f>
        <v>West Jefferson</v>
      </c>
      <c r="AN660" s="15" t="str">
        <f t="shared" si="252"/>
        <v>West Jefferson</v>
      </c>
      <c r="AO660" s="15" t="b">
        <f t="shared" si="253"/>
        <v>1</v>
      </c>
    </row>
    <row r="661" spans="1:41" s="31" customFormat="1" ht="12.6" customHeight="1">
      <c r="A661" s="15" t="s">
        <v>310</v>
      </c>
      <c r="B661" s="15"/>
      <c r="C661" s="15" t="s">
        <v>308</v>
      </c>
      <c r="D661" s="15"/>
      <c r="E661" s="24">
        <v>400951</v>
      </c>
      <c r="F661" s="24"/>
      <c r="G661" s="24">
        <v>4607</v>
      </c>
      <c r="H661" s="24"/>
      <c r="I661" s="24">
        <v>2617</v>
      </c>
      <c r="J661" s="24"/>
      <c r="K661" s="24">
        <v>0</v>
      </c>
      <c r="L661" s="24"/>
      <c r="M661" s="24">
        <v>15017</v>
      </c>
      <c r="N661" s="24"/>
      <c r="O661" s="24">
        <v>114741</v>
      </c>
      <c r="P661" s="24"/>
      <c r="Q661" s="24">
        <v>159583</v>
      </c>
      <c r="R661" s="24"/>
      <c r="S661" s="24">
        <v>0</v>
      </c>
      <c r="T661" s="24"/>
      <c r="U661" s="24">
        <v>0</v>
      </c>
      <c r="V661" s="24"/>
      <c r="W661" s="24">
        <v>0</v>
      </c>
      <c r="X661" s="24"/>
      <c r="Y661" s="24">
        <v>0</v>
      </c>
      <c r="Z661" s="24"/>
      <c r="AA661" s="24">
        <v>0</v>
      </c>
      <c r="AB661" s="24"/>
      <c r="AC661" s="24">
        <v>0</v>
      </c>
      <c r="AD661" s="24"/>
      <c r="AE661" s="24">
        <f t="shared" si="247"/>
        <v>697516</v>
      </c>
      <c r="AF661" s="24"/>
      <c r="AG661" s="24">
        <v>12776</v>
      </c>
      <c r="AH661" s="24"/>
      <c r="AI661" s="24">
        <v>323227</v>
      </c>
      <c r="AJ661" s="24"/>
      <c r="AK661" s="24">
        <v>336003</v>
      </c>
      <c r="AL661" s="39">
        <f>+'Gov Rev'!AI660-'Gov Exp'!AE661+'Gov Exp'!AI661-'Gov Exp'!AK661</f>
        <v>0</v>
      </c>
      <c r="AM661" s="15" t="str">
        <f>'Gov Rev'!A660</f>
        <v>West Lafayette</v>
      </c>
      <c r="AN661" s="15" t="str">
        <f t="shared" si="252"/>
        <v>West Lafayette</v>
      </c>
      <c r="AO661" s="15" t="b">
        <f t="shared" si="253"/>
        <v>1</v>
      </c>
    </row>
    <row r="662" spans="1:41" ht="12.75">
      <c r="A662" s="15" t="s">
        <v>916</v>
      </c>
      <c r="C662" s="15" t="s">
        <v>514</v>
      </c>
      <c r="E662" s="92">
        <v>23633.84</v>
      </c>
      <c r="F662" s="92"/>
      <c r="G662" s="92">
        <v>0</v>
      </c>
      <c r="H662" s="92"/>
      <c r="I662" s="92">
        <v>0</v>
      </c>
      <c r="J662" s="92"/>
      <c r="K662" s="92">
        <v>0</v>
      </c>
      <c r="L662" s="92"/>
      <c r="M662" s="92">
        <v>980</v>
      </c>
      <c r="N662" s="92"/>
      <c r="O662" s="92">
        <v>11565.01</v>
      </c>
      <c r="P662" s="92"/>
      <c r="Q662" s="92">
        <v>28461.41</v>
      </c>
      <c r="R662" s="92"/>
      <c r="S662" s="92">
        <v>0</v>
      </c>
      <c r="T662" s="92"/>
      <c r="U662" s="92">
        <v>756.24</v>
      </c>
      <c r="V662" s="92"/>
      <c r="W662" s="92">
        <v>0</v>
      </c>
      <c r="X662" s="92"/>
      <c r="Y662" s="92">
        <v>0</v>
      </c>
      <c r="Z662" s="92"/>
      <c r="AA662" s="92">
        <v>0</v>
      </c>
      <c r="AB662" s="92"/>
      <c r="AC662" s="92">
        <v>0</v>
      </c>
      <c r="AD662" s="92"/>
      <c r="AE662" s="92">
        <f aca="true" t="shared" si="274" ref="AE662">SUM(E662:AC662)</f>
        <v>65396.49999999999</v>
      </c>
      <c r="AF662" s="95"/>
      <c r="AG662" s="95">
        <v>-3592.91</v>
      </c>
      <c r="AH662" s="95"/>
      <c r="AI662" s="95">
        <v>178526.29</v>
      </c>
      <c r="AJ662" s="95"/>
      <c r="AK662" s="95">
        <v>174933.38</v>
      </c>
      <c r="AL662" s="39">
        <f>+'Gov Rev'!AI661-'Gov Exp'!AE662+'Gov Exp'!AI662-'Gov Exp'!AK662</f>
        <v>0</v>
      </c>
      <c r="AM662" s="15" t="str">
        <f>'Gov Rev'!A661</f>
        <v>West Leipsic</v>
      </c>
      <c r="AN662" s="15" t="str">
        <f t="shared" si="252"/>
        <v>West Leipsic</v>
      </c>
      <c r="AO662" s="15" t="b">
        <f t="shared" si="253"/>
        <v>1</v>
      </c>
    </row>
    <row r="663" spans="1:41" s="31" customFormat="1" ht="12.75">
      <c r="A663" s="15" t="s">
        <v>135</v>
      </c>
      <c r="B663" s="15"/>
      <c r="C663" s="15" t="s">
        <v>786</v>
      </c>
      <c r="D663" s="28"/>
      <c r="E663" s="36">
        <v>322718.5</v>
      </c>
      <c r="F663" s="36"/>
      <c r="G663" s="36">
        <v>174663.24</v>
      </c>
      <c r="H663" s="36"/>
      <c r="I663" s="36">
        <v>14226.1</v>
      </c>
      <c r="J663" s="36"/>
      <c r="K663" s="36">
        <v>2197.7</v>
      </c>
      <c r="L663" s="36"/>
      <c r="M663" s="36">
        <v>0</v>
      </c>
      <c r="N663" s="36"/>
      <c r="O663" s="36">
        <v>150945.34</v>
      </c>
      <c r="P663" s="36"/>
      <c r="Q663" s="36">
        <v>125519.88</v>
      </c>
      <c r="R663" s="36"/>
      <c r="S663" s="36">
        <v>0</v>
      </c>
      <c r="T663" s="36"/>
      <c r="U663" s="36">
        <v>16600</v>
      </c>
      <c r="V663" s="36"/>
      <c r="W663" s="36">
        <v>30946</v>
      </c>
      <c r="X663" s="36"/>
      <c r="Y663" s="36">
        <v>37614.49</v>
      </c>
      <c r="Z663" s="36"/>
      <c r="AA663" s="36">
        <v>0</v>
      </c>
      <c r="AB663" s="36"/>
      <c r="AC663" s="36">
        <v>0</v>
      </c>
      <c r="AD663" s="36"/>
      <c r="AE663" s="36">
        <f aca="true" t="shared" si="275" ref="AE663">SUM(E663:AC663)</f>
        <v>875431.25</v>
      </c>
      <c r="AF663" s="36"/>
      <c r="AG663" s="36">
        <v>40427.78</v>
      </c>
      <c r="AH663" s="36"/>
      <c r="AI663" s="36">
        <v>683754.55</v>
      </c>
      <c r="AJ663" s="36"/>
      <c r="AK663" s="36">
        <v>724182.33</v>
      </c>
      <c r="AL663" s="39">
        <f>+'Gov Rev'!AI662-'Gov Exp'!AE663+'Gov Exp'!AI663-'Gov Exp'!AK663</f>
        <v>0</v>
      </c>
      <c r="AM663" s="15" t="str">
        <f>'Gov Rev'!A662</f>
        <v>West Liberty</v>
      </c>
      <c r="AN663" s="15" t="str">
        <f t="shared" si="252"/>
        <v>West Liberty</v>
      </c>
      <c r="AO663" s="15" t="b">
        <f t="shared" si="253"/>
        <v>1</v>
      </c>
    </row>
    <row r="664" spans="1:41" ht="12.75">
      <c r="A664" s="15" t="s">
        <v>917</v>
      </c>
      <c r="C664" s="15" t="s">
        <v>510</v>
      </c>
      <c r="D664" s="28"/>
      <c r="E664" s="24">
        <v>9538.65</v>
      </c>
      <c r="G664" s="24">
        <v>256617.1</v>
      </c>
      <c r="I664" s="24">
        <v>1789.8</v>
      </c>
      <c r="K664" s="24">
        <v>0</v>
      </c>
      <c r="M664" s="24">
        <v>28111.57</v>
      </c>
      <c r="O664" s="24">
        <v>9240.91</v>
      </c>
      <c r="Q664" s="24">
        <v>57380.19</v>
      </c>
      <c r="S664" s="24">
        <v>82964.68</v>
      </c>
      <c r="U664" s="24">
        <v>0</v>
      </c>
      <c r="W664" s="24">
        <v>0</v>
      </c>
      <c r="Y664" s="24">
        <v>146367.28</v>
      </c>
      <c r="AA664" s="24">
        <v>4500</v>
      </c>
      <c r="AC664" s="24">
        <v>0</v>
      </c>
      <c r="AE664" s="24">
        <f t="shared" si="247"/>
        <v>596510.1799999999</v>
      </c>
      <c r="AF664" s="24"/>
      <c r="AG664" s="24">
        <v>48331.78</v>
      </c>
      <c r="AH664" s="24"/>
      <c r="AI664" s="24">
        <v>293789.5</v>
      </c>
      <c r="AJ664" s="24"/>
      <c r="AK664" s="24">
        <v>342177.79</v>
      </c>
      <c r="AL664" s="39">
        <f>+'Gov Rev'!AI663-'Gov Exp'!AE664+'Gov Exp'!AI664-'Gov Exp'!AK664</f>
        <v>-56.50999999983469</v>
      </c>
      <c r="AM664" s="15" t="str">
        <f>'Gov Rev'!A663</f>
        <v>West Manchester</v>
      </c>
      <c r="AN664" s="15" t="str">
        <f t="shared" si="252"/>
        <v>West Manchester</v>
      </c>
      <c r="AO664" s="15" t="b">
        <f t="shared" si="253"/>
        <v>1</v>
      </c>
    </row>
    <row r="665" spans="1:41" ht="12.75">
      <c r="A665" s="15" t="s">
        <v>959</v>
      </c>
      <c r="C665" s="15" t="s">
        <v>446</v>
      </c>
      <c r="D665" s="28"/>
      <c r="E665" s="36">
        <v>18864.8</v>
      </c>
      <c r="F665" s="36"/>
      <c r="G665" s="36">
        <v>4388.22</v>
      </c>
      <c r="H665" s="36"/>
      <c r="I665" s="36">
        <v>5594.22</v>
      </c>
      <c r="J665" s="36"/>
      <c r="K665" s="36">
        <v>2048.88</v>
      </c>
      <c r="L665" s="36"/>
      <c r="M665" s="36">
        <v>0</v>
      </c>
      <c r="N665" s="36"/>
      <c r="O665" s="36">
        <v>55243.59</v>
      </c>
      <c r="P665" s="36"/>
      <c r="Q665" s="36">
        <v>64876.65</v>
      </c>
      <c r="R665" s="36"/>
      <c r="S665" s="36">
        <v>96002.86</v>
      </c>
      <c r="T665" s="36"/>
      <c r="U665" s="36">
        <v>7440.18</v>
      </c>
      <c r="V665" s="36"/>
      <c r="W665" s="36">
        <v>1304.46</v>
      </c>
      <c r="X665" s="36"/>
      <c r="Y665" s="36">
        <v>79500</v>
      </c>
      <c r="Z665" s="36"/>
      <c r="AA665" s="36">
        <v>0</v>
      </c>
      <c r="AB665" s="36"/>
      <c r="AC665" s="36">
        <v>0</v>
      </c>
      <c r="AD665" s="36"/>
      <c r="AE665" s="36">
        <f aca="true" t="shared" si="276" ref="AE665:AE666">SUM(E665:AC665)</f>
        <v>335263.86</v>
      </c>
      <c r="AF665" s="36"/>
      <c r="AG665" s="36">
        <v>43660.19</v>
      </c>
      <c r="AH665" s="36"/>
      <c r="AI665" s="36">
        <v>462375.54</v>
      </c>
      <c r="AJ665" s="36"/>
      <c r="AK665" s="36">
        <v>506035.73</v>
      </c>
      <c r="AL665" s="39">
        <f>+'Gov Rev'!AI664-'Gov Exp'!AE665+'Gov Exp'!AI665-'Gov Exp'!AK665</f>
        <v>0</v>
      </c>
      <c r="AM665" s="15" t="str">
        <f>'Gov Rev'!A664</f>
        <v>West Mansfield</v>
      </c>
      <c r="AN665" s="15" t="str">
        <f t="shared" si="252"/>
        <v>West Mansfield</v>
      </c>
      <c r="AO665" s="15" t="b">
        <f t="shared" si="253"/>
        <v>1</v>
      </c>
    </row>
    <row r="666" spans="1:41" ht="12.75">
      <c r="A666" s="15" t="s">
        <v>262</v>
      </c>
      <c r="C666" s="15" t="s">
        <v>825</v>
      </c>
      <c r="D666" s="28"/>
      <c r="E666" s="36">
        <v>10826.86</v>
      </c>
      <c r="F666" s="36"/>
      <c r="G666" s="36">
        <v>39.29</v>
      </c>
      <c r="H666" s="36"/>
      <c r="I666" s="36">
        <v>1015.61</v>
      </c>
      <c r="J666" s="36"/>
      <c r="K666" s="36">
        <v>0</v>
      </c>
      <c r="L666" s="36"/>
      <c r="M666" s="36">
        <v>50</v>
      </c>
      <c r="N666" s="36"/>
      <c r="O666" s="36">
        <v>11077.65</v>
      </c>
      <c r="P666" s="36"/>
      <c r="Q666" s="36">
        <v>17217.8</v>
      </c>
      <c r="R666" s="36"/>
      <c r="S666" s="36">
        <v>0</v>
      </c>
      <c r="T666" s="36"/>
      <c r="U666" s="36">
        <v>0</v>
      </c>
      <c r="V666" s="36"/>
      <c r="W666" s="36">
        <v>0</v>
      </c>
      <c r="X666" s="36"/>
      <c r="Y666" s="36">
        <v>0</v>
      </c>
      <c r="Z666" s="36"/>
      <c r="AA666" s="36">
        <v>852.93</v>
      </c>
      <c r="AB666" s="36"/>
      <c r="AC666" s="36">
        <v>0</v>
      </c>
      <c r="AD666" s="36"/>
      <c r="AE666" s="36">
        <f t="shared" si="276"/>
        <v>41080.14000000001</v>
      </c>
      <c r="AF666" s="36"/>
      <c r="AG666" s="36">
        <v>656.54</v>
      </c>
      <c r="AH666" s="36"/>
      <c r="AI666" s="36">
        <v>33293.01</v>
      </c>
      <c r="AJ666" s="36"/>
      <c r="AK666" s="36">
        <v>33949.55</v>
      </c>
      <c r="AL666" s="39">
        <f>+'Gov Rev'!AI665-'Gov Exp'!AE666+'Gov Exp'!AI666-'Gov Exp'!AK666</f>
        <v>0</v>
      </c>
      <c r="AM666" s="15" t="str">
        <f>'Gov Rev'!A665</f>
        <v>West Millgrove</v>
      </c>
      <c r="AN666" s="15" t="str">
        <f t="shared" si="252"/>
        <v>West Millgrove</v>
      </c>
      <c r="AO666" s="15" t="b">
        <f t="shared" si="253"/>
        <v>1</v>
      </c>
    </row>
    <row r="667" spans="1:41" ht="12.75">
      <c r="A667" s="15" t="s">
        <v>472</v>
      </c>
      <c r="C667" s="15" t="s">
        <v>470</v>
      </c>
      <c r="E667" s="24">
        <v>865764</v>
      </c>
      <c r="G667" s="24">
        <v>0</v>
      </c>
      <c r="I667" s="24">
        <v>37935</v>
      </c>
      <c r="K667" s="24">
        <v>1000</v>
      </c>
      <c r="M667" s="24">
        <v>0</v>
      </c>
      <c r="O667" s="24">
        <v>238989</v>
      </c>
      <c r="Q667" s="24">
        <v>491868</v>
      </c>
      <c r="S667" s="24">
        <v>128487</v>
      </c>
      <c r="U667" s="24">
        <v>221594</v>
      </c>
      <c r="W667" s="24">
        <v>28538</v>
      </c>
      <c r="Y667" s="24">
        <v>30000</v>
      </c>
      <c r="AA667" s="24">
        <v>0</v>
      </c>
      <c r="AC667" s="24">
        <v>0</v>
      </c>
      <c r="AE667" s="24">
        <f t="shared" si="247"/>
        <v>2044175</v>
      </c>
      <c r="AF667" s="24"/>
      <c r="AG667" s="24">
        <v>-26089</v>
      </c>
      <c r="AH667" s="24"/>
      <c r="AI667" s="24">
        <v>2772115</v>
      </c>
      <c r="AJ667" s="24"/>
      <c r="AK667" s="24">
        <v>2746026</v>
      </c>
      <c r="AL667" s="39">
        <f>+'Gov Rev'!AI666-'Gov Exp'!AE667+'Gov Exp'!AI667-'Gov Exp'!AK667</f>
        <v>0</v>
      </c>
      <c r="AM667" s="15" t="str">
        <f>'Gov Rev'!A666</f>
        <v>West Milton</v>
      </c>
      <c r="AN667" s="15" t="str">
        <f t="shared" si="252"/>
        <v>West Milton</v>
      </c>
      <c r="AO667" s="15" t="b">
        <f t="shared" si="253"/>
        <v>1</v>
      </c>
    </row>
    <row r="668" spans="1:41" s="31" customFormat="1" ht="12.6" customHeight="1">
      <c r="A668" s="15" t="s">
        <v>351</v>
      </c>
      <c r="B668" s="15"/>
      <c r="C668" s="15" t="s">
        <v>350</v>
      </c>
      <c r="D668" s="15"/>
      <c r="E668" s="24">
        <v>0</v>
      </c>
      <c r="F668" s="24"/>
      <c r="G668" s="24">
        <v>0</v>
      </c>
      <c r="H668" s="24"/>
      <c r="I668" s="24">
        <v>0</v>
      </c>
      <c r="J668" s="24"/>
      <c r="K668" s="24">
        <v>0</v>
      </c>
      <c r="L668" s="24"/>
      <c r="M668" s="24">
        <v>1855</v>
      </c>
      <c r="N668" s="24"/>
      <c r="O668" s="24">
        <v>0</v>
      </c>
      <c r="P668" s="24"/>
      <c r="Q668" s="24">
        <v>1593</v>
      </c>
      <c r="R668" s="24"/>
      <c r="S668" s="24">
        <v>0</v>
      </c>
      <c r="T668" s="24"/>
      <c r="U668" s="24">
        <v>0</v>
      </c>
      <c r="V668" s="24"/>
      <c r="W668" s="24">
        <v>0</v>
      </c>
      <c r="X668" s="24"/>
      <c r="Y668" s="24">
        <v>0</v>
      </c>
      <c r="Z668" s="24"/>
      <c r="AA668" s="24">
        <v>0</v>
      </c>
      <c r="AB668" s="24"/>
      <c r="AC668" s="96">
        <v>15987</v>
      </c>
      <c r="AD668" s="24"/>
      <c r="AE668" s="24">
        <f>SUM(E668:AC668)</f>
        <v>19435</v>
      </c>
      <c r="AF668" s="24"/>
      <c r="AG668" s="24">
        <v>13211</v>
      </c>
      <c r="AH668" s="24"/>
      <c r="AI668" s="24">
        <v>0</v>
      </c>
      <c r="AJ668" s="24"/>
      <c r="AK668" s="24">
        <v>13211</v>
      </c>
      <c r="AL668" s="39">
        <f>+'Gov Rev'!AI667-'Gov Exp'!AE668+'Gov Exp'!AI668-'Gov Exp'!AK668</f>
        <v>-1</v>
      </c>
      <c r="AM668" s="15" t="str">
        <f>'Gov Rev'!A667</f>
        <v>West Rushville</v>
      </c>
      <c r="AN668" s="15" t="str">
        <f t="shared" si="252"/>
        <v>West Rushville</v>
      </c>
      <c r="AO668" s="15" t="b">
        <f t="shared" si="253"/>
        <v>1</v>
      </c>
    </row>
    <row r="669" spans="1:41" ht="12.75">
      <c r="A669" s="15" t="s">
        <v>250</v>
      </c>
      <c r="C669" s="15" t="s">
        <v>823</v>
      </c>
      <c r="D669" s="28"/>
      <c r="E669" s="36">
        <v>141846.89</v>
      </c>
      <c r="F669" s="36"/>
      <c r="G669" s="36">
        <v>29635.37</v>
      </c>
      <c r="H669" s="36"/>
      <c r="I669" s="36">
        <v>3980.47</v>
      </c>
      <c r="J669" s="36"/>
      <c r="K669" s="36">
        <v>4656.21</v>
      </c>
      <c r="L669" s="36"/>
      <c r="M669" s="36">
        <v>0</v>
      </c>
      <c r="N669" s="36"/>
      <c r="O669" s="36">
        <v>100923.11</v>
      </c>
      <c r="P669" s="36"/>
      <c r="Q669" s="36">
        <v>185147.46</v>
      </c>
      <c r="R669" s="36"/>
      <c r="S669" s="36">
        <v>31411.19</v>
      </c>
      <c r="T669" s="36"/>
      <c r="U669" s="36">
        <v>74370.52</v>
      </c>
      <c r="V669" s="36"/>
      <c r="W669" s="36">
        <v>37574.68</v>
      </c>
      <c r="X669" s="36"/>
      <c r="Y669" s="36">
        <v>0</v>
      </c>
      <c r="Z669" s="36"/>
      <c r="AA669" s="36">
        <v>0</v>
      </c>
      <c r="AB669" s="36"/>
      <c r="AC669" s="36">
        <v>0</v>
      </c>
      <c r="AD669" s="36"/>
      <c r="AE669" s="36">
        <f aca="true" t="shared" si="277" ref="AE669:AE674">SUM(E669:AC669)</f>
        <v>609545.9</v>
      </c>
      <c r="AF669" s="36"/>
      <c r="AG669" s="36">
        <v>55233.99</v>
      </c>
      <c r="AH669" s="36"/>
      <c r="AI669" s="36">
        <v>286774.95</v>
      </c>
      <c r="AJ669" s="36"/>
      <c r="AK669" s="36">
        <v>342008.94</v>
      </c>
      <c r="AL669" s="39">
        <f>+'Gov Rev'!AI668-'Gov Exp'!AE669+'Gov Exp'!AI669-'Gov Exp'!AK669</f>
        <v>0</v>
      </c>
      <c r="AM669" s="15" t="str">
        <f>'Gov Rev'!A668</f>
        <v>West Salem</v>
      </c>
      <c r="AN669" s="15" t="str">
        <f t="shared" si="252"/>
        <v>West Salem</v>
      </c>
      <c r="AO669" s="15" t="b">
        <f t="shared" si="253"/>
        <v>1</v>
      </c>
    </row>
    <row r="670" spans="1:41" ht="12.75">
      <c r="A670" s="15" t="s">
        <v>0</v>
      </c>
      <c r="C670" s="15" t="s">
        <v>664</v>
      </c>
      <c r="D670" s="28"/>
      <c r="E670" s="36">
        <v>524395.01</v>
      </c>
      <c r="F670" s="36"/>
      <c r="G670" s="36">
        <v>13291.81</v>
      </c>
      <c r="H670" s="36"/>
      <c r="I670" s="36">
        <v>0</v>
      </c>
      <c r="J670" s="36"/>
      <c r="K670" s="36">
        <v>1530.99</v>
      </c>
      <c r="L670" s="36"/>
      <c r="M670" s="36">
        <v>0</v>
      </c>
      <c r="N670" s="36"/>
      <c r="O670" s="36">
        <v>130461.08</v>
      </c>
      <c r="P670" s="36"/>
      <c r="Q670" s="36">
        <v>299131.23</v>
      </c>
      <c r="R670" s="36"/>
      <c r="S670" s="36">
        <v>0</v>
      </c>
      <c r="T670" s="36"/>
      <c r="U670" s="36">
        <v>0</v>
      </c>
      <c r="V670" s="36"/>
      <c r="W670" s="36">
        <v>0</v>
      </c>
      <c r="X670" s="36"/>
      <c r="Y670" s="36">
        <v>0</v>
      </c>
      <c r="Z670" s="36"/>
      <c r="AA670" s="36">
        <v>0</v>
      </c>
      <c r="AB670" s="36"/>
      <c r="AC670" s="36">
        <v>11271.61</v>
      </c>
      <c r="AD670" s="36"/>
      <c r="AE670" s="36">
        <f t="shared" si="277"/>
        <v>980081.73</v>
      </c>
      <c r="AF670" s="36"/>
      <c r="AG670" s="36">
        <v>139938.21</v>
      </c>
      <c r="AH670" s="36"/>
      <c r="AI670" s="36">
        <v>972718.4</v>
      </c>
      <c r="AJ670" s="36"/>
      <c r="AK670" s="36">
        <v>1112656.61</v>
      </c>
      <c r="AL670" s="39">
        <f>+'Gov Rev'!AI669-'Gov Exp'!AE670+'Gov Exp'!AI670-'Gov Exp'!AK670</f>
        <v>0</v>
      </c>
      <c r="AM670" s="15" t="str">
        <f>'Gov Rev'!A669</f>
        <v>West Union</v>
      </c>
      <c r="AN670" s="15" t="str">
        <f t="shared" si="252"/>
        <v>West Union</v>
      </c>
      <c r="AO670" s="15" t="b">
        <f t="shared" si="253"/>
        <v>1</v>
      </c>
    </row>
    <row r="671" spans="1:41" ht="12.75">
      <c r="A671" s="15" t="s">
        <v>601</v>
      </c>
      <c r="C671" s="15" t="s">
        <v>598</v>
      </c>
      <c r="E671" s="92">
        <v>233921.67</v>
      </c>
      <c r="F671" s="92"/>
      <c r="G671" s="92">
        <v>5744</v>
      </c>
      <c r="H671" s="92"/>
      <c r="I671" s="92">
        <v>7723.83</v>
      </c>
      <c r="J671" s="92"/>
      <c r="K671" s="92">
        <v>4364.41</v>
      </c>
      <c r="L671" s="92"/>
      <c r="M671" s="92">
        <v>19910.99</v>
      </c>
      <c r="N671" s="92"/>
      <c r="O671" s="92">
        <v>76018.78</v>
      </c>
      <c r="P671" s="92"/>
      <c r="Q671" s="92">
        <v>213396.9</v>
      </c>
      <c r="R671" s="92"/>
      <c r="S671" s="92">
        <v>232276.01</v>
      </c>
      <c r="T671" s="92"/>
      <c r="U671" s="92">
        <v>216509.45</v>
      </c>
      <c r="V671" s="92"/>
      <c r="W671" s="92">
        <v>85299.53</v>
      </c>
      <c r="X671" s="92"/>
      <c r="Y671" s="92">
        <v>0</v>
      </c>
      <c r="Z671" s="92"/>
      <c r="AA671" s="92">
        <v>0</v>
      </c>
      <c r="AB671" s="92"/>
      <c r="AC671" s="92">
        <v>0</v>
      </c>
      <c r="AD671" s="92"/>
      <c r="AE671" s="92">
        <f t="shared" si="277"/>
        <v>1095165.57</v>
      </c>
      <c r="AF671" s="36"/>
      <c r="AG671" s="36">
        <v>123696.52</v>
      </c>
      <c r="AH671" s="36"/>
      <c r="AI671" s="36">
        <v>1228879.2</v>
      </c>
      <c r="AJ671" s="36"/>
      <c r="AK671" s="36">
        <v>1352575.72</v>
      </c>
      <c r="AL671" s="39">
        <f>+'Gov Rev'!AI670-'Gov Exp'!AE671+'Gov Exp'!AI671-'Gov Exp'!AK671</f>
        <v>0</v>
      </c>
      <c r="AM671" s="15" t="str">
        <f>'Gov Rev'!A670</f>
        <v>West Unity</v>
      </c>
      <c r="AN671" s="15" t="str">
        <f aca="true" t="shared" si="278" ref="AN671">A671</f>
        <v>West Unity</v>
      </c>
      <c r="AO671" s="15" t="b">
        <f aca="true" t="shared" si="279" ref="AO671">AM671=AN671</f>
        <v>1</v>
      </c>
    </row>
    <row r="672" spans="4:38" ht="12.75">
      <c r="D672" s="28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AE672" s="83" t="s">
        <v>864</v>
      </c>
      <c r="AF672" s="24"/>
      <c r="AG672" s="10"/>
      <c r="AH672" s="10"/>
      <c r="AI672" s="10"/>
      <c r="AJ672" s="10"/>
      <c r="AK672" s="10"/>
      <c r="AL672" s="39"/>
    </row>
    <row r="673" spans="1:41" ht="12.75">
      <c r="A673" s="15" t="s">
        <v>155</v>
      </c>
      <c r="C673" s="15" t="s">
        <v>792</v>
      </c>
      <c r="D673" s="28"/>
      <c r="E673" s="94">
        <v>229154.07</v>
      </c>
      <c r="F673" s="94"/>
      <c r="G673" s="94">
        <v>1280.02</v>
      </c>
      <c r="H673" s="94"/>
      <c r="I673" s="94">
        <v>5626.67</v>
      </c>
      <c r="J673" s="94"/>
      <c r="K673" s="94">
        <v>7485.9</v>
      </c>
      <c r="L673" s="94"/>
      <c r="M673" s="94">
        <v>0</v>
      </c>
      <c r="N673" s="94"/>
      <c r="O673" s="94">
        <v>177038.57</v>
      </c>
      <c r="P673" s="94"/>
      <c r="Q673" s="94">
        <v>279147.75</v>
      </c>
      <c r="R673" s="94"/>
      <c r="S673" s="94">
        <v>292308.36</v>
      </c>
      <c r="T673" s="94"/>
      <c r="U673" s="94">
        <v>0</v>
      </c>
      <c r="V673" s="94"/>
      <c r="W673" s="94">
        <v>0</v>
      </c>
      <c r="X673" s="94"/>
      <c r="Y673" s="94">
        <v>67041.43</v>
      </c>
      <c r="Z673" s="94"/>
      <c r="AA673" s="94">
        <v>0</v>
      </c>
      <c r="AB673" s="94"/>
      <c r="AC673" s="94">
        <v>0</v>
      </c>
      <c r="AD673" s="94"/>
      <c r="AE673" s="94">
        <f t="shared" si="277"/>
        <v>1059082.77</v>
      </c>
      <c r="AF673" s="36"/>
      <c r="AG673" s="36">
        <v>347867.14</v>
      </c>
      <c r="AH673" s="36"/>
      <c r="AI673" s="36">
        <v>783253.58</v>
      </c>
      <c r="AJ673" s="36"/>
      <c r="AK673" s="36">
        <v>1131120.72</v>
      </c>
      <c r="AL673" s="39">
        <f>+'Gov Rev'!AI671-'Gov Exp'!AE673+'Gov Exp'!AI673-'Gov Exp'!AK673</f>
        <v>0</v>
      </c>
      <c r="AM673" s="15" t="str">
        <f>'Gov Rev'!A671</f>
        <v>Westfield Cente</v>
      </c>
      <c r="AN673" s="15" t="str">
        <f t="shared" si="252"/>
        <v>Westfield Cente</v>
      </c>
      <c r="AO673" s="15" t="b">
        <f t="shared" si="253"/>
        <v>1</v>
      </c>
    </row>
    <row r="674" spans="1:41" ht="12.75">
      <c r="A674" s="15" t="s">
        <v>263</v>
      </c>
      <c r="C674" s="15" t="s">
        <v>603</v>
      </c>
      <c r="E674" s="36">
        <v>229520.81</v>
      </c>
      <c r="F674" s="36"/>
      <c r="G674" s="36">
        <v>41921.4</v>
      </c>
      <c r="H674" s="36"/>
      <c r="I674" s="36">
        <v>17607.54</v>
      </c>
      <c r="J674" s="36"/>
      <c r="K674" s="36">
        <v>45.56</v>
      </c>
      <c r="L674" s="36"/>
      <c r="M674" s="36">
        <v>5422.15</v>
      </c>
      <c r="N674" s="36"/>
      <c r="O674" s="36">
        <v>67285.3</v>
      </c>
      <c r="P674" s="36"/>
      <c r="Q674" s="36">
        <v>135016.93</v>
      </c>
      <c r="R674" s="36"/>
      <c r="S674" s="36">
        <v>44527</v>
      </c>
      <c r="T674" s="36"/>
      <c r="U674" s="36">
        <v>0</v>
      </c>
      <c r="V674" s="36"/>
      <c r="W674" s="36">
        <v>0</v>
      </c>
      <c r="X674" s="36"/>
      <c r="Y674" s="36">
        <v>22875</v>
      </c>
      <c r="Z674" s="36"/>
      <c r="AA674" s="36">
        <v>0</v>
      </c>
      <c r="AB674" s="36"/>
      <c r="AC674" s="36">
        <v>0</v>
      </c>
      <c r="AD674" s="36"/>
      <c r="AE674" s="36">
        <f t="shared" si="277"/>
        <v>564221.69</v>
      </c>
      <c r="AF674" s="36"/>
      <c r="AG674" s="36">
        <v>22332.33</v>
      </c>
      <c r="AH674" s="36"/>
      <c r="AI674" s="36">
        <v>878533.93</v>
      </c>
      <c r="AJ674" s="36"/>
      <c r="AK674" s="36">
        <v>900866.26</v>
      </c>
      <c r="AL674" s="39">
        <f>+'Gov Rev'!AI672-'Gov Exp'!AE674+'Gov Exp'!AI674-'Gov Exp'!AK674</f>
        <v>0</v>
      </c>
      <c r="AM674" s="15" t="str">
        <f>'Gov Rev'!A672</f>
        <v>Weston</v>
      </c>
      <c r="AN674" s="15" t="str">
        <f t="shared" si="252"/>
        <v>Weston</v>
      </c>
      <c r="AO674" s="15" t="b">
        <f t="shared" si="253"/>
        <v>1</v>
      </c>
    </row>
    <row r="675" spans="1:41" s="31" customFormat="1" ht="12.75" hidden="1">
      <c r="A675" s="15" t="s">
        <v>918</v>
      </c>
      <c r="B675" s="15"/>
      <c r="C675" s="15" t="s">
        <v>611</v>
      </c>
      <c r="D675" s="15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>
        <f t="shared" si="247"/>
        <v>0</v>
      </c>
      <c r="AF675" s="24"/>
      <c r="AG675" s="24"/>
      <c r="AH675" s="24"/>
      <c r="AI675" s="24"/>
      <c r="AJ675" s="24"/>
      <c r="AK675" s="24"/>
      <c r="AL675" s="39">
        <f>+'Gov Rev'!AI673-'Gov Exp'!AE675+'Gov Exp'!AI675-'Gov Exp'!AK675</f>
        <v>0</v>
      </c>
      <c r="AM675" s="15" t="str">
        <f>'Gov Rev'!A673</f>
        <v>Wharton</v>
      </c>
      <c r="AN675" s="15" t="str">
        <f t="shared" si="252"/>
        <v>Wharton</v>
      </c>
      <c r="AO675" s="15" t="b">
        <f t="shared" si="253"/>
        <v>1</v>
      </c>
    </row>
    <row r="676" spans="1:41" s="31" customFormat="1" ht="12.75">
      <c r="A676" s="15" t="s">
        <v>458</v>
      </c>
      <c r="B676" s="15"/>
      <c r="C676" s="15" t="s">
        <v>455</v>
      </c>
      <c r="D676" s="15"/>
      <c r="E676" s="24">
        <v>2107568</v>
      </c>
      <c r="F676" s="24"/>
      <c r="G676" s="24">
        <v>18500</v>
      </c>
      <c r="H676" s="24"/>
      <c r="I676" s="24">
        <v>84275</v>
      </c>
      <c r="J676" s="24"/>
      <c r="K676" s="24">
        <v>129791</v>
      </c>
      <c r="L676" s="24"/>
      <c r="M676" s="24">
        <v>301860</v>
      </c>
      <c r="N676" s="24"/>
      <c r="O676" s="24">
        <v>201025</v>
      </c>
      <c r="P676" s="24"/>
      <c r="Q676" s="24">
        <v>569984</v>
      </c>
      <c r="R676" s="24"/>
      <c r="S676" s="24">
        <v>1376408</v>
      </c>
      <c r="T676" s="24"/>
      <c r="U676" s="24">
        <f>305365+85385</f>
        <v>390750</v>
      </c>
      <c r="V676" s="24"/>
      <c r="W676" s="24">
        <v>0</v>
      </c>
      <c r="X676" s="24"/>
      <c r="Y676" s="24">
        <v>3054316</v>
      </c>
      <c r="Z676" s="24"/>
      <c r="AA676" s="24">
        <v>0</v>
      </c>
      <c r="AB676" s="24"/>
      <c r="AC676" s="24">
        <f>1358446+305365</f>
        <v>1663811</v>
      </c>
      <c r="AD676" s="24"/>
      <c r="AE676" s="24">
        <f t="shared" si="247"/>
        <v>9898288</v>
      </c>
      <c r="AF676" s="24"/>
      <c r="AG676" s="24">
        <v>157457</v>
      </c>
      <c r="AH676" s="24"/>
      <c r="AI676" s="24">
        <v>2950430</v>
      </c>
      <c r="AJ676" s="24"/>
      <c r="AK676" s="24">
        <v>3107887</v>
      </c>
      <c r="AL676" s="39">
        <f>+'Gov Rev'!AI674-'Gov Exp'!AE676+'Gov Exp'!AI676-'Gov Exp'!AK676</f>
        <v>-390748</v>
      </c>
      <c r="AM676" s="15" t="str">
        <f>'Gov Rev'!A674</f>
        <v>Whitehouse</v>
      </c>
      <c r="AN676" s="15" t="str">
        <f t="shared" si="252"/>
        <v>Whitehouse</v>
      </c>
      <c r="AO676" s="15" t="b">
        <f t="shared" si="253"/>
        <v>1</v>
      </c>
    </row>
    <row r="677" spans="1:41" ht="12.75">
      <c r="A677" s="15" t="s">
        <v>579</v>
      </c>
      <c r="C677" s="15" t="s">
        <v>82</v>
      </c>
      <c r="E677" s="24">
        <v>1198</v>
      </c>
      <c r="G677" s="24">
        <v>1134</v>
      </c>
      <c r="I677" s="24">
        <v>0</v>
      </c>
      <c r="K677" s="24">
        <v>0</v>
      </c>
      <c r="M677" s="24">
        <v>226</v>
      </c>
      <c r="O677" s="24">
        <v>2464</v>
      </c>
      <c r="Q677" s="24">
        <v>12549</v>
      </c>
      <c r="S677" s="24">
        <v>0</v>
      </c>
      <c r="U677" s="24">
        <v>0</v>
      </c>
      <c r="W677" s="24">
        <v>0</v>
      </c>
      <c r="Y677" s="24">
        <v>0</v>
      </c>
      <c r="AA677" s="24">
        <v>0</v>
      </c>
      <c r="AC677" s="24">
        <v>0</v>
      </c>
      <c r="AE677" s="24">
        <f aca="true" t="shared" si="280" ref="AE677:AE697">SUM(E677:AC677)</f>
        <v>17571</v>
      </c>
      <c r="AF677" s="24"/>
      <c r="AG677" s="24">
        <v>666</v>
      </c>
      <c r="AH677" s="24"/>
      <c r="AI677" s="24">
        <v>0</v>
      </c>
      <c r="AJ677" s="24"/>
      <c r="AK677" s="24">
        <v>666</v>
      </c>
      <c r="AL677" s="39">
        <f>+'Gov Rev'!AI675-'Gov Exp'!AE677+'Gov Exp'!AI677-'Gov Exp'!AK677</f>
        <v>0</v>
      </c>
      <c r="AM677" s="15" t="str">
        <f>'Gov Rev'!A675</f>
        <v>Wilkesville</v>
      </c>
      <c r="AN677" s="15" t="str">
        <f t="shared" si="252"/>
        <v>Wilkesville</v>
      </c>
      <c r="AO677" s="15" t="b">
        <f t="shared" si="253"/>
        <v>1</v>
      </c>
    </row>
    <row r="678" spans="1:41" ht="12.75">
      <c r="A678" s="15" t="s">
        <v>40</v>
      </c>
      <c r="C678" s="15" t="s">
        <v>756</v>
      </c>
      <c r="D678" s="28"/>
      <c r="E678" s="36">
        <v>337465.87</v>
      </c>
      <c r="F678" s="36"/>
      <c r="G678" s="36">
        <v>6695.42</v>
      </c>
      <c r="H678" s="36"/>
      <c r="I678" s="36">
        <v>22797.14</v>
      </c>
      <c r="J678" s="36"/>
      <c r="K678" s="36">
        <v>43137.23</v>
      </c>
      <c r="L678" s="36"/>
      <c r="M678" s="36">
        <v>0</v>
      </c>
      <c r="N678" s="36"/>
      <c r="O678" s="36">
        <v>148596.73</v>
      </c>
      <c r="P678" s="36"/>
      <c r="Q678" s="36">
        <v>177806.41</v>
      </c>
      <c r="R678" s="36"/>
      <c r="S678" s="36">
        <v>34477.73</v>
      </c>
      <c r="T678" s="36"/>
      <c r="U678" s="36">
        <v>0</v>
      </c>
      <c r="V678" s="36"/>
      <c r="W678" s="36">
        <v>0</v>
      </c>
      <c r="X678" s="36"/>
      <c r="Y678" s="36">
        <v>25211.64</v>
      </c>
      <c r="Z678" s="36"/>
      <c r="AA678" s="36">
        <v>0</v>
      </c>
      <c r="AB678" s="36"/>
      <c r="AC678" s="36">
        <v>0</v>
      </c>
      <c r="AD678" s="36"/>
      <c r="AE678" s="36">
        <f aca="true" t="shared" si="281" ref="AE678">SUM(E678:AC678)</f>
        <v>796188.17</v>
      </c>
      <c r="AF678" s="36"/>
      <c r="AG678" s="36">
        <v>143816.61</v>
      </c>
      <c r="AH678" s="36"/>
      <c r="AI678" s="36">
        <v>886461.61</v>
      </c>
      <c r="AJ678" s="36"/>
      <c r="AK678" s="36">
        <v>1030278.22</v>
      </c>
      <c r="AL678" s="39">
        <f>+'Gov Rev'!AI676-'Gov Exp'!AE678+'Gov Exp'!AI678-'Gov Exp'!AK678</f>
        <v>0</v>
      </c>
      <c r="AM678" s="15" t="str">
        <f>'Gov Rev'!A676</f>
        <v>Williamsburg</v>
      </c>
      <c r="AN678" s="15" t="str">
        <f t="shared" si="252"/>
        <v>Williamsburg</v>
      </c>
      <c r="AO678" s="15" t="b">
        <f t="shared" si="253"/>
        <v>1</v>
      </c>
    </row>
    <row r="679" spans="1:41" ht="12.75">
      <c r="A679" s="15" t="s">
        <v>192</v>
      </c>
      <c r="C679" s="15" t="s">
        <v>804</v>
      </c>
      <c r="D679" s="28"/>
      <c r="E679" s="95">
        <v>78123.34</v>
      </c>
      <c r="F679" s="95"/>
      <c r="G679" s="95">
        <v>3883.42</v>
      </c>
      <c r="H679" s="95"/>
      <c r="I679" s="95">
        <v>10460.25</v>
      </c>
      <c r="J679" s="95"/>
      <c r="K679" s="95">
        <v>300.09</v>
      </c>
      <c r="L679" s="95"/>
      <c r="M679" s="95">
        <v>0</v>
      </c>
      <c r="N679" s="95"/>
      <c r="O679" s="95">
        <v>14892.11</v>
      </c>
      <c r="P679" s="95"/>
      <c r="Q679" s="95">
        <v>52226.16</v>
      </c>
      <c r="R679" s="95"/>
      <c r="S679" s="95">
        <v>26963.14</v>
      </c>
      <c r="T679" s="95"/>
      <c r="U679" s="95">
        <v>3407.48</v>
      </c>
      <c r="V679" s="95"/>
      <c r="W679" s="95">
        <v>0</v>
      </c>
      <c r="X679" s="95"/>
      <c r="Y679" s="95">
        <v>0</v>
      </c>
      <c r="Z679" s="95"/>
      <c r="AA679" s="95">
        <v>0</v>
      </c>
      <c r="AB679" s="95"/>
      <c r="AC679" s="95">
        <v>0</v>
      </c>
      <c r="AD679" s="95"/>
      <c r="AE679" s="95">
        <f aca="true" t="shared" si="282" ref="AE679">SUM(E679:AC679)</f>
        <v>190255.99000000002</v>
      </c>
      <c r="AF679" s="95"/>
      <c r="AG679" s="95">
        <v>-28929.69</v>
      </c>
      <c r="AH679" s="95"/>
      <c r="AI679" s="95">
        <v>395076.87</v>
      </c>
      <c r="AJ679" s="95"/>
      <c r="AK679" s="95">
        <v>366147.18</v>
      </c>
      <c r="AL679" s="39">
        <f>+'Gov Rev'!AI677-'Gov Exp'!AE679+'Gov Exp'!AI679-'Gov Exp'!AK679</f>
        <v>0</v>
      </c>
      <c r="AM679" s="15" t="str">
        <f>'Gov Rev'!A677</f>
        <v>Williamsport</v>
      </c>
      <c r="AN679" s="15" t="str">
        <f t="shared" si="252"/>
        <v>Williamsport</v>
      </c>
      <c r="AO679" s="15" t="b">
        <f t="shared" si="253"/>
        <v>1</v>
      </c>
    </row>
    <row r="680" spans="1:41" ht="12.75">
      <c r="A680" s="15" t="s">
        <v>578</v>
      </c>
      <c r="C680" s="15" t="s">
        <v>574</v>
      </c>
      <c r="E680" s="96">
        <v>49348.89</v>
      </c>
      <c r="F680" s="96"/>
      <c r="G680" s="96">
        <v>8860.27</v>
      </c>
      <c r="H680" s="96"/>
      <c r="I680" s="96">
        <v>1400</v>
      </c>
      <c r="J680" s="96"/>
      <c r="K680" s="96">
        <v>0</v>
      </c>
      <c r="L680" s="96"/>
      <c r="M680" s="96">
        <v>0</v>
      </c>
      <c r="N680" s="96"/>
      <c r="O680" s="96">
        <v>11755.72</v>
      </c>
      <c r="P680" s="96"/>
      <c r="Q680" s="96">
        <v>69758.54</v>
      </c>
      <c r="R680" s="96"/>
      <c r="S680" s="96">
        <v>22858.03</v>
      </c>
      <c r="T680" s="96"/>
      <c r="U680" s="96">
        <v>0</v>
      </c>
      <c r="V680" s="96"/>
      <c r="W680" s="96">
        <v>0</v>
      </c>
      <c r="X680" s="96"/>
      <c r="Y680" s="96">
        <v>0</v>
      </c>
      <c r="Z680" s="96"/>
      <c r="AA680" s="96">
        <v>0</v>
      </c>
      <c r="AB680" s="96"/>
      <c r="AC680" s="96">
        <v>0</v>
      </c>
      <c r="AD680" s="96"/>
      <c r="AE680" s="96">
        <f aca="true" t="shared" si="283" ref="AE680:AE681">SUM(E680:AC680)</f>
        <v>163981.44999999998</v>
      </c>
      <c r="AF680" s="36"/>
      <c r="AG680" s="36">
        <v>46961.88</v>
      </c>
      <c r="AH680" s="36"/>
      <c r="AI680" s="36">
        <v>262887.95</v>
      </c>
      <c r="AJ680" s="36"/>
      <c r="AK680" s="36">
        <v>309849.83</v>
      </c>
      <c r="AL680" s="39">
        <f>+'Gov Rev'!AI678-'Gov Exp'!AE680+'Gov Exp'!AI680-'Gov Exp'!AK680</f>
        <v>0</v>
      </c>
      <c r="AM680" s="15" t="str">
        <f>'Gov Rev'!A678</f>
        <v>Willshire</v>
      </c>
      <c r="AN680" s="15" t="str">
        <f t="shared" si="252"/>
        <v>Willshire</v>
      </c>
      <c r="AO680" s="15" t="b">
        <f t="shared" si="253"/>
        <v>1</v>
      </c>
    </row>
    <row r="681" spans="1:41" ht="12.75">
      <c r="A681" s="15" t="s">
        <v>858</v>
      </c>
      <c r="C681" s="15" t="s">
        <v>815</v>
      </c>
      <c r="D681" s="28"/>
      <c r="E681" s="36">
        <v>66219.34</v>
      </c>
      <c r="F681" s="36"/>
      <c r="G681" s="36">
        <v>1037</v>
      </c>
      <c r="H681" s="36"/>
      <c r="I681" s="36">
        <v>3395.98</v>
      </c>
      <c r="J681" s="36"/>
      <c r="K681" s="36">
        <v>100</v>
      </c>
      <c r="L681" s="36"/>
      <c r="M681" s="36">
        <v>380</v>
      </c>
      <c r="N681" s="36"/>
      <c r="O681" s="36">
        <v>13659.11</v>
      </c>
      <c r="P681" s="36"/>
      <c r="Q681" s="36">
        <v>30877.25</v>
      </c>
      <c r="R681" s="36"/>
      <c r="S681" s="36">
        <v>0</v>
      </c>
      <c r="T681" s="36"/>
      <c r="U681" s="36">
        <v>3728.01</v>
      </c>
      <c r="V681" s="36"/>
      <c r="W681" s="36">
        <v>488.09</v>
      </c>
      <c r="X681" s="36"/>
      <c r="Y681" s="36">
        <v>0</v>
      </c>
      <c r="Z681" s="36"/>
      <c r="AA681" s="36">
        <v>0</v>
      </c>
      <c r="AB681" s="36"/>
      <c r="AC681" s="36">
        <v>0</v>
      </c>
      <c r="AD681" s="36"/>
      <c r="AE681" s="36">
        <f t="shared" si="283"/>
        <v>119884.77999999998</v>
      </c>
      <c r="AF681" s="36"/>
      <c r="AG681" s="36">
        <v>15154.25</v>
      </c>
      <c r="AH681" s="36"/>
      <c r="AI681" s="36">
        <v>65986.88</v>
      </c>
      <c r="AJ681" s="36"/>
      <c r="AK681" s="36">
        <v>81141.13</v>
      </c>
      <c r="AL681" s="39">
        <f>+'Gov Rev'!AI679-'Gov Exp'!AE681+'Gov Exp'!AI681-'Gov Exp'!AK681</f>
        <v>0</v>
      </c>
      <c r="AM681" s="15" t="str">
        <f>'Gov Rev'!A679</f>
        <v>Wilmot</v>
      </c>
      <c r="AN681" s="15" t="str">
        <f t="shared" si="252"/>
        <v>Wilmot</v>
      </c>
      <c r="AO681" s="15" t="b">
        <f t="shared" si="253"/>
        <v>1</v>
      </c>
    </row>
    <row r="682" spans="1:41" ht="12.75">
      <c r="A682" s="15" t="s">
        <v>478</v>
      </c>
      <c r="C682" s="15" t="s">
        <v>474</v>
      </c>
      <c r="E682" s="24">
        <f>2250+5464</f>
        <v>7714</v>
      </c>
      <c r="G682" s="24">
        <v>0</v>
      </c>
      <c r="I682" s="24">
        <v>0</v>
      </c>
      <c r="K682" s="24">
        <v>0</v>
      </c>
      <c r="M682" s="24">
        <v>0</v>
      </c>
      <c r="O682" s="24">
        <v>63487</v>
      </c>
      <c r="Q682" s="24">
        <f>6258+378</f>
        <v>6636</v>
      </c>
      <c r="S682" s="24">
        <v>0</v>
      </c>
      <c r="U682" s="24">
        <v>2937</v>
      </c>
      <c r="W682" s="24">
        <v>0</v>
      </c>
      <c r="Y682" s="24">
        <v>0</v>
      </c>
      <c r="AA682" s="24">
        <v>0</v>
      </c>
      <c r="AC682" s="24">
        <v>0</v>
      </c>
      <c r="AE682" s="24">
        <f t="shared" si="280"/>
        <v>80774</v>
      </c>
      <c r="AF682" s="24"/>
      <c r="AG682" s="24">
        <f>-331+-57521</f>
        <v>-57852</v>
      </c>
      <c r="AH682" s="24"/>
      <c r="AI682" s="24">
        <f>1631+95611</f>
        <v>97242</v>
      </c>
      <c r="AJ682" s="24"/>
      <c r="AK682" s="24">
        <f>1300+38090</f>
        <v>39390</v>
      </c>
      <c r="AL682" s="39">
        <f>+'Gov Rev'!AI680-'Gov Exp'!AE682+'Gov Exp'!AI682-'Gov Exp'!AK682</f>
        <v>370</v>
      </c>
      <c r="AM682" s="15" t="str">
        <f>'Gov Rev'!A680</f>
        <v>Wilson</v>
      </c>
      <c r="AN682" s="15" t="str">
        <f aca="true" t="shared" si="284" ref="AN682:AN698">A682</f>
        <v>Wilson</v>
      </c>
      <c r="AO682" s="15" t="b">
        <f aca="true" t="shared" si="285" ref="AO682:AO698">AM682=AN682</f>
        <v>1</v>
      </c>
    </row>
    <row r="683" spans="1:41" ht="12.75">
      <c r="A683" s="15" t="s">
        <v>1</v>
      </c>
      <c r="C683" s="15" t="s">
        <v>664</v>
      </c>
      <c r="D683" s="28"/>
      <c r="E683" s="95">
        <v>164921.42</v>
      </c>
      <c r="F683" s="95"/>
      <c r="G683" s="95">
        <v>0</v>
      </c>
      <c r="H683" s="95"/>
      <c r="I683" s="95">
        <v>0</v>
      </c>
      <c r="J683" s="95"/>
      <c r="K683" s="95">
        <v>0</v>
      </c>
      <c r="L683" s="95"/>
      <c r="M683" s="95">
        <v>0</v>
      </c>
      <c r="N683" s="95"/>
      <c r="O683" s="95">
        <v>56869.18</v>
      </c>
      <c r="P683" s="95"/>
      <c r="Q683" s="95">
        <v>55401.35</v>
      </c>
      <c r="R683" s="95"/>
      <c r="S683" s="95">
        <v>35634</v>
      </c>
      <c r="T683" s="95"/>
      <c r="U683" s="95">
        <v>7093.08</v>
      </c>
      <c r="V683" s="95"/>
      <c r="W683" s="95">
        <v>990.24</v>
      </c>
      <c r="X683" s="95"/>
      <c r="Y683" s="95">
        <v>0</v>
      </c>
      <c r="Z683" s="95"/>
      <c r="AA683" s="95">
        <v>20000</v>
      </c>
      <c r="AB683" s="95"/>
      <c r="AC683" s="95">
        <v>0</v>
      </c>
      <c r="AD683" s="95"/>
      <c r="AE683" s="95">
        <f aca="true" t="shared" si="286" ref="AE683">SUM(E683:AC683)</f>
        <v>340909.27</v>
      </c>
      <c r="AF683" s="95"/>
      <c r="AG683" s="95">
        <v>-292.25</v>
      </c>
      <c r="AH683" s="95"/>
      <c r="AI683" s="95">
        <v>114441.74</v>
      </c>
      <c r="AJ683" s="95"/>
      <c r="AK683" s="95">
        <v>114149.49</v>
      </c>
      <c r="AL683" s="39">
        <f>+'Gov Rev'!AI681-'Gov Exp'!AE683+'Gov Exp'!AI683-'Gov Exp'!AK683</f>
        <v>0</v>
      </c>
      <c r="AM683" s="15" t="str">
        <f>'Gov Rev'!A681</f>
        <v>Winchester</v>
      </c>
      <c r="AN683" s="15" t="str">
        <f t="shared" si="284"/>
        <v>Winchester</v>
      </c>
      <c r="AO683" s="15" t="b">
        <f t="shared" si="285"/>
        <v>1</v>
      </c>
    </row>
    <row r="684" spans="1:41" ht="12.75">
      <c r="A684" s="15" t="s">
        <v>197</v>
      </c>
      <c r="C684" s="15" t="s">
        <v>806</v>
      </c>
      <c r="D684" s="28"/>
      <c r="E684" s="36">
        <v>635952.5</v>
      </c>
      <c r="F684" s="36"/>
      <c r="G684" s="36">
        <v>0</v>
      </c>
      <c r="H684" s="36"/>
      <c r="I684" s="36">
        <v>1680.56</v>
      </c>
      <c r="J684" s="36"/>
      <c r="K684" s="36">
        <v>10058.01</v>
      </c>
      <c r="L684" s="36"/>
      <c r="M684" s="36">
        <v>1542.8</v>
      </c>
      <c r="N684" s="36"/>
      <c r="O684" s="36">
        <v>83801.14</v>
      </c>
      <c r="P684" s="36"/>
      <c r="Q684" s="36">
        <v>316598.88</v>
      </c>
      <c r="R684" s="36"/>
      <c r="S684" s="36">
        <v>147715.97</v>
      </c>
      <c r="T684" s="36"/>
      <c r="U684" s="36">
        <v>0</v>
      </c>
      <c r="V684" s="36"/>
      <c r="W684" s="36">
        <v>0</v>
      </c>
      <c r="X684" s="36"/>
      <c r="Y684" s="36">
        <v>19143.19</v>
      </c>
      <c r="Z684" s="36"/>
      <c r="AA684" s="36">
        <v>17000</v>
      </c>
      <c r="AB684" s="36"/>
      <c r="AC684" s="36">
        <v>400</v>
      </c>
      <c r="AD684" s="36"/>
      <c r="AE684" s="36">
        <f aca="true" t="shared" si="287" ref="AE684:AE685">SUM(E684:AC684)</f>
        <v>1233893.05</v>
      </c>
      <c r="AF684" s="36"/>
      <c r="AG684" s="36">
        <v>41619.27</v>
      </c>
      <c r="AH684" s="36"/>
      <c r="AI684" s="36">
        <v>206218.94</v>
      </c>
      <c r="AJ684" s="36"/>
      <c r="AK684" s="36">
        <v>247838.21</v>
      </c>
      <c r="AL684" s="39">
        <f>+'Gov Rev'!AI682-'Gov Exp'!AE684+'Gov Exp'!AI684-'Gov Exp'!AK684</f>
        <v>0</v>
      </c>
      <c r="AM684" s="15" t="str">
        <f>'Gov Rev'!A682</f>
        <v>Windham</v>
      </c>
      <c r="AN684" s="15" t="str">
        <f t="shared" si="284"/>
        <v>Windham</v>
      </c>
      <c r="AO684" s="15" t="b">
        <f t="shared" si="285"/>
        <v>1</v>
      </c>
    </row>
    <row r="685" spans="1:41" ht="12.75">
      <c r="A685" s="15" t="s">
        <v>859</v>
      </c>
      <c r="C685" s="15" t="s">
        <v>781</v>
      </c>
      <c r="D685" s="28"/>
      <c r="E685" s="36">
        <v>1052277.49</v>
      </c>
      <c r="F685" s="36"/>
      <c r="G685" s="36">
        <v>11762</v>
      </c>
      <c r="H685" s="36"/>
      <c r="I685" s="36">
        <v>19517.14</v>
      </c>
      <c r="J685" s="36"/>
      <c r="K685" s="36">
        <v>5799.5</v>
      </c>
      <c r="L685" s="36"/>
      <c r="M685" s="36">
        <v>0</v>
      </c>
      <c r="N685" s="36"/>
      <c r="O685" s="36">
        <v>482421.98</v>
      </c>
      <c r="P685" s="36"/>
      <c r="Q685" s="36">
        <v>274556.77</v>
      </c>
      <c r="R685" s="36"/>
      <c r="S685" s="36">
        <v>0</v>
      </c>
      <c r="T685" s="36"/>
      <c r="U685" s="36">
        <v>70089.8</v>
      </c>
      <c r="V685" s="36"/>
      <c r="W685" s="36">
        <v>17832.89</v>
      </c>
      <c r="X685" s="36"/>
      <c r="Y685" s="36">
        <v>79400</v>
      </c>
      <c r="Z685" s="36"/>
      <c r="AA685" s="36">
        <v>247658</v>
      </c>
      <c r="AB685" s="36"/>
      <c r="AC685" s="36">
        <v>0</v>
      </c>
      <c r="AD685" s="36"/>
      <c r="AE685" s="36">
        <f t="shared" si="287"/>
        <v>2261315.57</v>
      </c>
      <c r="AF685" s="36"/>
      <c r="AG685" s="36">
        <v>19147.82</v>
      </c>
      <c r="AH685" s="36"/>
      <c r="AI685" s="36">
        <v>473505.24</v>
      </c>
      <c r="AJ685" s="36"/>
      <c r="AK685" s="36">
        <v>492653.06</v>
      </c>
      <c r="AL685" s="39">
        <f>+'Gov Rev'!AI683-'Gov Exp'!AE685+'Gov Exp'!AI685-'Gov Exp'!AK685</f>
        <v>0</v>
      </c>
      <c r="AM685" s="15" t="str">
        <f>'Gov Rev'!A683</f>
        <v>Wintersville</v>
      </c>
      <c r="AN685" s="15" t="str">
        <f t="shared" si="284"/>
        <v>Wintersville</v>
      </c>
      <c r="AO685" s="15" t="b">
        <f t="shared" si="285"/>
        <v>1</v>
      </c>
    </row>
    <row r="686" spans="1:41" s="31" customFormat="1" ht="12.75" hidden="1">
      <c r="A686" s="15" t="s">
        <v>386</v>
      </c>
      <c r="B686" s="15"/>
      <c r="C686" s="15" t="s">
        <v>378</v>
      </c>
      <c r="D686" s="15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>
        <f t="shared" si="280"/>
        <v>0</v>
      </c>
      <c r="AF686" s="24"/>
      <c r="AG686" s="24"/>
      <c r="AH686" s="24"/>
      <c r="AI686" s="24"/>
      <c r="AJ686" s="24"/>
      <c r="AK686" s="24"/>
      <c r="AL686" s="39">
        <f>+'Gov Rev'!AI684-'Gov Exp'!AE686+'Gov Exp'!AI686-'Gov Exp'!AK686</f>
        <v>0</v>
      </c>
      <c r="AM686" s="15" t="str">
        <f>'Gov Rev'!A684</f>
        <v>Woodlawn</v>
      </c>
      <c r="AN686" s="15" t="str">
        <f t="shared" si="284"/>
        <v>Woodlawn</v>
      </c>
      <c r="AO686" s="15" t="b">
        <f t="shared" si="285"/>
        <v>1</v>
      </c>
    </row>
    <row r="687" spans="1:41" ht="12.6" customHeight="1">
      <c r="A687" s="15" t="s">
        <v>327</v>
      </c>
      <c r="C687" s="15" t="s">
        <v>316</v>
      </c>
      <c r="E687" s="24">
        <v>1713154</v>
      </c>
      <c r="G687" s="24">
        <v>4047</v>
      </c>
      <c r="I687" s="24">
        <v>0</v>
      </c>
      <c r="K687" s="24">
        <v>7152</v>
      </c>
      <c r="M687" s="24">
        <v>62760</v>
      </c>
      <c r="O687" s="24">
        <v>69312</v>
      </c>
      <c r="Q687" s="24">
        <v>927864</v>
      </c>
      <c r="S687" s="24">
        <v>81555</v>
      </c>
      <c r="U687" s="24">
        <v>376294</v>
      </c>
      <c r="W687" s="24">
        <v>0</v>
      </c>
      <c r="Y687" s="24">
        <v>38900</v>
      </c>
      <c r="AA687" s="24">
        <v>70650</v>
      </c>
      <c r="AC687" s="24">
        <v>187537</v>
      </c>
      <c r="AE687" s="24">
        <f t="shared" si="280"/>
        <v>3539225</v>
      </c>
      <c r="AF687" s="24"/>
      <c r="AG687" s="24">
        <v>33634</v>
      </c>
      <c r="AH687" s="24"/>
      <c r="AI687" s="24">
        <v>642236</v>
      </c>
      <c r="AJ687" s="24"/>
      <c r="AK687" s="24">
        <v>675870</v>
      </c>
      <c r="AL687" s="39">
        <f>+'Gov Rev'!AI685-'Gov Exp'!AE687+'Gov Exp'!AI687-'Gov Exp'!AK687</f>
        <v>0</v>
      </c>
      <c r="AM687" s="15" t="str">
        <f>'Gov Rev'!A685</f>
        <v>Woodmere</v>
      </c>
      <c r="AN687" s="15" t="str">
        <f t="shared" si="284"/>
        <v>Woodmere</v>
      </c>
      <c r="AO687" s="15" t="b">
        <f t="shared" si="285"/>
        <v>1</v>
      </c>
    </row>
    <row r="688" spans="1:41" ht="12.75">
      <c r="A688" s="15" t="s">
        <v>166</v>
      </c>
      <c r="C688" s="15" t="s">
        <v>796</v>
      </c>
      <c r="D688" s="28"/>
      <c r="E688" s="36">
        <v>345768.72</v>
      </c>
      <c r="F688" s="36"/>
      <c r="G688" s="36">
        <v>107046.53</v>
      </c>
      <c r="H688" s="36"/>
      <c r="I688" s="36">
        <v>75093.91</v>
      </c>
      <c r="J688" s="36"/>
      <c r="K688" s="36">
        <v>0</v>
      </c>
      <c r="L688" s="36"/>
      <c r="M688" s="36">
        <v>0</v>
      </c>
      <c r="N688" s="36"/>
      <c r="O688" s="36">
        <v>292978.95</v>
      </c>
      <c r="P688" s="36"/>
      <c r="Q688" s="36">
        <v>194493.88</v>
      </c>
      <c r="R688" s="36"/>
      <c r="S688" s="36">
        <v>560959.31</v>
      </c>
      <c r="T688" s="36"/>
      <c r="U688" s="36">
        <v>97250.09</v>
      </c>
      <c r="V688" s="36"/>
      <c r="W688" s="36">
        <v>27046.36</v>
      </c>
      <c r="X688" s="36"/>
      <c r="Y688" s="36">
        <v>0</v>
      </c>
      <c r="Z688" s="36"/>
      <c r="AA688" s="36">
        <v>0</v>
      </c>
      <c r="AB688" s="36"/>
      <c r="AC688" s="36">
        <v>0</v>
      </c>
      <c r="AD688" s="36"/>
      <c r="AE688" s="36">
        <f aca="true" t="shared" si="288" ref="AE688:AE689">SUM(E688:AC688)</f>
        <v>1700637.7500000005</v>
      </c>
      <c r="AF688" s="36"/>
      <c r="AG688" s="36">
        <v>13026.86</v>
      </c>
      <c r="AH688" s="36"/>
      <c r="AI688" s="36">
        <v>1784053.43</v>
      </c>
      <c r="AJ688" s="36"/>
      <c r="AK688" s="36">
        <v>1797080.29</v>
      </c>
      <c r="AL688" s="39">
        <f>+'Gov Rev'!AI686-'Gov Exp'!AE688+'Gov Exp'!AI688-'Gov Exp'!AK688</f>
        <v>0</v>
      </c>
      <c r="AM688" s="15" t="str">
        <f>'Gov Rev'!A686</f>
        <v>Woodsfield</v>
      </c>
      <c r="AN688" s="15" t="str">
        <f t="shared" si="284"/>
        <v>Woodsfield</v>
      </c>
      <c r="AO688" s="15" t="b">
        <f t="shared" si="285"/>
        <v>1</v>
      </c>
    </row>
    <row r="689" spans="1:41" ht="12.6" customHeight="1">
      <c r="A689" s="15" t="s">
        <v>290</v>
      </c>
      <c r="C689" s="15" t="s">
        <v>287</v>
      </c>
      <c r="E689" s="36">
        <v>5064.33</v>
      </c>
      <c r="F689" s="36"/>
      <c r="G689" s="36">
        <v>698.28</v>
      </c>
      <c r="H689" s="36"/>
      <c r="I689" s="36">
        <v>4510.4</v>
      </c>
      <c r="J689" s="36"/>
      <c r="K689" s="36">
        <v>75</v>
      </c>
      <c r="L689" s="36"/>
      <c r="M689" s="36">
        <v>0</v>
      </c>
      <c r="N689" s="36"/>
      <c r="O689" s="36">
        <v>28664.03</v>
      </c>
      <c r="P689" s="36"/>
      <c r="Q689" s="36">
        <v>35822.82</v>
      </c>
      <c r="R689" s="36"/>
      <c r="S689" s="36">
        <v>9417</v>
      </c>
      <c r="T689" s="36"/>
      <c r="U689" s="36">
        <v>0</v>
      </c>
      <c r="V689" s="36"/>
      <c r="W689" s="36">
        <v>0</v>
      </c>
      <c r="X689" s="36"/>
      <c r="Y689" s="36">
        <v>7500</v>
      </c>
      <c r="Z689" s="36"/>
      <c r="AA689" s="36">
        <v>0</v>
      </c>
      <c r="AB689" s="36"/>
      <c r="AC689" s="36">
        <v>0</v>
      </c>
      <c r="AD689" s="36"/>
      <c r="AE689" s="36">
        <f t="shared" si="288"/>
        <v>91751.85999999999</v>
      </c>
      <c r="AF689" s="36"/>
      <c r="AG689" s="36">
        <v>-14937.74</v>
      </c>
      <c r="AH689" s="36"/>
      <c r="AI689" s="36">
        <v>78031.59</v>
      </c>
      <c r="AJ689" s="36"/>
      <c r="AK689" s="36">
        <v>63093.85</v>
      </c>
      <c r="AL689" s="39">
        <f>+'Gov Rev'!AI687-'Gov Exp'!AE689+'Gov Exp'!AI689-'Gov Exp'!AK689</f>
        <v>0</v>
      </c>
      <c r="AM689" s="15" t="str">
        <f>'Gov Rev'!A687</f>
        <v>Woodstock</v>
      </c>
      <c r="AN689" s="15" t="str">
        <f t="shared" si="284"/>
        <v>Woodstock</v>
      </c>
      <c r="AO689" s="15" t="b">
        <f t="shared" si="285"/>
        <v>1</v>
      </c>
    </row>
    <row r="690" spans="1:41" ht="12.75">
      <c r="A690" s="15" t="s">
        <v>529</v>
      </c>
      <c r="C690" s="15" t="s">
        <v>527</v>
      </c>
      <c r="E690" s="24">
        <v>413332</v>
      </c>
      <c r="G690" s="24">
        <v>1248</v>
      </c>
      <c r="I690" s="24">
        <v>44224</v>
      </c>
      <c r="K690" s="24">
        <v>10977</v>
      </c>
      <c r="M690" s="24">
        <v>0</v>
      </c>
      <c r="O690" s="24">
        <v>150536</v>
      </c>
      <c r="Q690" s="24">
        <v>129355</v>
      </c>
      <c r="S690" s="24">
        <v>57477</v>
      </c>
      <c r="U690" s="24">
        <v>0</v>
      </c>
      <c r="W690" s="24">
        <v>0</v>
      </c>
      <c r="Y690" s="24">
        <v>69327</v>
      </c>
      <c r="AA690" s="24">
        <v>0</v>
      </c>
      <c r="AC690" s="24">
        <v>0</v>
      </c>
      <c r="AD690" s="37"/>
      <c r="AE690" s="24">
        <f t="shared" si="280"/>
        <v>876476</v>
      </c>
      <c r="AF690" s="24"/>
      <c r="AG690" s="24">
        <v>-83327</v>
      </c>
      <c r="AH690" s="24"/>
      <c r="AI690" s="24">
        <v>478771</v>
      </c>
      <c r="AJ690" s="24"/>
      <c r="AK690" s="24">
        <v>395444</v>
      </c>
      <c r="AL690" s="39">
        <f>+'Gov Rev'!AI688-'Gov Exp'!AE690+'Gov Exp'!AI690-'Gov Exp'!AK690</f>
        <v>0</v>
      </c>
      <c r="AM690" s="15" t="str">
        <f>'Gov Rev'!A688</f>
        <v>Woodville</v>
      </c>
      <c r="AN690" s="15" t="str">
        <f t="shared" si="284"/>
        <v>Woodville</v>
      </c>
      <c r="AO690" s="15" t="b">
        <f t="shared" si="285"/>
        <v>1</v>
      </c>
    </row>
    <row r="691" spans="1:41" ht="12.75">
      <c r="A691" s="15" t="s">
        <v>240</v>
      </c>
      <c r="C691" s="15" t="s">
        <v>820</v>
      </c>
      <c r="D691" s="28"/>
      <c r="E691" s="36">
        <v>66595.42</v>
      </c>
      <c r="F691" s="36"/>
      <c r="G691" s="36">
        <v>1100</v>
      </c>
      <c r="H691" s="36"/>
      <c r="I691" s="36">
        <v>0</v>
      </c>
      <c r="J691" s="36"/>
      <c r="K691" s="36">
        <v>0</v>
      </c>
      <c r="L691" s="36"/>
      <c r="M691" s="36">
        <v>0</v>
      </c>
      <c r="N691" s="36"/>
      <c r="O691" s="36">
        <v>9893.69</v>
      </c>
      <c r="P691" s="36"/>
      <c r="Q691" s="36">
        <v>42285.7</v>
      </c>
      <c r="R691" s="36"/>
      <c r="S691" s="36">
        <v>188.97</v>
      </c>
      <c r="T691" s="36"/>
      <c r="U691" s="36">
        <v>883.75</v>
      </c>
      <c r="V691" s="36"/>
      <c r="W691" s="36">
        <v>0</v>
      </c>
      <c r="X691" s="36"/>
      <c r="Y691" s="36">
        <v>0</v>
      </c>
      <c r="Z691" s="36"/>
      <c r="AA691" s="36">
        <v>0</v>
      </c>
      <c r="AB691" s="36"/>
      <c r="AC691" s="36">
        <v>2000</v>
      </c>
      <c r="AD691" s="36"/>
      <c r="AE691" s="36">
        <f aca="true" t="shared" si="289" ref="AE691">SUM(E691:AC691)</f>
        <v>122947.53</v>
      </c>
      <c r="AF691" s="36"/>
      <c r="AG691" s="36">
        <v>15739.44</v>
      </c>
      <c r="AH691" s="36"/>
      <c r="AI691" s="36">
        <v>136132.67</v>
      </c>
      <c r="AJ691" s="36"/>
      <c r="AK691" s="36">
        <v>151872.11</v>
      </c>
      <c r="AL691" s="39">
        <f>+'Gov Rev'!AI689-'Gov Exp'!AE691+'Gov Exp'!AI691-'Gov Exp'!AK691</f>
        <v>0</v>
      </c>
      <c r="AM691" s="15" t="str">
        <f>'Gov Rev'!A689</f>
        <v>Wren</v>
      </c>
      <c r="AN691" s="15" t="str">
        <f t="shared" si="284"/>
        <v>Wren</v>
      </c>
      <c r="AO691" s="15" t="b">
        <f t="shared" si="285"/>
        <v>1</v>
      </c>
    </row>
    <row r="692" spans="1:41" ht="12.75">
      <c r="A692" s="15" t="s">
        <v>231</v>
      </c>
      <c r="C692" s="15" t="s">
        <v>817</v>
      </c>
      <c r="D692" s="28"/>
      <c r="E692" s="95">
        <v>16872.36</v>
      </c>
      <c r="F692" s="95"/>
      <c r="G692" s="95">
        <v>0</v>
      </c>
      <c r="H692" s="95"/>
      <c r="I692" s="95">
        <v>0</v>
      </c>
      <c r="J692" s="95"/>
      <c r="K692" s="95">
        <v>0</v>
      </c>
      <c r="L692" s="95"/>
      <c r="M692" s="95">
        <v>0</v>
      </c>
      <c r="N692" s="95"/>
      <c r="O692" s="95">
        <v>3066.88</v>
      </c>
      <c r="P692" s="95"/>
      <c r="Q692" s="95">
        <v>9730.83</v>
      </c>
      <c r="R692" s="95"/>
      <c r="S692" s="95">
        <v>0</v>
      </c>
      <c r="T692" s="95"/>
      <c r="U692" s="95">
        <v>0</v>
      </c>
      <c r="V692" s="95"/>
      <c r="W692" s="95">
        <v>0</v>
      </c>
      <c r="X692" s="95"/>
      <c r="Y692" s="95">
        <v>0</v>
      </c>
      <c r="Z692" s="95"/>
      <c r="AA692" s="95">
        <v>0</v>
      </c>
      <c r="AB692" s="95"/>
      <c r="AC692" s="95">
        <v>0</v>
      </c>
      <c r="AD692" s="95"/>
      <c r="AE692" s="95">
        <f aca="true" t="shared" si="290" ref="AE692">SUM(E692:AC692)</f>
        <v>29670.07</v>
      </c>
      <c r="AF692" s="95"/>
      <c r="AG692" s="95">
        <v>8611.66</v>
      </c>
      <c r="AH692" s="95"/>
      <c r="AI692" s="95">
        <v>51553.73</v>
      </c>
      <c r="AJ692" s="95"/>
      <c r="AK692" s="95">
        <v>60165.39</v>
      </c>
      <c r="AL692" s="39">
        <f>+'Gov Rev'!AI690-'Gov Exp'!AE692+'Gov Exp'!AI692-'Gov Exp'!AK692</f>
        <v>0</v>
      </c>
      <c r="AM692" s="15" t="str">
        <f>'Gov Rev'!A690</f>
        <v>Yankee Lake</v>
      </c>
      <c r="AN692" s="15" t="str">
        <f t="shared" si="284"/>
        <v>Yankee Lake</v>
      </c>
      <c r="AO692" s="15" t="b">
        <f t="shared" si="285"/>
        <v>1</v>
      </c>
    </row>
    <row r="693" spans="1:41" s="31" customFormat="1" ht="12.75">
      <c r="A693" s="15" t="s">
        <v>374</v>
      </c>
      <c r="B693" s="15"/>
      <c r="C693" s="15" t="s">
        <v>371</v>
      </c>
      <c r="D693" s="15"/>
      <c r="E693" s="24">
        <v>1305867</v>
      </c>
      <c r="F693" s="24"/>
      <c r="G693" s="24">
        <v>29648</v>
      </c>
      <c r="H693" s="24"/>
      <c r="I693" s="24">
        <v>330928</v>
      </c>
      <c r="J693" s="24"/>
      <c r="K693" s="24">
        <v>368469</v>
      </c>
      <c r="L693" s="24"/>
      <c r="M693" s="24">
        <v>0</v>
      </c>
      <c r="N693" s="24"/>
      <c r="O693" s="24">
        <v>269186</v>
      </c>
      <c r="P693" s="24"/>
      <c r="Q693" s="24">
        <v>653729</v>
      </c>
      <c r="R693" s="24"/>
      <c r="S693" s="24">
        <v>346086</v>
      </c>
      <c r="T693" s="24"/>
      <c r="U693" s="24">
        <v>95000</v>
      </c>
      <c r="V693" s="24"/>
      <c r="W693" s="24">
        <v>32213</v>
      </c>
      <c r="X693" s="24"/>
      <c r="Y693" s="24">
        <v>1419517</v>
      </c>
      <c r="Z693" s="24"/>
      <c r="AA693" s="24">
        <v>0</v>
      </c>
      <c r="AB693" s="24"/>
      <c r="AC693" s="24">
        <v>0</v>
      </c>
      <c r="AD693" s="24"/>
      <c r="AE693" s="24">
        <f t="shared" si="280"/>
        <v>4850643</v>
      </c>
      <c r="AF693" s="24"/>
      <c r="AG693" s="24">
        <v>669319</v>
      </c>
      <c r="AH693" s="24"/>
      <c r="AI693" s="24">
        <v>3192251</v>
      </c>
      <c r="AJ693" s="24"/>
      <c r="AK693" s="24">
        <v>3861570</v>
      </c>
      <c r="AL693" s="39">
        <f>+'Gov Rev'!AI691-'Gov Exp'!AE693+'Gov Exp'!AI693-'Gov Exp'!AK693</f>
        <v>0</v>
      </c>
      <c r="AM693" s="15" t="str">
        <f>'Gov Rev'!A691</f>
        <v>Yellow Springs</v>
      </c>
      <c r="AN693" s="15" t="str">
        <f t="shared" si="284"/>
        <v>Yellow Springs</v>
      </c>
      <c r="AO693" s="15" t="b">
        <f t="shared" si="285"/>
        <v>1</v>
      </c>
    </row>
    <row r="694" spans="1:41" ht="12.6" customHeight="1">
      <c r="A694" s="15" t="s">
        <v>340</v>
      </c>
      <c r="C694" s="15" t="s">
        <v>329</v>
      </c>
      <c r="E694" s="24">
        <v>9248</v>
      </c>
      <c r="G694" s="24">
        <v>519073</v>
      </c>
      <c r="I694" s="24">
        <v>0</v>
      </c>
      <c r="K694" s="24">
        <v>0</v>
      </c>
      <c r="M694" s="24">
        <v>8237</v>
      </c>
      <c r="O694" s="24">
        <v>0</v>
      </c>
      <c r="Q694" s="24">
        <v>21436</v>
      </c>
      <c r="S694" s="24">
        <v>0</v>
      </c>
      <c r="U694" s="24">
        <v>4279</v>
      </c>
      <c r="W694" s="24">
        <v>0</v>
      </c>
      <c r="Y694" s="24">
        <v>0</v>
      </c>
      <c r="AA694" s="24">
        <v>2500</v>
      </c>
      <c r="AC694" s="24">
        <v>0</v>
      </c>
      <c r="AE694" s="24">
        <f t="shared" si="280"/>
        <v>564773</v>
      </c>
      <c r="AF694" s="24"/>
      <c r="AG694" s="24">
        <f>AK694-AI694</f>
        <v>9182</v>
      </c>
      <c r="AH694" s="24"/>
      <c r="AI694" s="24">
        <f>81293+35550+2622</f>
        <v>119465</v>
      </c>
      <c r="AJ694" s="24"/>
      <c r="AK694" s="24">
        <f>70092+33953+24602</f>
        <v>128647</v>
      </c>
      <c r="AL694" s="39">
        <f>+'Gov Rev'!AI692-'Gov Exp'!AE694+'Gov Exp'!AI694-'Gov Exp'!AK694</f>
        <v>50223</v>
      </c>
      <c r="AM694" s="15" t="str">
        <f>'Gov Rev'!A692</f>
        <v>Yorkshire</v>
      </c>
      <c r="AN694" s="15" t="str">
        <f t="shared" si="284"/>
        <v>Yorkshire</v>
      </c>
      <c r="AO694" s="15" t="b">
        <f t="shared" si="285"/>
        <v>1</v>
      </c>
    </row>
    <row r="695" spans="1:41" s="31" customFormat="1" ht="12.75">
      <c r="A695" s="15" t="s">
        <v>425</v>
      </c>
      <c r="B695" s="15"/>
      <c r="C695" s="15" t="s">
        <v>420</v>
      </c>
      <c r="D695" s="15"/>
      <c r="E695" s="24">
        <f>159319+34070</f>
        <v>193389</v>
      </c>
      <c r="F695" s="24"/>
      <c r="G695" s="24">
        <v>0</v>
      </c>
      <c r="H695" s="24"/>
      <c r="I695" s="24">
        <v>0</v>
      </c>
      <c r="J695" s="24"/>
      <c r="K695" s="24">
        <v>0</v>
      </c>
      <c r="L695" s="24"/>
      <c r="M695" s="24">
        <v>0</v>
      </c>
      <c r="N695" s="24"/>
      <c r="O695" s="24">
        <v>75915</v>
      </c>
      <c r="P695" s="24"/>
      <c r="Q695" s="24">
        <v>180751</v>
      </c>
      <c r="R695" s="24"/>
      <c r="S695" s="24">
        <v>16758</v>
      </c>
      <c r="T695" s="24"/>
      <c r="U695" s="24">
        <v>0</v>
      </c>
      <c r="V695" s="24"/>
      <c r="W695" s="24">
        <v>0</v>
      </c>
      <c r="X695" s="24"/>
      <c r="Y695" s="24">
        <v>0</v>
      </c>
      <c r="Z695" s="24"/>
      <c r="AA695" s="24">
        <v>0</v>
      </c>
      <c r="AB695" s="24"/>
      <c r="AC695" s="24">
        <v>0</v>
      </c>
      <c r="AD695" s="24"/>
      <c r="AE695" s="24">
        <f t="shared" si="280"/>
        <v>466813</v>
      </c>
      <c r="AF695" s="24"/>
      <c r="AG695" s="24">
        <v>-17246</v>
      </c>
      <c r="AH695" s="24"/>
      <c r="AI695" s="24">
        <v>643782</v>
      </c>
      <c r="AJ695" s="24"/>
      <c r="AK695" s="24">
        <v>716034</v>
      </c>
      <c r="AL695" s="39">
        <f>+'Gov Rev'!AI693-'Gov Exp'!AE695+'Gov Exp'!AI695-'Gov Exp'!AK695</f>
        <v>-75857</v>
      </c>
      <c r="AM695" s="15" t="str">
        <f>'Gov Rev'!A693</f>
        <v>Yorkville</v>
      </c>
      <c r="AN695" s="15" t="str">
        <f t="shared" si="284"/>
        <v>Yorkville</v>
      </c>
      <c r="AO695" s="15" t="b">
        <f t="shared" si="285"/>
        <v>1</v>
      </c>
    </row>
    <row r="696" spans="1:41" ht="12.75">
      <c r="A696" s="15" t="s">
        <v>580</v>
      </c>
      <c r="C696" s="15" t="s">
        <v>82</v>
      </c>
      <c r="E696" s="24">
        <v>12043</v>
      </c>
      <c r="G696" s="24">
        <v>0</v>
      </c>
      <c r="I696" s="24">
        <v>1700</v>
      </c>
      <c r="K696" s="24">
        <v>0</v>
      </c>
      <c r="M696" s="24">
        <v>2166</v>
      </c>
      <c r="O696" s="24">
        <v>20312</v>
      </c>
      <c r="Q696" s="24">
        <v>20749</v>
      </c>
      <c r="S696" s="24">
        <v>0</v>
      </c>
      <c r="U696" s="24">
        <v>0</v>
      </c>
      <c r="W696" s="24">
        <v>0</v>
      </c>
      <c r="Y696" s="24">
        <v>0</v>
      </c>
      <c r="AA696" s="24">
        <v>0</v>
      </c>
      <c r="AC696" s="24">
        <v>0</v>
      </c>
      <c r="AE696" s="24">
        <f t="shared" si="280"/>
        <v>56970</v>
      </c>
      <c r="AF696" s="24"/>
      <c r="AG696" s="24">
        <v>14887</v>
      </c>
      <c r="AH696" s="24"/>
      <c r="AI696" s="24">
        <v>127613</v>
      </c>
      <c r="AJ696" s="24"/>
      <c r="AK696" s="24">
        <v>142500</v>
      </c>
      <c r="AL696" s="39">
        <f>+'Gov Rev'!AI694-'Gov Exp'!AE696+'Gov Exp'!AI696-'Gov Exp'!AK696</f>
        <v>0</v>
      </c>
      <c r="AM696" s="15" t="str">
        <f>'Gov Rev'!A694</f>
        <v>Zaleski</v>
      </c>
      <c r="AN696" s="15" t="str">
        <f t="shared" si="284"/>
        <v>Zaleski</v>
      </c>
      <c r="AO696" s="15" t="b">
        <f t="shared" si="285"/>
        <v>1</v>
      </c>
    </row>
    <row r="697" spans="1:41" ht="12.75">
      <c r="A697" s="15" t="s">
        <v>449</v>
      </c>
      <c r="C697" s="15" t="s">
        <v>446</v>
      </c>
      <c r="E697" s="24">
        <v>0</v>
      </c>
      <c r="G697" s="24">
        <v>0</v>
      </c>
      <c r="I697" s="24">
        <v>148</v>
      </c>
      <c r="K697" s="24">
        <v>500</v>
      </c>
      <c r="M697" s="24">
        <v>0</v>
      </c>
      <c r="O697" s="24">
        <v>7921</v>
      </c>
      <c r="Q697" s="24">
        <v>16791</v>
      </c>
      <c r="S697" s="24">
        <v>0</v>
      </c>
      <c r="U697" s="24">
        <v>0</v>
      </c>
      <c r="W697" s="24">
        <v>0</v>
      </c>
      <c r="Y697" s="24">
        <v>0</v>
      </c>
      <c r="AA697" s="24">
        <v>0</v>
      </c>
      <c r="AC697" s="24">
        <v>0</v>
      </c>
      <c r="AE697" s="24">
        <f t="shared" si="280"/>
        <v>25360</v>
      </c>
      <c r="AF697" s="24"/>
      <c r="AG697" s="24">
        <v>5641</v>
      </c>
      <c r="AH697" s="24"/>
      <c r="AI697" s="24">
        <v>61454</v>
      </c>
      <c r="AJ697" s="24"/>
      <c r="AK697" s="24">
        <v>67095</v>
      </c>
      <c r="AL697" s="39">
        <f>+'Gov Rev'!AI695-'Gov Exp'!AE697+'Gov Exp'!AI697-'Gov Exp'!AK697</f>
        <v>0</v>
      </c>
      <c r="AM697" s="15" t="str">
        <f>'Gov Rev'!A695</f>
        <v>Zanesfield</v>
      </c>
      <c r="AN697" s="15" t="str">
        <f t="shared" si="284"/>
        <v>Zanesfield</v>
      </c>
      <c r="AO697" s="15" t="b">
        <f t="shared" si="285"/>
        <v>1</v>
      </c>
    </row>
    <row r="698" spans="1:41" ht="12.75">
      <c r="A698" s="15" t="s">
        <v>235</v>
      </c>
      <c r="C698" s="15" t="s">
        <v>818</v>
      </c>
      <c r="D698" s="28"/>
      <c r="E698" s="36">
        <v>24897.65</v>
      </c>
      <c r="F698" s="36"/>
      <c r="G698" s="36">
        <v>588.66</v>
      </c>
      <c r="H698" s="36"/>
      <c r="I698" s="36">
        <v>0</v>
      </c>
      <c r="J698" s="36"/>
      <c r="K698" s="36">
        <v>33511.88</v>
      </c>
      <c r="L698" s="36"/>
      <c r="M698" s="36">
        <v>0</v>
      </c>
      <c r="N698" s="36"/>
      <c r="O698" s="36">
        <v>23852.61</v>
      </c>
      <c r="P698" s="36"/>
      <c r="Q698" s="36">
        <v>17829.32</v>
      </c>
      <c r="R698" s="36"/>
      <c r="S698" s="36">
        <v>0</v>
      </c>
      <c r="T698" s="36"/>
      <c r="U698" s="36">
        <v>0</v>
      </c>
      <c r="V698" s="36"/>
      <c r="W698" s="36">
        <v>0</v>
      </c>
      <c r="X698" s="36"/>
      <c r="Y698" s="36">
        <v>0</v>
      </c>
      <c r="Z698" s="36"/>
      <c r="AA698" s="36">
        <v>0</v>
      </c>
      <c r="AB698" s="36"/>
      <c r="AC698" s="36">
        <v>2000</v>
      </c>
      <c r="AD698" s="36"/>
      <c r="AE698" s="36">
        <f aca="true" t="shared" si="291" ref="AE698">SUM(E698:AC698)</f>
        <v>102680.12</v>
      </c>
      <c r="AF698" s="36"/>
      <c r="AG698" s="36">
        <v>-28552.61</v>
      </c>
      <c r="AH698" s="36"/>
      <c r="AI698" s="36">
        <v>210283.84</v>
      </c>
      <c r="AJ698" s="36"/>
      <c r="AK698" s="36">
        <v>181731.23</v>
      </c>
      <c r="AL698" s="39">
        <f>+'Gov Rev'!AI696-'Gov Exp'!AE698+'Gov Exp'!AI698-'Gov Exp'!AK698</f>
        <v>0</v>
      </c>
      <c r="AM698" s="15" t="str">
        <f>'Gov Rev'!A696</f>
        <v>Zoar</v>
      </c>
      <c r="AN698" s="15" t="str">
        <f t="shared" si="284"/>
        <v>Zoar</v>
      </c>
      <c r="AO698" s="15" t="b">
        <f t="shared" si="285"/>
        <v>1</v>
      </c>
    </row>
    <row r="699" spans="5:37" s="31" customFormat="1" ht="12.75"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15"/>
      <c r="AF699" s="15"/>
      <c r="AG699" s="55"/>
      <c r="AH699" s="55"/>
      <c r="AI699" s="55"/>
      <c r="AJ699" s="55"/>
      <c r="AK699" s="55"/>
    </row>
    <row r="700" spans="5:37" s="31" customFormat="1" ht="12.75"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15"/>
      <c r="AF700" s="15"/>
      <c r="AG700" s="55"/>
      <c r="AH700" s="55"/>
      <c r="AI700" s="55"/>
      <c r="AJ700" s="55"/>
      <c r="AK700" s="55"/>
    </row>
    <row r="701" spans="5:37" s="31" customFormat="1" ht="12.75"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15"/>
      <c r="AF701" s="15"/>
      <c r="AG701" s="55"/>
      <c r="AH701" s="55"/>
      <c r="AI701" s="55"/>
      <c r="AJ701" s="55"/>
      <c r="AK701" s="55"/>
    </row>
    <row r="702" spans="5:37" s="31" customFormat="1" ht="12.75"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15"/>
      <c r="AF702" s="15"/>
      <c r="AG702" s="55"/>
      <c r="AH702" s="55"/>
      <c r="AI702" s="55"/>
      <c r="AJ702" s="55"/>
      <c r="AK702" s="55"/>
    </row>
    <row r="703" spans="5:37" s="31" customFormat="1" ht="12.75"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15"/>
      <c r="AF703" s="15"/>
      <c r="AG703" s="55"/>
      <c r="AH703" s="55"/>
      <c r="AI703" s="55"/>
      <c r="AJ703" s="55"/>
      <c r="AK703" s="55"/>
    </row>
    <row r="704" spans="5:37" s="31" customFormat="1" ht="12.75"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15"/>
      <c r="AF704" s="15"/>
      <c r="AG704" s="55"/>
      <c r="AH704" s="55"/>
      <c r="AI704" s="55"/>
      <c r="AJ704" s="55"/>
      <c r="AK704" s="55"/>
    </row>
    <row r="705" spans="5:37" s="31" customFormat="1" ht="12.75"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15"/>
      <c r="AF705" s="15"/>
      <c r="AG705" s="55"/>
      <c r="AH705" s="55"/>
      <c r="AI705" s="55"/>
      <c r="AJ705" s="55"/>
      <c r="AK705" s="55"/>
    </row>
    <row r="706" spans="5:37" s="31" customFormat="1" ht="12.75"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15"/>
      <c r="AF706" s="15"/>
      <c r="AG706" s="55"/>
      <c r="AH706" s="55"/>
      <c r="AI706" s="55"/>
      <c r="AJ706" s="55"/>
      <c r="AK706" s="55"/>
    </row>
    <row r="707" spans="5:37" s="31" customFormat="1" ht="12.75"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15"/>
      <c r="AF707" s="15"/>
      <c r="AG707" s="55"/>
      <c r="AH707" s="55"/>
      <c r="AI707" s="55"/>
      <c r="AJ707" s="55"/>
      <c r="AK707" s="55"/>
    </row>
    <row r="708" spans="5:37" s="31" customFormat="1" ht="12.75"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15"/>
      <c r="AF708" s="15"/>
      <c r="AG708" s="55"/>
      <c r="AH708" s="55"/>
      <c r="AI708" s="55"/>
      <c r="AJ708" s="55"/>
      <c r="AK708" s="55"/>
    </row>
    <row r="709" spans="5:37" s="31" customFormat="1" ht="12.75"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15"/>
      <c r="AF709" s="15"/>
      <c r="AG709" s="55"/>
      <c r="AH709" s="55"/>
      <c r="AI709" s="55"/>
      <c r="AJ709" s="55"/>
      <c r="AK709" s="55"/>
    </row>
    <row r="710" spans="5:37" s="31" customFormat="1" ht="12.75"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15"/>
      <c r="AF710" s="15"/>
      <c r="AG710" s="55"/>
      <c r="AH710" s="55"/>
      <c r="AI710" s="55"/>
      <c r="AJ710" s="55"/>
      <c r="AK710" s="55"/>
    </row>
    <row r="711" spans="5:37" s="31" customFormat="1" ht="12.75"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15"/>
      <c r="AF711" s="15"/>
      <c r="AG711" s="55"/>
      <c r="AH711" s="55"/>
      <c r="AI711" s="55"/>
      <c r="AJ711" s="55"/>
      <c r="AK711" s="55"/>
    </row>
    <row r="712" spans="5:37" s="31" customFormat="1" ht="12.75"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15"/>
      <c r="AF712" s="15"/>
      <c r="AG712" s="55"/>
      <c r="AH712" s="55"/>
      <c r="AI712" s="55"/>
      <c r="AJ712" s="55"/>
      <c r="AK712" s="55"/>
    </row>
    <row r="713" spans="5:37" s="31" customFormat="1" ht="12.75"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15"/>
      <c r="AF713" s="15"/>
      <c r="AG713" s="55"/>
      <c r="AH713" s="55"/>
      <c r="AI713" s="55"/>
      <c r="AJ713" s="55"/>
      <c r="AK713" s="55"/>
    </row>
    <row r="714" spans="5:37" s="31" customFormat="1" ht="12.75"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15"/>
      <c r="AF714" s="15"/>
      <c r="AG714" s="55"/>
      <c r="AH714" s="55"/>
      <c r="AI714" s="55"/>
      <c r="AJ714" s="55"/>
      <c r="AK714" s="55"/>
    </row>
    <row r="715" spans="5:37" s="31" customFormat="1" ht="12.75"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15"/>
      <c r="AF715" s="15"/>
      <c r="AG715" s="55"/>
      <c r="AH715" s="55"/>
      <c r="AI715" s="55"/>
      <c r="AJ715" s="55"/>
      <c r="AK715" s="55"/>
    </row>
    <row r="716" spans="5:37" s="31" customFormat="1" ht="12.75"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15"/>
      <c r="AF716" s="15"/>
      <c r="AG716" s="55"/>
      <c r="AH716" s="55"/>
      <c r="AI716" s="55"/>
      <c r="AJ716" s="55"/>
      <c r="AK716" s="55"/>
    </row>
    <row r="717" spans="5:37" s="31" customFormat="1" ht="12.75"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15"/>
      <c r="AF717" s="15"/>
      <c r="AG717" s="55"/>
      <c r="AH717" s="55"/>
      <c r="AI717" s="55"/>
      <c r="AJ717" s="55"/>
      <c r="AK717" s="55"/>
    </row>
    <row r="718" spans="5:37" s="31" customFormat="1" ht="12.75"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15"/>
      <c r="AF718" s="15"/>
      <c r="AG718" s="55"/>
      <c r="AH718" s="55"/>
      <c r="AI718" s="55"/>
      <c r="AJ718" s="55"/>
      <c r="AK718" s="55"/>
    </row>
    <row r="719" spans="5:37" s="31" customFormat="1" ht="12.75"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15"/>
      <c r="AF719" s="15"/>
      <c r="AG719" s="55"/>
      <c r="AH719" s="55"/>
      <c r="AI719" s="55"/>
      <c r="AJ719" s="55"/>
      <c r="AK719" s="55"/>
    </row>
    <row r="720" spans="5:37" s="31" customFormat="1" ht="12.75"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15"/>
      <c r="AF720" s="15"/>
      <c r="AG720" s="55"/>
      <c r="AH720" s="55"/>
      <c r="AI720" s="55"/>
      <c r="AJ720" s="55"/>
      <c r="AK720" s="55"/>
    </row>
    <row r="721" spans="5:37" s="31" customFormat="1" ht="12.75"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15"/>
      <c r="AF721" s="15"/>
      <c r="AG721" s="55"/>
      <c r="AH721" s="55"/>
      <c r="AI721" s="55"/>
      <c r="AJ721" s="55"/>
      <c r="AK721" s="55"/>
    </row>
    <row r="722" spans="5:37" s="31" customFormat="1" ht="12.75"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15"/>
      <c r="AF722" s="15"/>
      <c r="AG722" s="55"/>
      <c r="AH722" s="55"/>
      <c r="AI722" s="55"/>
      <c r="AJ722" s="55"/>
      <c r="AK722" s="55"/>
    </row>
    <row r="723" spans="5:37" s="31" customFormat="1" ht="12.75"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15"/>
      <c r="AF723" s="15"/>
      <c r="AG723" s="55"/>
      <c r="AH723" s="55"/>
      <c r="AI723" s="55"/>
      <c r="AJ723" s="55"/>
      <c r="AK723" s="55"/>
    </row>
    <row r="724" spans="5:37" s="31" customFormat="1" ht="12.75"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15"/>
      <c r="AF724" s="15"/>
      <c r="AG724" s="55"/>
      <c r="AH724" s="55"/>
      <c r="AI724" s="55"/>
      <c r="AJ724" s="55"/>
      <c r="AK724" s="55"/>
    </row>
    <row r="725" spans="5:37" s="31" customFormat="1" ht="12.75"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15"/>
      <c r="AF725" s="15"/>
      <c r="AG725" s="55"/>
      <c r="AH725" s="55"/>
      <c r="AI725" s="55"/>
      <c r="AJ725" s="55"/>
      <c r="AK725" s="55"/>
    </row>
    <row r="726" spans="5:37" s="31" customFormat="1" ht="12.75"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15"/>
      <c r="AF726" s="15"/>
      <c r="AG726" s="55"/>
      <c r="AH726" s="55"/>
      <c r="AI726" s="55"/>
      <c r="AJ726" s="55"/>
      <c r="AK726" s="55"/>
    </row>
    <row r="727" spans="5:37" s="31" customFormat="1" ht="12.75"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15"/>
      <c r="AF727" s="15"/>
      <c r="AG727" s="55"/>
      <c r="AH727" s="55"/>
      <c r="AI727" s="55"/>
      <c r="AJ727" s="55"/>
      <c r="AK727" s="55"/>
    </row>
    <row r="728" spans="5:37" s="31" customFormat="1" ht="12.75"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15"/>
      <c r="AF728" s="15"/>
      <c r="AG728" s="55"/>
      <c r="AH728" s="55"/>
      <c r="AI728" s="55"/>
      <c r="AJ728" s="55"/>
      <c r="AK728" s="55"/>
    </row>
    <row r="729" spans="5:37" s="31" customFormat="1" ht="12.75"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15"/>
      <c r="AF729" s="15"/>
      <c r="AG729" s="55"/>
      <c r="AH729" s="55"/>
      <c r="AI729" s="55"/>
      <c r="AJ729" s="55"/>
      <c r="AK729" s="55"/>
    </row>
    <row r="730" spans="5:37" s="31" customFormat="1" ht="12.75"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15"/>
      <c r="AF730" s="15"/>
      <c r="AG730" s="55"/>
      <c r="AH730" s="55"/>
      <c r="AI730" s="55"/>
      <c r="AJ730" s="55"/>
      <c r="AK730" s="55"/>
    </row>
    <row r="731" spans="5:37" s="31" customFormat="1" ht="12.75"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15"/>
      <c r="AF731" s="15"/>
      <c r="AG731" s="55"/>
      <c r="AH731" s="55"/>
      <c r="AI731" s="55"/>
      <c r="AJ731" s="55"/>
      <c r="AK731" s="55"/>
    </row>
    <row r="732" spans="5:37" s="31" customFormat="1" ht="12.75"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15"/>
      <c r="AF732" s="15"/>
      <c r="AG732" s="55"/>
      <c r="AH732" s="55"/>
      <c r="AI732" s="55"/>
      <c r="AJ732" s="55"/>
      <c r="AK732" s="55"/>
    </row>
    <row r="733" spans="5:37" s="31" customFormat="1" ht="12.75"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15"/>
      <c r="AF733" s="15"/>
      <c r="AG733" s="55"/>
      <c r="AH733" s="55"/>
      <c r="AI733" s="55"/>
      <c r="AJ733" s="55"/>
      <c r="AK733" s="55"/>
    </row>
    <row r="734" spans="5:37" s="31" customFormat="1" ht="12.75"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15"/>
      <c r="AF734" s="15"/>
      <c r="AG734" s="55"/>
      <c r="AH734" s="55"/>
      <c r="AI734" s="55"/>
      <c r="AJ734" s="55"/>
      <c r="AK734" s="55"/>
    </row>
    <row r="735" spans="5:37" s="31" customFormat="1" ht="12.75"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15"/>
      <c r="AF735" s="15"/>
      <c r="AG735" s="55"/>
      <c r="AH735" s="55"/>
      <c r="AI735" s="55"/>
      <c r="AJ735" s="55"/>
      <c r="AK735" s="55"/>
    </row>
    <row r="736" spans="5:37" s="31" customFormat="1" ht="12.75"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15"/>
      <c r="AF736" s="15"/>
      <c r="AG736" s="55"/>
      <c r="AH736" s="55"/>
      <c r="AI736" s="55"/>
      <c r="AJ736" s="55"/>
      <c r="AK736" s="55"/>
    </row>
    <row r="737" spans="5:37" s="31" customFormat="1" ht="12.75"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15"/>
      <c r="AF737" s="15"/>
      <c r="AG737" s="55"/>
      <c r="AH737" s="55"/>
      <c r="AI737" s="55"/>
      <c r="AJ737" s="55"/>
      <c r="AK737" s="55"/>
    </row>
    <row r="738" spans="5:37" s="31" customFormat="1" ht="12.75"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15"/>
      <c r="AF738" s="15"/>
      <c r="AG738" s="55"/>
      <c r="AH738" s="55"/>
      <c r="AI738" s="55"/>
      <c r="AJ738" s="55"/>
      <c r="AK738" s="55"/>
    </row>
    <row r="739" spans="5:37" s="31" customFormat="1" ht="12.75"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15"/>
      <c r="AF739" s="15"/>
      <c r="AG739" s="55"/>
      <c r="AH739" s="55"/>
      <c r="AI739" s="55"/>
      <c r="AJ739" s="55"/>
      <c r="AK739" s="55"/>
    </row>
    <row r="740" spans="5:37" s="31" customFormat="1" ht="12.75"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15"/>
      <c r="AF740" s="15"/>
      <c r="AG740" s="55"/>
      <c r="AH740" s="55"/>
      <c r="AI740" s="55"/>
      <c r="AJ740" s="55"/>
      <c r="AK740" s="55"/>
    </row>
    <row r="741" spans="5:37" s="31" customFormat="1" ht="12.75"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15"/>
      <c r="AF741" s="15"/>
      <c r="AG741" s="55"/>
      <c r="AH741" s="55"/>
      <c r="AI741" s="55"/>
      <c r="AJ741" s="55"/>
      <c r="AK741" s="55"/>
    </row>
    <row r="742" spans="5:37" s="31" customFormat="1" ht="12.75"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15"/>
      <c r="AF742" s="15"/>
      <c r="AG742" s="55"/>
      <c r="AH742" s="55"/>
      <c r="AI742" s="55"/>
      <c r="AJ742" s="55"/>
      <c r="AK742" s="55"/>
    </row>
    <row r="743" spans="5:37" s="31" customFormat="1" ht="12.75"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15"/>
      <c r="AF743" s="15"/>
      <c r="AG743" s="55"/>
      <c r="AH743" s="55"/>
      <c r="AI743" s="55"/>
      <c r="AJ743" s="55"/>
      <c r="AK743" s="55"/>
    </row>
    <row r="744" spans="5:37" s="31" customFormat="1" ht="12.75"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15"/>
      <c r="AF744" s="15"/>
      <c r="AG744" s="55"/>
      <c r="AH744" s="55"/>
      <c r="AI744" s="55"/>
      <c r="AJ744" s="55"/>
      <c r="AK744" s="55"/>
    </row>
    <row r="745" spans="5:37" s="31" customFormat="1" ht="12.75"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15"/>
      <c r="AF745" s="15"/>
      <c r="AG745" s="55"/>
      <c r="AH745" s="55"/>
      <c r="AI745" s="55"/>
      <c r="AJ745" s="55"/>
      <c r="AK745" s="55"/>
    </row>
    <row r="746" spans="5:37" s="31" customFormat="1" ht="12.75"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15"/>
      <c r="AF746" s="15"/>
      <c r="AG746" s="55"/>
      <c r="AH746" s="55"/>
      <c r="AI746" s="55"/>
      <c r="AJ746" s="55"/>
      <c r="AK746" s="55"/>
    </row>
    <row r="747" spans="5:37" s="31" customFormat="1" ht="12.75"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15"/>
      <c r="AF747" s="15"/>
      <c r="AG747" s="55"/>
      <c r="AH747" s="55"/>
      <c r="AI747" s="55"/>
      <c r="AJ747" s="55"/>
      <c r="AK747" s="55"/>
    </row>
    <row r="748" spans="5:37" s="31" customFormat="1" ht="12.75"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15"/>
      <c r="AF748" s="15"/>
      <c r="AG748" s="55"/>
      <c r="AH748" s="55"/>
      <c r="AI748" s="55"/>
      <c r="AJ748" s="55"/>
      <c r="AK748" s="55"/>
    </row>
    <row r="749" spans="5:37" s="31" customFormat="1" ht="12.75"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15"/>
      <c r="AF749" s="15"/>
      <c r="AG749" s="55"/>
      <c r="AH749" s="55"/>
      <c r="AI749" s="55"/>
      <c r="AJ749" s="55"/>
      <c r="AK749" s="55"/>
    </row>
    <row r="750" spans="5:37" s="31" customFormat="1" ht="12.75"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15"/>
      <c r="AF750" s="15"/>
      <c r="AG750" s="55"/>
      <c r="AH750" s="55"/>
      <c r="AI750" s="55"/>
      <c r="AJ750" s="55"/>
      <c r="AK750" s="55"/>
    </row>
    <row r="751" spans="5:37" s="31" customFormat="1" ht="12.75"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15"/>
      <c r="AF751" s="15"/>
      <c r="AG751" s="55"/>
      <c r="AH751" s="55"/>
      <c r="AI751" s="55"/>
      <c r="AJ751" s="55"/>
      <c r="AK751" s="55"/>
    </row>
    <row r="752" spans="5:37" s="31" customFormat="1" ht="12.75"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15"/>
      <c r="AF752" s="15"/>
      <c r="AG752" s="55"/>
      <c r="AH752" s="55"/>
      <c r="AI752" s="55"/>
      <c r="AJ752" s="55"/>
      <c r="AK752" s="55"/>
    </row>
    <row r="753" spans="5:37" s="31" customFormat="1" ht="12.75"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15"/>
      <c r="AF753" s="15"/>
      <c r="AG753" s="55"/>
      <c r="AH753" s="55"/>
      <c r="AI753" s="55"/>
      <c r="AJ753" s="55"/>
      <c r="AK753" s="55"/>
    </row>
    <row r="754" spans="5:37" s="31" customFormat="1" ht="12.75"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15"/>
      <c r="AF754" s="15"/>
      <c r="AG754" s="55"/>
      <c r="AH754" s="55"/>
      <c r="AI754" s="55"/>
      <c r="AJ754" s="55"/>
      <c r="AK754" s="55"/>
    </row>
    <row r="755" spans="5:37" s="31" customFormat="1" ht="12.75"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15"/>
      <c r="AF755" s="15"/>
      <c r="AG755" s="55"/>
      <c r="AH755" s="55"/>
      <c r="AI755" s="55"/>
      <c r="AJ755" s="55"/>
      <c r="AK755" s="55"/>
    </row>
    <row r="756" spans="5:37" s="31" customFormat="1" ht="12.75"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15"/>
      <c r="AF756" s="15"/>
      <c r="AG756" s="55"/>
      <c r="AH756" s="55"/>
      <c r="AI756" s="55"/>
      <c r="AJ756" s="55"/>
      <c r="AK756" s="55"/>
    </row>
    <row r="859" spans="1:2" ht="12.75">
      <c r="A859" s="75"/>
      <c r="B859" s="75"/>
    </row>
    <row r="860" spans="1:2" ht="12.75">
      <c r="A860" s="75"/>
      <c r="B860" s="75"/>
    </row>
  </sheetData>
  <printOptions horizontalCentered="1"/>
  <pageMargins left="0.75" right="0.5" top="0.5" bottom="0.5" header="0" footer="0.3"/>
  <pageSetup firstPageNumber="66" useFirstPageNumber="1" fitToHeight="26" fitToWidth="2" horizontalDpi="1200" verticalDpi="1200" orientation="portrait" pageOrder="overThenDown" scale="82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G. Wilcheck</dc:creator>
  <cp:keywords/>
  <dc:description/>
  <cp:lastModifiedBy>Anthony N. Themelis</cp:lastModifiedBy>
  <cp:lastPrinted>2012-07-11T15:30:51Z</cp:lastPrinted>
  <dcterms:created xsi:type="dcterms:W3CDTF">2005-07-07T14:55:27Z</dcterms:created>
  <dcterms:modified xsi:type="dcterms:W3CDTF">2012-07-11T15:31:47Z</dcterms:modified>
  <cp:category/>
  <cp:version/>
  <cp:contentType/>
  <cp:contentStatus/>
</cp:coreProperties>
</file>