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0875" windowHeight="8700"/>
  </bookViews>
  <sheets>
    <sheet name="Statement of Activities" sheetId="6" r:id="rId1"/>
    <sheet name="Gen Rev" sheetId="7" r:id="rId2"/>
    <sheet name="Gen Exp" sheetId="1" r:id="rId3"/>
    <sheet name="Gov Rev" sheetId="8" r:id="rId4"/>
    <sheet name="Gov Exp" sheetId="2" r:id="rId5"/>
  </sheets>
  <definedNames>
    <definedName name="_xlnm.Print_Area" localSheetId="2">'Gen Exp'!$A$1:$AF$663</definedName>
    <definedName name="_xlnm.Print_Area" localSheetId="1">'Gen Rev'!$A$1:$AI$641</definedName>
    <definedName name="_xlnm.Print_Area" localSheetId="4">'Gov Exp'!$A$1:$AE$660</definedName>
    <definedName name="_xlnm.Print_Area" localSheetId="3">'Gov Rev'!$A$1:$AI$656</definedName>
    <definedName name="_xlnm.Print_Area" localSheetId="0">'Statement of Activities'!$A$1:$AO$147</definedName>
    <definedName name="_xlnm.Print_Titles" localSheetId="2">'Gen Exp'!$1:$7</definedName>
    <definedName name="_xlnm.Print_Titles" localSheetId="1">'Gen Rev'!$1:$7</definedName>
    <definedName name="_xlnm.Print_Titles" localSheetId="4">'Gov Exp'!$1:$7</definedName>
    <definedName name="_xlnm.Print_Titles" localSheetId="3">'Gov Rev'!$1:$7</definedName>
    <definedName name="_xlnm.Print_Titles" localSheetId="0">'Statement of Activities'!$1:$10</definedName>
  </definedNames>
  <calcPr calcId="125725"/>
</workbook>
</file>

<file path=xl/calcChain.xml><?xml version="1.0" encoding="utf-8"?>
<calcChain xmlns="http://schemas.openxmlformats.org/spreadsheetml/2006/main">
  <c r="AK659" i="2"/>
  <c r="AI659"/>
  <c r="AG659"/>
  <c r="AK658"/>
  <c r="AI658"/>
  <c r="AG658"/>
  <c r="Q658"/>
  <c r="E658"/>
  <c r="AK657"/>
  <c r="AI657"/>
  <c r="AG657"/>
  <c r="O657"/>
  <c r="E657"/>
  <c r="AK656"/>
  <c r="AI656"/>
  <c r="AG656"/>
  <c r="Q656"/>
  <c r="AK655"/>
  <c r="AI655"/>
  <c r="AG655"/>
  <c r="Y655"/>
  <c r="S655"/>
  <c r="Q655"/>
  <c r="G655"/>
  <c r="E655"/>
  <c r="AK652"/>
  <c r="AI652"/>
  <c r="AG652"/>
  <c r="S652"/>
  <c r="O652"/>
  <c r="I652"/>
  <c r="E652"/>
  <c r="AK649"/>
  <c r="AI649"/>
  <c r="AG649"/>
  <c r="U649"/>
  <c r="S649"/>
  <c r="Q649"/>
  <c r="O649"/>
  <c r="E649"/>
  <c r="AK648"/>
  <c r="AI648"/>
  <c r="AG648"/>
  <c r="Q648"/>
  <c r="I648"/>
  <c r="E648"/>
  <c r="AK644"/>
  <c r="AI644"/>
  <c r="AG644"/>
  <c r="Q644"/>
  <c r="E644"/>
  <c r="AK639"/>
  <c r="AI639"/>
  <c r="AG639"/>
  <c r="G639"/>
  <c r="E639"/>
  <c r="AK638"/>
  <c r="AI638"/>
  <c r="AG638"/>
  <c r="Y638"/>
  <c r="S638"/>
  <c r="Q638"/>
  <c r="M638"/>
  <c r="I638"/>
  <c r="E638"/>
  <c r="AK637"/>
  <c r="AI637"/>
  <c r="AG637"/>
  <c r="AK629"/>
  <c r="AI629"/>
  <c r="AG629"/>
  <c r="S629"/>
  <c r="Q629"/>
  <c r="I629"/>
  <c r="AK627"/>
  <c r="AI627"/>
  <c r="AG627"/>
  <c r="O627"/>
  <c r="E627"/>
  <c r="AK625"/>
  <c r="AI625"/>
  <c r="AG625"/>
  <c r="Q625"/>
  <c r="O625"/>
  <c r="E625"/>
  <c r="AK624"/>
  <c r="AI624"/>
  <c r="AG624"/>
  <c r="K624"/>
  <c r="AK622"/>
  <c r="AI622"/>
  <c r="AG622"/>
  <c r="AC622"/>
  <c r="Q622"/>
  <c r="E622"/>
  <c r="AK620"/>
  <c r="AI620"/>
  <c r="AG620"/>
  <c r="S620"/>
  <c r="O620"/>
  <c r="I620"/>
  <c r="G620"/>
  <c r="E620"/>
  <c r="E619"/>
  <c r="AK619"/>
  <c r="AI619"/>
  <c r="AG619"/>
  <c r="W619"/>
  <c r="U619"/>
  <c r="S619"/>
  <c r="Q619"/>
  <c r="O619"/>
  <c r="AK617"/>
  <c r="AI617"/>
  <c r="AG617"/>
  <c r="W617"/>
  <c r="U617"/>
  <c r="S617"/>
  <c r="Q617"/>
  <c r="E617"/>
  <c r="AK615"/>
  <c r="AI615"/>
  <c r="AG615"/>
  <c r="S615"/>
  <c r="I615"/>
  <c r="AK614"/>
  <c r="AI614"/>
  <c r="AG614"/>
  <c r="K614"/>
  <c r="I614"/>
  <c r="E614"/>
  <c r="Q606"/>
  <c r="AK606"/>
  <c r="AI606"/>
  <c r="AG606"/>
  <c r="O606"/>
  <c r="E606"/>
  <c r="AK604"/>
  <c r="AI604"/>
  <c r="AG604"/>
  <c r="U604"/>
  <c r="M604"/>
  <c r="G604"/>
  <c r="E604"/>
  <c r="AK603"/>
  <c r="AI603"/>
  <c r="AG603"/>
  <c r="Q603"/>
  <c r="E603"/>
  <c r="AK600"/>
  <c r="AI600"/>
  <c r="AG600"/>
  <c r="U600"/>
  <c r="Q600"/>
  <c r="O600"/>
  <c r="E600"/>
  <c r="AK598"/>
  <c r="AI598"/>
  <c r="AG598"/>
  <c r="S598"/>
  <c r="O598"/>
  <c r="I598"/>
  <c r="E598"/>
  <c r="AK597"/>
  <c r="AI597"/>
  <c r="AG597"/>
  <c r="Q597"/>
  <c r="AK596"/>
  <c r="AI596"/>
  <c r="AG596"/>
  <c r="S596"/>
  <c r="Q596"/>
  <c r="K596"/>
  <c r="G596"/>
  <c r="E596"/>
  <c r="AK592"/>
  <c r="AI592"/>
  <c r="AG592"/>
  <c r="Q592"/>
  <c r="O592"/>
  <c r="G592"/>
  <c r="E592"/>
  <c r="AE592" s="1"/>
  <c r="O585" i="8"/>
  <c r="AK588" i="2"/>
  <c r="AI588"/>
  <c r="AG588"/>
  <c r="E588"/>
  <c r="AK584"/>
  <c r="AI584"/>
  <c r="AG584"/>
  <c r="Q584"/>
  <c r="O584"/>
  <c r="K584"/>
  <c r="E584"/>
  <c r="AK580"/>
  <c r="AI580"/>
  <c r="AG580"/>
  <c r="W580"/>
  <c r="U580"/>
  <c r="S580"/>
  <c r="O580"/>
  <c r="AK577"/>
  <c r="AI577"/>
  <c r="AG577"/>
  <c r="Y577"/>
  <c r="S577"/>
  <c r="Q577"/>
  <c r="O577"/>
  <c r="E577"/>
  <c r="AE577" s="1"/>
  <c r="AK574"/>
  <c r="AI574"/>
  <c r="AG574"/>
  <c r="AK572"/>
  <c r="AI572"/>
  <c r="AG572"/>
  <c r="S572"/>
  <c r="Q572"/>
  <c r="AI569"/>
  <c r="AK569"/>
  <c r="AG569"/>
  <c r="AK567"/>
  <c r="AI567"/>
  <c r="AG567"/>
  <c r="Q567"/>
  <c r="E567"/>
  <c r="AK558"/>
  <c r="AI558"/>
  <c r="AG558"/>
  <c r="E558"/>
  <c r="AK556"/>
  <c r="AI556"/>
  <c r="AG556"/>
  <c r="Y556"/>
  <c r="Q556"/>
  <c r="E556"/>
  <c r="AK553"/>
  <c r="AI553"/>
  <c r="AG553"/>
  <c r="Y553"/>
  <c r="S553"/>
  <c r="Q553"/>
  <c r="I553"/>
  <c r="G553"/>
  <c r="AK551"/>
  <c r="AI551"/>
  <c r="AG551"/>
  <c r="Q551"/>
  <c r="E551"/>
  <c r="AK550"/>
  <c r="AI550"/>
  <c r="AG550"/>
  <c r="Y550"/>
  <c r="E550"/>
  <c r="AK549"/>
  <c r="AI549"/>
  <c r="AG549"/>
  <c r="O549"/>
  <c r="AK548"/>
  <c r="AI548"/>
  <c r="AG548"/>
  <c r="Q548"/>
  <c r="O548"/>
  <c r="I548"/>
  <c r="E548"/>
  <c r="AK547"/>
  <c r="AI547"/>
  <c r="AG547"/>
  <c r="AC547"/>
  <c r="S547"/>
  <c r="Q547"/>
  <c r="AK546"/>
  <c r="AI546"/>
  <c r="AG546"/>
  <c r="O546"/>
  <c r="E546"/>
  <c r="AK543"/>
  <c r="AI543"/>
  <c r="AG543"/>
  <c r="S543"/>
  <c r="Q543"/>
  <c r="E543"/>
  <c r="AK536"/>
  <c r="AI536"/>
  <c r="AG536"/>
  <c r="AC536"/>
  <c r="U536"/>
  <c r="Q536"/>
  <c r="E536"/>
  <c r="AK535"/>
  <c r="AI535"/>
  <c r="AG535"/>
  <c r="S535"/>
  <c r="E535"/>
  <c r="AK533"/>
  <c r="AI533"/>
  <c r="AG533"/>
  <c r="AC533"/>
  <c r="Q533"/>
  <c r="E533"/>
  <c r="AK532"/>
  <c r="AI532"/>
  <c r="AG532"/>
  <c r="AK526"/>
  <c r="AI526"/>
  <c r="AG526"/>
  <c r="E526"/>
  <c r="AK522"/>
  <c r="AI522"/>
  <c r="AG522"/>
  <c r="Q522"/>
  <c r="O522"/>
  <c r="M522"/>
  <c r="E522"/>
  <c r="AK521"/>
  <c r="AI521"/>
  <c r="AG521"/>
  <c r="Y521"/>
  <c r="S521"/>
  <c r="O521"/>
  <c r="AK519"/>
  <c r="AI519"/>
  <c r="AG519"/>
  <c r="K517"/>
  <c r="AK517"/>
  <c r="AI517"/>
  <c r="AG517"/>
  <c r="Y517"/>
  <c r="Q517"/>
  <c r="E517"/>
  <c r="AK515"/>
  <c r="AI515"/>
  <c r="AG515"/>
  <c r="Y515"/>
  <c r="Q515"/>
  <c r="O515"/>
  <c r="E515"/>
  <c r="AK513"/>
  <c r="AI513"/>
  <c r="AG513"/>
  <c r="AA513"/>
  <c r="E513"/>
  <c r="AK512"/>
  <c r="AI512"/>
  <c r="AG512"/>
  <c r="O512"/>
  <c r="AK501"/>
  <c r="AI501"/>
  <c r="AG501"/>
  <c r="Q501"/>
  <c r="E501"/>
  <c r="AK489"/>
  <c r="AI489"/>
  <c r="AG489"/>
  <c r="AK488"/>
  <c r="AI488"/>
  <c r="AG488"/>
  <c r="Q488"/>
  <c r="M488"/>
  <c r="E488"/>
  <c r="AK477"/>
  <c r="AI477"/>
  <c r="AG477"/>
  <c r="AK474"/>
  <c r="AI474"/>
  <c r="AG474"/>
  <c r="O474"/>
  <c r="K474"/>
  <c r="G474"/>
  <c r="E474"/>
  <c r="AK472"/>
  <c r="AI472"/>
  <c r="AG472"/>
  <c r="O472"/>
  <c r="AK471"/>
  <c r="AI471"/>
  <c r="AG471"/>
  <c r="AC471"/>
  <c r="Y471"/>
  <c r="S471"/>
  <c r="Q471"/>
  <c r="O471"/>
  <c r="AK470"/>
  <c r="AI470"/>
  <c r="AG470"/>
  <c r="U470"/>
  <c r="O470"/>
  <c r="E470"/>
  <c r="AK469"/>
  <c r="AI469"/>
  <c r="AG469"/>
  <c r="Y469"/>
  <c r="Q469"/>
  <c r="M469"/>
  <c r="E469"/>
  <c r="AK466"/>
  <c r="AI466"/>
  <c r="AG466"/>
  <c r="Q466"/>
  <c r="E466"/>
  <c r="AK464"/>
  <c r="AI464"/>
  <c r="AG464"/>
  <c r="S464"/>
  <c r="O464"/>
  <c r="I464"/>
  <c r="E464"/>
  <c r="AK463"/>
  <c r="AI463"/>
  <c r="AG463"/>
  <c r="Q463"/>
  <c r="AK462"/>
  <c r="AI462"/>
  <c r="AG462"/>
  <c r="AK461"/>
  <c r="AI461"/>
  <c r="AG461"/>
  <c r="Q461"/>
  <c r="O461"/>
  <c r="E461"/>
  <c r="AK460"/>
  <c r="AI460"/>
  <c r="AG460"/>
  <c r="O460"/>
  <c r="I460"/>
  <c r="AK456"/>
  <c r="AI456"/>
  <c r="AG456"/>
  <c r="O456"/>
  <c r="M456"/>
  <c r="I456"/>
  <c r="E456"/>
  <c r="AI454"/>
  <c r="AK454"/>
  <c r="AG454"/>
  <c r="AK453"/>
  <c r="AI453"/>
  <c r="AG453"/>
  <c r="AA453"/>
  <c r="O453"/>
  <c r="AK452"/>
  <c r="AI452"/>
  <c r="AG452"/>
  <c r="Y452"/>
  <c r="Q452"/>
  <c r="O452"/>
  <c r="E452"/>
  <c r="AK449"/>
  <c r="AI449"/>
  <c r="AG449"/>
  <c r="Y449"/>
  <c r="S449"/>
  <c r="I449"/>
  <c r="E449"/>
  <c r="AK446"/>
  <c r="AI446"/>
  <c r="AG446"/>
  <c r="Q446"/>
  <c r="AK445"/>
  <c r="AI445"/>
  <c r="AG445"/>
  <c r="Y445"/>
  <c r="Q445"/>
  <c r="O445"/>
  <c r="K445"/>
  <c r="E445"/>
  <c r="AK443"/>
  <c r="AI443"/>
  <c r="AG443"/>
  <c r="AA443"/>
  <c r="S443"/>
  <c r="Q443"/>
  <c r="O443"/>
  <c r="K443"/>
  <c r="I443"/>
  <c r="E443"/>
  <c r="AK441"/>
  <c r="AI441"/>
  <c r="AG441"/>
  <c r="W441"/>
  <c r="U441"/>
  <c r="S441"/>
  <c r="Q441"/>
  <c r="O441"/>
  <c r="E441"/>
  <c r="AI439"/>
  <c r="AK439"/>
  <c r="AG439"/>
  <c r="Q439"/>
  <c r="AK427"/>
  <c r="AI427"/>
  <c r="AG427"/>
  <c r="O427"/>
  <c r="G427"/>
  <c r="AE427"/>
  <c r="E427"/>
  <c r="AK425"/>
  <c r="AI425"/>
  <c r="AG425"/>
  <c r="Q425"/>
  <c r="E425"/>
  <c r="AK415"/>
  <c r="AI415"/>
  <c r="AG415"/>
  <c r="Y415"/>
  <c r="Q415"/>
  <c r="AK414"/>
  <c r="AI414"/>
  <c r="AG414"/>
  <c r="AC414"/>
  <c r="Y414"/>
  <c r="U414"/>
  <c r="S414"/>
  <c r="Q414"/>
  <c r="AK410"/>
  <c r="AI410"/>
  <c r="AG410"/>
  <c r="Y410"/>
  <c r="U410"/>
  <c r="S410"/>
  <c r="Q410"/>
  <c r="E410"/>
  <c r="AK409"/>
  <c r="AI409"/>
  <c r="AG409"/>
  <c r="Q409"/>
  <c r="O409"/>
  <c r="I409"/>
  <c r="E409"/>
  <c r="AK404"/>
  <c r="AI404"/>
  <c r="AG404"/>
  <c r="Y404"/>
  <c r="W404"/>
  <c r="U404"/>
  <c r="S404"/>
  <c r="Q404"/>
  <c r="O404"/>
  <c r="K404"/>
  <c r="E404"/>
  <c r="AK402"/>
  <c r="AI402"/>
  <c r="AG402"/>
  <c r="M401"/>
  <c r="AK401"/>
  <c r="AI401"/>
  <c r="AG401"/>
  <c r="Q401"/>
  <c r="AE401"/>
  <c r="AK400"/>
  <c r="AI400"/>
  <c r="AG400"/>
  <c r="S400"/>
  <c r="Q400"/>
  <c r="E400"/>
  <c r="AK396"/>
  <c r="AI396"/>
  <c r="AG396"/>
  <c r="Y396"/>
  <c r="S396"/>
  <c r="M396"/>
  <c r="K396"/>
  <c r="G396"/>
  <c r="E396"/>
  <c r="AK395"/>
  <c r="AI395"/>
  <c r="AG395"/>
  <c r="Q395"/>
  <c r="O395"/>
  <c r="K395"/>
  <c r="E395"/>
  <c r="AK394"/>
  <c r="AI394"/>
  <c r="AG394"/>
  <c r="Q394"/>
  <c r="O394"/>
  <c r="AK386"/>
  <c r="AI386"/>
  <c r="AG386"/>
  <c r="Y386"/>
  <c r="O386"/>
  <c r="M386"/>
  <c r="K386"/>
  <c r="G386"/>
  <c r="E386"/>
  <c r="AK385"/>
  <c r="AI385"/>
  <c r="AG385"/>
  <c r="S385"/>
  <c r="Q385"/>
  <c r="O385"/>
  <c r="M385"/>
  <c r="E385"/>
  <c r="AK383"/>
  <c r="AI383"/>
  <c r="AG383"/>
  <c r="AC383"/>
  <c r="Y383"/>
  <c r="S383"/>
  <c r="O383"/>
  <c r="E383"/>
  <c r="AK382"/>
  <c r="AI382"/>
  <c r="AG382"/>
  <c r="S382"/>
  <c r="Q382"/>
  <c r="G382"/>
  <c r="E382"/>
  <c r="AK380"/>
  <c r="AI380"/>
  <c r="AG380"/>
  <c r="Y380"/>
  <c r="S380"/>
  <c r="AK379"/>
  <c r="AI379"/>
  <c r="AG379"/>
  <c r="Y379"/>
  <c r="S379"/>
  <c r="Q379"/>
  <c r="O379"/>
  <c r="I379"/>
  <c r="G379"/>
  <c r="E379"/>
  <c r="AK377"/>
  <c r="AI377"/>
  <c r="AG377"/>
  <c r="Q377"/>
  <c r="G377"/>
  <c r="E377"/>
  <c r="AK374"/>
  <c r="AI374"/>
  <c r="AG374"/>
  <c r="AK373"/>
  <c r="AI373"/>
  <c r="AG373"/>
  <c r="K373"/>
  <c r="E373"/>
  <c r="AK365"/>
  <c r="AI365"/>
  <c r="AG365"/>
  <c r="Q365"/>
  <c r="E365"/>
  <c r="AK363"/>
  <c r="AI363"/>
  <c r="AG363"/>
  <c r="O363"/>
  <c r="AK361"/>
  <c r="AI361"/>
  <c r="AG361"/>
  <c r="Q361"/>
  <c r="AK357"/>
  <c r="AI357"/>
  <c r="AG357"/>
  <c r="S357"/>
  <c r="AK353"/>
  <c r="AI353"/>
  <c r="AG353"/>
  <c r="Q353"/>
  <c r="O353"/>
  <c r="M353"/>
  <c r="Q352"/>
  <c r="AG350"/>
  <c r="AK352"/>
  <c r="AI352"/>
  <c r="AG352"/>
  <c r="O352"/>
  <c r="E352"/>
  <c r="AK350"/>
  <c r="AI350"/>
  <c r="Q350"/>
  <c r="O350"/>
  <c r="M350"/>
  <c r="AK348"/>
  <c r="AI348"/>
  <c r="AG348"/>
  <c r="U348"/>
  <c r="S348"/>
  <c r="Q348"/>
  <c r="E348"/>
  <c r="AK343"/>
  <c r="AI343"/>
  <c r="AG343"/>
  <c r="AC343"/>
  <c r="Q343"/>
  <c r="O343"/>
  <c r="E343"/>
  <c r="AK342"/>
  <c r="AI342"/>
  <c r="AG342"/>
  <c r="O342"/>
  <c r="AK341"/>
  <c r="AI341"/>
  <c r="AG341"/>
  <c r="Q341"/>
  <c r="O341"/>
  <c r="I341"/>
  <c r="E341"/>
  <c r="AK333"/>
  <c r="AI333"/>
  <c r="AG333"/>
  <c r="U333"/>
  <c r="S333"/>
  <c r="Q333"/>
  <c r="O333"/>
  <c r="G333"/>
  <c r="E333"/>
  <c r="AK327"/>
  <c r="AI327"/>
  <c r="AG327"/>
  <c r="S327"/>
  <c r="AK322"/>
  <c r="AI322"/>
  <c r="AG322"/>
  <c r="Y322"/>
  <c r="Q322"/>
  <c r="K322"/>
  <c r="I322"/>
  <c r="G322"/>
  <c r="E322"/>
  <c r="AK321"/>
  <c r="AI321"/>
  <c r="AG321"/>
  <c r="S321"/>
  <c r="Q321"/>
  <c r="O321"/>
  <c r="E321"/>
  <c r="AE321"/>
  <c r="AK319"/>
  <c r="AI319"/>
  <c r="AG319"/>
  <c r="Y319"/>
  <c r="Q319"/>
  <c r="AK315"/>
  <c r="AI315"/>
  <c r="AG315"/>
  <c r="Q315"/>
  <c r="E315"/>
  <c r="AK312"/>
  <c r="AI312"/>
  <c r="AG312"/>
  <c r="AC312"/>
  <c r="Q312"/>
  <c r="K312"/>
  <c r="I312"/>
  <c r="E312"/>
  <c r="AK310"/>
  <c r="AI310"/>
  <c r="AG310"/>
  <c r="U310"/>
  <c r="S310"/>
  <c r="Q310"/>
  <c r="O310"/>
  <c r="E310"/>
  <c r="AK309"/>
  <c r="AI309"/>
  <c r="AG309"/>
  <c r="Y309"/>
  <c r="S309"/>
  <c r="E309"/>
  <c r="AK301"/>
  <c r="AI301"/>
  <c r="AG301"/>
  <c r="Q301"/>
  <c r="O301"/>
  <c r="I301"/>
  <c r="E301"/>
  <c r="AK297"/>
  <c r="AI297"/>
  <c r="AG297"/>
  <c r="S297"/>
  <c r="Q297"/>
  <c r="O297"/>
  <c r="E297"/>
  <c r="AK292"/>
  <c r="AI292"/>
  <c r="AG292"/>
  <c r="AK291"/>
  <c r="AI291"/>
  <c r="AG291"/>
  <c r="O291"/>
  <c r="I291"/>
  <c r="Q290"/>
  <c r="AK290"/>
  <c r="AI290"/>
  <c r="AG290"/>
  <c r="S290"/>
  <c r="O290"/>
  <c r="G290"/>
  <c r="E290"/>
  <c r="AK288"/>
  <c r="AI288"/>
  <c r="AG288"/>
  <c r="Q288"/>
  <c r="O288"/>
  <c r="AK287"/>
  <c r="AI287"/>
  <c r="AG287"/>
  <c r="AC287"/>
  <c r="Q287"/>
  <c r="O287"/>
  <c r="K287"/>
  <c r="AK283"/>
  <c r="AI283"/>
  <c r="AG283"/>
  <c r="S283"/>
  <c r="O283"/>
  <c r="E283"/>
  <c r="AK280"/>
  <c r="AI280"/>
  <c r="AG280"/>
  <c r="Y280"/>
  <c r="Q280"/>
  <c r="O280"/>
  <c r="E280"/>
  <c r="AK272"/>
  <c r="AI272"/>
  <c r="AG272"/>
  <c r="O272"/>
  <c r="E272"/>
  <c r="AK267"/>
  <c r="AI267"/>
  <c r="AG267"/>
  <c r="O267"/>
  <c r="E267"/>
  <c r="AK266"/>
  <c r="AI266"/>
  <c r="AG266"/>
  <c r="Y266"/>
  <c r="S266"/>
  <c r="E266"/>
  <c r="AK265"/>
  <c r="AI265"/>
  <c r="AG265"/>
  <c r="S265"/>
  <c r="Q265"/>
  <c r="O265"/>
  <c r="E265"/>
  <c r="AK262"/>
  <c r="AI262"/>
  <c r="AG262"/>
  <c r="AK261"/>
  <c r="AI261"/>
  <c r="AG261"/>
  <c r="AC261"/>
  <c r="S261"/>
  <c r="K261"/>
  <c r="E261"/>
  <c r="AK260"/>
  <c r="AI260"/>
  <c r="AG260"/>
  <c r="AK258"/>
  <c r="AI258"/>
  <c r="AG258"/>
  <c r="Y258"/>
  <c r="S258"/>
  <c r="E258"/>
  <c r="AK253"/>
  <c r="AI253"/>
  <c r="AG253"/>
  <c r="AC253"/>
  <c r="Q253"/>
  <c r="O253"/>
  <c r="E253"/>
  <c r="AE253" s="1"/>
  <c r="AK252"/>
  <c r="AI252"/>
  <c r="AG252"/>
  <c r="AK242"/>
  <c r="AI242"/>
  <c r="AG242"/>
  <c r="S242"/>
  <c r="Q242"/>
  <c r="O242"/>
  <c r="E242"/>
  <c r="AK241"/>
  <c r="AI241"/>
  <c r="AG241"/>
  <c r="Q241"/>
  <c r="O241"/>
  <c r="K241"/>
  <c r="I241"/>
  <c r="E241"/>
  <c r="AK235"/>
  <c r="AI235"/>
  <c r="AG235"/>
  <c r="AK233"/>
  <c r="AI233"/>
  <c r="AG233"/>
  <c r="AK232"/>
  <c r="AI232"/>
  <c r="AG232"/>
  <c r="U232"/>
  <c r="S232"/>
  <c r="O232"/>
  <c r="AK231"/>
  <c r="AI231"/>
  <c r="AG231"/>
  <c r="AA231"/>
  <c r="Y231"/>
  <c r="Q231"/>
  <c r="O231"/>
  <c r="K231"/>
  <c r="E231"/>
  <c r="AK229"/>
  <c r="AI229"/>
  <c r="AG229"/>
  <c r="S229"/>
  <c r="Q229"/>
  <c r="K229"/>
  <c r="E229"/>
  <c r="AK227"/>
  <c r="AI227"/>
  <c r="AG227"/>
  <c r="S227"/>
  <c r="Q227"/>
  <c r="M227"/>
  <c r="K227"/>
  <c r="G227"/>
  <c r="E227"/>
  <c r="AK226"/>
  <c r="AI226"/>
  <c r="AG226"/>
  <c r="S226"/>
  <c r="Q226"/>
  <c r="O226"/>
  <c r="M226"/>
  <c r="K226"/>
  <c r="G226"/>
  <c r="E226"/>
  <c r="AK221"/>
  <c r="AI221"/>
  <c r="AG221"/>
  <c r="AK220"/>
  <c r="AI220"/>
  <c r="AG220"/>
  <c r="Q220"/>
  <c r="E220"/>
  <c r="AK219"/>
  <c r="AI219"/>
  <c r="AG219"/>
  <c r="W219"/>
  <c r="S219"/>
  <c r="Q219"/>
  <c r="O219"/>
  <c r="M219"/>
  <c r="I219"/>
  <c r="E219"/>
  <c r="AK214"/>
  <c r="AI214"/>
  <c r="AG214"/>
  <c r="AA214"/>
  <c r="Y214"/>
  <c r="W214"/>
  <c r="U214"/>
  <c r="S214"/>
  <c r="Q214"/>
  <c r="G214"/>
  <c r="E214"/>
  <c r="AK212"/>
  <c r="AI212"/>
  <c r="AG212"/>
  <c r="Y212"/>
  <c r="S212"/>
  <c r="Q212"/>
  <c r="AK209"/>
  <c r="AI209"/>
  <c r="AG209"/>
  <c r="Q209"/>
  <c r="O209"/>
  <c r="I209"/>
  <c r="E209"/>
  <c r="AK208"/>
  <c r="AI208"/>
  <c r="AG208"/>
  <c r="S208"/>
  <c r="O208"/>
  <c r="K208"/>
  <c r="E208"/>
  <c r="AK206"/>
  <c r="AI206"/>
  <c r="AG206"/>
  <c r="Y206"/>
  <c r="S206"/>
  <c r="O206"/>
  <c r="AK205"/>
  <c r="AI205"/>
  <c r="AG205"/>
  <c r="AA205"/>
  <c r="Y205"/>
  <c r="Q205"/>
  <c r="O205"/>
  <c r="K205"/>
  <c r="I205"/>
  <c r="G205"/>
  <c r="E205"/>
  <c r="AK201"/>
  <c r="AI201"/>
  <c r="AG201"/>
  <c r="Q201"/>
  <c r="M201"/>
  <c r="AK200"/>
  <c r="AI200"/>
  <c r="AG200"/>
  <c r="S200"/>
  <c r="Q200"/>
  <c r="AK199"/>
  <c r="AI199"/>
  <c r="AG199"/>
  <c r="E199"/>
  <c r="AK196"/>
  <c r="AI196"/>
  <c r="AG196"/>
  <c r="Y196"/>
  <c r="Q196"/>
  <c r="G196"/>
  <c r="E196"/>
  <c r="AK193"/>
  <c r="AI193"/>
  <c r="AG193"/>
  <c r="O193"/>
  <c r="I193"/>
  <c r="AK188"/>
  <c r="AI188"/>
  <c r="AG188"/>
  <c r="S188"/>
  <c r="Q188"/>
  <c r="O188"/>
  <c r="AK186"/>
  <c r="AI186"/>
  <c r="AG186"/>
  <c r="Q186"/>
  <c r="AK185"/>
  <c r="AI185"/>
  <c r="AG185"/>
  <c r="Y185"/>
  <c r="S185"/>
  <c r="O185"/>
  <c r="K185"/>
  <c r="E185"/>
  <c r="AK183"/>
  <c r="AI183"/>
  <c r="AG183"/>
  <c r="S183"/>
  <c r="I183"/>
  <c r="AK182"/>
  <c r="AI182"/>
  <c r="AG182"/>
  <c r="S182"/>
  <c r="E182"/>
  <c r="AK164"/>
  <c r="AI164"/>
  <c r="AG164"/>
  <c r="AK157"/>
  <c r="AI157"/>
  <c r="AG157"/>
  <c r="Q157"/>
  <c r="O155"/>
  <c r="AK155"/>
  <c r="AI155"/>
  <c r="AG155"/>
  <c r="S155"/>
  <c r="G155"/>
  <c r="E155"/>
  <c r="E150"/>
  <c r="AK150"/>
  <c r="AI150"/>
  <c r="AG150"/>
  <c r="AC150"/>
  <c r="S150"/>
  <c r="Q150"/>
  <c r="AK149"/>
  <c r="AI149"/>
  <c r="AG149"/>
  <c r="Y149"/>
  <c r="S149"/>
  <c r="O149"/>
  <c r="E149"/>
  <c r="AK148"/>
  <c r="AI148"/>
  <c r="AG148"/>
  <c r="K148"/>
  <c r="G148"/>
  <c r="E148"/>
  <c r="AK146"/>
  <c r="AI146"/>
  <c r="AG146"/>
  <c r="Y146"/>
  <c r="S146"/>
  <c r="Q146"/>
  <c r="AK145"/>
  <c r="AI145"/>
  <c r="AG145"/>
  <c r="AK138"/>
  <c r="AI138"/>
  <c r="AG138"/>
  <c r="AC138"/>
  <c r="Y138"/>
  <c r="W138"/>
  <c r="U138"/>
  <c r="S138"/>
  <c r="Q138"/>
  <c r="O138"/>
  <c r="M138"/>
  <c r="I138"/>
  <c r="E138"/>
  <c r="AK136"/>
  <c r="AI136"/>
  <c r="AG136"/>
  <c r="AC136"/>
  <c r="S136"/>
  <c r="Q136"/>
  <c r="E136"/>
  <c r="AK131"/>
  <c r="AI131"/>
  <c r="AG131"/>
  <c r="AK124"/>
  <c r="AI124"/>
  <c r="AG124"/>
  <c r="O124"/>
  <c r="AK121"/>
  <c r="AI121"/>
  <c r="AG121"/>
  <c r="M121"/>
  <c r="E121"/>
  <c r="AK116"/>
  <c r="AI116"/>
  <c r="AG116"/>
  <c r="AK115"/>
  <c r="AI115"/>
  <c r="AG115"/>
  <c r="AC115"/>
  <c r="Y115"/>
  <c r="S115"/>
  <c r="Q115"/>
  <c r="O115"/>
  <c r="K115"/>
  <c r="G115"/>
  <c r="E115"/>
  <c r="AK112"/>
  <c r="AI112"/>
  <c r="AG112"/>
  <c r="Y112"/>
  <c r="O112"/>
  <c r="I112"/>
  <c r="E112"/>
  <c r="AK107"/>
  <c r="AI107"/>
  <c r="AG107"/>
  <c r="U107"/>
  <c r="S107"/>
  <c r="Q107"/>
  <c r="O107"/>
  <c r="I107"/>
  <c r="E107"/>
  <c r="AK105"/>
  <c r="AI105"/>
  <c r="AG105"/>
  <c r="Y105"/>
  <c r="W105"/>
  <c r="U105"/>
  <c r="O105"/>
  <c r="G105"/>
  <c r="E105"/>
  <c r="AK103"/>
  <c r="AI103"/>
  <c r="AG103"/>
  <c r="W103"/>
  <c r="U103"/>
  <c r="S103"/>
  <c r="I103"/>
  <c r="AI94"/>
  <c r="AG94"/>
  <c r="AK94"/>
  <c r="Y94"/>
  <c r="S94"/>
  <c r="Q94"/>
  <c r="I94"/>
  <c r="AK93"/>
  <c r="AI93"/>
  <c r="AG93"/>
  <c r="I93"/>
  <c r="E93"/>
  <c r="AG92"/>
  <c r="AG88"/>
  <c r="AG85"/>
  <c r="AG82"/>
  <c r="AG79"/>
  <c r="AG78"/>
  <c r="AG77"/>
  <c r="AG74"/>
  <c r="AG73"/>
  <c r="AG72"/>
  <c r="AG71"/>
  <c r="AG67"/>
  <c r="AG65"/>
  <c r="AG62"/>
  <c r="AG58"/>
  <c r="AG57"/>
  <c r="AG53"/>
  <c r="AG51"/>
  <c r="AG47"/>
  <c r="AG45"/>
  <c r="AG42"/>
  <c r="AG41"/>
  <c r="AG40"/>
  <c r="AG37"/>
  <c r="AG35"/>
  <c r="AG33"/>
  <c r="AG32"/>
  <c r="AG31"/>
  <c r="AG30"/>
  <c r="AG26"/>
  <c r="AG25"/>
  <c r="AG24"/>
  <c r="AG22"/>
  <c r="AG19"/>
  <c r="AG11"/>
  <c r="AG10"/>
  <c r="AG9"/>
  <c r="Q93" i="8"/>
  <c r="I93"/>
  <c r="AK92" i="2"/>
  <c r="AI92"/>
  <c r="O92"/>
  <c r="AK88"/>
  <c r="AI88"/>
  <c r="AK85"/>
  <c r="AI85"/>
  <c r="AC85"/>
  <c r="Y85"/>
  <c r="Q85"/>
  <c r="O85"/>
  <c r="E85"/>
  <c r="AK82"/>
  <c r="AI82"/>
  <c r="AC82"/>
  <c r="Y82"/>
  <c r="S82"/>
  <c r="Q82"/>
  <c r="O82"/>
  <c r="E82"/>
  <c r="AK79"/>
  <c r="AI79"/>
  <c r="K79"/>
  <c r="AK78"/>
  <c r="AI78"/>
  <c r="Y78"/>
  <c r="S78"/>
  <c r="O78"/>
  <c r="K78"/>
  <c r="E78"/>
  <c r="AK77"/>
  <c r="AI77"/>
  <c r="Q77"/>
  <c r="E77"/>
  <c r="AK74"/>
  <c r="AI74"/>
  <c r="S74"/>
  <c r="E74"/>
  <c r="AK73"/>
  <c r="AI73"/>
  <c r="S73"/>
  <c r="Q73"/>
  <c r="O73"/>
  <c r="AK72"/>
  <c r="AI72"/>
  <c r="Q72"/>
  <c r="O72"/>
  <c r="I72"/>
  <c r="E72"/>
  <c r="AK71"/>
  <c r="AI71"/>
  <c r="AA71"/>
  <c r="S71"/>
  <c r="O71"/>
  <c r="I71"/>
  <c r="G71"/>
  <c r="E71"/>
  <c r="AK70"/>
  <c r="AI70"/>
  <c r="S70"/>
  <c r="O70"/>
  <c r="E70"/>
  <c r="AK67"/>
  <c r="AI67"/>
  <c r="Q67"/>
  <c r="AK65"/>
  <c r="AI65"/>
  <c r="G65"/>
  <c r="E65"/>
  <c r="AK62"/>
  <c r="AA62"/>
  <c r="Y62"/>
  <c r="Q62"/>
  <c r="O62"/>
  <c r="E62"/>
  <c r="AK58"/>
  <c r="AI58"/>
  <c r="M58"/>
  <c r="I58"/>
  <c r="E58"/>
  <c r="AK57"/>
  <c r="AI57"/>
  <c r="AC57"/>
  <c r="S57"/>
  <c r="O57"/>
  <c r="AK53"/>
  <c r="AI53"/>
  <c r="Q53"/>
  <c r="K53"/>
  <c r="AK51"/>
  <c r="AI51"/>
  <c r="W51"/>
  <c r="U51"/>
  <c r="S51"/>
  <c r="E51"/>
  <c r="AK47"/>
  <c r="AI47"/>
  <c r="AC47"/>
  <c r="S47"/>
  <c r="O47"/>
  <c r="E47"/>
  <c r="AK45"/>
  <c r="AI45"/>
  <c r="Q45"/>
  <c r="AK42"/>
  <c r="AI42"/>
  <c r="Q42"/>
  <c r="O42"/>
  <c r="I42"/>
  <c r="G42"/>
  <c r="E42"/>
  <c r="AK41"/>
  <c r="AI41"/>
  <c r="AC41"/>
  <c r="S41"/>
  <c r="Q41"/>
  <c r="E41"/>
  <c r="AK40"/>
  <c r="AI40"/>
  <c r="S40"/>
  <c r="Q40"/>
  <c r="O40"/>
  <c r="G40"/>
  <c r="E40"/>
  <c r="AK37"/>
  <c r="AI37"/>
  <c r="O37"/>
  <c r="AK35"/>
  <c r="AI35"/>
  <c r="E35"/>
  <c r="AK33"/>
  <c r="AI33"/>
  <c r="Y33"/>
  <c r="Q33"/>
  <c r="E33"/>
  <c r="AK32"/>
  <c r="AI32"/>
  <c r="AA32"/>
  <c r="S32"/>
  <c r="Q32"/>
  <c r="O32"/>
  <c r="E32"/>
  <c r="AK31"/>
  <c r="AI31"/>
  <c r="AC31"/>
  <c r="Y31"/>
  <c r="Q31"/>
  <c r="G31"/>
  <c r="AK30"/>
  <c r="AI30"/>
  <c r="U30"/>
  <c r="S30"/>
  <c r="O30"/>
  <c r="I30"/>
  <c r="G30"/>
  <c r="E30"/>
  <c r="AK26"/>
  <c r="AI26"/>
  <c r="S26"/>
  <c r="Q26"/>
  <c r="E26"/>
  <c r="AK25"/>
  <c r="AI25"/>
  <c r="G25"/>
  <c r="AK24"/>
  <c r="AI24"/>
  <c r="Y24"/>
  <c r="W24"/>
  <c r="U24"/>
  <c r="S24"/>
  <c r="O24"/>
  <c r="AE24"/>
  <c r="E24"/>
  <c r="AK22"/>
  <c r="AI22"/>
  <c r="Q22"/>
  <c r="E22"/>
  <c r="AE22" s="1"/>
  <c r="AK19"/>
  <c r="AI19"/>
  <c r="S19"/>
  <c r="AE19"/>
  <c r="E19"/>
  <c r="AK11"/>
  <c r="AI11"/>
  <c r="E11"/>
  <c r="AE11" s="1"/>
  <c r="AK10"/>
  <c r="AI10"/>
  <c r="Q10"/>
  <c r="O10"/>
  <c r="AE10"/>
  <c r="M10"/>
  <c r="AK9"/>
  <c r="AI9"/>
  <c r="AC9"/>
  <c r="U9"/>
  <c r="S9"/>
  <c r="Q9"/>
  <c r="K9"/>
  <c r="E9"/>
  <c r="AE9" s="1"/>
  <c r="S655" i="8"/>
  <c r="S654"/>
  <c r="S652"/>
  <c r="Q656"/>
  <c r="Q655"/>
  <c r="Q654"/>
  <c r="Q653"/>
  <c r="Q652"/>
  <c r="O652"/>
  <c r="I656"/>
  <c r="I655"/>
  <c r="I654"/>
  <c r="I653"/>
  <c r="I652"/>
  <c r="E655"/>
  <c r="E654"/>
  <c r="E652"/>
  <c r="S649"/>
  <c r="O649"/>
  <c r="M649"/>
  <c r="I649"/>
  <c r="E649"/>
  <c r="S646"/>
  <c r="O646"/>
  <c r="I646"/>
  <c r="E646"/>
  <c r="AA645"/>
  <c r="S645"/>
  <c r="Q645"/>
  <c r="O645"/>
  <c r="M645"/>
  <c r="I645"/>
  <c r="G645"/>
  <c r="E645"/>
  <c r="Q641"/>
  <c r="I641"/>
  <c r="E641"/>
  <c r="Q636"/>
  <c r="I636"/>
  <c r="E636"/>
  <c r="AA635"/>
  <c r="S635"/>
  <c r="O635"/>
  <c r="I635"/>
  <c r="E635"/>
  <c r="Q634"/>
  <c r="I634"/>
  <c r="Y626"/>
  <c r="S626"/>
  <c r="Q626"/>
  <c r="O626"/>
  <c r="M626"/>
  <c r="I626"/>
  <c r="E626"/>
  <c r="S624"/>
  <c r="M624"/>
  <c r="I624"/>
  <c r="E624"/>
  <c r="S621"/>
  <c r="I621"/>
  <c r="E621"/>
  <c r="Q620"/>
  <c r="O620"/>
  <c r="I620"/>
  <c r="AE618"/>
  <c r="S618"/>
  <c r="Q618"/>
  <c r="O618"/>
  <c r="I618"/>
  <c r="S616"/>
  <c r="Q616"/>
  <c r="M616"/>
  <c r="I616"/>
  <c r="G616"/>
  <c r="E616"/>
  <c r="S615"/>
  <c r="O615"/>
  <c r="M615"/>
  <c r="I615"/>
  <c r="E615"/>
  <c r="S613"/>
  <c r="O613"/>
  <c r="I613"/>
  <c r="E613"/>
  <c r="S611"/>
  <c r="Q611"/>
  <c r="O611"/>
  <c r="M611"/>
  <c r="I611"/>
  <c r="E611"/>
  <c r="S610"/>
  <c r="Q610"/>
  <c r="O610"/>
  <c r="M610"/>
  <c r="K610"/>
  <c r="I610"/>
  <c r="E610"/>
  <c r="O603"/>
  <c r="I603"/>
  <c r="E603"/>
  <c r="S601"/>
  <c r="Q601"/>
  <c r="O601"/>
  <c r="M601"/>
  <c r="I601"/>
  <c r="E601"/>
  <c r="S600"/>
  <c r="Q600"/>
  <c r="O600"/>
  <c r="I600"/>
  <c r="E600"/>
  <c r="Q597"/>
  <c r="O597"/>
  <c r="I597"/>
  <c r="E597"/>
  <c r="S595"/>
  <c r="O595"/>
  <c r="M595"/>
  <c r="I595"/>
  <c r="G595"/>
  <c r="E595"/>
  <c r="Q594"/>
  <c r="I594"/>
  <c r="S593"/>
  <c r="I593"/>
  <c r="G593"/>
  <c r="S589"/>
  <c r="Q589"/>
  <c r="O589"/>
  <c r="M589"/>
  <c r="I589"/>
  <c r="E589"/>
  <c r="Q585"/>
  <c r="I585"/>
  <c r="S581"/>
  <c r="Q581"/>
  <c r="O581"/>
  <c r="I581"/>
  <c r="E581"/>
  <c r="W577"/>
  <c r="S577"/>
  <c r="Q577"/>
  <c r="M577"/>
  <c r="I577"/>
  <c r="S574"/>
  <c r="Q574"/>
  <c r="I574"/>
  <c r="G574"/>
  <c r="E574"/>
  <c r="Q571"/>
  <c r="O571"/>
  <c r="I571"/>
  <c r="AA569"/>
  <c r="Q569"/>
  <c r="M569"/>
  <c r="I569"/>
  <c r="E569"/>
  <c r="S564"/>
  <c r="O564"/>
  <c r="I564"/>
  <c r="S556"/>
  <c r="Q556"/>
  <c r="I556"/>
  <c r="E556"/>
  <c r="AA554"/>
  <c r="S554"/>
  <c r="I554"/>
  <c r="E554"/>
  <c r="AA550"/>
  <c r="S550"/>
  <c r="Q550"/>
  <c r="O550"/>
  <c r="M550"/>
  <c r="I550"/>
  <c r="E550"/>
  <c r="S549"/>
  <c r="E549"/>
  <c r="Q548"/>
  <c r="O548"/>
  <c r="I548"/>
  <c r="S547"/>
  <c r="I547"/>
  <c r="S546"/>
  <c r="Q546"/>
  <c r="O546"/>
  <c r="K546"/>
  <c r="I546"/>
  <c r="E546"/>
  <c r="AA545"/>
  <c r="S545"/>
  <c r="I545"/>
  <c r="S544"/>
  <c r="Q544"/>
  <c r="I544"/>
  <c r="E544"/>
  <c r="S541"/>
  <c r="O541"/>
  <c r="M541"/>
  <c r="I541"/>
  <c r="S534"/>
  <c r="M534"/>
  <c r="I534"/>
  <c r="E534"/>
  <c r="O533"/>
  <c r="E533"/>
  <c r="S530"/>
  <c r="Q530"/>
  <c r="I530"/>
  <c r="G530"/>
  <c r="E530"/>
  <c r="Q529"/>
  <c r="I529"/>
  <c r="AA523"/>
  <c r="I523"/>
  <c r="G523"/>
  <c r="S519"/>
  <c r="I519"/>
  <c r="E519"/>
  <c r="AA518"/>
  <c r="S518"/>
  <c r="Q518"/>
  <c r="I518"/>
  <c r="I516"/>
  <c r="Q514"/>
  <c r="O514"/>
  <c r="M514"/>
  <c r="I514"/>
  <c r="E514"/>
  <c r="S512"/>
  <c r="Q512"/>
  <c r="I512"/>
  <c r="G512"/>
  <c r="E512"/>
  <c r="AC510"/>
  <c r="S510"/>
  <c r="Q510"/>
  <c r="I510"/>
  <c r="E510"/>
  <c r="Q509"/>
  <c r="I509"/>
  <c r="S497"/>
  <c r="M497"/>
  <c r="I497"/>
  <c r="E497"/>
  <c r="I486"/>
  <c r="G486"/>
  <c r="E486"/>
  <c r="S485"/>
  <c r="Q485"/>
  <c r="O485"/>
  <c r="I485"/>
  <c r="Q475"/>
  <c r="I475"/>
  <c r="S472"/>
  <c r="Q472"/>
  <c r="O472"/>
  <c r="M472"/>
  <c r="I472"/>
  <c r="E472"/>
  <c r="I470"/>
  <c r="AE469"/>
  <c r="S469"/>
  <c r="Q469"/>
  <c r="O469"/>
  <c r="M469"/>
  <c r="K469"/>
  <c r="I469"/>
  <c r="E469"/>
  <c r="S468"/>
  <c r="Q468"/>
  <c r="I468"/>
  <c r="AA467"/>
  <c r="Q467"/>
  <c r="O467"/>
  <c r="I467"/>
  <c r="E467"/>
  <c r="S464"/>
  <c r="O464"/>
  <c r="M464"/>
  <c r="I464"/>
  <c r="E464"/>
  <c r="S462"/>
  <c r="Q462"/>
  <c r="O462"/>
  <c r="M462"/>
  <c r="I462"/>
  <c r="E462"/>
  <c r="Q461"/>
  <c r="I461"/>
  <c r="Q460"/>
  <c r="I460"/>
  <c r="S459"/>
  <c r="Q459"/>
  <c r="O459"/>
  <c r="M459"/>
  <c r="I459"/>
  <c r="G459"/>
  <c r="S458"/>
  <c r="I458"/>
  <c r="AA454"/>
  <c r="S454"/>
  <c r="Q454"/>
  <c r="O454"/>
  <c r="I454"/>
  <c r="E454"/>
  <c r="Q451"/>
  <c r="I451"/>
  <c r="AC450"/>
  <c r="Q450"/>
  <c r="I450"/>
  <c r="AA449"/>
  <c r="Q449"/>
  <c r="O449"/>
  <c r="I449"/>
  <c r="E449"/>
  <c r="S446"/>
  <c r="Q446"/>
  <c r="O446"/>
  <c r="M446"/>
  <c r="I446"/>
  <c r="E446"/>
  <c r="E443"/>
  <c r="S443"/>
  <c r="O443"/>
  <c r="I443"/>
  <c r="G443"/>
  <c r="S442"/>
  <c r="O442"/>
  <c r="M442"/>
  <c r="I442"/>
  <c r="E442"/>
  <c r="AC440"/>
  <c r="S440"/>
  <c r="Q440"/>
  <c r="O440"/>
  <c r="M440"/>
  <c r="K440"/>
  <c r="I440"/>
  <c r="E440"/>
  <c r="S438"/>
  <c r="Q438"/>
  <c r="O438"/>
  <c r="I438"/>
  <c r="E438"/>
  <c r="Q436"/>
  <c r="S424"/>
  <c r="Q424"/>
  <c r="O424"/>
  <c r="M424"/>
  <c r="I424"/>
  <c r="G424"/>
  <c r="E424"/>
  <c r="S422"/>
  <c r="I422"/>
  <c r="E422"/>
  <c r="AA411"/>
  <c r="S411"/>
  <c r="Q411"/>
  <c r="O411"/>
  <c r="M411"/>
  <c r="I411"/>
  <c r="E411"/>
  <c r="AE410"/>
  <c r="W410"/>
  <c r="S410"/>
  <c r="Q410"/>
  <c r="O410"/>
  <c r="M410"/>
  <c r="I410"/>
  <c r="G410"/>
  <c r="E410"/>
  <c r="AA407"/>
  <c r="S407"/>
  <c r="I407"/>
  <c r="E407"/>
  <c r="S406"/>
  <c r="Q406"/>
  <c r="O406"/>
  <c r="M406"/>
  <c r="I406"/>
  <c r="E406"/>
  <c r="AE401"/>
  <c r="S401"/>
  <c r="Q401"/>
  <c r="O401"/>
  <c r="M401"/>
  <c r="I401"/>
  <c r="G401"/>
  <c r="S399"/>
  <c r="I399"/>
  <c r="S398"/>
  <c r="I398"/>
  <c r="AA397"/>
  <c r="Q397"/>
  <c r="O397"/>
  <c r="I397"/>
  <c r="E397"/>
  <c r="S393"/>
  <c r="Q393"/>
  <c r="M393"/>
  <c r="I393"/>
  <c r="G393"/>
  <c r="E393"/>
  <c r="I392"/>
  <c r="E392"/>
  <c r="S391"/>
  <c r="I391"/>
  <c r="S383"/>
  <c r="Q383"/>
  <c r="O383"/>
  <c r="M383"/>
  <c r="I383"/>
  <c r="E383"/>
  <c r="AA382"/>
  <c r="S382"/>
  <c r="Q382"/>
  <c r="O382"/>
  <c r="M382"/>
  <c r="I382"/>
  <c r="G382"/>
  <c r="E382"/>
  <c r="AA380"/>
  <c r="S380"/>
  <c r="Q380"/>
  <c r="O380"/>
  <c r="I380"/>
  <c r="E380"/>
  <c r="AA379"/>
  <c r="S379"/>
  <c r="Q379"/>
  <c r="O379"/>
  <c r="I379"/>
  <c r="E379"/>
  <c r="S378"/>
  <c r="Q378"/>
  <c r="O378"/>
  <c r="M378"/>
  <c r="I378"/>
  <c r="S377"/>
  <c r="Q377"/>
  <c r="O377"/>
  <c r="I377"/>
  <c r="E377"/>
  <c r="S375"/>
  <c r="AE375"/>
  <c r="Q375"/>
  <c r="O375"/>
  <c r="M375"/>
  <c r="I375"/>
  <c r="E375"/>
  <c r="Q373"/>
  <c r="I373"/>
  <c r="S371"/>
  <c r="I371"/>
  <c r="Q363"/>
  <c r="O363"/>
  <c r="G363"/>
  <c r="E363"/>
  <c r="E361"/>
  <c r="I359"/>
  <c r="E359"/>
  <c r="Q355"/>
  <c r="I355"/>
  <c r="S351"/>
  <c r="Q351"/>
  <c r="I351"/>
  <c r="AA350"/>
  <c r="S350"/>
  <c r="Q350"/>
  <c r="O350"/>
  <c r="M350"/>
  <c r="I350"/>
  <c r="E350"/>
  <c r="Q348"/>
  <c r="I348"/>
  <c r="E348"/>
  <c r="AE346"/>
  <c r="S346"/>
  <c r="Q346"/>
  <c r="O346"/>
  <c r="I346"/>
  <c r="E346"/>
  <c r="S341"/>
  <c r="M341"/>
  <c r="I341"/>
  <c r="G340"/>
  <c r="AE8" i="2"/>
  <c r="AE12"/>
  <c r="AE13"/>
  <c r="AE14"/>
  <c r="AE15"/>
  <c r="AE16"/>
  <c r="AE17"/>
  <c r="AE18"/>
  <c r="AE20"/>
  <c r="AE21"/>
  <c r="AE23"/>
  <c r="AE25"/>
  <c r="AE26"/>
  <c r="AE27"/>
  <c r="AE28"/>
  <c r="AE29"/>
  <c r="AE30"/>
  <c r="U31"/>
  <c r="W31"/>
  <c r="AE31"/>
  <c r="U32"/>
  <c r="W32"/>
  <c r="AE33"/>
  <c r="AE34"/>
  <c r="AE35"/>
  <c r="AE36"/>
  <c r="AE37"/>
  <c r="AE38"/>
  <c r="AE39"/>
  <c r="U40"/>
  <c r="AE40" s="1"/>
  <c r="AE41"/>
  <c r="Y42"/>
  <c r="AE42"/>
  <c r="AE43"/>
  <c r="AE44"/>
  <c r="AE45"/>
  <c r="AE46"/>
  <c r="AE47"/>
  <c r="AE48"/>
  <c r="AE49"/>
  <c r="AE50"/>
  <c r="AE51"/>
  <c r="AE52"/>
  <c r="AE53"/>
  <c r="AE54"/>
  <c r="AE55"/>
  <c r="AE56"/>
  <c r="W57"/>
  <c r="AE57"/>
  <c r="AE58"/>
  <c r="AE59"/>
  <c r="AE60"/>
  <c r="AE61"/>
  <c r="AE62"/>
  <c r="AE63"/>
  <c r="AE64"/>
  <c r="O65"/>
  <c r="U65"/>
  <c r="W65"/>
  <c r="AE66"/>
  <c r="AE67"/>
  <c r="AE68"/>
  <c r="AE69"/>
  <c r="AE70"/>
  <c r="AE71"/>
  <c r="AE72"/>
  <c r="I73"/>
  <c r="AE73" s="1"/>
  <c r="AE74"/>
  <c r="AE75"/>
  <c r="AE76"/>
  <c r="AE77"/>
  <c r="AE78"/>
  <c r="AE79"/>
  <c r="AE80"/>
  <c r="AE81"/>
  <c r="AE82"/>
  <c r="AE83"/>
  <c r="AE84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S105"/>
  <c r="AE105" s="1"/>
  <c r="AE106"/>
  <c r="AE107"/>
  <c r="AE108"/>
  <c r="AE109"/>
  <c r="AE110"/>
  <c r="AE111"/>
  <c r="AE112"/>
  <c r="AE113"/>
  <c r="AE114"/>
  <c r="U115"/>
  <c r="AE115"/>
  <c r="AE116"/>
  <c r="AE117"/>
  <c r="AE118"/>
  <c r="AE119"/>
  <c r="AE120"/>
  <c r="I121"/>
  <c r="O121"/>
  <c r="AE122"/>
  <c r="AE123"/>
  <c r="AE124"/>
  <c r="AE125"/>
  <c r="AE126"/>
  <c r="AE127"/>
  <c r="AE128"/>
  <c r="AE129"/>
  <c r="AE130"/>
  <c r="AE131"/>
  <c r="AE132"/>
  <c r="AE133"/>
  <c r="AE134"/>
  <c r="AE135"/>
  <c r="U136"/>
  <c r="AE136" s="1"/>
  <c r="AE137"/>
  <c r="AE138"/>
  <c r="AE139"/>
  <c r="AE140"/>
  <c r="AE142"/>
  <c r="AE143"/>
  <c r="AE144"/>
  <c r="AE145"/>
  <c r="AE146"/>
  <c r="AE147"/>
  <c r="AE148"/>
  <c r="AE149"/>
  <c r="U150"/>
  <c r="AE150" s="1"/>
  <c r="AE151"/>
  <c r="AE152"/>
  <c r="AE153"/>
  <c r="AE154"/>
  <c r="U155"/>
  <c r="AE155" s="1"/>
  <c r="AE156"/>
  <c r="AE157"/>
  <c r="AE158"/>
  <c r="AE159"/>
  <c r="AE160"/>
  <c r="E161"/>
  <c r="U161"/>
  <c r="AI161"/>
  <c r="AK161"/>
  <c r="AE162"/>
  <c r="AE163"/>
  <c r="O164"/>
  <c r="AE164"/>
  <c r="AE165"/>
  <c r="AE166"/>
  <c r="AE167"/>
  <c r="AE168"/>
  <c r="AE169"/>
  <c r="AE170"/>
  <c r="AE171"/>
  <c r="AE172"/>
  <c r="AE173"/>
  <c r="AE174"/>
  <c r="AE175"/>
  <c r="AE176"/>
  <c r="AE177"/>
  <c r="AG177"/>
  <c r="AE178"/>
  <c r="AE179"/>
  <c r="AE180"/>
  <c r="AE181"/>
  <c r="AE182"/>
  <c r="AE183"/>
  <c r="AE184"/>
  <c r="U185"/>
  <c r="AE185" s="1"/>
  <c r="AE186"/>
  <c r="AE187"/>
  <c r="U188"/>
  <c r="W188"/>
  <c r="Y188"/>
  <c r="AE189"/>
  <c r="AE190"/>
  <c r="AE191"/>
  <c r="S193"/>
  <c r="AE193" s="1"/>
  <c r="AE194"/>
  <c r="AE195"/>
  <c r="S196"/>
  <c r="AE196" s="1"/>
  <c r="U196"/>
  <c r="AA196"/>
  <c r="AE197"/>
  <c r="AE198"/>
  <c r="AE199"/>
  <c r="AE200"/>
  <c r="AE201"/>
  <c r="AE202"/>
  <c r="AE203"/>
  <c r="AE204"/>
  <c r="AE205"/>
  <c r="AE206"/>
  <c r="AE207"/>
  <c r="AE208"/>
  <c r="S209"/>
  <c r="U209"/>
  <c r="W209"/>
  <c r="AE210"/>
  <c r="AE212"/>
  <c r="AE213"/>
  <c r="O214"/>
  <c r="AE214" s="1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W241"/>
  <c r="AE241" s="1"/>
  <c r="AE242"/>
  <c r="AE243"/>
  <c r="AE244"/>
  <c r="AE245"/>
  <c r="AE246"/>
  <c r="AE247"/>
  <c r="AE248"/>
  <c r="AE249"/>
  <c r="AE250"/>
  <c r="AE251"/>
  <c r="AE252"/>
  <c r="AE254"/>
  <c r="AE255"/>
  <c r="AE256"/>
  <c r="AE257"/>
  <c r="AE258"/>
  <c r="AE259"/>
  <c r="AE260"/>
  <c r="AE261"/>
  <c r="AE262"/>
  <c r="AE263"/>
  <c r="AE264"/>
  <c r="AE265"/>
  <c r="U266"/>
  <c r="AE266"/>
  <c r="AE267"/>
  <c r="AE268"/>
  <c r="AE269"/>
  <c r="AE270"/>
  <c r="AE271"/>
  <c r="AE272"/>
  <c r="AE273"/>
  <c r="AE274"/>
  <c r="O275"/>
  <c r="AE275"/>
  <c r="AG275"/>
  <c r="AE276"/>
  <c r="AE277"/>
  <c r="AE278"/>
  <c r="I280"/>
  <c r="AE280"/>
  <c r="AE281"/>
  <c r="AE282"/>
  <c r="AE283"/>
  <c r="AE284"/>
  <c r="AE285"/>
  <c r="AE286"/>
  <c r="S287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O309"/>
  <c r="AE309" s="1"/>
  <c r="AE310"/>
  <c r="AE311"/>
  <c r="O312"/>
  <c r="U312"/>
  <c r="AE312"/>
  <c r="AE313"/>
  <c r="AE314"/>
  <c r="S315"/>
  <c r="AE315"/>
  <c r="AE316"/>
  <c r="AE317"/>
  <c r="AE318"/>
  <c r="AE319"/>
  <c r="AE320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S350"/>
  <c r="AE350" s="1"/>
  <c r="AE351"/>
  <c r="AE352"/>
  <c r="AE353"/>
  <c r="AE354"/>
  <c r="AE355"/>
  <c r="AE356"/>
  <c r="AE357"/>
  <c r="AE358"/>
  <c r="AE359"/>
  <c r="AE360"/>
  <c r="AE361"/>
  <c r="AE362"/>
  <c r="AE363"/>
  <c r="AE364"/>
  <c r="O365"/>
  <c r="AE365" s="1"/>
  <c r="AE366"/>
  <c r="AE367"/>
  <c r="AE368"/>
  <c r="AE369"/>
  <c r="AE370"/>
  <c r="AE371"/>
  <c r="AE372"/>
  <c r="AE373"/>
  <c r="AE374"/>
  <c r="AE375"/>
  <c r="AE376"/>
  <c r="I377"/>
  <c r="O377"/>
  <c r="AE378"/>
  <c r="AE379"/>
  <c r="AE380"/>
  <c r="AE382"/>
  <c r="AE383"/>
  <c r="AE384"/>
  <c r="AE385"/>
  <c r="S386"/>
  <c r="AE386" s="1"/>
  <c r="AE387"/>
  <c r="AE388"/>
  <c r="AE389"/>
  <c r="AE390"/>
  <c r="AE391"/>
  <c r="AE392"/>
  <c r="AE393"/>
  <c r="I394"/>
  <c r="AE394"/>
  <c r="AE395"/>
  <c r="AE396"/>
  <c r="AE397"/>
  <c r="AE398"/>
  <c r="AE399"/>
  <c r="AE400"/>
  <c r="AE402"/>
  <c r="AE403"/>
  <c r="AE404"/>
  <c r="AE405"/>
  <c r="AE406"/>
  <c r="AE407"/>
  <c r="AE408"/>
  <c r="AE409"/>
  <c r="AE410"/>
  <c r="AE412"/>
  <c r="AE413"/>
  <c r="AE414"/>
  <c r="S415"/>
  <c r="AE415"/>
  <c r="AE416"/>
  <c r="AE417"/>
  <c r="AE418"/>
  <c r="AE419"/>
  <c r="AE420"/>
  <c r="AE421"/>
  <c r="AE422"/>
  <c r="AE423"/>
  <c r="AE424"/>
  <c r="U425"/>
  <c r="AE425" s="1"/>
  <c r="AE426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S446"/>
  <c r="AE446"/>
  <c r="AE447"/>
  <c r="AE448"/>
  <c r="AE449"/>
  <c r="AE450"/>
  <c r="AE451"/>
  <c r="AE453"/>
  <c r="O454"/>
  <c r="AE454"/>
  <c r="AE455"/>
  <c r="S456"/>
  <c r="U456"/>
  <c r="AE457"/>
  <c r="AE458"/>
  <c r="AE459"/>
  <c r="AE460"/>
  <c r="S461"/>
  <c r="AE461" s="1"/>
  <c r="AE462"/>
  <c r="AE463"/>
  <c r="AE464"/>
  <c r="AE465"/>
  <c r="AE466"/>
  <c r="AE467"/>
  <c r="AE468"/>
  <c r="S469"/>
  <c r="AE469"/>
  <c r="W470"/>
  <c r="AE470"/>
  <c r="AE471"/>
  <c r="AE472"/>
  <c r="AE473"/>
  <c r="AE474"/>
  <c r="AE475"/>
  <c r="AE476"/>
  <c r="AE477"/>
  <c r="AE478"/>
  <c r="AE480"/>
  <c r="AE481"/>
  <c r="AE482"/>
  <c r="AE483"/>
  <c r="AE484"/>
  <c r="AE485"/>
  <c r="AE486"/>
  <c r="AE487"/>
  <c r="AE488"/>
  <c r="O489"/>
  <c r="AE489" s="1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U515"/>
  <c r="W515"/>
  <c r="AE516"/>
  <c r="AE517"/>
  <c r="AE518"/>
  <c r="AE519"/>
  <c r="AE520"/>
  <c r="U521"/>
  <c r="AE521" s="1"/>
  <c r="AE522"/>
  <c r="AE523"/>
  <c r="AE524"/>
  <c r="AE525"/>
  <c r="Y526"/>
  <c r="AE526" s="1"/>
  <c r="AE527"/>
  <c r="AE528"/>
  <c r="AE529"/>
  <c r="AE530"/>
  <c r="AE531"/>
  <c r="AE532"/>
  <c r="AE533"/>
  <c r="AE534"/>
  <c r="AE535"/>
  <c r="I536"/>
  <c r="AE536"/>
  <c r="AE537"/>
  <c r="AE538"/>
  <c r="AE539"/>
  <c r="AE540"/>
  <c r="AE541"/>
  <c r="AE542"/>
  <c r="AE543"/>
  <c r="AE544"/>
  <c r="AE545"/>
  <c r="AE546"/>
  <c r="AE547"/>
  <c r="S548"/>
  <c r="AE548" s="1"/>
  <c r="AE549"/>
  <c r="AE550"/>
  <c r="AE551"/>
  <c r="AE552"/>
  <c r="O553"/>
  <c r="AE553" s="1"/>
  <c r="AE554"/>
  <c r="AE555"/>
  <c r="AE556"/>
  <c r="AE557"/>
  <c r="AE558"/>
  <c r="AE559"/>
  <c r="AE560"/>
  <c r="AE561"/>
  <c r="AE562"/>
  <c r="AE563"/>
  <c r="AE564"/>
  <c r="AE565"/>
  <c r="AE567"/>
  <c r="AE568"/>
  <c r="AE569"/>
  <c r="AE570"/>
  <c r="AE571"/>
  <c r="AE572"/>
  <c r="AE573"/>
  <c r="AE574"/>
  <c r="AE575"/>
  <c r="AE576"/>
  <c r="AE578"/>
  <c r="AE579"/>
  <c r="AE580"/>
  <c r="AE581"/>
  <c r="AE582"/>
  <c r="AE583"/>
  <c r="S584"/>
  <c r="AE584" s="1"/>
  <c r="AE585"/>
  <c r="AE586"/>
  <c r="AE587"/>
  <c r="O588"/>
  <c r="AE588"/>
  <c r="AE589"/>
  <c r="AE590"/>
  <c r="AE591"/>
  <c r="AE593"/>
  <c r="AE594"/>
  <c r="AE595"/>
  <c r="AE597"/>
  <c r="AE598"/>
  <c r="AE599"/>
  <c r="AE600"/>
  <c r="AE601"/>
  <c r="AE602"/>
  <c r="AE603"/>
  <c r="S604"/>
  <c r="AE604" s="1"/>
  <c r="AE605"/>
  <c r="AE606"/>
  <c r="AE607"/>
  <c r="AE608"/>
  <c r="AE609"/>
  <c r="AE610"/>
  <c r="AE611"/>
  <c r="AE612"/>
  <c r="S614"/>
  <c r="U614"/>
  <c r="AE615"/>
  <c r="AE616"/>
  <c r="AE617"/>
  <c r="AE618"/>
  <c r="AE620"/>
  <c r="AE621"/>
  <c r="S622"/>
  <c r="AE622" s="1"/>
  <c r="AE623"/>
  <c r="AE624"/>
  <c r="AE625"/>
  <c r="AE626"/>
  <c r="AE627"/>
  <c r="AE628"/>
  <c r="AE629"/>
  <c r="AE630"/>
  <c r="AE631"/>
  <c r="AE632"/>
  <c r="AE633"/>
  <c r="AE634"/>
  <c r="AE635"/>
  <c r="AE636"/>
  <c r="AE637"/>
  <c r="O638"/>
  <c r="U638"/>
  <c r="AC638"/>
  <c r="AE639"/>
  <c r="AE640"/>
  <c r="AE641"/>
  <c r="AE642"/>
  <c r="AE643"/>
  <c r="AE644"/>
  <c r="AE645"/>
  <c r="AE646"/>
  <c r="AE647"/>
  <c r="S648"/>
  <c r="AE648"/>
  <c r="AE649"/>
  <c r="AE650"/>
  <c r="AE651"/>
  <c r="AE652"/>
  <c r="AE653"/>
  <c r="AE654"/>
  <c r="AE655"/>
  <c r="AE656"/>
  <c r="AE657"/>
  <c r="AE658"/>
  <c r="AE659"/>
  <c r="AE660"/>
  <c r="AI8" i="8"/>
  <c r="E9"/>
  <c r="I9"/>
  <c r="O9"/>
  <c r="S9"/>
  <c r="AE9"/>
  <c r="I10"/>
  <c r="AI10" s="1"/>
  <c r="AM10" i="2" s="1"/>
  <c r="E11" i="8"/>
  <c r="I11"/>
  <c r="Q11"/>
  <c r="S11"/>
  <c r="AA11"/>
  <c r="AI12"/>
  <c r="AK12"/>
  <c r="AI13"/>
  <c r="AK13"/>
  <c r="AI14"/>
  <c r="AI15"/>
  <c r="AI16"/>
  <c r="AI17"/>
  <c r="AI18"/>
  <c r="I19"/>
  <c r="O19"/>
  <c r="S19"/>
  <c r="AA19"/>
  <c r="AI20"/>
  <c r="AI21"/>
  <c r="E22"/>
  <c r="I22"/>
  <c r="AI22" s="1"/>
  <c r="AI23"/>
  <c r="I24"/>
  <c r="M24"/>
  <c r="O24"/>
  <c r="Q24"/>
  <c r="S24"/>
  <c r="AA24"/>
  <c r="I25"/>
  <c r="AI25" s="1"/>
  <c r="AM25" i="2" s="1"/>
  <c r="E26" i="8"/>
  <c r="G26"/>
  <c r="I26"/>
  <c r="O26"/>
  <c r="Q26"/>
  <c r="S26"/>
  <c r="AA26"/>
  <c r="AI27"/>
  <c r="AI28"/>
  <c r="AI29"/>
  <c r="E30"/>
  <c r="I30"/>
  <c r="M30"/>
  <c r="O30"/>
  <c r="Q30"/>
  <c r="S30"/>
  <c r="AA30"/>
  <c r="AE30"/>
  <c r="G31"/>
  <c r="I31"/>
  <c r="K31"/>
  <c r="M31"/>
  <c r="Q31"/>
  <c r="S31"/>
  <c r="W31"/>
  <c r="AA31"/>
  <c r="AE31"/>
  <c r="E32"/>
  <c r="I32"/>
  <c r="M32"/>
  <c r="Q32"/>
  <c r="S32"/>
  <c r="AC32"/>
  <c r="AE32"/>
  <c r="E33"/>
  <c r="I33"/>
  <c r="O33"/>
  <c r="S33"/>
  <c r="AI34"/>
  <c r="E35"/>
  <c r="S35"/>
  <c r="AI36"/>
  <c r="I37"/>
  <c r="AI37" s="1"/>
  <c r="AM37" i="2" s="1"/>
  <c r="AI38" i="8"/>
  <c r="AI39"/>
  <c r="E40"/>
  <c r="G40"/>
  <c r="I40"/>
  <c r="M40"/>
  <c r="Q40"/>
  <c r="S40"/>
  <c r="AE40"/>
  <c r="E41"/>
  <c r="G41"/>
  <c r="I41"/>
  <c r="O41"/>
  <c r="Q41"/>
  <c r="S41"/>
  <c r="E42"/>
  <c r="I42"/>
  <c r="M42"/>
  <c r="O42"/>
  <c r="Q42"/>
  <c r="S42"/>
  <c r="AA42"/>
  <c r="AE42"/>
  <c r="AI43"/>
  <c r="AM43"/>
  <c r="AI44"/>
  <c r="E45"/>
  <c r="AI45" s="1"/>
  <c r="AM45" i="2" s="1"/>
  <c r="AI46" i="8"/>
  <c r="AM46"/>
  <c r="E47"/>
  <c r="G47"/>
  <c r="I47"/>
  <c r="M47"/>
  <c r="O47"/>
  <c r="Q47"/>
  <c r="S47"/>
  <c r="AI48"/>
  <c r="AI49"/>
  <c r="AI50"/>
  <c r="E51"/>
  <c r="I51"/>
  <c r="M51"/>
  <c r="O51"/>
  <c r="Q51"/>
  <c r="S51"/>
  <c r="AI52"/>
  <c r="I53"/>
  <c r="Q53"/>
  <c r="AI54"/>
  <c r="AI55"/>
  <c r="AI56"/>
  <c r="E57"/>
  <c r="I57"/>
  <c r="M57"/>
  <c r="Q57"/>
  <c r="S57"/>
  <c r="E58"/>
  <c r="I58"/>
  <c r="Q58"/>
  <c r="S58"/>
  <c r="AI59"/>
  <c r="AI60"/>
  <c r="AI61"/>
  <c r="E62"/>
  <c r="I62"/>
  <c r="M62"/>
  <c r="O62"/>
  <c r="S62"/>
  <c r="Y62"/>
  <c r="AA62"/>
  <c r="AC62"/>
  <c r="AI63"/>
  <c r="AM63" i="2" s="1"/>
  <c r="AI64" i="8"/>
  <c r="AM64" i="2" s="1"/>
  <c r="I65" i="8"/>
  <c r="M65"/>
  <c r="O65"/>
  <c r="Q65"/>
  <c r="S65"/>
  <c r="AA65"/>
  <c r="AI66"/>
  <c r="AM66" i="2" s="1"/>
  <c r="I67" i="8"/>
  <c r="O67"/>
  <c r="Q67"/>
  <c r="AI68"/>
  <c r="AM68" i="2" s="1"/>
  <c r="AI69" i="8"/>
  <c r="AM69" i="2" s="1"/>
  <c r="E70" i="8"/>
  <c r="I70"/>
  <c r="M70"/>
  <c r="Q70"/>
  <c r="S70"/>
  <c r="E71"/>
  <c r="G71"/>
  <c r="I71"/>
  <c r="M71"/>
  <c r="O71"/>
  <c r="Q71"/>
  <c r="S71"/>
  <c r="AC71"/>
  <c r="E72"/>
  <c r="I72"/>
  <c r="Q72"/>
  <c r="AA72"/>
  <c r="E73"/>
  <c r="I73"/>
  <c r="O73"/>
  <c r="Q73"/>
  <c r="S73"/>
  <c r="AK73"/>
  <c r="G74"/>
  <c r="I74"/>
  <c r="O74"/>
  <c r="Q74"/>
  <c r="S74"/>
  <c r="AI75"/>
  <c r="AM75" i="2" s="1"/>
  <c r="AI76" i="8"/>
  <c r="AM76" i="2" s="1"/>
  <c r="E77" i="8"/>
  <c r="I77"/>
  <c r="O77"/>
  <c r="S77"/>
  <c r="AE77"/>
  <c r="E78"/>
  <c r="G78"/>
  <c r="I78"/>
  <c r="M78"/>
  <c r="O78"/>
  <c r="Q78"/>
  <c r="S78"/>
  <c r="AA78"/>
  <c r="G79"/>
  <c r="I79"/>
  <c r="AI80"/>
  <c r="AM80" i="2" s="1"/>
  <c r="AI81" i="8"/>
  <c r="AM81" i="2" s="1"/>
  <c r="E82" i="8"/>
  <c r="I82"/>
  <c r="O82"/>
  <c r="Q82"/>
  <c r="S82"/>
  <c r="AA82"/>
  <c r="AI84"/>
  <c r="AM84" i="2" s="1"/>
  <c r="AI85" i="8"/>
  <c r="E86"/>
  <c r="I86"/>
  <c r="O86"/>
  <c r="Q86"/>
  <c r="S86"/>
  <c r="AA86"/>
  <c r="AE86"/>
  <c r="AI87"/>
  <c r="AM87" i="2" s="1"/>
  <c r="AI88" i="8"/>
  <c r="I89"/>
  <c r="O89"/>
  <c r="S89"/>
  <c r="AI90"/>
  <c r="AI91"/>
  <c r="AI92"/>
  <c r="AI93"/>
  <c r="AM92" i="2" s="1"/>
  <c r="E94" i="8"/>
  <c r="I94"/>
  <c r="S94"/>
  <c r="E95"/>
  <c r="I95"/>
  <c r="M95"/>
  <c r="O95"/>
  <c r="S95"/>
  <c r="AA95"/>
  <c r="AC95"/>
  <c r="AI96"/>
  <c r="AM95" i="2" s="1"/>
  <c r="AI97" i="8"/>
  <c r="AM96" i="2" s="1"/>
  <c r="AI98" i="8"/>
  <c r="AM97" i="2" s="1"/>
  <c r="AI99" i="8"/>
  <c r="AM98" i="2" s="1"/>
  <c r="AI100" i="8"/>
  <c r="AM99" i="2" s="1"/>
  <c r="AI101" i="8"/>
  <c r="AM100" i="2" s="1"/>
  <c r="AI102" i="8"/>
  <c r="AM101" i="2" s="1"/>
  <c r="AI103" i="8"/>
  <c r="AM102" i="2" s="1"/>
  <c r="E104" i="8"/>
  <c r="I104"/>
  <c r="O104"/>
  <c r="Q104"/>
  <c r="S104"/>
  <c r="U104"/>
  <c r="AA104"/>
  <c r="AI105"/>
  <c r="AM104" i="2" s="1"/>
  <c r="G106" i="8"/>
  <c r="I106"/>
  <c r="M106"/>
  <c r="O106"/>
  <c r="Q106"/>
  <c r="S106"/>
  <c r="AA106"/>
  <c r="AI107"/>
  <c r="AM106" i="2" s="1"/>
  <c r="E108" i="8"/>
  <c r="I108"/>
  <c r="M108"/>
  <c r="O108"/>
  <c r="Q108"/>
  <c r="S108"/>
  <c r="AI109"/>
  <c r="AM108" i="2" s="1"/>
  <c r="AI110" i="8"/>
  <c r="AM109" i="2" s="1"/>
  <c r="AI111" i="8"/>
  <c r="AM110" i="2" s="1"/>
  <c r="AI112" i="8"/>
  <c r="AM111" i="2" s="1"/>
  <c r="E113" i="8"/>
  <c r="I113"/>
  <c r="O113"/>
  <c r="Q113"/>
  <c r="S113"/>
  <c r="AA113"/>
  <c r="AI114"/>
  <c r="AM113" i="2" s="1"/>
  <c r="AI115" i="8"/>
  <c r="AM114" i="2" s="1"/>
  <c r="E116" i="8"/>
  <c r="G116"/>
  <c r="I116"/>
  <c r="Q116"/>
  <c r="S116"/>
  <c r="AA116"/>
  <c r="I117"/>
  <c r="Q117"/>
  <c r="AI118"/>
  <c r="AM117" i="2" s="1"/>
  <c r="AI119" i="8"/>
  <c r="AM118" i="2" s="1"/>
  <c r="AI120" i="8"/>
  <c r="AM119" i="2" s="1"/>
  <c r="AI121" i="8"/>
  <c r="AM120" i="2" s="1"/>
  <c r="E122" i="8"/>
  <c r="I122"/>
  <c r="AI123"/>
  <c r="AM122" i="2" s="1"/>
  <c r="AI124" i="8"/>
  <c r="AM123" i="2" s="1"/>
  <c r="I125" i="8"/>
  <c r="AI125" s="1"/>
  <c r="AM124" i="2" s="1"/>
  <c r="AI126" i="8"/>
  <c r="AM125" i="2" s="1"/>
  <c r="AI127" i="8"/>
  <c r="AM126" i="2" s="1"/>
  <c r="AI128" i="8"/>
  <c r="AM127" i="2" s="1"/>
  <c r="AI129" i="8"/>
  <c r="AM128" i="2" s="1"/>
  <c r="AI130" i="8"/>
  <c r="AM129" i="2" s="1"/>
  <c r="AI131" i="8"/>
  <c r="AM130" i="2" s="1"/>
  <c r="I132" i="8"/>
  <c r="Q132"/>
  <c r="S132"/>
  <c r="AI133"/>
  <c r="AM132" i="2" s="1"/>
  <c r="AI134" i="8"/>
  <c r="AM133" i="2" s="1"/>
  <c r="AI135" i="8"/>
  <c r="AM134" i="2" s="1"/>
  <c r="AI136" i="8"/>
  <c r="AM135" i="2" s="1"/>
  <c r="E137" i="8"/>
  <c r="I137"/>
  <c r="M137"/>
  <c r="O137"/>
  <c r="Q137"/>
  <c r="S137"/>
  <c r="AE137"/>
  <c r="AK137"/>
  <c r="AI138"/>
  <c r="AM137" i="2" s="1"/>
  <c r="AK138" i="8"/>
  <c r="E139"/>
  <c r="G139"/>
  <c r="I139"/>
  <c r="M139"/>
  <c r="O139"/>
  <c r="Q139"/>
  <c r="S139"/>
  <c r="W139"/>
  <c r="AA139"/>
  <c r="AI140"/>
  <c r="AM139" i="2" s="1"/>
  <c r="AI141" i="8"/>
  <c r="AM140" i="2" s="1"/>
  <c r="AI142" i="8"/>
  <c r="AM142" i="2" s="1"/>
  <c r="AI143" i="8"/>
  <c r="AM143" i="2" s="1"/>
  <c r="AI144" i="8"/>
  <c r="AM144" i="2" s="1"/>
  <c r="I145" i="8"/>
  <c r="AI145" s="1"/>
  <c r="AM145" i="2" s="1"/>
  <c r="E146" i="8"/>
  <c r="G146"/>
  <c r="I146"/>
  <c r="S146"/>
  <c r="AA146"/>
  <c r="AI147"/>
  <c r="AM147" i="2" s="1"/>
  <c r="E148" i="8"/>
  <c r="I148"/>
  <c r="M148"/>
  <c r="O148"/>
  <c r="S148"/>
  <c r="AA148"/>
  <c r="E149"/>
  <c r="I149"/>
  <c r="O149"/>
  <c r="Q149"/>
  <c r="AA149"/>
  <c r="E150"/>
  <c r="I150"/>
  <c r="M150"/>
  <c r="O150"/>
  <c r="Q150"/>
  <c r="S150"/>
  <c r="AE150"/>
  <c r="AI151"/>
  <c r="AM151" i="2" s="1"/>
  <c r="AI152" i="8"/>
  <c r="AM152" i="2" s="1"/>
  <c r="AI153" i="8"/>
  <c r="AM153" i="2" s="1"/>
  <c r="AI154" i="8"/>
  <c r="AM154" i="2" s="1"/>
  <c r="I155" i="8"/>
  <c r="M155"/>
  <c r="O155"/>
  <c r="AI156"/>
  <c r="AM156" i="2" s="1"/>
  <c r="I157" i="8"/>
  <c r="Q157"/>
  <c r="S157"/>
  <c r="AI158"/>
  <c r="AM158" i="2" s="1"/>
  <c r="AI159" i="8"/>
  <c r="AM159" i="2" s="1"/>
  <c r="E160" i="8"/>
  <c r="O160"/>
  <c r="Q160"/>
  <c r="AA160"/>
  <c r="AI161"/>
  <c r="AM162" i="2" s="1"/>
  <c r="AI162" i="8"/>
  <c r="AM163" i="2" s="1"/>
  <c r="I163" i="8"/>
  <c r="AI163" s="1"/>
  <c r="AM164" i="2" s="1"/>
  <c r="AI164" i="8"/>
  <c r="AM165" i="2" s="1"/>
  <c r="AI165" i="8"/>
  <c r="AM166" i="2" s="1"/>
  <c r="AI166" i="8"/>
  <c r="AM167" i="2" s="1"/>
  <c r="AI167" i="8"/>
  <c r="AM168" i="2" s="1"/>
  <c r="AI168" i="8"/>
  <c r="AM169" i="2" s="1"/>
  <c r="AI169" i="8"/>
  <c r="AM170" i="2" s="1"/>
  <c r="AI170" i="8"/>
  <c r="AM171" i="2" s="1"/>
  <c r="AI171" i="8"/>
  <c r="AI172"/>
  <c r="AM172" i="2" s="1"/>
  <c r="AI173" i="8"/>
  <c r="AM173" i="2" s="1"/>
  <c r="AI174" i="8"/>
  <c r="AM174" i="2" s="1"/>
  <c r="AI175" i="8"/>
  <c r="AM176" i="2" s="1"/>
  <c r="S176" i="8"/>
  <c r="AI176" s="1"/>
  <c r="AM177" i="2" s="1"/>
  <c r="AI177" i="8"/>
  <c r="AM178" i="2" s="1"/>
  <c r="AI178" i="8"/>
  <c r="AM179" i="2" s="1"/>
  <c r="AI179" i="8"/>
  <c r="AM180" i="2" s="1"/>
  <c r="AI180" i="8"/>
  <c r="AM181" i="2" s="1"/>
  <c r="E181" i="8"/>
  <c r="I181"/>
  <c r="Q181"/>
  <c r="S181"/>
  <c r="I182"/>
  <c r="M182"/>
  <c r="Q182"/>
  <c r="AI183"/>
  <c r="AM184" i="2" s="1"/>
  <c r="E184" i="8"/>
  <c r="I184"/>
  <c r="K184"/>
  <c r="O184"/>
  <c r="S184"/>
  <c r="AA184"/>
  <c r="E185"/>
  <c r="I185"/>
  <c r="Q185"/>
  <c r="AI186"/>
  <c r="AM187" i="2" s="1"/>
  <c r="E187" i="8"/>
  <c r="G187"/>
  <c r="I187"/>
  <c r="M187"/>
  <c r="O187"/>
  <c r="Q187"/>
  <c r="S187"/>
  <c r="Y187"/>
  <c r="AA187"/>
  <c r="AI188"/>
  <c r="AM189" i="2" s="1"/>
  <c r="AI189" i="8"/>
  <c r="AM190" i="2" s="1"/>
  <c r="AI190" i="8"/>
  <c r="AM191" i="2" s="1"/>
  <c r="I191" i="8"/>
  <c r="M191"/>
  <c r="Q191"/>
  <c r="S191"/>
  <c r="AA191"/>
  <c r="AI192"/>
  <c r="AM194" i="2" s="1"/>
  <c r="AI193" i="8"/>
  <c r="AM195" i="2" s="1"/>
  <c r="E194" i="8"/>
  <c r="I194"/>
  <c r="M194"/>
  <c r="Q194"/>
  <c r="S194"/>
  <c r="Y194"/>
  <c r="AA194"/>
  <c r="AC194"/>
  <c r="AI195"/>
  <c r="AM197" i="2" s="1"/>
  <c r="AI196" i="8"/>
  <c r="AM198" i="2" s="1"/>
  <c r="E197" i="8"/>
  <c r="I197"/>
  <c r="I198"/>
  <c r="AI198" s="1"/>
  <c r="AM200" i="2" s="1"/>
  <c r="E199" i="8"/>
  <c r="Q199"/>
  <c r="S199"/>
  <c r="AI200"/>
  <c r="AM202" i="2" s="1"/>
  <c r="AI201" i="8"/>
  <c r="AM203" i="2" s="1"/>
  <c r="AI202" i="8"/>
  <c r="AM204" i="2" s="1"/>
  <c r="E203" i="8"/>
  <c r="I203"/>
  <c r="M203"/>
  <c r="O203"/>
  <c r="Q203"/>
  <c r="S203"/>
  <c r="AC203"/>
  <c r="I204"/>
  <c r="Q204"/>
  <c r="AI205"/>
  <c r="AM207" i="2" s="1"/>
  <c r="E206" i="8"/>
  <c r="G206"/>
  <c r="I206"/>
  <c r="M206"/>
  <c r="O206"/>
  <c r="Q206"/>
  <c r="AA206"/>
  <c r="E208"/>
  <c r="I208"/>
  <c r="M208"/>
  <c r="Q208"/>
  <c r="W208"/>
  <c r="AA208"/>
  <c r="AI209"/>
  <c r="AM210" i="2" s="1"/>
  <c r="E210" i="8"/>
  <c r="I210"/>
  <c r="O210"/>
  <c r="S210"/>
  <c r="AA210"/>
  <c r="AI211"/>
  <c r="AM213" i="2" s="1"/>
  <c r="E212" i="8"/>
  <c r="I212"/>
  <c r="K212"/>
  <c r="M212"/>
  <c r="O212"/>
  <c r="Q212"/>
  <c r="S212"/>
  <c r="U212"/>
  <c r="AA212"/>
  <c r="AC212"/>
  <c r="AI213"/>
  <c r="AM215" i="2" s="1"/>
  <c r="AI214" i="8"/>
  <c r="AM216" i="2" s="1"/>
  <c r="AI215" i="8"/>
  <c r="AM217" i="2" s="1"/>
  <c r="AI216" i="8"/>
  <c r="AM218" i="2" s="1"/>
  <c r="AI217" i="8"/>
  <c r="E218"/>
  <c r="I218"/>
  <c r="M218"/>
  <c r="O218"/>
  <c r="Q218"/>
  <c r="S218"/>
  <c r="E219"/>
  <c r="I219"/>
  <c r="I220"/>
  <c r="Q220"/>
  <c r="AI221"/>
  <c r="AM222" i="2" s="1"/>
  <c r="AI222" i="8"/>
  <c r="AI223"/>
  <c r="AM224" i="2" s="1"/>
  <c r="E224" i="8"/>
  <c r="I224"/>
  <c r="M224"/>
  <c r="S224"/>
  <c r="AA224"/>
  <c r="E225"/>
  <c r="I225"/>
  <c r="S225"/>
  <c r="AI226"/>
  <c r="AM228" i="2" s="1"/>
  <c r="E227" i="8"/>
  <c r="G227"/>
  <c r="I227"/>
  <c r="O227"/>
  <c r="S227"/>
  <c r="AA227"/>
  <c r="AI228"/>
  <c r="AM230" i="2" s="1"/>
  <c r="I229" i="8"/>
  <c r="M229"/>
  <c r="O229"/>
  <c r="Q229"/>
  <c r="AA229"/>
  <c r="AC229"/>
  <c r="I230"/>
  <c r="O230"/>
  <c r="AA230"/>
  <c r="I231"/>
  <c r="Q231"/>
  <c r="AI233"/>
  <c r="AM234" i="2" s="1"/>
  <c r="I234" i="8"/>
  <c r="Q234"/>
  <c r="AI235"/>
  <c r="AM237" i="2" s="1"/>
  <c r="AI236" i="8"/>
  <c r="AM238" i="2" s="1"/>
  <c r="AI237" i="8"/>
  <c r="AM239" i="2" s="1"/>
  <c r="AI238" i="8"/>
  <c r="AM240" i="2" s="1"/>
  <c r="G239" i="8"/>
  <c r="I239"/>
  <c r="M239"/>
  <c r="O239"/>
  <c r="Q239"/>
  <c r="S239"/>
  <c r="W239"/>
  <c r="AA239"/>
  <c r="E240"/>
  <c r="I240"/>
  <c r="Q240"/>
  <c r="S240"/>
  <c r="AI241"/>
  <c r="AM243" i="2" s="1"/>
  <c r="AI242" i="8"/>
  <c r="AM244" i="2" s="1"/>
  <c r="AI243" i="8"/>
  <c r="AM245" i="2" s="1"/>
  <c r="AI244" i="8"/>
  <c r="AM246" i="2" s="1"/>
  <c r="AI245" i="8"/>
  <c r="AM247" i="2" s="1"/>
  <c r="AI246" i="8"/>
  <c r="AM248" i="2" s="1"/>
  <c r="AI247" i="8"/>
  <c r="AI248"/>
  <c r="AM249" i="2" s="1"/>
  <c r="AI249" i="8"/>
  <c r="AM250" i="2" s="1"/>
  <c r="I250" i="8"/>
  <c r="Q250"/>
  <c r="E251"/>
  <c r="I251"/>
  <c r="Q251"/>
  <c r="S251"/>
  <c r="AA251"/>
  <c r="AI252"/>
  <c r="AM254" i="2"/>
  <c r="AI253" i="8"/>
  <c r="AM255" i="2"/>
  <c r="AI254" i="8"/>
  <c r="AM256" i="2"/>
  <c r="AI255" i="8"/>
  <c r="AM257" i="2"/>
  <c r="E256" i="8"/>
  <c r="I256"/>
  <c r="M256"/>
  <c r="Q256"/>
  <c r="S256"/>
  <c r="AA256"/>
  <c r="AI257"/>
  <c r="AM259" i="2"/>
  <c r="I258" i="8"/>
  <c r="Q258"/>
  <c r="AI258" s="1"/>
  <c r="AM260" i="2" s="1"/>
  <c r="E259" i="8"/>
  <c r="I259"/>
  <c r="M259"/>
  <c r="O259"/>
  <c r="Q259"/>
  <c r="S259"/>
  <c r="E260"/>
  <c r="I260"/>
  <c r="Q260"/>
  <c r="AI261"/>
  <c r="AM263" i="2" s="1"/>
  <c r="AI262" i="8"/>
  <c r="AM264" i="2" s="1"/>
  <c r="E263" i="8"/>
  <c r="G263"/>
  <c r="I263"/>
  <c r="Q263"/>
  <c r="S263"/>
  <c r="G264"/>
  <c r="I264"/>
  <c r="K264"/>
  <c r="O264"/>
  <c r="Q264"/>
  <c r="S264"/>
  <c r="AA264"/>
  <c r="E265"/>
  <c r="I265"/>
  <c r="Q265"/>
  <c r="S265"/>
  <c r="AI266"/>
  <c r="AM268" i="2" s="1"/>
  <c r="AI267" i="8"/>
  <c r="AM269" i="2" s="1"/>
  <c r="AI268" i="8"/>
  <c r="AM270" i="2" s="1"/>
  <c r="AI269" i="8"/>
  <c r="AM271" i="2" s="1"/>
  <c r="E270" i="8"/>
  <c r="I270"/>
  <c r="AI271"/>
  <c r="AM273" i="2" s="1"/>
  <c r="AI272" i="8"/>
  <c r="AM274" i="2" s="1"/>
  <c r="E273" i="8"/>
  <c r="G273"/>
  <c r="I273"/>
  <c r="Q273"/>
  <c r="AI274"/>
  <c r="AM276" i="2" s="1"/>
  <c r="AI275" i="8"/>
  <c r="AM277" i="2" s="1"/>
  <c r="AI276" i="8"/>
  <c r="AM278" i="2" s="1"/>
  <c r="E277" i="8"/>
  <c r="I277"/>
  <c r="M277"/>
  <c r="O277"/>
  <c r="Q277"/>
  <c r="S277"/>
  <c r="AA277"/>
  <c r="AI278"/>
  <c r="AI279"/>
  <c r="AM281" i="2" s="1"/>
  <c r="E280" i="8"/>
  <c r="I280"/>
  <c r="M280"/>
  <c r="Q280"/>
  <c r="AI281"/>
  <c r="AM284" i="2" s="1"/>
  <c r="AI282" i="8"/>
  <c r="AM286" i="2" s="1"/>
  <c r="AI283" i="8"/>
  <c r="AM285" i="2" s="1"/>
  <c r="I284" i="8"/>
  <c r="O284"/>
  <c r="Q284"/>
  <c r="W284"/>
  <c r="E285"/>
  <c r="I285"/>
  <c r="M285"/>
  <c r="Q285"/>
  <c r="S285"/>
  <c r="AI286"/>
  <c r="AM289" i="2" s="1"/>
  <c r="E287" i="8"/>
  <c r="I287"/>
  <c r="M287"/>
  <c r="O287"/>
  <c r="Q287"/>
  <c r="S287"/>
  <c r="E288"/>
  <c r="I288"/>
  <c r="S288"/>
  <c r="I289"/>
  <c r="Q289"/>
  <c r="AI290"/>
  <c r="AM293" i="2" s="1"/>
  <c r="AI291" i="8"/>
  <c r="AM294" i="2" s="1"/>
  <c r="AI292" i="8"/>
  <c r="AM295" i="2" s="1"/>
  <c r="AI293" i="8"/>
  <c r="AM296" i="2" s="1"/>
  <c r="E294" i="8"/>
  <c r="I294"/>
  <c r="O294"/>
  <c r="S294"/>
  <c r="AI295"/>
  <c r="AM298" i="2" s="1"/>
  <c r="AI296" i="8"/>
  <c r="AM299" i="2" s="1"/>
  <c r="AI297" i="8"/>
  <c r="AM300" i="2" s="1"/>
  <c r="E298" i="8"/>
  <c r="I298"/>
  <c r="M298"/>
  <c r="S298"/>
  <c r="AI299"/>
  <c r="AM302" i="2" s="1"/>
  <c r="AI300" i="8"/>
  <c r="AM303" i="2" s="1"/>
  <c r="AI301" i="8"/>
  <c r="AM304" i="2" s="1"/>
  <c r="AI302" i="8"/>
  <c r="AM305" i="2" s="1"/>
  <c r="AI303" i="8"/>
  <c r="AM306" i="2" s="1"/>
  <c r="AI304" i="8"/>
  <c r="AM307" i="2" s="1"/>
  <c r="AI305" i="8"/>
  <c r="AM308" i="2" s="1"/>
  <c r="E306" i="8"/>
  <c r="I306"/>
  <c r="M306"/>
  <c r="O306"/>
  <c r="AA306"/>
  <c r="AE306"/>
  <c r="E308"/>
  <c r="G308"/>
  <c r="I308"/>
  <c r="M308"/>
  <c r="S308"/>
  <c r="W308"/>
  <c r="AA308"/>
  <c r="AE308"/>
  <c r="AI309"/>
  <c r="AM311" i="2" s="1"/>
  <c r="E310" i="8"/>
  <c r="I310"/>
  <c r="M310"/>
  <c r="O310"/>
  <c r="Q310"/>
  <c r="S310"/>
  <c r="AE310"/>
  <c r="AI311"/>
  <c r="AM313" i="2" s="1"/>
  <c r="AI312" i="8"/>
  <c r="AM314" i="2" s="1"/>
  <c r="E313" i="8"/>
  <c r="I313"/>
  <c r="O313"/>
  <c r="S313"/>
  <c r="AA313"/>
  <c r="AI314"/>
  <c r="AM316" i="2" s="1"/>
  <c r="AI315" i="8"/>
  <c r="AM317" i="2" s="1"/>
  <c r="AI316" i="8"/>
  <c r="AM318" i="2" s="1"/>
  <c r="E317" i="8"/>
  <c r="I317"/>
  <c r="AI317"/>
  <c r="AI318"/>
  <c r="AM320" i="2"/>
  <c r="I319" i="8"/>
  <c r="M319"/>
  <c r="O319"/>
  <c r="Q319"/>
  <c r="AA319"/>
  <c r="AE319"/>
  <c r="I320"/>
  <c r="M320"/>
  <c r="O320"/>
  <c r="Q320"/>
  <c r="S320"/>
  <c r="AA320"/>
  <c r="AI321"/>
  <c r="AI322"/>
  <c r="AM323" i="2" s="1"/>
  <c r="AI323" i="8"/>
  <c r="AM324" i="2" s="1"/>
  <c r="AI324" i="8"/>
  <c r="AM325" i="2" s="1"/>
  <c r="I325" i="8"/>
  <c r="Q325"/>
  <c r="S325"/>
  <c r="AI326"/>
  <c r="AM328" i="2" s="1"/>
  <c r="AI327" i="8"/>
  <c r="AM329" i="2" s="1"/>
  <c r="AL327" i="8"/>
  <c r="AI328"/>
  <c r="AM330" i="2" s="1"/>
  <c r="AI329" i="8"/>
  <c r="AM331" i="2" s="1"/>
  <c r="AI330" i="8"/>
  <c r="AM332" i="2" s="1"/>
  <c r="E331" i="8"/>
  <c r="I331"/>
  <c r="M331"/>
  <c r="O331"/>
  <c r="Q331"/>
  <c r="S331"/>
  <c r="AA331"/>
  <c r="AI332"/>
  <c r="AM334" i="2" s="1"/>
  <c r="AI333" i="8"/>
  <c r="AM335" i="2" s="1"/>
  <c r="AI334" i="8"/>
  <c r="AM336" i="2" s="1"/>
  <c r="AI335" i="8"/>
  <c r="AM337" i="2" s="1"/>
  <c r="AI336" i="8"/>
  <c r="AM338" i="2" s="1"/>
  <c r="AI337" i="8"/>
  <c r="AM339" i="2" s="1"/>
  <c r="AI338" i="8"/>
  <c r="AM340" i="2" s="1"/>
  <c r="E339" i="8"/>
  <c r="I339"/>
  <c r="M339"/>
  <c r="O339"/>
  <c r="Q339"/>
  <c r="S339"/>
  <c r="AI340"/>
  <c r="AM342" i="2" s="1"/>
  <c r="AI341" i="8"/>
  <c r="AM343" i="2" s="1"/>
  <c r="AI342" i="8"/>
  <c r="AM344" i="2" s="1"/>
  <c r="AI343" i="8"/>
  <c r="AM345" i="2" s="1"/>
  <c r="AI344" i="8"/>
  <c r="AM346" i="2" s="1"/>
  <c r="AI345" i="8"/>
  <c r="AM347" i="2" s="1"/>
  <c r="AI346" i="8"/>
  <c r="AM348" i="2" s="1"/>
  <c r="AI347" i="8"/>
  <c r="AM349" i="2" s="1"/>
  <c r="K348" i="8"/>
  <c r="AI348" s="1"/>
  <c r="AI349"/>
  <c r="AM351" i="2" s="1"/>
  <c r="AI350" i="8"/>
  <c r="AM352" i="2" s="1"/>
  <c r="AI351" i="8"/>
  <c r="AM353" i="2" s="1"/>
  <c r="AI352" i="8"/>
  <c r="AM354" i="2" s="1"/>
  <c r="AI353" i="8"/>
  <c r="AM355" i="2" s="1"/>
  <c r="AI354" i="8"/>
  <c r="AM356" i="2" s="1"/>
  <c r="AI355" i="8"/>
  <c r="AM357" i="2" s="1"/>
  <c r="AI356" i="8"/>
  <c r="AM358" i="2" s="1"/>
  <c r="AI357" i="8"/>
  <c r="AM359" i="2" s="1"/>
  <c r="AI358" i="8"/>
  <c r="AM360" i="2" s="1"/>
  <c r="AI359" i="8"/>
  <c r="AI360"/>
  <c r="AM362" i="2" s="1"/>
  <c r="AI361" i="8"/>
  <c r="AM363" i="2" s="1"/>
  <c r="AI362" i="8"/>
  <c r="AM364" i="2" s="1"/>
  <c r="AI363" i="8"/>
  <c r="AI364"/>
  <c r="AM366" i="2" s="1"/>
  <c r="AI365" i="8"/>
  <c r="AM367" i="2" s="1"/>
  <c r="AI366" i="8"/>
  <c r="AM368" i="2" s="1"/>
  <c r="AI367" i="8"/>
  <c r="AM369" i="2" s="1"/>
  <c r="AI368" i="8"/>
  <c r="AM370" i="2" s="1"/>
  <c r="AI369" i="8"/>
  <c r="AM371" i="2" s="1"/>
  <c r="AI370" i="8"/>
  <c r="AM372" i="2" s="1"/>
  <c r="AA371" i="8"/>
  <c r="AI371" s="1"/>
  <c r="AM373" i="2" s="1"/>
  <c r="AI372" i="8"/>
  <c r="AI373"/>
  <c r="AM374" i="2" s="1"/>
  <c r="AI374" i="8"/>
  <c r="AM375" i="2" s="1"/>
  <c r="AI375" i="8"/>
  <c r="AI376"/>
  <c r="AM378" i="2" s="1"/>
  <c r="U377" i="8"/>
  <c r="W377"/>
  <c r="K378"/>
  <c r="AA378"/>
  <c r="W379"/>
  <c r="AI379" s="1"/>
  <c r="AM382" i="2" s="1"/>
  <c r="AI380" i="8"/>
  <c r="AM383" i="2" s="1"/>
  <c r="AI381" i="8"/>
  <c r="AM384" i="2" s="1"/>
  <c r="AI382" i="8"/>
  <c r="AM385" i="2" s="1"/>
  <c r="K383" i="8"/>
  <c r="AI383" s="1"/>
  <c r="AI384"/>
  <c r="AM387" i="2" s="1"/>
  <c r="AI385" i="8"/>
  <c r="AM388" i="2" s="1"/>
  <c r="AI386" i="8"/>
  <c r="AM389" i="2" s="1"/>
  <c r="AI387" i="8"/>
  <c r="AM390" i="2" s="1"/>
  <c r="AI388" i="8"/>
  <c r="AM391" i="2" s="1"/>
  <c r="AI389" i="8"/>
  <c r="AM392" i="2" s="1"/>
  <c r="AI390" i="8"/>
  <c r="AM393" i="2" s="1"/>
  <c r="AI391" i="8"/>
  <c r="AI392"/>
  <c r="AM395" i="2" s="1"/>
  <c r="AA393" i="8"/>
  <c r="AI393" s="1"/>
  <c r="AM396" i="2" s="1"/>
  <c r="AI394" i="8"/>
  <c r="AM397" i="2" s="1"/>
  <c r="AI395" i="8"/>
  <c r="AM398" i="2" s="1"/>
  <c r="AI396" i="8"/>
  <c r="AM399" i="2" s="1"/>
  <c r="AI397" i="8"/>
  <c r="AM400" i="2" s="1"/>
  <c r="AI398" i="8"/>
  <c r="AI399"/>
  <c r="AI400"/>
  <c r="AM403" i="2" s="1"/>
  <c r="AI401" i="8"/>
  <c r="AI402"/>
  <c r="AM405" i="2" s="1"/>
  <c r="AI403" i="8"/>
  <c r="AM406" i="2" s="1"/>
  <c r="AI404" i="8"/>
  <c r="AM407" i="2" s="1"/>
  <c r="AI405" i="8"/>
  <c r="AM408" i="2" s="1"/>
  <c r="AI406" i="8"/>
  <c r="AM409" i="2" s="1"/>
  <c r="AI407" i="8"/>
  <c r="AM410" i="2" s="1"/>
  <c r="AI408" i="8"/>
  <c r="AM412" i="2" s="1"/>
  <c r="AI409" i="8"/>
  <c r="AM413" i="2" s="1"/>
  <c r="AA410" i="8"/>
  <c r="AI410" s="1"/>
  <c r="AM414" i="2" s="1"/>
  <c r="AI411" i="8"/>
  <c r="AI412"/>
  <c r="AM416" i="2" s="1"/>
  <c r="AI413" i="8"/>
  <c r="AM417" i="2" s="1"/>
  <c r="AI414" i="8"/>
  <c r="AM418" i="2" s="1"/>
  <c r="AI415" i="8"/>
  <c r="AM419" i="2" s="1"/>
  <c r="AI416" i="8"/>
  <c r="AM420" i="2" s="1"/>
  <c r="AI417" i="8"/>
  <c r="AM421" i="2" s="1"/>
  <c r="AI418" i="8"/>
  <c r="AM422" i="2" s="1"/>
  <c r="AI419" i="8"/>
  <c r="AM423" i="2" s="1"/>
  <c r="AI420" i="8"/>
  <c r="AM424" i="2" s="1"/>
  <c r="AI422" i="8"/>
  <c r="AI423"/>
  <c r="AM426" i="2" s="1"/>
  <c r="AA424" i="8"/>
  <c r="AI424" s="1"/>
  <c r="AM427" i="2" s="1"/>
  <c r="AI425" i="8"/>
  <c r="AM428" i="2" s="1"/>
  <c r="AI426" i="8"/>
  <c r="AM429" i="2" s="1"/>
  <c r="AI427" i="8"/>
  <c r="AI428"/>
  <c r="AM430" i="2" s="1"/>
  <c r="AI429" i="8"/>
  <c r="AM431" i="2" s="1"/>
  <c r="AI430" i="8"/>
  <c r="AM432" i="2" s="1"/>
  <c r="AI431" i="8"/>
  <c r="AM433" i="2" s="1"/>
  <c r="AI432" i="8"/>
  <c r="AM434" i="2" s="1"/>
  <c r="AI433" i="8"/>
  <c r="AM435" i="2" s="1"/>
  <c r="AI434" i="8"/>
  <c r="AM436" i="2" s="1"/>
  <c r="AI435" i="8"/>
  <c r="AM437" i="2" s="1"/>
  <c r="AI436" i="8"/>
  <c r="AI437"/>
  <c r="AM440" i="2" s="1"/>
  <c r="AI438" i="8"/>
  <c r="AM441" i="2" s="1"/>
  <c r="AI439" i="8"/>
  <c r="AM442" i="2" s="1"/>
  <c r="AI440" i="8"/>
  <c r="AM443" i="2" s="1"/>
  <c r="AI441" i="8"/>
  <c r="AM444" i="2" s="1"/>
  <c r="W442" i="8"/>
  <c r="AA442"/>
  <c r="AI443"/>
  <c r="AI444"/>
  <c r="AM447" i="2" s="1"/>
  <c r="AI445" i="8"/>
  <c r="AM448" i="2" s="1"/>
  <c r="AI446" i="8"/>
  <c r="AM449" i="2" s="1"/>
  <c r="AI447" i="8"/>
  <c r="AM450" i="2" s="1"/>
  <c r="AI448" i="8"/>
  <c r="AM451" i="2" s="1"/>
  <c r="AI449" i="8"/>
  <c r="AI450"/>
  <c r="AM453" i="2" s="1"/>
  <c r="AI451" i="8"/>
  <c r="AI452"/>
  <c r="AM455" i="2" s="1"/>
  <c r="AI454" i="8"/>
  <c r="AI455"/>
  <c r="AM457" i="2" s="1"/>
  <c r="AI456" i="8"/>
  <c r="AM458" i="2" s="1"/>
  <c r="AI457" i="8"/>
  <c r="AM459" i="2" s="1"/>
  <c r="AI458" i="8"/>
  <c r="AM460" i="2" s="1"/>
  <c r="AI459" i="8"/>
  <c r="AI460"/>
  <c r="AM462" i="2" s="1"/>
  <c r="AI461" i="8"/>
  <c r="AM463" i="2" s="1"/>
  <c r="AI462" i="8"/>
  <c r="AM464" i="2" s="1"/>
  <c r="AI463" i="8"/>
  <c r="AM465" i="2" s="1"/>
  <c r="AI464" i="8"/>
  <c r="AM466" i="2" s="1"/>
  <c r="AI465" i="8"/>
  <c r="AM467" i="2" s="1"/>
  <c r="AI466" i="8"/>
  <c r="AM468" i="2" s="1"/>
  <c r="S467" i="8"/>
  <c r="AI467" s="1"/>
  <c r="AM469" i="2" s="1"/>
  <c r="AI468" i="8"/>
  <c r="AI469"/>
  <c r="AM471" i="2" s="1"/>
  <c r="AI470" i="8"/>
  <c r="AM472" i="2" s="1"/>
  <c r="AI471" i="8"/>
  <c r="AM473" i="2" s="1"/>
  <c r="AI472" i="8"/>
  <c r="AM474" i="2" s="1"/>
  <c r="AI473" i="8"/>
  <c r="AM475" i="2" s="1"/>
  <c r="AI474" i="8"/>
  <c r="AM476" i="2" s="1"/>
  <c r="AI475" i="8"/>
  <c r="AM477" i="2" s="1"/>
  <c r="AI476" i="8"/>
  <c r="AM478" i="2" s="1"/>
  <c r="AI477" i="8"/>
  <c r="AM480" i="2" s="1"/>
  <c r="AI478" i="8"/>
  <c r="AM481" i="2" s="1"/>
  <c r="AI479" i="8"/>
  <c r="AM482" i="2" s="1"/>
  <c r="AI480" i="8"/>
  <c r="AM483" i="2" s="1"/>
  <c r="AI481" i="8"/>
  <c r="AM484" i="2" s="1"/>
  <c r="AI482" i="8"/>
  <c r="AM485" i="2" s="1"/>
  <c r="AI483" i="8"/>
  <c r="AM486" i="2" s="1"/>
  <c r="AI484" i="8"/>
  <c r="AM487" i="2" s="1"/>
  <c r="AI485" i="8"/>
  <c r="AM488" i="2" s="1"/>
  <c r="AI486" i="8"/>
  <c r="AI487"/>
  <c r="AM490" i="2" s="1"/>
  <c r="AI488" i="8"/>
  <c r="AM491" i="2" s="1"/>
  <c r="AI489" i="8"/>
  <c r="AM492" i="2" s="1"/>
  <c r="AI490" i="8"/>
  <c r="AM493" i="2" s="1"/>
  <c r="AI491" i="8"/>
  <c r="AM494" i="2" s="1"/>
  <c r="AI492" i="8"/>
  <c r="AM495" i="2" s="1"/>
  <c r="AI493" i="8"/>
  <c r="AM496" i="2" s="1"/>
  <c r="AI494" i="8"/>
  <c r="AM497" i="2" s="1"/>
  <c r="AI495" i="8"/>
  <c r="AM498" i="2" s="1"/>
  <c r="AI496" i="8"/>
  <c r="AM499" i="2" s="1"/>
  <c r="AI497" i="8"/>
  <c r="AM501" i="2" s="1"/>
  <c r="AI498" i="8"/>
  <c r="AM502" i="2" s="1"/>
  <c r="AI499" i="8"/>
  <c r="AI500"/>
  <c r="AI501"/>
  <c r="AI502"/>
  <c r="AM505" i="2" s="1"/>
  <c r="AI503" i="8"/>
  <c r="AI504"/>
  <c r="AM507" i="2" s="1"/>
  <c r="AI505" i="8"/>
  <c r="AI506"/>
  <c r="AM509" i="2" s="1"/>
  <c r="AI507" i="8"/>
  <c r="AI508"/>
  <c r="AM511" i="2" s="1"/>
  <c r="AI509" i="8"/>
  <c r="AI510"/>
  <c r="AM513" i="2" s="1"/>
  <c r="AI511" i="8"/>
  <c r="AM514" i="2" s="1"/>
  <c r="AA512" i="8"/>
  <c r="AI512" s="1"/>
  <c r="AI513"/>
  <c r="AM516" i="2" s="1"/>
  <c r="AI514" i="8"/>
  <c r="AM517" i="2" s="1"/>
  <c r="AI515" i="8"/>
  <c r="AM518" i="2" s="1"/>
  <c r="AI516" i="8"/>
  <c r="AM519" i="2" s="1"/>
  <c r="AI517" i="8"/>
  <c r="AM520" i="2" s="1"/>
  <c r="K518" i="8"/>
  <c r="AI518" s="1"/>
  <c r="AI519"/>
  <c r="AM522" i="2" s="1"/>
  <c r="AI520" i="8"/>
  <c r="AM523" i="2" s="1"/>
  <c r="AI521" i="8"/>
  <c r="AM524" i="2" s="1"/>
  <c r="AI522" i="8"/>
  <c r="AM525" i="2" s="1"/>
  <c r="K523" i="8"/>
  <c r="AI523" s="1"/>
  <c r="AI524"/>
  <c r="AM527" i="2" s="1"/>
  <c r="AI525" i="8"/>
  <c r="AM528" i="2" s="1"/>
  <c r="AI526" i="8"/>
  <c r="AM529" i="2" s="1"/>
  <c r="AI527" i="8"/>
  <c r="AM530" i="2" s="1"/>
  <c r="AI528" i="8"/>
  <c r="AM531" i="2" s="1"/>
  <c r="AI529" i="8"/>
  <c r="AM532" i="2" s="1"/>
  <c r="AI530" i="8"/>
  <c r="AM533" i="2" s="1"/>
  <c r="AI532" i="8"/>
  <c r="AI533"/>
  <c r="AE534"/>
  <c r="AI534" s="1"/>
  <c r="AM536" i="2" s="1"/>
  <c r="AI535" i="8"/>
  <c r="AM537" i="2" s="1"/>
  <c r="AI536" i="8"/>
  <c r="AM538" i="2" s="1"/>
  <c r="AI537" i="8"/>
  <c r="AM539" i="2" s="1"/>
  <c r="AI538" i="8"/>
  <c r="AM540" i="2" s="1"/>
  <c r="AI539" i="8"/>
  <c r="AM541" i="2" s="1"/>
  <c r="AI540" i="8"/>
  <c r="AM542" i="2" s="1"/>
  <c r="AI541" i="8"/>
  <c r="AM543" i="2" s="1"/>
  <c r="AI542" i="8"/>
  <c r="AM544" i="2" s="1"/>
  <c r="AI543" i="8"/>
  <c r="AM545" i="2" s="1"/>
  <c r="AI544" i="8"/>
  <c r="AM546" i="2" s="1"/>
  <c r="AI545" i="8"/>
  <c r="AM547" i="2" s="1"/>
  <c r="AA546" i="8"/>
  <c r="AI546" s="1"/>
  <c r="AI547"/>
  <c r="AM549" i="2" s="1"/>
  <c r="AA548" i="8"/>
  <c r="AI548" s="1"/>
  <c r="AM550" i="2" s="1"/>
  <c r="I549" i="8"/>
  <c r="AI549"/>
  <c r="AM551" i="2" s="1"/>
  <c r="AI550" i="8"/>
  <c r="AI551"/>
  <c r="AM552" i="2" s="1"/>
  <c r="AI552" i="8"/>
  <c r="AM554" i="2" s="1"/>
  <c r="AI553" i="8"/>
  <c r="AM555" i="2" s="1"/>
  <c r="AI554" i="8"/>
  <c r="AM556" i="2" s="1"/>
  <c r="AI555" i="8"/>
  <c r="AM557" i="2" s="1"/>
  <c r="AI556" i="8"/>
  <c r="AI557"/>
  <c r="AM559" i="2" s="1"/>
  <c r="AI558" i="8"/>
  <c r="AM560" i="2" s="1"/>
  <c r="AI559" i="8"/>
  <c r="AM561" i="2" s="1"/>
  <c r="AI560" i="8"/>
  <c r="AM562" i="2" s="1"/>
  <c r="AI561" i="8"/>
  <c r="AM563" i="2" s="1"/>
  <c r="AI562" i="8"/>
  <c r="AM564" i="2" s="1"/>
  <c r="AL562" i="8"/>
  <c r="AL564" s="1"/>
  <c r="AI563"/>
  <c r="AM565" i="2" s="1"/>
  <c r="AI564" i="8"/>
  <c r="AM567" i="2" s="1"/>
  <c r="AI565" i="8"/>
  <c r="AM568" i="2" s="1"/>
  <c r="AL565" i="8"/>
  <c r="AI566"/>
  <c r="AM569" i="2" s="1"/>
  <c r="AI567" i="8"/>
  <c r="AM570" i="2" s="1"/>
  <c r="AI568" i="8"/>
  <c r="AM571" i="2" s="1"/>
  <c r="AI569" i="8"/>
  <c r="AM572" i="2" s="1"/>
  <c r="AI570" i="8"/>
  <c r="AM573" i="2" s="1"/>
  <c r="AI571" i="8"/>
  <c r="AM574" i="2" s="1"/>
  <c r="AI572" i="8"/>
  <c r="AM575" i="2" s="1"/>
  <c r="AI573" i="8"/>
  <c r="AM576" i="2" s="1"/>
  <c r="AI574" i="8"/>
  <c r="AI575"/>
  <c r="AM578" i="2" s="1"/>
  <c r="AI576" i="8"/>
  <c r="AM579" i="2" s="1"/>
  <c r="AA577" i="8"/>
  <c r="AI577" s="1"/>
  <c r="AM580" i="2" s="1"/>
  <c r="AI578" i="8"/>
  <c r="AM581" i="2" s="1"/>
  <c r="AI579" i="8"/>
  <c r="AM582" i="2" s="1"/>
  <c r="AI580" i="8"/>
  <c r="AM583" i="2" s="1"/>
  <c r="AI581" i="8"/>
  <c r="AI582"/>
  <c r="AI583"/>
  <c r="AM586" i="2" s="1"/>
  <c r="AI584" i="8"/>
  <c r="AI585"/>
  <c r="AI586"/>
  <c r="AM589" i="2" s="1"/>
  <c r="AI587" i="8"/>
  <c r="AM590" i="2" s="1"/>
  <c r="AI588" i="8"/>
  <c r="AM591" i="2" s="1"/>
  <c r="AA589" i="8"/>
  <c r="AI589" s="1"/>
  <c r="AI590"/>
  <c r="AM593" i="2" s="1"/>
  <c r="AI591" i="8"/>
  <c r="AM594" i="2" s="1"/>
  <c r="AI592" i="8"/>
  <c r="AM595" i="2" s="1"/>
  <c r="M593" i="8"/>
  <c r="AA593"/>
  <c r="AI594"/>
  <c r="AM597" i="2" s="1"/>
  <c r="AA595" i="8"/>
  <c r="AI595" s="1"/>
  <c r="AM598" i="2" s="1"/>
  <c r="AI596" i="8"/>
  <c r="AM599" i="2" s="1"/>
  <c r="G597" i="8"/>
  <c r="AI597" s="1"/>
  <c r="AM600" i="2" s="1"/>
  <c r="AI598" i="8"/>
  <c r="AM601" i="2" s="1"/>
  <c r="AI599" i="8"/>
  <c r="AM602" i="2" s="1"/>
  <c r="AI600" i="8"/>
  <c r="AM603" i="2" s="1"/>
  <c r="AA601" i="8"/>
  <c r="AI601" s="1"/>
  <c r="AI602"/>
  <c r="AM605" i="2" s="1"/>
  <c r="AI603" i="8"/>
  <c r="AM606" i="2" s="1"/>
  <c r="AI604" i="8"/>
  <c r="AM607" i="2" s="1"/>
  <c r="AI605" i="8"/>
  <c r="AM608" i="2" s="1"/>
  <c r="AI606" i="8"/>
  <c r="AM609" i="2" s="1"/>
  <c r="AI607" i="8"/>
  <c r="AM611" i="2" s="1"/>
  <c r="AI608" i="8"/>
  <c r="AM612" i="2" s="1"/>
  <c r="AI609" i="8"/>
  <c r="AI610"/>
  <c r="AI611"/>
  <c r="AM615" i="2" s="1"/>
  <c r="AI612" i="8"/>
  <c r="AM616" i="2" s="1"/>
  <c r="AI613" i="8"/>
  <c r="AM617" i="2" s="1"/>
  <c r="AI614" i="8"/>
  <c r="AM618" i="2" s="1"/>
  <c r="AI615" i="8"/>
  <c r="K616"/>
  <c r="AI616" s="1"/>
  <c r="AM620" i="2" s="1"/>
  <c r="AI617" i="8"/>
  <c r="AM621" i="2" s="1"/>
  <c r="W618" i="8"/>
  <c r="AI618" s="1"/>
  <c r="AI619"/>
  <c r="AM623" i="2" s="1"/>
  <c r="AI620" i="8"/>
  <c r="AM624" i="2" s="1"/>
  <c r="AI621" i="8"/>
  <c r="AM625" i="2" s="1"/>
  <c r="AI622" i="8"/>
  <c r="AM626" i="2" s="1"/>
  <c r="AI624" i="8"/>
  <c r="AM627" i="2" s="1"/>
  <c r="AI625" i="8"/>
  <c r="AM628" i="2" s="1"/>
  <c r="AA626" i="8"/>
  <c r="AI626" s="1"/>
  <c r="AM629" i="2" s="1"/>
  <c r="AI627" i="8"/>
  <c r="AM630" i="2" s="1"/>
  <c r="AI628" i="8"/>
  <c r="AM631" i="2" s="1"/>
  <c r="AI629" i="8"/>
  <c r="AM632" i="2" s="1"/>
  <c r="AI630" i="8"/>
  <c r="AM633" i="2" s="1"/>
  <c r="AI631" i="8"/>
  <c r="AM634" i="2" s="1"/>
  <c r="AI632" i="8"/>
  <c r="AM635" i="2" s="1"/>
  <c r="AI633" i="8"/>
  <c r="AM636" i="2" s="1"/>
  <c r="AI634" i="8"/>
  <c r="AM637" i="2" s="1"/>
  <c r="K635" i="8"/>
  <c r="AE635"/>
  <c r="AI636"/>
  <c r="AM639" i="2" s="1"/>
  <c r="AI637" i="8"/>
  <c r="AM640" i="2" s="1"/>
  <c r="AI638" i="8"/>
  <c r="AM641" i="2" s="1"/>
  <c r="AI639" i="8"/>
  <c r="AM642" i="2" s="1"/>
  <c r="AI640" i="8"/>
  <c r="AM643" i="2" s="1"/>
  <c r="AI641" i="8"/>
  <c r="AM644" i="2" s="1"/>
  <c r="AI642" i="8"/>
  <c r="AM645" i="2" s="1"/>
  <c r="AI643" i="8"/>
  <c r="AM646" i="2" s="1"/>
  <c r="AI644" i="8"/>
  <c r="AM647" i="2" s="1"/>
  <c r="W645" i="8"/>
  <c r="AI645" s="1"/>
  <c r="AM648" i="2" s="1"/>
  <c r="AI646" i="8"/>
  <c r="AM649" i="2" s="1"/>
  <c r="AI647" i="8"/>
  <c r="AM650" i="2" s="1"/>
  <c r="AI648" i="8"/>
  <c r="AM651" i="2" s="1"/>
  <c r="AI649" i="8"/>
  <c r="AM652" i="2" s="1"/>
  <c r="AI650" i="8"/>
  <c r="AM653" i="2" s="1"/>
  <c r="AI651" i="8"/>
  <c r="AM654" i="2" s="1"/>
  <c r="AI652" i="8"/>
  <c r="AM655" i="2" s="1"/>
  <c r="AI653" i="8"/>
  <c r="AM656" i="2" s="1"/>
  <c r="AI654" i="8"/>
  <c r="AM657" i="2" s="1"/>
  <c r="AI655" i="8"/>
  <c r="AI656"/>
  <c r="AM659" i="2" s="1"/>
  <c r="AI657" i="8"/>
  <c r="AM660" i="2" s="1"/>
  <c r="AE8" i="1"/>
  <c r="AE9"/>
  <c r="Q10"/>
  <c r="AE10" s="1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Q36"/>
  <c r="AE36" s="1"/>
  <c r="AE37"/>
  <c r="AE38"/>
  <c r="AE39"/>
  <c r="AE40"/>
  <c r="AE41"/>
  <c r="AE42"/>
  <c r="AE43"/>
  <c r="AE44"/>
  <c r="AE45"/>
  <c r="AE46"/>
  <c r="AG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K72"/>
  <c r="AE73"/>
  <c r="Q74"/>
  <c r="AE74" s="1"/>
  <c r="AE76"/>
  <c r="AE77"/>
  <c r="AE78"/>
  <c r="AE79"/>
  <c r="AE80"/>
  <c r="Q81"/>
  <c r="AE81" s="1"/>
  <c r="AE82"/>
  <c r="AE83"/>
  <c r="AE84"/>
  <c r="AE85"/>
  <c r="AE86"/>
  <c r="AE87"/>
  <c r="AE88"/>
  <c r="AM88" s="1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C123"/>
  <c r="AE123"/>
  <c r="AK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G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Q182"/>
  <c r="AE182"/>
  <c r="AE183"/>
  <c r="AE184"/>
  <c r="Q185"/>
  <c r="AE185"/>
  <c r="AE186"/>
  <c r="AE187"/>
  <c r="AE188"/>
  <c r="AE189"/>
  <c r="AE190"/>
  <c r="AE191"/>
  <c r="AE192"/>
  <c r="AE193"/>
  <c r="AE194"/>
  <c r="AE195"/>
  <c r="AE196"/>
  <c r="AE197"/>
  <c r="AE199"/>
  <c r="AE200"/>
  <c r="M201"/>
  <c r="AE201"/>
  <c r="AG201"/>
  <c r="AE202"/>
  <c r="AE203"/>
  <c r="AE204"/>
  <c r="E205"/>
  <c r="Q205"/>
  <c r="AE206"/>
  <c r="AE207"/>
  <c r="AE208"/>
  <c r="AE209"/>
  <c r="AE210"/>
  <c r="AE211"/>
  <c r="AE212"/>
  <c r="AE214"/>
  <c r="AE215"/>
  <c r="AE216"/>
  <c r="AE217"/>
  <c r="AE218"/>
  <c r="AE219"/>
  <c r="AE220"/>
  <c r="AK220"/>
  <c r="AE221"/>
  <c r="AE222"/>
  <c r="AE223"/>
  <c r="AE224"/>
  <c r="AE225"/>
  <c r="AE226"/>
  <c r="AE227"/>
  <c r="AE228"/>
  <c r="AE229"/>
  <c r="Q230"/>
  <c r="AE230"/>
  <c r="AG230"/>
  <c r="AE231"/>
  <c r="AE232"/>
  <c r="AE233"/>
  <c r="AE234"/>
  <c r="AE235"/>
  <c r="AE236"/>
  <c r="AE237"/>
  <c r="AE238"/>
  <c r="AE239"/>
  <c r="K240"/>
  <c r="AE240"/>
  <c r="AE241"/>
  <c r="AE242"/>
  <c r="AE243"/>
  <c r="AE244"/>
  <c r="AE245"/>
  <c r="AE246"/>
  <c r="AE247"/>
  <c r="AE248"/>
  <c r="AE249"/>
  <c r="AE250"/>
  <c r="AE251"/>
  <c r="AK251"/>
  <c r="AE252"/>
  <c r="AE253"/>
  <c r="AE254"/>
  <c r="AE255"/>
  <c r="AE256"/>
  <c r="AE257"/>
  <c r="AE258"/>
  <c r="AE259"/>
  <c r="AE260"/>
  <c r="AE261"/>
  <c r="AK261"/>
  <c r="AE262"/>
  <c r="AE263"/>
  <c r="AE264"/>
  <c r="AE265"/>
  <c r="AE266"/>
  <c r="AE267"/>
  <c r="AE268"/>
  <c r="AE269"/>
  <c r="AE270"/>
  <c r="AE271"/>
  <c r="AE272"/>
  <c r="AE273"/>
  <c r="E274"/>
  <c r="M274"/>
  <c r="Q274"/>
  <c r="AG274"/>
  <c r="AE275"/>
  <c r="AE276"/>
  <c r="AE277"/>
  <c r="AE278"/>
  <c r="AE279"/>
  <c r="AE281"/>
  <c r="AE282"/>
  <c r="AE283"/>
  <c r="M284"/>
  <c r="Q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K311"/>
  <c r="AE312"/>
  <c r="AE313"/>
  <c r="AE314"/>
  <c r="AE315"/>
  <c r="AE316"/>
  <c r="AE317"/>
  <c r="AE318"/>
  <c r="AG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K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5"/>
  <c r="AE416"/>
  <c r="AE417"/>
  <c r="AE418"/>
  <c r="AE419"/>
  <c r="AM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G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4"/>
  <c r="AE485"/>
  <c r="AE486"/>
  <c r="AE487"/>
  <c r="AE488"/>
  <c r="AE489"/>
  <c r="AG489"/>
  <c r="Q490"/>
  <c r="AE490" s="1"/>
  <c r="AI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Q553"/>
  <c r="S553"/>
  <c r="AC553"/>
  <c r="AE554"/>
  <c r="AE555"/>
  <c r="AE556"/>
  <c r="AE557"/>
  <c r="AE558"/>
  <c r="AE559"/>
  <c r="AE560"/>
  <c r="AE561"/>
  <c r="AE562"/>
  <c r="AE563"/>
  <c r="AE564"/>
  <c r="AE565"/>
  <c r="AE566"/>
  <c r="Q567"/>
  <c r="AE567" s="1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7"/>
  <c r="AE588"/>
  <c r="AE589"/>
  <c r="AE590"/>
  <c r="AE591"/>
  <c r="AI591"/>
  <c r="AE592"/>
  <c r="AE593"/>
  <c r="AE594"/>
  <c r="AE595"/>
  <c r="AE596"/>
  <c r="AE597"/>
  <c r="AE598"/>
  <c r="AE599"/>
  <c r="AE600"/>
  <c r="AE601"/>
  <c r="AE602"/>
  <c r="AE603"/>
  <c r="AE604"/>
  <c r="AE605"/>
  <c r="E606"/>
  <c r="S606"/>
  <c r="AE607"/>
  <c r="AE608"/>
  <c r="AE609"/>
  <c r="AE610"/>
  <c r="AE611"/>
  <c r="AE612"/>
  <c r="AE613"/>
  <c r="AE614"/>
  <c r="AE615"/>
  <c r="AE616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K651"/>
  <c r="AE652"/>
  <c r="AE653"/>
  <c r="AE654"/>
  <c r="AE655"/>
  <c r="AE656"/>
  <c r="AE657"/>
  <c r="AE658"/>
  <c r="AE659"/>
  <c r="AE660"/>
  <c r="AE661"/>
  <c r="AE662"/>
  <c r="AE663"/>
  <c r="AI8" i="7"/>
  <c r="AI9"/>
  <c r="AM9" i="1"/>
  <c r="I10" i="7"/>
  <c r="AI10"/>
  <c r="S11"/>
  <c r="AI11"/>
  <c r="AI12"/>
  <c r="AI13"/>
  <c r="AI14"/>
  <c r="AI15"/>
  <c r="AI16"/>
  <c r="AI17"/>
  <c r="AI18"/>
  <c r="AI19"/>
  <c r="AI20"/>
  <c r="AI21"/>
  <c r="AI22"/>
  <c r="AI23"/>
  <c r="AI24"/>
  <c r="AI25"/>
  <c r="AM25" i="1" s="1"/>
  <c r="AI26" i="7"/>
  <c r="AM26" i="1" s="1"/>
  <c r="AI27" i="7"/>
  <c r="AM27" i="1" s="1"/>
  <c r="AI28" i="7"/>
  <c r="AM28" i="1" s="1"/>
  <c r="AI29" i="7"/>
  <c r="AM29" i="1" s="1"/>
  <c r="AI30" i="7"/>
  <c r="AM30" i="1" s="1"/>
  <c r="AI31" i="7"/>
  <c r="AM31" i="1" s="1"/>
  <c r="AI32" i="7"/>
  <c r="AM32" i="1" s="1"/>
  <c r="AI33" i="7"/>
  <c r="AM33" i="1" s="1"/>
  <c r="AI34" i="7"/>
  <c r="AM34" i="1" s="1"/>
  <c r="AI35" i="7"/>
  <c r="AM35" i="1" s="1"/>
  <c r="AI36" i="7"/>
  <c r="AI37"/>
  <c r="AI38"/>
  <c r="AI39"/>
  <c r="AI40"/>
  <c r="AI41"/>
  <c r="AI42"/>
  <c r="AI43"/>
  <c r="AI44"/>
  <c r="AI45"/>
  <c r="AI46"/>
  <c r="AM46" i="1" s="1"/>
  <c r="AI47" i="7"/>
  <c r="AM47" i="1" s="1"/>
  <c r="AI48" i="7"/>
  <c r="AM48" i="1" s="1"/>
  <c r="AI49" i="7"/>
  <c r="AM49" i="1" s="1"/>
  <c r="AI50" i="7"/>
  <c r="AM50" i="1" s="1"/>
  <c r="AI51" i="7"/>
  <c r="AM51" i="1" s="1"/>
  <c r="AI52" i="7"/>
  <c r="AM52" i="1" s="1"/>
  <c r="AI53" i="7"/>
  <c r="AM53" i="1" s="1"/>
  <c r="I54" i="7"/>
  <c r="AI54" s="1"/>
  <c r="AM54" i="1" s="1"/>
  <c r="AI55" i="7"/>
  <c r="AM55" i="1"/>
  <c r="AI56" i="7"/>
  <c r="AM56" i="1"/>
  <c r="AI57" i="7"/>
  <c r="AM57" i="1"/>
  <c r="E58" i="7"/>
  <c r="AI58"/>
  <c r="AM58" i="1" s="1"/>
  <c r="AI59" i="7"/>
  <c r="AM59" i="1" s="1"/>
  <c r="AI60" i="7"/>
  <c r="AM60" i="1" s="1"/>
  <c r="AI61" i="7"/>
  <c r="AM61" i="1" s="1"/>
  <c r="AI62" i="7"/>
  <c r="AM62" i="1" s="1"/>
  <c r="AI63" i="7"/>
  <c r="AM63" i="1" s="1"/>
  <c r="AI64" i="7"/>
  <c r="AM64" i="1" s="1"/>
  <c r="AI65" i="7"/>
  <c r="AM65" i="1" s="1"/>
  <c r="AI66" i="7"/>
  <c r="AM66" i="1" s="1"/>
  <c r="AI67" i="7"/>
  <c r="AM67" i="1" s="1"/>
  <c r="AI68" i="7"/>
  <c r="AM68" i="1" s="1"/>
  <c r="AI69" i="7"/>
  <c r="AM69" i="1" s="1"/>
  <c r="AI70" i="7"/>
  <c r="AM70" i="1" s="1"/>
  <c r="AI71" i="7"/>
  <c r="AM71" i="1" s="1"/>
  <c r="S72" i="7"/>
  <c r="AI72" s="1"/>
  <c r="AI73"/>
  <c r="E74"/>
  <c r="I74"/>
  <c r="O74"/>
  <c r="AI75"/>
  <c r="AM76" i="1" s="1"/>
  <c r="AI76" i="7"/>
  <c r="AM77" i="1" s="1"/>
  <c r="AI77" i="7"/>
  <c r="AM78" i="1" s="1"/>
  <c r="AI78" i="7"/>
  <c r="AM79" i="1" s="1"/>
  <c r="AI79" i="7"/>
  <c r="AM80" i="1" s="1"/>
  <c r="O80" i="7"/>
  <c r="S80"/>
  <c r="AI81"/>
  <c r="AI82"/>
  <c r="AI83"/>
  <c r="AI84"/>
  <c r="AI85"/>
  <c r="AI86"/>
  <c r="AI87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E108"/>
  <c r="O108"/>
  <c r="S108"/>
  <c r="AI109"/>
  <c r="AI110"/>
  <c r="AI111"/>
  <c r="AI112"/>
  <c r="AI113"/>
  <c r="AI114"/>
  <c r="AI115"/>
  <c r="AI116"/>
  <c r="AI117"/>
  <c r="AI118"/>
  <c r="AI119"/>
  <c r="AI120"/>
  <c r="AI121"/>
  <c r="AI122"/>
  <c r="AI123"/>
  <c r="I124"/>
  <c r="AI124" s="1"/>
  <c r="AI125"/>
  <c r="AI126"/>
  <c r="AI127"/>
  <c r="AI128"/>
  <c r="AI129"/>
  <c r="AI130"/>
  <c r="AI131"/>
  <c r="AI132"/>
  <c r="AI133"/>
  <c r="AI134"/>
  <c r="AI135"/>
  <c r="AI136"/>
  <c r="AM135" i="1"/>
  <c r="AI137" i="7"/>
  <c r="AI138"/>
  <c r="I139"/>
  <c r="AI139"/>
  <c r="AI140"/>
  <c r="AI141"/>
  <c r="AI142"/>
  <c r="AI143"/>
  <c r="AI144"/>
  <c r="AI145"/>
  <c r="AI146"/>
  <c r="AI147"/>
  <c r="AI148"/>
  <c r="AI149"/>
  <c r="E150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M164" i="1"/>
  <c r="AI166" i="7"/>
  <c r="AI167"/>
  <c r="AI168"/>
  <c r="AI169"/>
  <c r="AI170"/>
  <c r="AI171"/>
  <c r="AI172"/>
  <c r="AI173"/>
  <c r="AI174"/>
  <c r="AI175"/>
  <c r="AI176"/>
  <c r="AI177"/>
  <c r="AI178"/>
  <c r="AM178" i="1"/>
  <c r="AI179" i="7"/>
  <c r="AI180"/>
  <c r="AI181"/>
  <c r="AI182"/>
  <c r="E183"/>
  <c r="O183"/>
  <c r="S183"/>
  <c r="AI184"/>
  <c r="AI185"/>
  <c r="E186"/>
  <c r="I186"/>
  <c r="O186"/>
  <c r="S186"/>
  <c r="AI186" s="1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O205"/>
  <c r="S205"/>
  <c r="AI205" s="1"/>
  <c r="AI206"/>
  <c r="AI207"/>
  <c r="AI209"/>
  <c r="AI210"/>
  <c r="AI211"/>
  <c r="AI212"/>
  <c r="AI213"/>
  <c r="AI214"/>
  <c r="AI215"/>
  <c r="AI216"/>
  <c r="AI217"/>
  <c r="AI218"/>
  <c r="AI219"/>
  <c r="I220"/>
  <c r="AI220"/>
  <c r="AI221"/>
  <c r="AI222"/>
  <c r="AI223"/>
  <c r="AI224"/>
  <c r="AI225"/>
  <c r="AI226"/>
  <c r="AI227"/>
  <c r="AI228"/>
  <c r="I229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M276" i="1" s="1"/>
  <c r="AI275" i="7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M318" i="1"/>
  <c r="AI313" i="7"/>
  <c r="AI314"/>
  <c r="AI315"/>
  <c r="AI316"/>
  <c r="AI317"/>
  <c r="AM324" i="1"/>
  <c r="AI318" i="7"/>
  <c r="AM325" i="1"/>
  <c r="AI319" i="7"/>
  <c r="AI320"/>
  <c r="AM326" i="1" s="1"/>
  <c r="AI321" i="7"/>
  <c r="AM327" i="1" s="1"/>
  <c r="AI322" i="7"/>
  <c r="AM328" i="1" s="1"/>
  <c r="AI323" i="7"/>
  <c r="AM329" i="1" s="1"/>
  <c r="AI324" i="7"/>
  <c r="AM330" i="1" s="1"/>
  <c r="AI325" i="7"/>
  <c r="AM331" i="1" s="1"/>
  <c r="E326" i="7"/>
  <c r="I326"/>
  <c r="O326"/>
  <c r="AI327"/>
  <c r="AM333" i="1"/>
  <c r="AI328" i="7"/>
  <c r="AM334" i="1"/>
  <c r="AI329" i="7"/>
  <c r="AM335" i="1"/>
  <c r="AI330" i="7"/>
  <c r="AM336" i="1"/>
  <c r="AI331" i="7"/>
  <c r="AM337" i="1"/>
  <c r="AI332" i="7"/>
  <c r="AM338" i="1"/>
  <c r="AI333" i="7"/>
  <c r="AM339" i="1"/>
  <c r="AI334" i="7"/>
  <c r="AM340" i="1"/>
  <c r="AI336" i="7"/>
  <c r="AM341" i="1"/>
  <c r="AI337" i="7"/>
  <c r="AM342" i="1"/>
  <c r="AI338" i="7"/>
  <c r="AM343" i="1"/>
  <c r="AI339" i="7"/>
  <c r="AM344" i="1"/>
  <c r="AI340" i="7"/>
  <c r="AM345" i="1"/>
  <c r="AI341" i="7"/>
  <c r="AM346" i="1"/>
  <c r="AI342" i="7"/>
  <c r="AM347" i="1"/>
  <c r="AI343" i="7"/>
  <c r="AM348" i="1"/>
  <c r="AI344" i="7"/>
  <c r="AM349" i="1"/>
  <c r="AI345" i="7"/>
  <c r="AM350" i="1"/>
  <c r="AI346" i="7"/>
  <c r="AM351" i="1"/>
  <c r="AI347" i="7"/>
  <c r="AM352" i="1"/>
  <c r="AI348" i="7"/>
  <c r="AM353" i="1"/>
  <c r="AI349" i="7"/>
  <c r="AM354" i="1"/>
  <c r="AI350" i="7"/>
  <c r="AM355" i="1"/>
  <c r="AI351" i="7"/>
  <c r="AM356" i="1"/>
  <c r="AI352" i="7"/>
  <c r="AM357" i="1"/>
  <c r="AI353" i="7"/>
  <c r="AM358" i="1"/>
  <c r="AI354" i="7"/>
  <c r="AM359" i="1"/>
  <c r="AI355" i="7"/>
  <c r="AM360" i="1"/>
  <c r="AI356" i="7"/>
  <c r="AM361" i="1"/>
  <c r="AI357" i="7"/>
  <c r="AM362" i="1"/>
  <c r="AI358" i="7"/>
  <c r="AM363" i="1"/>
  <c r="AI359" i="7"/>
  <c r="AM364" i="1"/>
  <c r="AI360" i="7"/>
  <c r="AM365" i="1"/>
  <c r="AI361" i="7"/>
  <c r="AM366" i="1"/>
  <c r="AI362" i="7"/>
  <c r="AM367" i="1"/>
  <c r="AI363" i="7"/>
  <c r="AM368" i="1"/>
  <c r="AI364" i="7"/>
  <c r="AM369" i="1"/>
  <c r="AI365" i="7"/>
  <c r="AM370" i="1"/>
  <c r="AI366" i="7"/>
  <c r="AM371" i="1"/>
  <c r="AI367" i="7"/>
  <c r="AM372" i="1"/>
  <c r="AI368" i="7"/>
  <c r="AM373" i="1"/>
  <c r="AI369" i="7"/>
  <c r="AM374" i="1"/>
  <c r="AI370" i="7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O397"/>
  <c r="AI397" s="1"/>
  <c r="AI398"/>
  <c r="AI399"/>
  <c r="AI400"/>
  <c r="AI401"/>
  <c r="AI402"/>
  <c r="AI404"/>
  <c r="AI405"/>
  <c r="AI406"/>
  <c r="AI407"/>
  <c r="AI408"/>
  <c r="AI409"/>
  <c r="AI410"/>
  <c r="AI411"/>
  <c r="AI412"/>
  <c r="AM420" i="1"/>
  <c r="AI413" i="7"/>
  <c r="AM422" i="1"/>
  <c r="AI414" i="7"/>
  <c r="AI415"/>
  <c r="AM424" i="1" s="1"/>
  <c r="AI416" i="7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M455" i="1"/>
  <c r="AI448" i="7"/>
  <c r="AM456" i="1"/>
  <c r="AI449" i="7"/>
  <c r="AM457" i="1"/>
  <c r="AI450" i="7"/>
  <c r="AM458" i="1"/>
  <c r="AI451" i="7"/>
  <c r="AM459" i="1"/>
  <c r="AI452" i="7"/>
  <c r="AM460" i="1"/>
  <c r="AI453" i="7"/>
  <c r="AM461" i="1"/>
  <c r="O454" i="7"/>
  <c r="AI454"/>
  <c r="AM462" i="1" s="1"/>
  <c r="AI455" i="7"/>
  <c r="AM463" i="1" s="1"/>
  <c r="AI456" i="7"/>
  <c r="AM464" i="1" s="1"/>
  <c r="AI457" i="7"/>
  <c r="AM465" i="1" s="1"/>
  <c r="AI458" i="7"/>
  <c r="AM466" i="1" s="1"/>
  <c r="AI459" i="7"/>
  <c r="AM467" i="1" s="1"/>
  <c r="AI460" i="7"/>
  <c r="AM468" i="1" s="1"/>
  <c r="AI461" i="7"/>
  <c r="AM469" i="1" s="1"/>
  <c r="AI462" i="7"/>
  <c r="AM470" i="1" s="1"/>
  <c r="AI463" i="7"/>
  <c r="AM471" i="1" s="1"/>
  <c r="AI464" i="7"/>
  <c r="AM472" i="1" s="1"/>
  <c r="AI465" i="7"/>
  <c r="AM473" i="1" s="1"/>
  <c r="AI466" i="7"/>
  <c r="AM474" i="1" s="1"/>
  <c r="E467" i="7"/>
  <c r="O467"/>
  <c r="AI467"/>
  <c r="AM475" i="1" s="1"/>
  <c r="AI468" i="7"/>
  <c r="AM476" i="1" s="1"/>
  <c r="AI469" i="7"/>
  <c r="AM477" i="1" s="1"/>
  <c r="AI470" i="7"/>
  <c r="AM478" i="1" s="1"/>
  <c r="AI471" i="7"/>
  <c r="AM479" i="1" s="1"/>
  <c r="AI472" i="7"/>
  <c r="AM480" i="1" s="1"/>
  <c r="AI473" i="7"/>
  <c r="AM481" i="1" s="1"/>
  <c r="AI474" i="7"/>
  <c r="AM482" i="1" s="1"/>
  <c r="AI475" i="7"/>
  <c r="AM484" i="1" s="1"/>
  <c r="AI476" i="7"/>
  <c r="AM485" i="1" s="1"/>
  <c r="AI477" i="7"/>
  <c r="AM486" i="1" s="1"/>
  <c r="AI478" i="7"/>
  <c r="AM487" i="1" s="1"/>
  <c r="AI479" i="7"/>
  <c r="AM488" i="1" s="1"/>
  <c r="AI480" i="7"/>
  <c r="AM489" i="1" s="1"/>
  <c r="I481" i="7"/>
  <c r="O481"/>
  <c r="AI482"/>
  <c r="AI483"/>
  <c r="AI484"/>
  <c r="AI485"/>
  <c r="AI486"/>
  <c r="AI487"/>
  <c r="AI488"/>
  <c r="AI489"/>
  <c r="AI490"/>
  <c r="AI491"/>
  <c r="AI492"/>
  <c r="AI493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I529"/>
  <c r="AI529" s="1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I567"/>
  <c r="AI567"/>
  <c r="AI568"/>
  <c r="AI569"/>
  <c r="AI570"/>
  <c r="AI571"/>
  <c r="E572"/>
  <c r="I572"/>
  <c r="O572"/>
  <c r="AI573"/>
  <c r="AI574"/>
  <c r="AI575"/>
  <c r="AI576"/>
  <c r="AO591" i="1"/>
  <c r="AO593" s="1"/>
  <c r="AO595" s="1"/>
  <c r="AI577" i="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8"/>
  <c r="AI599"/>
  <c r="O600"/>
  <c r="AI600"/>
  <c r="S601"/>
  <c r="AI601"/>
  <c r="AI602"/>
  <c r="AI603"/>
  <c r="AI604"/>
  <c r="AI605"/>
  <c r="AI606"/>
  <c r="AI607"/>
  <c r="I608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S629"/>
  <c r="AI629"/>
  <c r="AI630"/>
  <c r="AI631"/>
  <c r="AI632"/>
  <c r="AI633"/>
  <c r="AI634"/>
  <c r="AI635"/>
  <c r="AI636"/>
  <c r="AI637"/>
  <c r="AI638"/>
  <c r="AI639"/>
  <c r="AI640"/>
  <c r="AI641"/>
  <c r="AI642"/>
  <c r="O11" i="6"/>
  <c r="AQ11" s="1"/>
  <c r="AI11"/>
  <c r="AS11" s="1"/>
  <c r="O12"/>
  <c r="AW12" s="1"/>
  <c r="AI12"/>
  <c r="AS12"/>
  <c r="O13"/>
  <c r="AW13" s="1"/>
  <c r="AI13"/>
  <c r="AS13" s="1"/>
  <c r="O14"/>
  <c r="AW14" s="1"/>
  <c r="AI14"/>
  <c r="AS14"/>
  <c r="O15"/>
  <c r="AW15" s="1"/>
  <c r="AI15"/>
  <c r="AQ15"/>
  <c r="AS15"/>
  <c r="AU15"/>
  <c r="O16"/>
  <c r="AQ16" s="1"/>
  <c r="AI16"/>
  <c r="AU16"/>
  <c r="AS16"/>
  <c r="O17"/>
  <c r="AQ17" s="1"/>
  <c r="AI17"/>
  <c r="AU17"/>
  <c r="AS17"/>
  <c r="O18"/>
  <c r="AQ18" s="1"/>
  <c r="AI18"/>
  <c r="AU18"/>
  <c r="AS18"/>
  <c r="O19"/>
  <c r="AW19" s="1"/>
  <c r="AI19"/>
  <c r="AQ19"/>
  <c r="AS19"/>
  <c r="AU19"/>
  <c r="O20"/>
  <c r="AQ20" s="1"/>
  <c r="AI20"/>
  <c r="AU20"/>
  <c r="AS20"/>
  <c r="O21"/>
  <c r="AQ21" s="1"/>
  <c r="Q21"/>
  <c r="AI21"/>
  <c r="AS21"/>
  <c r="AW21"/>
  <c r="O22"/>
  <c r="Q22"/>
  <c r="AI22" s="1"/>
  <c r="AA22"/>
  <c r="AE22"/>
  <c r="AQ22"/>
  <c r="O23"/>
  <c r="Q23"/>
  <c r="AG23"/>
  <c r="AI23" s="1"/>
  <c r="AU23" s="1"/>
  <c r="AQ23"/>
  <c r="O24"/>
  <c r="AQ24" s="1"/>
  <c r="AI24"/>
  <c r="AU24"/>
  <c r="AW24"/>
  <c r="O25"/>
  <c r="AI25"/>
  <c r="AU25" s="1"/>
  <c r="AQ25"/>
  <c r="O26"/>
  <c r="AI26"/>
  <c r="AU26" s="1"/>
  <c r="AQ26"/>
  <c r="O27"/>
  <c r="AQ27" s="1"/>
  <c r="AI27"/>
  <c r="AU27"/>
  <c r="AS27"/>
  <c r="O28"/>
  <c r="Q28"/>
  <c r="AC28"/>
  <c r="AI28" s="1"/>
  <c r="AU28" s="1"/>
  <c r="AQ28"/>
  <c r="O29"/>
  <c r="AQ29" s="1"/>
  <c r="AI29"/>
  <c r="AU29"/>
  <c r="O30"/>
  <c r="Q30"/>
  <c r="AA30"/>
  <c r="AI30" s="1"/>
  <c r="AU30" s="1"/>
  <c r="AQ30"/>
  <c r="O31"/>
  <c r="AW31" s="1"/>
  <c r="AI31"/>
  <c r="AQ31"/>
  <c r="AS31"/>
  <c r="AU31"/>
  <c r="O32"/>
  <c r="AQ32" s="1"/>
  <c r="AI32"/>
  <c r="AU32"/>
  <c r="AS32"/>
  <c r="O33"/>
  <c r="AQ33" s="1"/>
  <c r="AI33"/>
  <c r="AU33"/>
  <c r="AS33"/>
  <c r="O34"/>
  <c r="AQ34" s="1"/>
  <c r="AI34"/>
  <c r="AU34"/>
  <c r="AS34"/>
  <c r="O35"/>
  <c r="AQ35" s="1"/>
  <c r="AI35"/>
  <c r="AU35"/>
  <c r="AS35"/>
  <c r="O36"/>
  <c r="AQ36" s="1"/>
  <c r="AI36"/>
  <c r="AU36"/>
  <c r="AS36"/>
  <c r="O37"/>
  <c r="AQ37" s="1"/>
  <c r="AI37"/>
  <c r="AU37"/>
  <c r="AS37"/>
  <c r="O38"/>
  <c r="AQ38" s="1"/>
  <c r="AI38"/>
  <c r="AU38"/>
  <c r="AS38"/>
  <c r="O39"/>
  <c r="AQ39" s="1"/>
  <c r="AI39"/>
  <c r="AU39"/>
  <c r="AS39"/>
  <c r="O40"/>
  <c r="AQ40" s="1"/>
  <c r="AI40"/>
  <c r="AU40"/>
  <c r="AS40"/>
  <c r="O41"/>
  <c r="AQ41" s="1"/>
  <c r="AI41"/>
  <c r="AU41"/>
  <c r="AS41"/>
  <c r="O42"/>
  <c r="AQ42" s="1"/>
  <c r="AI42"/>
  <c r="AU42"/>
  <c r="AS42"/>
  <c r="O43"/>
  <c r="AQ43" s="1"/>
  <c r="AI43"/>
  <c r="AU43"/>
  <c r="AS43"/>
  <c r="O44"/>
  <c r="AQ44" s="1"/>
  <c r="AI44"/>
  <c r="AU44"/>
  <c r="AS44"/>
  <c r="O45"/>
  <c r="AQ45" s="1"/>
  <c r="AI45"/>
  <c r="AU45"/>
  <c r="AS45"/>
  <c r="O46"/>
  <c r="AQ46" s="1"/>
  <c r="AI46"/>
  <c r="AU46"/>
  <c r="AS46"/>
  <c r="O47"/>
  <c r="AW47" s="1"/>
  <c r="AI47"/>
  <c r="AQ47"/>
  <c r="AS47"/>
  <c r="AU47"/>
  <c r="O48"/>
  <c r="AQ48" s="1"/>
  <c r="Q48"/>
  <c r="S48"/>
  <c r="AA48"/>
  <c r="AI48"/>
  <c r="AS48"/>
  <c r="AW48"/>
  <c r="O49"/>
  <c r="AI49"/>
  <c r="AU49" s="1"/>
  <c r="AQ49"/>
  <c r="AW49"/>
  <c r="O50"/>
  <c r="AI50"/>
  <c r="AU50" s="1"/>
  <c r="AQ50"/>
  <c r="AW50"/>
  <c r="O51"/>
  <c r="Q51"/>
  <c r="U51"/>
  <c r="AC51"/>
  <c r="AE51"/>
  <c r="AI51"/>
  <c r="AU51" s="1"/>
  <c r="AQ51"/>
  <c r="AS51"/>
  <c r="AW51"/>
  <c r="O52"/>
  <c r="AI52"/>
  <c r="AU52" s="1"/>
  <c r="AQ52"/>
  <c r="AW52"/>
  <c r="O53"/>
  <c r="AI53"/>
  <c r="AU53" s="1"/>
  <c r="AQ53"/>
  <c r="AW53"/>
  <c r="O54"/>
  <c r="AI54"/>
  <c r="AU54" s="1"/>
  <c r="AQ54"/>
  <c r="AW54"/>
  <c r="O55"/>
  <c r="AI55"/>
  <c r="AU55" s="1"/>
  <c r="AQ55"/>
  <c r="AW55"/>
  <c r="O56"/>
  <c r="AI56"/>
  <c r="AS56" s="1"/>
  <c r="AQ56"/>
  <c r="O57"/>
  <c r="S57"/>
  <c r="AC57"/>
  <c r="AI57"/>
  <c r="AU57" s="1"/>
  <c r="AQ57"/>
  <c r="AS57"/>
  <c r="AW57"/>
  <c r="O58"/>
  <c r="AW58"/>
  <c r="AI58"/>
  <c r="AQ58"/>
  <c r="AS58"/>
  <c r="AU58"/>
  <c r="O59"/>
  <c r="AW59"/>
  <c r="AI59"/>
  <c r="AQ59"/>
  <c r="AS59"/>
  <c r="AU59"/>
  <c r="O60"/>
  <c r="AW60"/>
  <c r="AI60"/>
  <c r="AQ60"/>
  <c r="AS60"/>
  <c r="AU60"/>
  <c r="O61"/>
  <c r="AW61"/>
  <c r="AI61"/>
  <c r="AQ61"/>
  <c r="AS61"/>
  <c r="AU61"/>
  <c r="O62"/>
  <c r="AW62"/>
  <c r="AI62"/>
  <c r="AQ62"/>
  <c r="AS62"/>
  <c r="AU62"/>
  <c r="O63"/>
  <c r="AW63"/>
  <c r="AI63"/>
  <c r="AQ63"/>
  <c r="AS63"/>
  <c r="AU63"/>
  <c r="O64"/>
  <c r="AW64"/>
  <c r="AI64"/>
  <c r="AQ64"/>
  <c r="AS64"/>
  <c r="AU64"/>
  <c r="O65"/>
  <c r="AW65"/>
  <c r="AI65"/>
  <c r="AQ65"/>
  <c r="AS65"/>
  <c r="AU65"/>
  <c r="O66"/>
  <c r="AW66"/>
  <c r="AI66"/>
  <c r="AQ66"/>
  <c r="AS66"/>
  <c r="AU66"/>
  <c r="O67"/>
  <c r="AC67"/>
  <c r="AI67" s="1"/>
  <c r="AQ67"/>
  <c r="O68"/>
  <c r="AW68" s="1"/>
  <c r="AI68"/>
  <c r="AS68"/>
  <c r="O69"/>
  <c r="AW69" s="1"/>
  <c r="AI69"/>
  <c r="AS69"/>
  <c r="O70"/>
  <c r="AW70" s="1"/>
  <c r="AI70"/>
  <c r="AS70"/>
  <c r="O71"/>
  <c r="AW71" s="1"/>
  <c r="AI71"/>
  <c r="AS71"/>
  <c r="O72"/>
  <c r="AW72" s="1"/>
  <c r="AI72"/>
  <c r="AS72"/>
  <c r="O73"/>
  <c r="AW73" s="1"/>
  <c r="AI73"/>
  <c r="AS73"/>
  <c r="O74"/>
  <c r="AW74" s="1"/>
  <c r="AI74"/>
  <c r="AS74"/>
  <c r="O75"/>
  <c r="AW75" s="1"/>
  <c r="AI75"/>
  <c r="AS75"/>
  <c r="O76"/>
  <c r="AI76"/>
  <c r="AS76" s="1"/>
  <c r="O77"/>
  <c r="AI77"/>
  <c r="AS77"/>
  <c r="O78"/>
  <c r="AI78"/>
  <c r="AS78" s="1"/>
  <c r="O79"/>
  <c r="AI79"/>
  <c r="AS79"/>
  <c r="O80"/>
  <c r="AW80" s="1"/>
  <c r="AI80"/>
  <c r="AQ80"/>
  <c r="AS80"/>
  <c r="AU80"/>
  <c r="O81"/>
  <c r="AI81"/>
  <c r="AU81"/>
  <c r="AS81"/>
  <c r="O82"/>
  <c r="AI82"/>
  <c r="AU82"/>
  <c r="AS82"/>
  <c r="O83"/>
  <c r="AI83"/>
  <c r="AU83"/>
  <c r="AS83"/>
  <c r="O84"/>
  <c r="AI84"/>
  <c r="AU84"/>
  <c r="AS84"/>
  <c r="O85"/>
  <c r="AI85"/>
  <c r="AU85"/>
  <c r="AS85"/>
  <c r="O86"/>
  <c r="AI86"/>
  <c r="AU86"/>
  <c r="AS86"/>
  <c r="O87"/>
  <c r="AI87"/>
  <c r="AU87"/>
  <c r="AS87"/>
  <c r="O88"/>
  <c r="AI88"/>
  <c r="AU88"/>
  <c r="AS88"/>
  <c r="O89"/>
  <c r="AI89"/>
  <c r="AU89"/>
  <c r="AS89"/>
  <c r="O90"/>
  <c r="AI90"/>
  <c r="AU90"/>
  <c r="AS90"/>
  <c r="O91"/>
  <c r="AI91"/>
  <c r="AU91"/>
  <c r="AS91"/>
  <c r="O92"/>
  <c r="AW92" s="1"/>
  <c r="AI92"/>
  <c r="AQ92"/>
  <c r="AS92"/>
  <c r="AU92"/>
  <c r="O93"/>
  <c r="Q93"/>
  <c r="AI93"/>
  <c r="AS93"/>
  <c r="AW93"/>
  <c r="O94"/>
  <c r="AW94"/>
  <c r="AI94"/>
  <c r="AQ94"/>
  <c r="AS94"/>
  <c r="AU94"/>
  <c r="O95"/>
  <c r="AW95"/>
  <c r="AI95"/>
  <c r="AQ95"/>
  <c r="AS95"/>
  <c r="AU95"/>
  <c r="O96"/>
  <c r="Q96"/>
  <c r="AA96"/>
  <c r="AI96"/>
  <c r="AU96" s="1"/>
  <c r="AQ96"/>
  <c r="AS96"/>
  <c r="AW96"/>
  <c r="O97"/>
  <c r="AW97"/>
  <c r="AI97"/>
  <c r="AQ97"/>
  <c r="AS97"/>
  <c r="AU97"/>
  <c r="O98"/>
  <c r="AW98"/>
  <c r="AI98"/>
  <c r="AQ98"/>
  <c r="AS98"/>
  <c r="AU98"/>
  <c r="O99"/>
  <c r="AW99"/>
  <c r="AI99"/>
  <c r="AQ99"/>
  <c r="AS99"/>
  <c r="AU99"/>
  <c r="O100"/>
  <c r="Q100"/>
  <c r="AQ100"/>
  <c r="O101"/>
  <c r="AW101" s="1"/>
  <c r="AI101"/>
  <c r="AQ101"/>
  <c r="AS101"/>
  <c r="AU101"/>
  <c r="O102"/>
  <c r="AI102"/>
  <c r="AU102"/>
  <c r="AS102"/>
  <c r="O103"/>
  <c r="AI103"/>
  <c r="AU103"/>
  <c r="AS103"/>
  <c r="O104"/>
  <c r="AI104"/>
  <c r="AU104"/>
  <c r="AS104"/>
  <c r="O105"/>
  <c r="AQ105" s="1"/>
  <c r="AI105"/>
  <c r="AU105"/>
  <c r="AS105"/>
  <c r="O106"/>
  <c r="AQ106" s="1"/>
  <c r="AI106"/>
  <c r="AU106"/>
  <c r="AS106"/>
  <c r="O107"/>
  <c r="AQ107" s="1"/>
  <c r="AI107"/>
  <c r="AU107"/>
  <c r="AS107"/>
  <c r="O108"/>
  <c r="AQ108" s="1"/>
  <c r="AI108"/>
  <c r="AU108"/>
  <c r="AS108"/>
  <c r="O109"/>
  <c r="AQ109" s="1"/>
  <c r="AI109"/>
  <c r="AU109"/>
  <c r="AS109"/>
  <c r="O110"/>
  <c r="AQ110" s="1"/>
  <c r="AI110"/>
  <c r="AU110"/>
  <c r="AS110"/>
  <c r="O111"/>
  <c r="AQ111" s="1"/>
  <c r="AI111"/>
  <c r="AU111"/>
  <c r="AS111"/>
  <c r="O112"/>
  <c r="AQ112" s="1"/>
  <c r="AI112"/>
  <c r="AU112"/>
  <c r="AS112"/>
  <c r="O113"/>
  <c r="AQ113" s="1"/>
  <c r="AI113"/>
  <c r="AU113"/>
  <c r="AS113"/>
  <c r="O114"/>
  <c r="AQ114" s="1"/>
  <c r="AI114"/>
  <c r="AU114"/>
  <c r="AS114"/>
  <c r="O115"/>
  <c r="AQ115" s="1"/>
  <c r="AI115"/>
  <c r="AU115"/>
  <c r="AS115"/>
  <c r="O116"/>
  <c r="AQ116" s="1"/>
  <c r="AI116"/>
  <c r="AU116"/>
  <c r="O117"/>
  <c r="AQ117" s="1"/>
  <c r="AI117"/>
  <c r="AU117"/>
  <c r="AW117"/>
  <c r="O118"/>
  <c r="AI118"/>
  <c r="AU118" s="1"/>
  <c r="AQ118"/>
  <c r="AW118"/>
  <c r="O119"/>
  <c r="AI119"/>
  <c r="AU119" s="1"/>
  <c r="AQ119"/>
  <c r="O120"/>
  <c r="AQ120" s="1"/>
  <c r="AI120"/>
  <c r="AU120"/>
  <c r="AS120"/>
  <c r="O121"/>
  <c r="AQ121" s="1"/>
  <c r="AI121"/>
  <c r="AU121"/>
  <c r="AS121"/>
  <c r="O122"/>
  <c r="AQ122" s="1"/>
  <c r="AI122"/>
  <c r="AU122"/>
  <c r="O123"/>
  <c r="AQ123" s="1"/>
  <c r="AI123"/>
  <c r="AU123"/>
  <c r="AW123"/>
  <c r="O124"/>
  <c r="AI124"/>
  <c r="AU124" s="1"/>
  <c r="AQ124"/>
  <c r="AW124"/>
  <c r="O125"/>
  <c r="AI125"/>
  <c r="AU125" s="1"/>
  <c r="AQ125"/>
  <c r="O126"/>
  <c r="AQ126" s="1"/>
  <c r="AA126"/>
  <c r="AI126"/>
  <c r="AS126"/>
  <c r="AW126"/>
  <c r="O127"/>
  <c r="U127"/>
  <c r="AA127"/>
  <c r="AI127"/>
  <c r="AU127" s="1"/>
  <c r="AQ127"/>
  <c r="AS127"/>
  <c r="AW127"/>
  <c r="O128"/>
  <c r="AI128"/>
  <c r="AU128" s="1"/>
  <c r="AQ128"/>
  <c r="AW128"/>
  <c r="O129"/>
  <c r="AI129"/>
  <c r="AU129" s="1"/>
  <c r="AQ129"/>
  <c r="AW129"/>
  <c r="O130"/>
  <c r="AI130"/>
  <c r="AS130" s="1"/>
  <c r="AQ130"/>
  <c r="O131"/>
  <c r="AQ131" s="1"/>
  <c r="AI131"/>
  <c r="AU131"/>
  <c r="AS131"/>
  <c r="O132"/>
  <c r="AQ132" s="1"/>
  <c r="AI132"/>
  <c r="AS132"/>
  <c r="AW132"/>
  <c r="O133"/>
  <c r="AI133"/>
  <c r="AU133" s="1"/>
  <c r="AQ133"/>
  <c r="AW133"/>
  <c r="O134"/>
  <c r="AI134"/>
  <c r="AU134" s="1"/>
  <c r="AQ134"/>
  <c r="AW134"/>
  <c r="O135"/>
  <c r="AI135"/>
  <c r="AU135" s="1"/>
  <c r="AQ135"/>
  <c r="AS135"/>
  <c r="AW135"/>
  <c r="O136"/>
  <c r="AI136"/>
  <c r="AU136" s="1"/>
  <c r="AQ136"/>
  <c r="AS136"/>
  <c r="AW136"/>
  <c r="O137"/>
  <c r="AI137"/>
  <c r="AU137" s="1"/>
  <c r="AQ137"/>
  <c r="AW137"/>
  <c r="O138"/>
  <c r="AI138"/>
  <c r="AU138" s="1"/>
  <c r="AQ138"/>
  <c r="AW138"/>
  <c r="O139"/>
  <c r="AI139"/>
  <c r="AU139" s="1"/>
  <c r="AQ139"/>
  <c r="AW139"/>
  <c r="O140"/>
  <c r="AI140"/>
  <c r="AU140" s="1"/>
  <c r="AQ140"/>
  <c r="AW140"/>
  <c r="O141"/>
  <c r="AI141"/>
  <c r="AU141" s="1"/>
  <c r="AQ141"/>
  <c r="AW141"/>
  <c r="O142"/>
  <c r="AI142"/>
  <c r="AU142" s="1"/>
  <c r="AQ142"/>
  <c r="AW142"/>
  <c r="O143"/>
  <c r="AI143"/>
  <c r="AU143" s="1"/>
  <c r="AQ143"/>
  <c r="O144"/>
  <c r="AQ144" s="1"/>
  <c r="AI144"/>
  <c r="AU144"/>
  <c r="AS144"/>
  <c r="O145"/>
  <c r="AQ145" s="1"/>
  <c r="AC145"/>
  <c r="AI145"/>
  <c r="AS145"/>
  <c r="AW145"/>
  <c r="O146"/>
  <c r="AW146"/>
  <c r="AI146"/>
  <c r="AQ146"/>
  <c r="AS146"/>
  <c r="AU146"/>
  <c r="O147"/>
  <c r="Q147"/>
  <c r="AI147" s="1"/>
  <c r="AQ147"/>
  <c r="AM500" i="2"/>
  <c r="AM438"/>
  <c r="AM376"/>
  <c r="AM326"/>
  <c r="AM282"/>
  <c r="AM251"/>
  <c r="AM225"/>
  <c r="AM175"/>
  <c r="AM160"/>
  <c r="AM402"/>
  <c r="AM658"/>
  <c r="AU132" i="6"/>
  <c r="AU130"/>
  <c r="AS125"/>
  <c r="AS123"/>
  <c r="AW116"/>
  <c r="AS116"/>
  <c r="AW122"/>
  <c r="AS122"/>
  <c r="AS119"/>
  <c r="AS117"/>
  <c r="AU56"/>
  <c r="AW56"/>
  <c r="AW29"/>
  <c r="AS29"/>
  <c r="AS26"/>
  <c r="AS24"/>
  <c r="AW25"/>
  <c r="AS25"/>
  <c r="AU13"/>
  <c r="AQ13"/>
  <c r="AU11"/>
  <c r="AW11"/>
  <c r="AI326" i="7"/>
  <c r="AM332" i="1" s="1"/>
  <c r="AI108" i="7"/>
  <c r="AI74"/>
  <c r="AI481"/>
  <c r="AI80"/>
  <c r="AI572"/>
  <c r="AI183"/>
  <c r="AM663" i="1"/>
  <c r="AM661"/>
  <c r="AM659"/>
  <c r="AM657"/>
  <c r="AM655"/>
  <c r="AM653"/>
  <c r="AM650"/>
  <c r="AM648"/>
  <c r="AM646"/>
  <c r="AM644"/>
  <c r="AM642"/>
  <c r="AM640"/>
  <c r="AM638"/>
  <c r="AM636"/>
  <c r="AM634"/>
  <c r="AM632"/>
  <c r="AM630"/>
  <c r="AM628"/>
  <c r="AM626"/>
  <c r="AM624"/>
  <c r="AM622"/>
  <c r="AM620"/>
  <c r="AM618"/>
  <c r="AM615"/>
  <c r="AM613"/>
  <c r="AM611"/>
  <c r="AM609"/>
  <c r="AM607"/>
  <c r="AM604"/>
  <c r="AM602"/>
  <c r="AM600"/>
  <c r="AM598"/>
  <c r="AM596"/>
  <c r="AM594"/>
  <c r="AM592"/>
  <c r="AM662"/>
  <c r="AM660"/>
  <c r="AM658"/>
  <c r="AM656"/>
  <c r="AM654"/>
  <c r="AM652"/>
  <c r="AM649"/>
  <c r="AM647"/>
  <c r="AM645"/>
  <c r="AM643"/>
  <c r="AM641"/>
  <c r="AM639"/>
  <c r="AM637"/>
  <c r="AM635"/>
  <c r="AM633"/>
  <c r="AM631"/>
  <c r="AM629"/>
  <c r="AM627"/>
  <c r="AM625"/>
  <c r="AM623"/>
  <c r="AM621"/>
  <c r="AM619"/>
  <c r="AM616"/>
  <c r="AM614"/>
  <c r="AM612"/>
  <c r="AM610"/>
  <c r="AM608"/>
  <c r="AM588"/>
  <c r="AM585"/>
  <c r="AM583"/>
  <c r="AM581"/>
  <c r="AM579"/>
  <c r="AM577"/>
  <c r="AM575"/>
  <c r="AM573"/>
  <c r="AM571"/>
  <c r="AM569"/>
  <c r="AM565"/>
  <c r="AM559"/>
  <c r="AM557"/>
  <c r="AM555"/>
  <c r="AM551"/>
  <c r="AM549"/>
  <c r="AM547"/>
  <c r="AM545"/>
  <c r="AM543"/>
  <c r="AM541"/>
  <c r="AM539"/>
  <c r="AM537"/>
  <c r="AM535"/>
  <c r="AM533"/>
  <c r="AM531"/>
  <c r="AM529"/>
  <c r="AM527"/>
  <c r="AM525"/>
  <c r="AM523"/>
  <c r="AM521"/>
  <c r="AM519"/>
  <c r="AM517"/>
  <c r="AM515"/>
  <c r="AM513"/>
  <c r="AM511"/>
  <c r="AM509"/>
  <c r="AM507"/>
  <c r="AM505"/>
  <c r="AM503"/>
  <c r="AM605"/>
  <c r="AM603"/>
  <c r="AM601"/>
  <c r="AM599"/>
  <c r="AM597"/>
  <c r="AM595"/>
  <c r="AM593"/>
  <c r="AM589"/>
  <c r="AM587"/>
  <c r="AM584"/>
  <c r="AM582"/>
  <c r="AM580"/>
  <c r="AM578"/>
  <c r="AM576"/>
  <c r="AM574"/>
  <c r="AM572"/>
  <c r="AM570"/>
  <c r="AM568"/>
  <c r="AM566"/>
  <c r="AM564"/>
  <c r="AM558"/>
  <c r="AM556"/>
  <c r="AM554"/>
  <c r="AM552"/>
  <c r="AM550"/>
  <c r="AM548"/>
  <c r="AM546"/>
  <c r="AM544"/>
  <c r="AM542"/>
  <c r="AM540"/>
  <c r="AM538"/>
  <c r="AM536"/>
  <c r="AM534"/>
  <c r="AM532"/>
  <c r="AM530"/>
  <c r="AM528"/>
  <c r="AM526"/>
  <c r="AM524"/>
  <c r="AM522"/>
  <c r="AM520"/>
  <c r="AM518"/>
  <c r="AM516"/>
  <c r="AM514"/>
  <c r="AM512"/>
  <c r="AM510"/>
  <c r="AM508"/>
  <c r="AM506"/>
  <c r="AM502"/>
  <c r="AM500"/>
  <c r="AM498"/>
  <c r="AM496"/>
  <c r="AM494"/>
  <c r="AM492"/>
  <c r="AM454"/>
  <c r="AM452"/>
  <c r="AM450"/>
  <c r="AM448"/>
  <c r="AM446"/>
  <c r="AM444"/>
  <c r="AM442"/>
  <c r="AM440"/>
  <c r="AM438"/>
  <c r="AM436"/>
  <c r="AM434"/>
  <c r="AM432"/>
  <c r="AM430"/>
  <c r="AM428"/>
  <c r="AM426"/>
  <c r="AM418"/>
  <c r="AM416"/>
  <c r="AM413"/>
  <c r="AM411"/>
  <c r="AM409"/>
  <c r="AM407"/>
  <c r="AM405"/>
  <c r="AM403"/>
  <c r="AM401"/>
  <c r="AM399"/>
  <c r="AM397"/>
  <c r="AM395"/>
  <c r="AM393"/>
  <c r="AM390"/>
  <c r="AM388"/>
  <c r="AM386"/>
  <c r="AM384"/>
  <c r="AM382"/>
  <c r="AM380"/>
  <c r="AM378"/>
  <c r="AM376"/>
  <c r="AM320"/>
  <c r="AM316"/>
  <c r="AM314"/>
  <c r="AM312"/>
  <c r="AM309"/>
  <c r="AM307"/>
  <c r="AM305"/>
  <c r="AM303"/>
  <c r="AM301"/>
  <c r="AM299"/>
  <c r="AM297"/>
  <c r="AM295"/>
  <c r="AM293"/>
  <c r="AM291"/>
  <c r="AM289"/>
  <c r="AM287"/>
  <c r="AM285"/>
  <c r="AM282"/>
  <c r="AM279"/>
  <c r="AM277"/>
  <c r="AM275"/>
  <c r="AM272"/>
  <c r="AM270"/>
  <c r="AM268"/>
  <c r="AM266"/>
  <c r="AM264"/>
  <c r="AM262"/>
  <c r="AM259"/>
  <c r="AM257"/>
  <c r="AM255"/>
  <c r="AM253"/>
  <c r="AM251"/>
  <c r="AM250"/>
  <c r="AM248"/>
  <c r="AM246"/>
  <c r="AM244"/>
  <c r="AM242"/>
  <c r="AM240"/>
  <c r="AM238"/>
  <c r="AM234"/>
  <c r="AM232"/>
  <c r="AM229"/>
  <c r="AM227"/>
  <c r="AM225"/>
  <c r="AM223"/>
  <c r="AM221"/>
  <c r="AM218"/>
  <c r="AM216"/>
  <c r="AM214"/>
  <c r="AM211"/>
  <c r="AM209"/>
  <c r="AM207"/>
  <c r="AM204"/>
  <c r="AM202"/>
  <c r="AM201"/>
  <c r="AM199"/>
  <c r="AM196"/>
  <c r="AM194"/>
  <c r="AM192"/>
  <c r="AM190"/>
  <c r="AM188"/>
  <c r="AM186"/>
  <c r="AM184"/>
  <c r="AM182"/>
  <c r="AM180"/>
  <c r="AM176"/>
  <c r="AM174"/>
  <c r="AM172"/>
  <c r="AM170"/>
  <c r="AM166"/>
  <c r="AM162"/>
  <c r="AM160"/>
  <c r="AM158"/>
  <c r="AM156"/>
  <c r="AM154"/>
  <c r="AM152"/>
  <c r="AM150"/>
  <c r="AM148"/>
  <c r="AM146"/>
  <c r="AM144"/>
  <c r="AM142"/>
  <c r="AM140"/>
  <c r="AM138"/>
  <c r="AM136"/>
  <c r="AM134"/>
  <c r="AM132"/>
  <c r="AM130"/>
  <c r="AM128"/>
  <c r="AM126"/>
  <c r="AM124"/>
  <c r="AM121"/>
  <c r="AM119"/>
  <c r="AM117"/>
  <c r="AM115"/>
  <c r="AM113"/>
  <c r="AM111"/>
  <c r="AM109"/>
  <c r="AM107"/>
  <c r="AM105"/>
  <c r="AM103"/>
  <c r="AM101"/>
  <c r="AM99"/>
  <c r="AM97"/>
  <c r="AM95"/>
  <c r="AM93"/>
  <c r="AM91"/>
  <c r="AM89"/>
  <c r="AM87"/>
  <c r="AM85"/>
  <c r="AM83"/>
  <c r="AM72"/>
  <c r="AM44"/>
  <c r="AM42"/>
  <c r="AM40"/>
  <c r="AM38"/>
  <c r="AM20"/>
  <c r="AM501"/>
  <c r="AM499"/>
  <c r="AM497"/>
  <c r="AM495"/>
  <c r="AM493"/>
  <c r="AM491"/>
  <c r="AM453"/>
  <c r="AM451"/>
  <c r="AM449"/>
  <c r="AM447"/>
  <c r="AM445"/>
  <c r="AM443"/>
  <c r="AM441"/>
  <c r="AM439"/>
  <c r="AM437"/>
  <c r="AM435"/>
  <c r="AM433"/>
  <c r="AM431"/>
  <c r="AM429"/>
  <c r="AM427"/>
  <c r="AM425"/>
  <c r="AM423"/>
  <c r="AM421"/>
  <c r="AM417"/>
  <c r="AM415"/>
  <c r="AM412"/>
  <c r="AM410"/>
  <c r="AM408"/>
  <c r="AM406"/>
  <c r="AM404"/>
  <c r="AM402"/>
  <c r="AM400"/>
  <c r="AM398"/>
  <c r="AM396"/>
  <c r="AM394"/>
  <c r="AM391"/>
  <c r="AM389"/>
  <c r="AM387"/>
  <c r="AM385"/>
  <c r="AM383"/>
  <c r="AM381"/>
  <c r="AM379"/>
  <c r="AM377"/>
  <c r="AM375"/>
  <c r="AM323"/>
  <c r="AM321"/>
  <c r="AM319"/>
  <c r="AM317"/>
  <c r="AM315"/>
  <c r="AM313"/>
  <c r="AM310"/>
  <c r="AM308"/>
  <c r="AM306"/>
  <c r="AM304"/>
  <c r="AM302"/>
  <c r="AM300"/>
  <c r="AM298"/>
  <c r="AM296"/>
  <c r="AM294"/>
  <c r="AM292"/>
  <c r="AM290"/>
  <c r="AM288"/>
  <c r="AM286"/>
  <c r="AM283"/>
  <c r="AM281"/>
  <c r="AM278"/>
  <c r="AM273"/>
  <c r="AM271"/>
  <c r="AM269"/>
  <c r="AM267"/>
  <c r="AM265"/>
  <c r="AM263"/>
  <c r="AM260"/>
  <c r="AM258"/>
  <c r="AM256"/>
  <c r="AM254"/>
  <c r="AM252"/>
  <c r="AM249"/>
  <c r="AM247"/>
  <c r="AM245"/>
  <c r="AM243"/>
  <c r="AM241"/>
  <c r="AM239"/>
  <c r="AM237"/>
  <c r="AM235"/>
  <c r="AM233"/>
  <c r="AM231"/>
  <c r="AM230"/>
  <c r="AM228"/>
  <c r="AM226"/>
  <c r="AM224"/>
  <c r="AM222"/>
  <c r="AM219"/>
  <c r="AM217"/>
  <c r="AM215"/>
  <c r="AM212"/>
  <c r="AM210"/>
  <c r="AM208"/>
  <c r="AM206"/>
  <c r="AM203"/>
  <c r="AM200"/>
  <c r="AM197"/>
  <c r="AM195"/>
  <c r="AM193"/>
  <c r="AM191"/>
  <c r="AM189"/>
  <c r="AM187"/>
  <c r="AM185"/>
  <c r="AM183"/>
  <c r="AM181"/>
  <c r="AM179"/>
  <c r="AM177"/>
  <c r="AM175"/>
  <c r="AM173"/>
  <c r="AM171"/>
  <c r="AM169"/>
  <c r="AM167"/>
  <c r="AM165"/>
  <c r="AM163"/>
  <c r="AM161"/>
  <c r="AM159"/>
  <c r="AM157"/>
  <c r="AM155"/>
  <c r="AM153"/>
  <c r="AM151"/>
  <c r="AM149"/>
  <c r="AM147"/>
  <c r="AM145"/>
  <c r="AM143"/>
  <c r="AM141"/>
  <c r="AM139"/>
  <c r="AM137"/>
  <c r="AM133"/>
  <c r="AM131"/>
  <c r="AM129"/>
  <c r="AM127"/>
  <c r="AM125"/>
  <c r="AM122"/>
  <c r="AM120"/>
  <c r="AM118"/>
  <c r="AM116"/>
  <c r="AM114"/>
  <c r="AM112"/>
  <c r="AM110"/>
  <c r="AM108"/>
  <c r="AM106"/>
  <c r="AM104"/>
  <c r="AM102"/>
  <c r="AM100"/>
  <c r="AM98"/>
  <c r="AM96"/>
  <c r="AM94"/>
  <c r="AM92"/>
  <c r="AM90"/>
  <c r="AM86"/>
  <c r="AM84"/>
  <c r="AM82"/>
  <c r="AM73"/>
  <c r="AM45"/>
  <c r="AM43"/>
  <c r="AM41"/>
  <c r="AM39"/>
  <c r="AM37"/>
  <c r="AM23"/>
  <c r="AM11"/>
  <c r="AE553"/>
  <c r="AM553" s="1"/>
  <c r="AM651"/>
  <c r="AE606"/>
  <c r="AM606" s="1"/>
  <c r="AM311"/>
  <c r="AE284"/>
  <c r="AM284" s="1"/>
  <c r="AM261"/>
  <c r="AM220"/>
  <c r="AE205"/>
  <c r="AM205" s="1"/>
  <c r="AM591"/>
  <c r="AE274"/>
  <c r="AM274" s="1"/>
  <c r="AM123"/>
  <c r="AI287" i="8"/>
  <c r="AI229"/>
  <c r="AI225"/>
  <c r="AI191"/>
  <c r="AI187"/>
  <c r="AI185"/>
  <c r="AI95"/>
  <c r="AI74"/>
  <c r="AI62"/>
  <c r="AI40"/>
  <c r="AI32"/>
  <c r="AI30"/>
  <c r="AI288"/>
  <c r="AI277"/>
  <c r="AI273"/>
  <c r="AI270"/>
  <c r="AI230"/>
  <c r="AM232" i="2" s="1"/>
  <c r="AI224" i="8"/>
  <c r="AI210"/>
  <c r="AI208"/>
  <c r="AI184"/>
  <c r="AI117"/>
  <c r="AI106"/>
  <c r="AI104"/>
  <c r="AI94"/>
  <c r="AI77"/>
  <c r="AI71"/>
  <c r="AI58"/>
  <c r="AI35"/>
  <c r="AI31"/>
  <c r="AI26"/>
  <c r="AI24"/>
  <c r="AI339"/>
  <c r="AI310"/>
  <c r="AI308"/>
  <c r="AI298"/>
  <c r="AI284"/>
  <c r="AM287" i="2" s="1"/>
  <c r="AI263" i="8"/>
  <c r="AI259"/>
  <c r="AI256"/>
  <c r="AI218"/>
  <c r="AI206"/>
  <c r="AI181"/>
  <c r="AM182" i="2" s="1"/>
  <c r="AI150" i="8"/>
  <c r="AI148"/>
  <c r="AM148" i="2" s="1"/>
  <c r="AI137" i="8"/>
  <c r="AI116"/>
  <c r="AI89"/>
  <c r="AI82"/>
  <c r="AI73"/>
  <c r="AI70"/>
  <c r="AI57"/>
  <c r="AI19"/>
  <c r="AI442"/>
  <c r="AM445" i="2" s="1"/>
  <c r="AI378" i="8"/>
  <c r="AM380" i="2" s="1"/>
  <c r="AI377" i="8"/>
  <c r="AM379" i="2" s="1"/>
  <c r="AI325" i="8"/>
  <c r="AM327" i="2" s="1"/>
  <c r="AI319" i="8"/>
  <c r="AI313"/>
  <c r="AI289"/>
  <c r="AI285"/>
  <c r="AI264"/>
  <c r="AI260"/>
  <c r="AI239"/>
  <c r="AI231"/>
  <c r="AI227"/>
  <c r="AI220"/>
  <c r="AI212"/>
  <c r="AI194"/>
  <c r="AI182"/>
  <c r="AI157"/>
  <c r="AI155"/>
  <c r="AI149"/>
  <c r="AI139"/>
  <c r="AI132"/>
  <c r="AM131" i="2" s="1"/>
  <c r="AI122" i="8"/>
  <c r="AI108"/>
  <c r="AI78"/>
  <c r="AI72"/>
  <c r="AI67"/>
  <c r="AI65"/>
  <c r="AI47"/>
  <c r="AI41"/>
  <c r="AI33"/>
  <c r="AI11"/>
  <c r="AI9"/>
  <c r="AM588" i="2"/>
  <c r="AM584"/>
  <c r="AM558"/>
  <c r="AM503"/>
  <c r="AM489"/>
  <c r="AM470"/>
  <c r="AM446"/>
  <c r="AM425"/>
  <c r="AM415"/>
  <c r="AM404"/>
  <c r="AM365"/>
  <c r="AM361"/>
  <c r="AM341"/>
  <c r="AM312"/>
  <c r="AM301"/>
  <c r="AM291"/>
  <c r="AM275"/>
  <c r="AM265"/>
  <c r="AM261"/>
  <c r="AM226"/>
  <c r="AM214"/>
  <c r="AM212"/>
  <c r="AM193"/>
  <c r="AM186"/>
  <c r="AM150"/>
  <c r="AM116"/>
  <c r="AM94"/>
  <c r="AM88"/>
  <c r="AM77"/>
  <c r="AM73"/>
  <c r="AM71"/>
  <c r="AM67"/>
  <c r="AM61"/>
  <c r="AM59"/>
  <c r="AM57"/>
  <c r="AM55"/>
  <c r="AM49"/>
  <c r="AM47"/>
  <c r="AM43"/>
  <c r="AM41"/>
  <c r="AM39"/>
  <c r="AM35"/>
  <c r="AM33"/>
  <c r="AM29"/>
  <c r="AM27"/>
  <c r="AM587"/>
  <c r="AM585"/>
  <c r="AM553"/>
  <c r="AM535"/>
  <c r="AM512"/>
  <c r="AM510"/>
  <c r="AM508"/>
  <c r="AM506"/>
  <c r="AM504"/>
  <c r="AM461"/>
  <c r="AM454"/>
  <c r="AM439"/>
  <c r="AM394"/>
  <c r="AM319"/>
  <c r="AM315"/>
  <c r="AM310"/>
  <c r="AM292"/>
  <c r="AM290"/>
  <c r="AM288"/>
  <c r="AM280"/>
  <c r="AM272"/>
  <c r="AM266"/>
  <c r="AM262"/>
  <c r="AM258"/>
  <c r="AM241"/>
  <c r="AM233"/>
  <c r="AM231"/>
  <c r="AM229"/>
  <c r="AM227"/>
  <c r="AM223"/>
  <c r="AM221"/>
  <c r="AM219"/>
  <c r="AM208"/>
  <c r="AM196"/>
  <c r="AM185"/>
  <c r="AM183"/>
  <c r="AM157"/>
  <c r="AM155"/>
  <c r="AM149"/>
  <c r="AM138"/>
  <c r="AM136"/>
  <c r="AM115"/>
  <c r="AM107"/>
  <c r="AM105"/>
  <c r="AM103"/>
  <c r="AM93"/>
  <c r="AM82"/>
  <c r="AM78"/>
  <c r="AM74"/>
  <c r="AM72"/>
  <c r="AM70"/>
  <c r="AM62"/>
  <c r="AM60"/>
  <c r="AM58"/>
  <c r="AM56"/>
  <c r="AM54"/>
  <c r="AM52"/>
  <c r="AM50"/>
  <c r="AM48"/>
  <c r="AM46"/>
  <c r="AM44"/>
  <c r="AM40"/>
  <c r="AM38"/>
  <c r="AM36"/>
  <c r="AM34"/>
  <c r="AM31"/>
  <c r="AM30"/>
  <c r="AM28"/>
  <c r="AM26"/>
  <c r="AM9"/>
  <c r="AM11"/>
  <c r="AM19"/>
  <c r="AM24"/>
  <c r="AM321"/>
  <c r="AM577"/>
  <c r="AE614"/>
  <c r="AE515"/>
  <c r="AE456"/>
  <c r="AM456"/>
  <c r="AE121"/>
  <c r="AM121"/>
  <c r="AE32"/>
  <c r="AM32"/>
  <c r="AE377"/>
  <c r="AM377"/>
  <c r="AE65"/>
  <c r="AM65"/>
  <c r="AE638"/>
  <c r="AE209"/>
  <c r="AM209" s="1"/>
  <c r="AE161"/>
  <c r="AE85"/>
  <c r="AM401"/>
  <c r="AE452"/>
  <c r="AM452"/>
  <c r="AE596"/>
  <c r="AE188"/>
  <c r="AM188" s="1"/>
  <c r="AE619"/>
  <c r="AM619" s="1"/>
  <c r="AU147" i="6" l="1"/>
  <c r="AW147"/>
  <c r="AQ93"/>
  <c r="AU93"/>
  <c r="AW78"/>
  <c r="AQ78"/>
  <c r="AU78"/>
  <c r="AW76"/>
  <c r="AQ76"/>
  <c r="AU76"/>
  <c r="AW67"/>
  <c r="AU67"/>
  <c r="AW22"/>
  <c r="AU22"/>
  <c r="AS143"/>
  <c r="AS147"/>
  <c r="AU145"/>
  <c r="AW144"/>
  <c r="AW143"/>
  <c r="AS142"/>
  <c r="AS141"/>
  <c r="AS140"/>
  <c r="AS139"/>
  <c r="AS138"/>
  <c r="AS137"/>
  <c r="AS134"/>
  <c r="AS133"/>
  <c r="AW131"/>
  <c r="AW130"/>
  <c r="AS129"/>
  <c r="AS128"/>
  <c r="AU126"/>
  <c r="AW125"/>
  <c r="AS124"/>
  <c r="AW121"/>
  <c r="AW120"/>
  <c r="AW119"/>
  <c r="AS118"/>
  <c r="AW115"/>
  <c r="AW114"/>
  <c r="AW113"/>
  <c r="AW112"/>
  <c r="AW111"/>
  <c r="AW110"/>
  <c r="AW109"/>
  <c r="AW108"/>
  <c r="AW107"/>
  <c r="AW106"/>
  <c r="AW105"/>
  <c r="AW28"/>
  <c r="AW23"/>
  <c r="AQ104"/>
  <c r="AW104"/>
  <c r="AQ103"/>
  <c r="AW103"/>
  <c r="AQ102"/>
  <c r="AW102"/>
  <c r="AI100"/>
  <c r="AS100" s="1"/>
  <c r="AQ91"/>
  <c r="AW91"/>
  <c r="AQ90"/>
  <c r="AW90"/>
  <c r="AQ89"/>
  <c r="AW89"/>
  <c r="AQ88"/>
  <c r="AW88"/>
  <c r="AQ87"/>
  <c r="AW87"/>
  <c r="AQ86"/>
  <c r="AW86"/>
  <c r="AQ85"/>
  <c r="AW85"/>
  <c r="AQ84"/>
  <c r="AW84"/>
  <c r="AQ83"/>
  <c r="AW83"/>
  <c r="AQ82"/>
  <c r="AW82"/>
  <c r="AQ81"/>
  <c r="AW81"/>
  <c r="AW79"/>
  <c r="AQ79"/>
  <c r="AU79"/>
  <c r="AW77"/>
  <c r="AQ77"/>
  <c r="AU77"/>
  <c r="AW30"/>
  <c r="AM567" i="1"/>
  <c r="AM490"/>
  <c r="AM604" i="2"/>
  <c r="AM521"/>
  <c r="AM515"/>
  <c r="AM386"/>
  <c r="AM22"/>
  <c r="AU75" i="6"/>
  <c r="AQ75"/>
  <c r="AU74"/>
  <c r="AQ74"/>
  <c r="AU73"/>
  <c r="AQ73"/>
  <c r="AU72"/>
  <c r="AQ72"/>
  <c r="AU71"/>
  <c r="AQ71"/>
  <c r="AU70"/>
  <c r="AQ70"/>
  <c r="AU69"/>
  <c r="AQ69"/>
  <c r="AU68"/>
  <c r="AQ68"/>
  <c r="AS67"/>
  <c r="AS55"/>
  <c r="AS54"/>
  <c r="AS53"/>
  <c r="AS52"/>
  <c r="AS50"/>
  <c r="AS49"/>
  <c r="AU48"/>
  <c r="AW46"/>
  <c r="AW45"/>
  <c r="AW44"/>
  <c r="AW43"/>
  <c r="AW42"/>
  <c r="AW41"/>
  <c r="AW40"/>
  <c r="AW39"/>
  <c r="AW38"/>
  <c r="AW37"/>
  <c r="AW36"/>
  <c r="AW35"/>
  <c r="AW34"/>
  <c r="AW33"/>
  <c r="AW32"/>
  <c r="AS30"/>
  <c r="AS28"/>
  <c r="AW27"/>
  <c r="AW26"/>
  <c r="AS23"/>
  <c r="AS22"/>
  <c r="AU21"/>
  <c r="AW20"/>
  <c r="AW18"/>
  <c r="AW17"/>
  <c r="AW16"/>
  <c r="AU14"/>
  <c r="AQ14"/>
  <c r="AU12"/>
  <c r="AQ12"/>
  <c r="AM81" i="1"/>
  <c r="AM74"/>
  <c r="AM36"/>
  <c r="AM10"/>
  <c r="AM622" i="2"/>
  <c r="AM614"/>
  <c r="AM592"/>
  <c r="AM548"/>
  <c r="AM526"/>
  <c r="AM350"/>
  <c r="AI53" i="8"/>
  <c r="AM53" i="2" s="1"/>
  <c r="AI160" i="8"/>
  <c r="AM161" i="2" s="1"/>
  <c r="AI79" i="8"/>
  <c r="AM79" i="2" s="1"/>
  <c r="AM610"/>
  <c r="AI635" i="8"/>
  <c r="AM638" i="2" s="1"/>
  <c r="AI294" i="8"/>
  <c r="AM297" i="2" s="1"/>
  <c r="AI250" i="8"/>
  <c r="AM252" i="2" s="1"/>
  <c r="AI203" i="8"/>
  <c r="AM205" i="2" s="1"/>
  <c r="AI199" i="8"/>
  <c r="AM201" i="2" s="1"/>
  <c r="AI197" i="8"/>
  <c r="AM199" i="2" s="1"/>
  <c r="AK139" i="8"/>
  <c r="AI331"/>
  <c r="AM333" i="2" s="1"/>
  <c r="AM47" i="8"/>
  <c r="AI593"/>
  <c r="AM596" i="2" s="1"/>
  <c r="AI306" i="8"/>
  <c r="AM309" i="2" s="1"/>
  <c r="AI280" i="8"/>
  <c r="AM283" i="2" s="1"/>
  <c r="AI265" i="8"/>
  <c r="AM267" i="2" s="1"/>
  <c r="AI240" i="8"/>
  <c r="AM242" i="2" s="1"/>
  <c r="AI234" i="8"/>
  <c r="AM235" i="2" s="1"/>
  <c r="AI219" i="8"/>
  <c r="AM220" i="2" s="1"/>
  <c r="AI204" i="8"/>
  <c r="AM206" i="2" s="1"/>
  <c r="AI146" i="8"/>
  <c r="AM146" i="2" s="1"/>
  <c r="AI86" i="8"/>
  <c r="AM85" i="2" s="1"/>
  <c r="AI320" i="8"/>
  <c r="AM322" i="2" s="1"/>
  <c r="AI251" i="8"/>
  <c r="AM253" i="2" s="1"/>
  <c r="AI113" i="8"/>
  <c r="AM112" i="2" s="1"/>
  <c r="AI51" i="8"/>
  <c r="AM51" i="2" s="1"/>
  <c r="AI42" i="8"/>
  <c r="AM42" i="2" s="1"/>
  <c r="AW100" i="6" l="1"/>
  <c r="AU100"/>
</calcChain>
</file>

<file path=xl/sharedStrings.xml><?xml version="1.0" encoding="utf-8"?>
<sst xmlns="http://schemas.openxmlformats.org/spreadsheetml/2006/main" count="5668" uniqueCount="933">
  <si>
    <t>West Union</t>
  </si>
  <si>
    <t>Winchester</t>
  </si>
  <si>
    <t>Beaverdam</t>
  </si>
  <si>
    <t>Elida</t>
  </si>
  <si>
    <t>Harrod</t>
  </si>
  <si>
    <t>Lafayette</t>
  </si>
  <si>
    <t>Spencerville</t>
  </si>
  <si>
    <t>Hayesville</t>
  </si>
  <si>
    <t>Mifflin</t>
  </si>
  <si>
    <t>Amesville</t>
  </si>
  <si>
    <t>Glouster</t>
  </si>
  <si>
    <t>Buckland</t>
  </si>
  <si>
    <t>New Knoxville</t>
  </si>
  <si>
    <t>Uniopolis</t>
  </si>
  <si>
    <t>Waynesfield</t>
  </si>
  <si>
    <t>Bethesda</t>
  </si>
  <si>
    <t>Brookside</t>
  </si>
  <si>
    <t>Holloway</t>
  </si>
  <si>
    <t>Morristown</t>
  </si>
  <si>
    <t>Powhatan Point</t>
  </si>
  <si>
    <t>Shadyside</t>
  </si>
  <si>
    <t>Fayetteville</t>
  </si>
  <si>
    <t>Georgetown</t>
  </si>
  <si>
    <t>Hamersville</t>
  </si>
  <si>
    <t>Mt. Orab</t>
  </si>
  <si>
    <t>Sardinia</t>
  </si>
  <si>
    <t>Millville</t>
  </si>
  <si>
    <t>Seven Mile</t>
  </si>
  <si>
    <t>Dellroy</t>
  </si>
  <si>
    <t>Leesville</t>
  </si>
  <si>
    <t>Malvern</t>
  </si>
  <si>
    <t>Sherrodsville</t>
  </si>
  <si>
    <t>Christiansburg</t>
  </si>
  <si>
    <t>St. Paris</t>
  </si>
  <si>
    <t>Catawba</t>
  </si>
  <si>
    <t>South Vienna</t>
  </si>
  <si>
    <t>Amelia</t>
  </si>
  <si>
    <t>Neville</t>
  </si>
  <si>
    <t>New Richmond</t>
  </si>
  <si>
    <t>Owensville</t>
  </si>
  <si>
    <t>Williamsburg</t>
  </si>
  <si>
    <t>New Vienna</t>
  </si>
  <si>
    <t>Hanoverton</t>
  </si>
  <si>
    <t>Leetonia</t>
  </si>
  <si>
    <t>Lisbon</t>
  </si>
  <si>
    <t>Rogers</t>
  </si>
  <si>
    <t>Salineville</t>
  </si>
  <si>
    <t>Summitville</t>
  </si>
  <si>
    <t>Washingtonville</t>
  </si>
  <si>
    <t>Glenwillow</t>
  </si>
  <si>
    <t>Walton Hills</t>
  </si>
  <si>
    <t>Castine</t>
  </si>
  <si>
    <t>Gettysburg</t>
  </si>
  <si>
    <t>New Madison</t>
  </si>
  <si>
    <t>Pitsburg</t>
  </si>
  <si>
    <t>Ney</t>
  </si>
  <si>
    <t>Sherwood</t>
  </si>
  <si>
    <t>Galena</t>
  </si>
  <si>
    <t>Bay View</t>
  </si>
  <si>
    <t>Berlin Heights</t>
  </si>
  <si>
    <t>Castalia</t>
  </si>
  <si>
    <t>Bremen</t>
  </si>
  <si>
    <t>Carroll</t>
  </si>
  <si>
    <t>Millersport</t>
  </si>
  <si>
    <t>Pleasantville</t>
  </si>
  <si>
    <t>Rushville</t>
  </si>
  <si>
    <t>Sugar Grove</t>
  </si>
  <si>
    <t>Thurston</t>
  </si>
  <si>
    <t>Bloomingburg</t>
  </si>
  <si>
    <t>Jeffersonville</t>
  </si>
  <si>
    <t>Milledgeville</t>
  </si>
  <si>
    <t>Octa</t>
  </si>
  <si>
    <t>Brice</t>
  </si>
  <si>
    <t>Marble Cliff</t>
  </si>
  <si>
    <t>Minerva Park</t>
  </si>
  <si>
    <t>Obetz</t>
  </si>
  <si>
    <t>Urbancrest</t>
  </si>
  <si>
    <t>Valleyview</t>
  </si>
  <si>
    <t>Lyons</t>
  </si>
  <si>
    <t>Cheshire</t>
  </si>
  <si>
    <t>Crown City</t>
  </si>
  <si>
    <t>Rio Grande</t>
  </si>
  <si>
    <t>Vinton</t>
  </si>
  <si>
    <t>Bowersville</t>
  </si>
  <si>
    <t>Jamestown</t>
  </si>
  <si>
    <t>Spring Valley</t>
  </si>
  <si>
    <t>Byesville</t>
  </si>
  <si>
    <t>Cumberland</t>
  </si>
  <si>
    <t>Lore City</t>
  </si>
  <si>
    <t>Quaker City</t>
  </si>
  <si>
    <t>Senecaville</t>
  </si>
  <si>
    <t>Addyston</t>
  </si>
  <si>
    <t>Elmwood Place</t>
  </si>
  <si>
    <t>Fairfax</t>
  </si>
  <si>
    <t>Greenhills</t>
  </si>
  <si>
    <t>Lockland</t>
  </si>
  <si>
    <t>Newtown</t>
  </si>
  <si>
    <t>North Bend</t>
  </si>
  <si>
    <t>Arlington</t>
  </si>
  <si>
    <t>Mount Victory</t>
  </si>
  <si>
    <t>Cadiz</t>
  </si>
  <si>
    <t>Hopedale</t>
  </si>
  <si>
    <t>Jewett</t>
  </si>
  <si>
    <t>New Athens</t>
  </si>
  <si>
    <t>Deshler</t>
  </si>
  <si>
    <t>Florida</t>
  </si>
  <si>
    <t>Liberty Center</t>
  </si>
  <si>
    <t>Malinta</t>
  </si>
  <si>
    <t>Mcclure</t>
  </si>
  <si>
    <t>New Bavaria</t>
  </si>
  <si>
    <t>Lynchburg</t>
  </si>
  <si>
    <t>Laurelville</t>
  </si>
  <si>
    <t>Murray City</t>
  </si>
  <si>
    <t>Greenwich</t>
  </si>
  <si>
    <t>Oak Hill</t>
  </si>
  <si>
    <t>Bloomingdale</t>
  </si>
  <si>
    <t>Dillonvale</t>
  </si>
  <si>
    <t>Empire</t>
  </si>
  <si>
    <t>Irondale</t>
  </si>
  <si>
    <t>Richmond</t>
  </si>
  <si>
    <t>Tiltonsville</t>
  </si>
  <si>
    <t>Centerburg</t>
  </si>
  <si>
    <t>Gann</t>
  </si>
  <si>
    <t>Martinsburg</t>
  </si>
  <si>
    <t>North Perry</t>
  </si>
  <si>
    <t>Coal Grove</t>
  </si>
  <si>
    <t>Hanging Rock</t>
  </si>
  <si>
    <t>Proctorville</t>
  </si>
  <si>
    <t>South Point</t>
  </si>
  <si>
    <t>Alexandria</t>
  </si>
  <si>
    <t>Buckeye Lake</t>
  </si>
  <si>
    <t>Johnstown</t>
  </si>
  <si>
    <t>Belle Center</t>
  </si>
  <si>
    <t>Huntsville</t>
  </si>
  <si>
    <t>Quincy</t>
  </si>
  <si>
    <t>West Liberty</t>
  </si>
  <si>
    <t>Kipton</t>
  </si>
  <si>
    <t>Lagrange</t>
  </si>
  <si>
    <t>Rochester</t>
  </si>
  <si>
    <t>Berkey</t>
  </si>
  <si>
    <t>Harbor View</t>
  </si>
  <si>
    <t>Mount Sterling</t>
  </si>
  <si>
    <t>South Solon</t>
  </si>
  <si>
    <t>Beloit</t>
  </si>
  <si>
    <t>Craig Beach</t>
  </si>
  <si>
    <t>New Middleton</t>
  </si>
  <si>
    <t>Poland</t>
  </si>
  <si>
    <t>Caledonia</t>
  </si>
  <si>
    <t>Green Camp</t>
  </si>
  <si>
    <t>New Bloomington</t>
  </si>
  <si>
    <t>Prospect</t>
  </si>
  <si>
    <t>Waldo</t>
  </si>
  <si>
    <t>Chippewa Lake</t>
  </si>
  <si>
    <t>Gloria Glens Park</t>
  </si>
  <si>
    <t>Seville</t>
  </si>
  <si>
    <t>Westfield Cente</t>
  </si>
  <si>
    <t>Middleport</t>
  </si>
  <si>
    <t>Pomeroy</t>
  </si>
  <si>
    <t>Racine</t>
  </si>
  <si>
    <t>Syracuse</t>
  </si>
  <si>
    <t>Montezuma</t>
  </si>
  <si>
    <t>Saint Henry</t>
  </si>
  <si>
    <t>Laura</t>
  </si>
  <si>
    <t>Pleasant Hill</t>
  </si>
  <si>
    <t>Beallsville</t>
  </si>
  <si>
    <t>Lewisville</t>
  </si>
  <si>
    <t>Woodsfield</t>
  </si>
  <si>
    <t>Farmersville</t>
  </si>
  <si>
    <t>Mcconnelsville</t>
  </si>
  <si>
    <t>Stockport</t>
  </si>
  <si>
    <t>Cardington</t>
  </si>
  <si>
    <t>Chesterville</t>
  </si>
  <si>
    <t>Edison</t>
  </si>
  <si>
    <t>Marengo</t>
  </si>
  <si>
    <t>Dresden</t>
  </si>
  <si>
    <t>Frazeysburg</t>
  </si>
  <si>
    <t>Norwich</t>
  </si>
  <si>
    <t>Caldwell</t>
  </si>
  <si>
    <t>Summerfield</t>
  </si>
  <si>
    <t>Clay Center</t>
  </si>
  <si>
    <t>Elmore</t>
  </si>
  <si>
    <t>Put-In-Bay</t>
  </si>
  <si>
    <t>Cecil</t>
  </si>
  <si>
    <t>Haviland</t>
  </si>
  <si>
    <t>Latty</t>
  </si>
  <si>
    <t>Melrose</t>
  </si>
  <si>
    <t>Corning</t>
  </si>
  <si>
    <t>Shawnee</t>
  </si>
  <si>
    <t>Commercial Poin</t>
  </si>
  <si>
    <t>New Holland</t>
  </si>
  <si>
    <t>Orient</t>
  </si>
  <si>
    <t>Tarlton</t>
  </si>
  <si>
    <t>Williamsport</t>
  </si>
  <si>
    <t>Beaver</t>
  </si>
  <si>
    <t>Hiram</t>
  </si>
  <si>
    <t>Mantua</t>
  </si>
  <si>
    <t>Sugar Bush Knolls</t>
  </si>
  <si>
    <t>Windham</t>
  </si>
  <si>
    <t>Camden</t>
  </si>
  <si>
    <t>College Corner</t>
  </si>
  <si>
    <t>Eldorado</t>
  </si>
  <si>
    <t>Gratis</t>
  </si>
  <si>
    <t>Continental</t>
  </si>
  <si>
    <t>Dupont</t>
  </si>
  <si>
    <t>Fort Jennings</t>
  </si>
  <si>
    <t>Gilboa</t>
  </si>
  <si>
    <t>Miller City</t>
  </si>
  <si>
    <t>Ottawa</t>
  </si>
  <si>
    <t>Bellville</t>
  </si>
  <si>
    <t>Plymouth</t>
  </si>
  <si>
    <t>Adelphi</t>
  </si>
  <si>
    <t>Clarksburg</t>
  </si>
  <si>
    <t>Frankfort</t>
  </si>
  <si>
    <t>Kingston</t>
  </si>
  <si>
    <t>Helena</t>
  </si>
  <si>
    <t>Lindsey</t>
  </si>
  <si>
    <t>Otway</t>
  </si>
  <si>
    <t>South Webster</t>
  </si>
  <si>
    <t>Attica</t>
  </si>
  <si>
    <t>Green Springs</t>
  </si>
  <si>
    <t>New Riegel</t>
  </si>
  <si>
    <t>Anna</t>
  </si>
  <si>
    <t>Fort Loramie</t>
  </si>
  <si>
    <t>Jackson Center</t>
  </si>
  <si>
    <t>East Sparta</t>
  </si>
  <si>
    <t>Hills And Dales</t>
  </si>
  <si>
    <t>Limaville</t>
  </si>
  <si>
    <t>Meyers Lake</t>
  </si>
  <si>
    <t>Reminderville</t>
  </si>
  <si>
    <t>Orangeville</t>
  </si>
  <si>
    <t>West Farmington</t>
  </si>
  <si>
    <t>Yankee Lake</t>
  </si>
  <si>
    <t>Dennison</t>
  </si>
  <si>
    <t>Midvale</t>
  </si>
  <si>
    <t>Mineral City</t>
  </si>
  <si>
    <t>Zoar</t>
  </si>
  <si>
    <t>Magnetic Springs</t>
  </si>
  <si>
    <t>Milford Center</t>
  </si>
  <si>
    <t>Richwood</t>
  </si>
  <si>
    <t>Convoy</t>
  </si>
  <si>
    <t>Wren</t>
  </si>
  <si>
    <t>Butlerville</t>
  </si>
  <si>
    <t>Maineville</t>
  </si>
  <si>
    <t>Morrow</t>
  </si>
  <si>
    <t>Pleasant Plain</t>
  </si>
  <si>
    <t>Lowell</t>
  </si>
  <si>
    <t>Lower Salem</t>
  </si>
  <si>
    <t>Matamoras</t>
  </si>
  <si>
    <t>Burbank</t>
  </si>
  <si>
    <t>Mount Eaton</t>
  </si>
  <si>
    <t>West Salem</t>
  </si>
  <si>
    <t>Alvordton</t>
  </si>
  <si>
    <t>Blakeslee</t>
  </si>
  <si>
    <t>Edon</t>
  </si>
  <si>
    <t>Custar</t>
  </si>
  <si>
    <t>Grand Rapids</t>
  </si>
  <si>
    <t>Haskins</t>
  </si>
  <si>
    <t>Hoytville</t>
  </si>
  <si>
    <t>Millbury</t>
  </si>
  <si>
    <t>Portage</t>
  </si>
  <si>
    <t>Risingsun</t>
  </si>
  <si>
    <t>Walbridge</t>
  </si>
  <si>
    <t>West Millgrove</t>
  </si>
  <si>
    <t>Weston</t>
  </si>
  <si>
    <t>Harpster</t>
  </si>
  <si>
    <t>Kirby</t>
  </si>
  <si>
    <t>Sycamore</t>
  </si>
  <si>
    <t>Holiday City</t>
  </si>
  <si>
    <t>South Bloomfield</t>
  </si>
  <si>
    <t>Geneva On The Lake</t>
  </si>
  <si>
    <t>Albany</t>
  </si>
  <si>
    <t>Athens</t>
  </si>
  <si>
    <t>Buchtel</t>
  </si>
  <si>
    <t>Chauncey</t>
  </si>
  <si>
    <t>Cridersville</t>
  </si>
  <si>
    <t>Auglaize</t>
  </si>
  <si>
    <t>Minster</t>
  </si>
  <si>
    <t>New Bremen</t>
  </si>
  <si>
    <t>Barnesville</t>
  </si>
  <si>
    <t>Belmont</t>
  </si>
  <si>
    <t>Bellaire</t>
  </si>
  <si>
    <t>Bridgeport</t>
  </si>
  <si>
    <t>Aberdeen</t>
  </si>
  <si>
    <t>Brown</t>
  </si>
  <si>
    <t>Ripley</t>
  </si>
  <si>
    <t>Carrollton</t>
  </si>
  <si>
    <t>Mechanicsburg</t>
  </si>
  <si>
    <t>Champaign</t>
  </si>
  <si>
    <t>Mutual</t>
  </si>
  <si>
    <t>North Lewisburg</t>
  </si>
  <si>
    <t>Woodstock</t>
  </si>
  <si>
    <t>Enon</t>
  </si>
  <si>
    <t>Clark</t>
  </si>
  <si>
    <t>North Hampton</t>
  </si>
  <si>
    <t>Batavia</t>
  </si>
  <si>
    <t>Clermont</t>
  </si>
  <si>
    <t>Bethel</t>
  </si>
  <si>
    <t>Felicity</t>
  </si>
  <si>
    <t>Moscow</t>
  </si>
  <si>
    <t>Clinton</t>
  </si>
  <si>
    <t>Clarksville</t>
  </si>
  <si>
    <t>Martinsville</t>
  </si>
  <si>
    <t>McArthur</t>
  </si>
  <si>
    <t>Port William</t>
  </si>
  <si>
    <t>Sabina</t>
  </si>
  <si>
    <t>Columbiana</t>
  </si>
  <si>
    <t>Wellsville</t>
  </si>
  <si>
    <t>Conesville</t>
  </si>
  <si>
    <t>Coshocton</t>
  </si>
  <si>
    <t>Nellie</t>
  </si>
  <si>
    <t>West Lafayette</t>
  </si>
  <si>
    <t>Chatfield</t>
  </si>
  <si>
    <t>Crawford</t>
  </si>
  <si>
    <t>New Washington</t>
  </si>
  <si>
    <t>North Robinson</t>
  </si>
  <si>
    <t>Bentleyville</t>
  </si>
  <si>
    <t>Cuyahoga</t>
  </si>
  <si>
    <t>Bratenahl</t>
  </si>
  <si>
    <t>Brooklyn Heights</t>
  </si>
  <si>
    <t>Chagrin Falls</t>
  </si>
  <si>
    <t>Gates Mills</t>
  </si>
  <si>
    <t>Hunting Valley</t>
  </si>
  <si>
    <t>Mayfield</t>
  </si>
  <si>
    <t>Moreland Hills</t>
  </si>
  <si>
    <t>Newburgh Heights</t>
  </si>
  <si>
    <t>Oakwood</t>
  </si>
  <si>
    <t>Valley View</t>
  </si>
  <si>
    <t>Woodmere</t>
  </si>
  <si>
    <t>Ansonia</t>
  </si>
  <si>
    <t>Darke</t>
  </si>
  <si>
    <t>Arcanum</t>
  </si>
  <si>
    <t>Gordon</t>
  </si>
  <si>
    <t>Hollansburg</t>
  </si>
  <si>
    <t>New Weston</t>
  </si>
  <si>
    <t xml:space="preserve">North Star </t>
  </si>
  <si>
    <t>Osgood</t>
  </si>
  <si>
    <t>Rossburg</t>
  </si>
  <si>
    <t>Union City</t>
  </si>
  <si>
    <t>Versailles</t>
  </si>
  <si>
    <t>Wayne Lakes</t>
  </si>
  <si>
    <t>Yorkshire</t>
  </si>
  <si>
    <t>Hicksville</t>
  </si>
  <si>
    <t>Defiance</t>
  </si>
  <si>
    <t>Delaware</t>
  </si>
  <si>
    <t>Ostrander</t>
  </si>
  <si>
    <t>Shawnee Hills</t>
  </si>
  <si>
    <t>Sunbury</t>
  </si>
  <si>
    <t>Milan</t>
  </si>
  <si>
    <t>Erie</t>
  </si>
  <si>
    <t>Baltimore</t>
  </si>
  <si>
    <t>Fairfield</t>
  </si>
  <si>
    <t>West Rushville</t>
  </si>
  <si>
    <t>Canal Winchester</t>
  </si>
  <si>
    <t>Franklin</t>
  </si>
  <si>
    <t>Groveport</t>
  </si>
  <si>
    <t>New Albany</t>
  </si>
  <si>
    <t>Riverlea</t>
  </si>
  <si>
    <t>Archbold</t>
  </si>
  <si>
    <t>Fulton</t>
  </si>
  <si>
    <t>Delta</t>
  </si>
  <si>
    <t>Fayette</t>
  </si>
  <si>
    <t>Metamora</t>
  </si>
  <si>
    <t>Swanton</t>
  </si>
  <si>
    <t>Gallipolis</t>
  </si>
  <si>
    <t>Gallia</t>
  </si>
  <si>
    <t>Hamden</t>
  </si>
  <si>
    <t>Geagua</t>
  </si>
  <si>
    <t>Middlefield</t>
  </si>
  <si>
    <t>Geauga</t>
  </si>
  <si>
    <t>South Russell</t>
  </si>
  <si>
    <t>Cedarville</t>
  </si>
  <si>
    <t>Greene</t>
  </si>
  <si>
    <t>Clifton</t>
  </si>
  <si>
    <t>Greene/Clark</t>
  </si>
  <si>
    <t>Yellow Springs</t>
  </si>
  <si>
    <t>Guernsey</t>
  </si>
  <si>
    <t>Pleasant City</t>
  </si>
  <si>
    <t>Amberley</t>
  </si>
  <si>
    <t>Hamilton</t>
  </si>
  <si>
    <t>Arlington Heights</t>
  </si>
  <si>
    <t>Evendale</t>
  </si>
  <si>
    <t>Glendale</t>
  </si>
  <si>
    <t>Golf Manor</t>
  </si>
  <si>
    <t>Lincoln Heights</t>
  </si>
  <si>
    <t>Mariemont</t>
  </si>
  <si>
    <t>Terrace Park</t>
  </si>
  <si>
    <t>Woodlawn</t>
  </si>
  <si>
    <t>Arcadia</t>
  </si>
  <si>
    <t>Hancock</t>
  </si>
  <si>
    <t>McComb</t>
  </si>
  <si>
    <t>Mt. Blanchard</t>
  </si>
  <si>
    <t>Mt. Cory</t>
  </si>
  <si>
    <t>Rawson</t>
  </si>
  <si>
    <t>Van Buren</t>
  </si>
  <si>
    <t>Vanlue</t>
  </si>
  <si>
    <t>Ada</t>
  </si>
  <si>
    <t>Hardin</t>
  </si>
  <si>
    <t>Dunkirk</t>
  </si>
  <si>
    <t>Forest</t>
  </si>
  <si>
    <t>Mcguffey</t>
  </si>
  <si>
    <t>Patterson</t>
  </si>
  <si>
    <t>Ridgeway</t>
  </si>
  <si>
    <t>Bowerston</t>
  </si>
  <si>
    <t>Harrison</t>
  </si>
  <si>
    <t>Deersville</t>
  </si>
  <si>
    <t>Freeport</t>
  </si>
  <si>
    <t>Scio</t>
  </si>
  <si>
    <t>Henry</t>
  </si>
  <si>
    <t>Holgate</t>
  </si>
  <si>
    <t>Highland</t>
  </si>
  <si>
    <t>Mowrystown</t>
  </si>
  <si>
    <t>Sinking Spring</t>
  </si>
  <si>
    <t>Holmes</t>
  </si>
  <si>
    <t>Holmesville</t>
  </si>
  <si>
    <t>Millersburg</t>
  </si>
  <si>
    <t>Monroeville</t>
  </si>
  <si>
    <t>Huron</t>
  </si>
  <si>
    <t>New London</t>
  </si>
  <si>
    <t>North Fairfield</t>
  </si>
  <si>
    <t>Wakeman</t>
  </si>
  <si>
    <t>Jefferson</t>
  </si>
  <si>
    <t>Amsterdam</t>
  </si>
  <si>
    <t>Bergholz</t>
  </si>
  <si>
    <t>Mingo Junction</t>
  </si>
  <si>
    <t>Stratton</t>
  </si>
  <si>
    <t>Yorkville</t>
  </si>
  <si>
    <t>Danville</t>
  </si>
  <si>
    <t>Knox</t>
  </si>
  <si>
    <t>Fredericktown</t>
  </si>
  <si>
    <t>Fairport Harbor</t>
  </si>
  <si>
    <t>Lake</t>
  </si>
  <si>
    <t>Grand River</t>
  </si>
  <si>
    <t>Madison</t>
  </si>
  <si>
    <t xml:space="preserve">Perry </t>
  </si>
  <si>
    <t>Timberlake</t>
  </si>
  <si>
    <t>Waite Hill</t>
  </si>
  <si>
    <t>Chesapeake</t>
  </si>
  <si>
    <t>Lawrence</t>
  </si>
  <si>
    <t>Granville</t>
  </si>
  <si>
    <t>Licking</t>
  </si>
  <si>
    <t>Gratiot</t>
  </si>
  <si>
    <t>Handover</t>
  </si>
  <si>
    <t>Hartford</t>
  </si>
  <si>
    <t>Hebron</t>
  </si>
  <si>
    <t>St. Louisville</t>
  </si>
  <si>
    <t>Utica</t>
  </si>
  <si>
    <t>DeGraff</t>
  </si>
  <si>
    <t>Logan</t>
  </si>
  <si>
    <t>Russells Point</t>
  </si>
  <si>
    <t>Valley Hi</t>
  </si>
  <si>
    <t>Zanesfield</t>
  </si>
  <si>
    <t>Grafton</t>
  </si>
  <si>
    <t>Lorain</t>
  </si>
  <si>
    <t>Sheffield</t>
  </si>
  <si>
    <t>Wellington</t>
  </si>
  <si>
    <t>Holland</t>
  </si>
  <si>
    <t>Lucas</t>
  </si>
  <si>
    <t>Ottawa Hills</t>
  </si>
  <si>
    <t>Waterville</t>
  </si>
  <si>
    <t>Whitehouse</t>
  </si>
  <si>
    <t>Midway</t>
  </si>
  <si>
    <t>Plain City</t>
  </si>
  <si>
    <t>Sebring</t>
  </si>
  <si>
    <t>Mahoning</t>
  </si>
  <si>
    <t>Marion</t>
  </si>
  <si>
    <t>Lodi</t>
  </si>
  <si>
    <t>Medina</t>
  </si>
  <si>
    <t>Meigs</t>
  </si>
  <si>
    <t>Burkettsville</t>
  </si>
  <si>
    <t>Mercer</t>
  </si>
  <si>
    <t>Fort Recovery</t>
  </si>
  <si>
    <t>Rockford</t>
  </si>
  <si>
    <t>Bradford</t>
  </si>
  <si>
    <t>Miami</t>
  </si>
  <si>
    <t>Potsdam</t>
  </si>
  <si>
    <t>West Milton</t>
  </si>
  <si>
    <t>Antioch</t>
  </si>
  <si>
    <t>Monroe</t>
  </si>
  <si>
    <t>Graysville</t>
  </si>
  <si>
    <t>Miltonsburg</t>
  </si>
  <si>
    <t>Stafford</t>
  </si>
  <si>
    <t>Wilson</t>
  </si>
  <si>
    <t>Montgomery</t>
  </si>
  <si>
    <t>Germantown</t>
  </si>
  <si>
    <t>New Lebanon</t>
  </si>
  <si>
    <t>Phillipsburg</t>
  </si>
  <si>
    <t>Mt. Giliad</t>
  </si>
  <si>
    <t>Adamsville</t>
  </si>
  <si>
    <t>Muskingum</t>
  </si>
  <si>
    <t>Fultonham</t>
  </si>
  <si>
    <t>New Concord</t>
  </si>
  <si>
    <t>Philo</t>
  </si>
  <si>
    <t>Roseville</t>
  </si>
  <si>
    <t>Batesville</t>
  </si>
  <si>
    <t>Noble</t>
  </si>
  <si>
    <t>Belle Valley</t>
  </si>
  <si>
    <t>Dexter City</t>
  </si>
  <si>
    <t>Genoa</t>
  </si>
  <si>
    <t>Oak Harbor</t>
  </si>
  <si>
    <t>Antwerp</t>
  </si>
  <si>
    <t>Paulding</t>
  </si>
  <si>
    <t>Broughton</t>
  </si>
  <si>
    <t>Payne</t>
  </si>
  <si>
    <t>Crooksville</t>
  </si>
  <si>
    <t>Perry</t>
  </si>
  <si>
    <t>Glenford</t>
  </si>
  <si>
    <t>Somerset</t>
  </si>
  <si>
    <t>Thornville</t>
  </si>
  <si>
    <t>Pickaway</t>
  </si>
  <si>
    <t>Piketon</t>
  </si>
  <si>
    <t>Pike</t>
  </si>
  <si>
    <t>Garrettsville</t>
  </si>
  <si>
    <t>Lewisburg</t>
  </si>
  <si>
    <t>Preble</t>
  </si>
  <si>
    <t>New Paris</t>
  </si>
  <si>
    <t>Verona</t>
  </si>
  <si>
    <t>West Alexandria</t>
  </si>
  <si>
    <t>Putnam</t>
  </si>
  <si>
    <t>Columbus Grove</t>
  </si>
  <si>
    <t>Glandorf</t>
  </si>
  <si>
    <t>Ottoville</t>
  </si>
  <si>
    <t>Pandora</t>
  </si>
  <si>
    <t>Butler</t>
  </si>
  <si>
    <t>Richland</t>
  </si>
  <si>
    <t>Lexington</t>
  </si>
  <si>
    <t xml:space="preserve">Lexington </t>
  </si>
  <si>
    <t>Shiloh</t>
  </si>
  <si>
    <t>South Salem</t>
  </si>
  <si>
    <t>Ross</t>
  </si>
  <si>
    <t>Burgoon</t>
  </si>
  <si>
    <t>Sandusky</t>
  </si>
  <si>
    <t>Gibsonburg</t>
  </si>
  <si>
    <t>Woodville</t>
  </si>
  <si>
    <t>New Boston</t>
  </si>
  <si>
    <t>Scioto</t>
  </si>
  <si>
    <t>Rarden</t>
  </si>
  <si>
    <t>Bettsville</t>
  </si>
  <si>
    <t>Seneca</t>
  </si>
  <si>
    <t>Bloomville</t>
  </si>
  <si>
    <t>Republic</t>
  </si>
  <si>
    <t>Botkins</t>
  </si>
  <si>
    <t>Shelby</t>
  </si>
  <si>
    <t xml:space="preserve">Lockington </t>
  </si>
  <si>
    <t>Russia</t>
  </si>
  <si>
    <t>Beach</t>
  </si>
  <si>
    <t>Stark</t>
  </si>
  <si>
    <t>Brewster</t>
  </si>
  <si>
    <t>East Canton</t>
  </si>
  <si>
    <t>Hartville</t>
  </si>
  <si>
    <t>Magnolia</t>
  </si>
  <si>
    <t xml:space="preserve">Minerva  </t>
  </si>
  <si>
    <t>Navarre</t>
  </si>
  <si>
    <t>Waynesburg</t>
  </si>
  <si>
    <t>Boston Heights</t>
  </si>
  <si>
    <t>Summit</t>
  </si>
  <si>
    <t>Mogadore</t>
  </si>
  <si>
    <t>Northfield</t>
  </si>
  <si>
    <t>Peninsula</t>
  </si>
  <si>
    <t>Richfield</t>
  </si>
  <si>
    <t>Silver Lake</t>
  </si>
  <si>
    <t>Lordstown</t>
  </si>
  <si>
    <t>Trumbell</t>
  </si>
  <si>
    <t>Trumbull</t>
  </si>
  <si>
    <t>McDonald</t>
  </si>
  <si>
    <t>Baltic</t>
  </si>
  <si>
    <t>Tuscarawas</t>
  </si>
  <si>
    <t>Barnhill</t>
  </si>
  <si>
    <t>Bolivar</t>
  </si>
  <si>
    <t>Gnadenhutten</t>
  </si>
  <si>
    <t>Newcomerstown</t>
  </si>
  <si>
    <t>Parral</t>
  </si>
  <si>
    <t>Stone Creek</t>
  </si>
  <si>
    <t>Strasburg</t>
  </si>
  <si>
    <t>Sugarcreek</t>
  </si>
  <si>
    <t>Unionville Center</t>
  </si>
  <si>
    <t>Union</t>
  </si>
  <si>
    <t>Elgin</t>
  </si>
  <si>
    <t>Van Wert</t>
  </si>
  <si>
    <t xml:space="preserve">Ohio City </t>
  </si>
  <si>
    <t>Scott</t>
  </si>
  <si>
    <t>Venedocia</t>
  </si>
  <si>
    <t>Willshire</t>
  </si>
  <si>
    <t>Wilkesville</t>
  </si>
  <si>
    <t>Zaleski</t>
  </si>
  <si>
    <t>Corwin</t>
  </si>
  <si>
    <t>Harveysburg</t>
  </si>
  <si>
    <t>Warren</t>
  </si>
  <si>
    <t>South Lebanon</t>
  </si>
  <si>
    <t>Waynesville</t>
  </si>
  <si>
    <t>Beverly</t>
  </si>
  <si>
    <t>Washington</t>
  </si>
  <si>
    <t>Marksburg</t>
  </si>
  <si>
    <t>Apple Creek</t>
  </si>
  <si>
    <t>Wayne</t>
  </si>
  <si>
    <t>Creston</t>
  </si>
  <si>
    <t>Wayne/Medina</t>
  </si>
  <si>
    <t>Dalton</t>
  </si>
  <si>
    <t>Doylestown</t>
  </si>
  <si>
    <t>Fredericksburg</t>
  </si>
  <si>
    <t>Smithville</t>
  </si>
  <si>
    <t>Edgerton</t>
  </si>
  <si>
    <t>Williams</t>
  </si>
  <si>
    <t>Montpelier</t>
  </si>
  <si>
    <t>Stryker</t>
  </si>
  <si>
    <t>West Unity</t>
  </si>
  <si>
    <t>Bairdstown</t>
  </si>
  <si>
    <t>Wood</t>
  </si>
  <si>
    <t>Bloomdale</t>
  </si>
  <si>
    <t>Bradner</t>
  </si>
  <si>
    <t>Luckey</t>
  </si>
  <si>
    <t>North Baltimore</t>
  </si>
  <si>
    <t>Pemberville</t>
  </si>
  <si>
    <t>Tontogany</t>
  </si>
  <si>
    <t>Carey</t>
  </si>
  <si>
    <t>Wyandot</t>
  </si>
  <si>
    <t>Nevada</t>
  </si>
  <si>
    <t>Miscellaneous</t>
  </si>
  <si>
    <t>Transportation</t>
  </si>
  <si>
    <t>Transfers-In</t>
  </si>
  <si>
    <t>Transfers-Out</t>
  </si>
  <si>
    <t>Villages</t>
  </si>
  <si>
    <t/>
  </si>
  <si>
    <t xml:space="preserve">Property </t>
  </si>
  <si>
    <t>and Other</t>
  </si>
  <si>
    <t xml:space="preserve"> Local Taxes</t>
  </si>
  <si>
    <t xml:space="preserve">Municipal </t>
  </si>
  <si>
    <t>Income Tax</t>
  </si>
  <si>
    <t>Intergovern-</t>
  </si>
  <si>
    <t>mental</t>
  </si>
  <si>
    <t xml:space="preserve">Special </t>
  </si>
  <si>
    <t>Assessments</t>
  </si>
  <si>
    <t>Charges for</t>
  </si>
  <si>
    <t>Services</t>
  </si>
  <si>
    <t xml:space="preserve">Fines, </t>
  </si>
  <si>
    <t>Licenses</t>
  </si>
  <si>
    <t>and Permits</t>
  </si>
  <si>
    <t>Earnings on</t>
  </si>
  <si>
    <t>Investments</t>
  </si>
  <si>
    <t xml:space="preserve">Sale of </t>
  </si>
  <si>
    <t>Fixed Assets</t>
  </si>
  <si>
    <t>Advances-In</t>
  </si>
  <si>
    <t xml:space="preserve">Other </t>
  </si>
  <si>
    <t>Financing</t>
  </si>
  <si>
    <t>Sources</t>
  </si>
  <si>
    <t xml:space="preserve">Security of </t>
  </si>
  <si>
    <t>Persons and</t>
  </si>
  <si>
    <t xml:space="preserve"> Property</t>
  </si>
  <si>
    <t>Public Health</t>
  </si>
  <si>
    <t xml:space="preserve"> Services</t>
  </si>
  <si>
    <t>Leisure Time</t>
  </si>
  <si>
    <t xml:space="preserve"> Activities</t>
  </si>
  <si>
    <t>Community</t>
  </si>
  <si>
    <t xml:space="preserve"> Environment</t>
  </si>
  <si>
    <t xml:space="preserve">Basic Utility </t>
  </si>
  <si>
    <t>General</t>
  </si>
  <si>
    <t xml:space="preserve"> Government</t>
  </si>
  <si>
    <t xml:space="preserve">Capital </t>
  </si>
  <si>
    <t>Outlay</t>
  </si>
  <si>
    <t>Redemption</t>
  </si>
  <si>
    <t xml:space="preserve"> of Principal</t>
  </si>
  <si>
    <t>Interest and</t>
  </si>
  <si>
    <t xml:space="preserve"> Other Fiscal</t>
  </si>
  <si>
    <t xml:space="preserve"> Charges</t>
  </si>
  <si>
    <t>Advances-Out</t>
  </si>
  <si>
    <t>Uses</t>
  </si>
  <si>
    <t>Adams</t>
  </si>
  <si>
    <t>Cherry Fork</t>
  </si>
  <si>
    <t xml:space="preserve">Adams </t>
  </si>
  <si>
    <t>Cloverdale</t>
  </si>
  <si>
    <t xml:space="preserve">Jackson </t>
  </si>
  <si>
    <t>Coalton</t>
  </si>
  <si>
    <t>Amanda</t>
  </si>
  <si>
    <t xml:space="preserve">Ashland </t>
  </si>
  <si>
    <t>Bailey Lakes</t>
  </si>
  <si>
    <t>Disbursements</t>
  </si>
  <si>
    <t>Receipts</t>
  </si>
  <si>
    <t>Roaming Shores</t>
  </si>
  <si>
    <t>Ashtabula</t>
  </si>
  <si>
    <t>Rock Creek</t>
  </si>
  <si>
    <t>Savannah</t>
  </si>
  <si>
    <t>Seaman</t>
  </si>
  <si>
    <t>Orwell</t>
  </si>
  <si>
    <t>Peebles</t>
  </si>
  <si>
    <t>Perrysville</t>
  </si>
  <si>
    <t>Polk</t>
  </si>
  <si>
    <t>Port Washington</t>
  </si>
  <si>
    <t>Marshallville</t>
  </si>
  <si>
    <t>Milton Center</t>
  </si>
  <si>
    <t>Bluffton</t>
  </si>
  <si>
    <t xml:space="preserve">Allen   </t>
  </si>
  <si>
    <t>Burton</t>
  </si>
  <si>
    <t>Newtonville</t>
  </si>
  <si>
    <t>North Kingsville</t>
  </si>
  <si>
    <t>Grower Hill</t>
  </si>
  <si>
    <t>Hamend</t>
  </si>
  <si>
    <t>Ithaca</t>
  </si>
  <si>
    <t xml:space="preserve">Butler    </t>
  </si>
  <si>
    <t>Jacksonburg</t>
  </si>
  <si>
    <t xml:space="preserve">Jefferson  </t>
  </si>
  <si>
    <t>Jenera</t>
  </si>
  <si>
    <t>Jeromesville</t>
  </si>
  <si>
    <t>Jerry City</t>
  </si>
  <si>
    <t>Junction City</t>
  </si>
  <si>
    <t>Kelley's Island</t>
  </si>
  <si>
    <t>Kettersville</t>
  </si>
  <si>
    <t>Kirkersville</t>
  </si>
  <si>
    <t>Kirkland Hills</t>
  </si>
  <si>
    <t>Lakeview</t>
  </si>
  <si>
    <t>Lakeline</t>
  </si>
  <si>
    <t>LaRue</t>
  </si>
  <si>
    <t>Mercer/Darke</t>
  </si>
  <si>
    <t>Rutland</t>
  </si>
  <si>
    <t>New Straitsville</t>
  </si>
  <si>
    <t>Cairo</t>
  </si>
  <si>
    <t>Allen</t>
  </si>
  <si>
    <t>Alger</t>
  </si>
  <si>
    <t>Aquilla</t>
  </si>
  <si>
    <t>Summary Information from the Statement of Activities - Modified Cash Basis</t>
  </si>
  <si>
    <t>Governmental Activities</t>
  </si>
  <si>
    <t xml:space="preserve">All Villages Reporting Using GASB 34 Format </t>
  </si>
  <si>
    <t>Program Receipts</t>
  </si>
  <si>
    <t>Transfers</t>
  </si>
  <si>
    <t>Special</t>
  </si>
  <si>
    <t>Operating Grants</t>
  </si>
  <si>
    <t>Net</t>
  </si>
  <si>
    <t>Property</t>
  </si>
  <si>
    <t>and/or</t>
  </si>
  <si>
    <t>Change</t>
  </si>
  <si>
    <t>Cash</t>
  </si>
  <si>
    <t>Contributions</t>
  </si>
  <si>
    <t>Capital</t>
  </si>
  <si>
    <t>and Other Local</t>
  </si>
  <si>
    <t>Income</t>
  </si>
  <si>
    <t>Unrestricted</t>
  </si>
  <si>
    <t>Investment</t>
  </si>
  <si>
    <t>Debt</t>
  </si>
  <si>
    <t>Avances</t>
  </si>
  <si>
    <t>Extraordinary</t>
  </si>
  <si>
    <t>in Net</t>
  </si>
  <si>
    <t>Village</t>
  </si>
  <si>
    <t>County</t>
  </si>
  <si>
    <t>and Interest</t>
  </si>
  <si>
    <t>Grants</t>
  </si>
  <si>
    <t>(Disbursements)</t>
  </si>
  <si>
    <t>Taxes</t>
  </si>
  <si>
    <t>Earnings</t>
  </si>
  <si>
    <t>Other</t>
  </si>
  <si>
    <t>Proceeds</t>
  </si>
  <si>
    <t>In/(Out)</t>
  </si>
  <si>
    <t>Items</t>
  </si>
  <si>
    <t>Assets</t>
  </si>
  <si>
    <t xml:space="preserve">Allen </t>
  </si>
  <si>
    <t xml:space="preserve">Ashtabula </t>
  </si>
  <si>
    <t xml:space="preserve">Athens </t>
  </si>
  <si>
    <t xml:space="preserve">Auglaize </t>
  </si>
  <si>
    <t xml:space="preserve">Belmont </t>
  </si>
  <si>
    <t xml:space="preserve">Brown </t>
  </si>
  <si>
    <t xml:space="preserve">Butler </t>
  </si>
  <si>
    <t xml:space="preserve">Carroll </t>
  </si>
  <si>
    <t xml:space="preserve">Champaign </t>
  </si>
  <si>
    <t xml:space="preserve">Clark </t>
  </si>
  <si>
    <t xml:space="preserve">Clermont </t>
  </si>
  <si>
    <t xml:space="preserve">Clinton </t>
  </si>
  <si>
    <t xml:space="preserve">Columbiana </t>
  </si>
  <si>
    <t xml:space="preserve">Coshocton </t>
  </si>
  <si>
    <t xml:space="preserve">Crawford </t>
  </si>
  <si>
    <t xml:space="preserve">Cuyahoga </t>
  </si>
  <si>
    <t xml:space="preserve">Darke </t>
  </si>
  <si>
    <t xml:space="preserve">Defiance </t>
  </si>
  <si>
    <t xml:space="preserve">Delaware </t>
  </si>
  <si>
    <t xml:space="preserve">Erie </t>
  </si>
  <si>
    <t xml:space="preserve">Fairfield </t>
  </si>
  <si>
    <t xml:space="preserve">Fayette </t>
  </si>
  <si>
    <t xml:space="preserve">Franklin </t>
  </si>
  <si>
    <t xml:space="preserve">Fulton </t>
  </si>
  <si>
    <t xml:space="preserve">Gallia </t>
  </si>
  <si>
    <t xml:space="preserve">Greene </t>
  </si>
  <si>
    <t xml:space="preserve">Guernsey </t>
  </si>
  <si>
    <t xml:space="preserve">Hamilton </t>
  </si>
  <si>
    <t xml:space="preserve">Hancock </t>
  </si>
  <si>
    <t xml:space="preserve">Hardin </t>
  </si>
  <si>
    <t xml:space="preserve">Harrison </t>
  </si>
  <si>
    <t xml:space="preserve">Henry </t>
  </si>
  <si>
    <t xml:space="preserve">Highland </t>
  </si>
  <si>
    <t xml:space="preserve">Hocking </t>
  </si>
  <si>
    <t xml:space="preserve">Huron </t>
  </si>
  <si>
    <t xml:space="preserve">Jefferson </t>
  </si>
  <si>
    <t xml:space="preserve">Knox </t>
  </si>
  <si>
    <t xml:space="preserve">Lake </t>
  </si>
  <si>
    <t xml:space="preserve">Lawrence </t>
  </si>
  <si>
    <t xml:space="preserve">Licking </t>
  </si>
  <si>
    <t xml:space="preserve">Logan </t>
  </si>
  <si>
    <t xml:space="preserve">Lorain </t>
  </si>
  <si>
    <t xml:space="preserve">Lucas </t>
  </si>
  <si>
    <t xml:space="preserve">Madison </t>
  </si>
  <si>
    <t xml:space="preserve">Mahoning </t>
  </si>
  <si>
    <t xml:space="preserve">Marion </t>
  </si>
  <si>
    <t xml:space="preserve">Medina </t>
  </si>
  <si>
    <t xml:space="preserve">Meigs </t>
  </si>
  <si>
    <t xml:space="preserve">Mercer </t>
  </si>
  <si>
    <t xml:space="preserve">Miami </t>
  </si>
  <si>
    <t xml:space="preserve">Monroe </t>
  </si>
  <si>
    <t xml:space="preserve">Montgomery </t>
  </si>
  <si>
    <t xml:space="preserve">Morgan </t>
  </si>
  <si>
    <t xml:space="preserve">Morrow </t>
  </si>
  <si>
    <t xml:space="preserve">Muskingum </t>
  </si>
  <si>
    <t xml:space="preserve">Noble </t>
  </si>
  <si>
    <t xml:space="preserve">Ottawa </t>
  </si>
  <si>
    <t xml:space="preserve">Paulding </t>
  </si>
  <si>
    <t xml:space="preserve">Pickaway </t>
  </si>
  <si>
    <t xml:space="preserve">Pike </t>
  </si>
  <si>
    <t xml:space="preserve">Portage </t>
  </si>
  <si>
    <t xml:space="preserve">Preble </t>
  </si>
  <si>
    <t xml:space="preserve">Putnam </t>
  </si>
  <si>
    <t xml:space="preserve">Richland </t>
  </si>
  <si>
    <t xml:space="preserve">Ross </t>
  </si>
  <si>
    <t xml:space="preserve">Sandusky </t>
  </si>
  <si>
    <t xml:space="preserve">Scioto </t>
  </si>
  <si>
    <t xml:space="preserve">Seneca </t>
  </si>
  <si>
    <t xml:space="preserve">Shelby </t>
  </si>
  <si>
    <t xml:space="preserve">Stark </t>
  </si>
  <si>
    <t xml:space="preserve">Summit </t>
  </si>
  <si>
    <t xml:space="preserve">Trumbull </t>
  </si>
  <si>
    <t xml:space="preserve">Tuscarawas </t>
  </si>
  <si>
    <t xml:space="preserve">Union </t>
  </si>
  <si>
    <t xml:space="preserve">Van Wert </t>
  </si>
  <si>
    <t xml:space="preserve">Warren </t>
  </si>
  <si>
    <t xml:space="preserve">Washington </t>
  </si>
  <si>
    <t xml:space="preserve">Wayne </t>
  </si>
  <si>
    <t xml:space="preserve">Williams </t>
  </si>
  <si>
    <t xml:space="preserve">Wood </t>
  </si>
  <si>
    <t xml:space="preserve">Wyandot </t>
  </si>
  <si>
    <t>Total</t>
  </si>
  <si>
    <t>Item</t>
  </si>
  <si>
    <t>Donnelsville</t>
  </si>
  <si>
    <t>Lakemore</t>
  </si>
  <si>
    <t>Rocky Ridge</t>
  </si>
  <si>
    <t>Rome</t>
  </si>
  <si>
    <t>Hanover</t>
  </si>
  <si>
    <t>South Charleston</t>
  </si>
  <si>
    <t>Cable</t>
  </si>
  <si>
    <t>Franchise Fees</t>
  </si>
  <si>
    <t>Net Assets</t>
  </si>
  <si>
    <t>End of Year</t>
  </si>
  <si>
    <t>Centerville</t>
  </si>
  <si>
    <t>Sparta</t>
  </si>
  <si>
    <t>Marblehead</t>
  </si>
  <si>
    <t>Kalida</t>
  </si>
  <si>
    <t>Cygnet</t>
  </si>
  <si>
    <t>North Randall</t>
  </si>
  <si>
    <t>Harrisville</t>
  </si>
  <si>
    <t>Linndale</t>
  </si>
  <si>
    <t>Mendon</t>
  </si>
  <si>
    <t>Warsaw</t>
  </si>
  <si>
    <t>Ashville</t>
  </si>
  <si>
    <t>Bainbridge</t>
  </si>
  <si>
    <t>Chickasaw</t>
  </si>
  <si>
    <t>Cleves</t>
  </si>
  <si>
    <t>Lowellville</t>
  </si>
  <si>
    <t>New Waterford</t>
  </si>
  <si>
    <t>Rushsylvania</t>
  </si>
  <si>
    <t>Spencer</t>
  </si>
  <si>
    <t>Tiro</t>
  </si>
  <si>
    <t>Wilmot</t>
  </si>
  <si>
    <t>Wintersville</t>
  </si>
  <si>
    <t>South Zanesville</t>
  </si>
  <si>
    <t>General Receipts</t>
  </si>
  <si>
    <t>General Fund Revenues</t>
  </si>
  <si>
    <t>General Fund Expenditures</t>
  </si>
  <si>
    <t>(Continued)</t>
  </si>
  <si>
    <t>Glenmont</t>
  </si>
  <si>
    <t>Sale of</t>
  </si>
  <si>
    <t>Bonds</t>
  </si>
  <si>
    <t>Notes</t>
  </si>
  <si>
    <t>Government</t>
  </si>
  <si>
    <t>Environment</t>
  </si>
  <si>
    <t>Governmental Fund Revenues</t>
  </si>
  <si>
    <t>Governmental Fund Expenditures</t>
  </si>
  <si>
    <t>For the Year Ended December 31, 2008</t>
  </si>
  <si>
    <t xml:space="preserve">This is a </t>
  </si>
  <si>
    <t xml:space="preserve">Calculation </t>
  </si>
  <si>
    <t>Used for Testing</t>
  </si>
  <si>
    <t xml:space="preserve">Hide columns </t>
  </si>
  <si>
    <t>for final report</t>
  </si>
  <si>
    <t xml:space="preserve">Total </t>
  </si>
  <si>
    <t xml:space="preserve">General </t>
  </si>
  <si>
    <t>Reconciliation</t>
  </si>
  <si>
    <t>EOY</t>
  </si>
  <si>
    <t>Change in</t>
  </si>
  <si>
    <t>Receipt</t>
  </si>
  <si>
    <t xml:space="preserve">Fund </t>
  </si>
  <si>
    <t>Balance</t>
  </si>
  <si>
    <t>BOY</t>
  </si>
  <si>
    <t>Fund</t>
  </si>
  <si>
    <t xml:space="preserve">Balance </t>
  </si>
  <si>
    <t xml:space="preserve">Fill in these amount but they </t>
  </si>
  <si>
    <t>are not to be included as part</t>
  </si>
  <si>
    <t>of the print area</t>
  </si>
  <si>
    <t>Adena</t>
  </si>
  <si>
    <t>Athalia</t>
  </si>
  <si>
    <t>Benton Ridge</t>
  </si>
  <si>
    <t>Blufton</t>
  </si>
  <si>
    <t>.</t>
  </si>
  <si>
    <t>Brady Lake</t>
  </si>
  <si>
    <t>Chesterhill</t>
  </si>
  <si>
    <t>Morgan</t>
  </si>
  <si>
    <t>Chilo</t>
  </si>
  <si>
    <t>Coldwater</t>
  </si>
  <si>
    <t>Covington</t>
  </si>
  <si>
    <t>Fairview</t>
  </si>
  <si>
    <t>Gambier</t>
  </si>
  <si>
    <t>Hemlock</t>
  </si>
  <si>
    <t>Jerusalem</t>
  </si>
  <si>
    <t>Killbuck</t>
  </si>
  <si>
    <t>Leipsic</t>
  </si>
  <si>
    <t>Midland</t>
  </si>
  <si>
    <t>Palestine</t>
  </si>
  <si>
    <t>Pioneer</t>
  </si>
  <si>
    <t>Plainfield</t>
  </si>
  <si>
    <t>Plainfiled</t>
  </si>
  <si>
    <t>Coshcoton</t>
  </si>
  <si>
    <t>Port Jefferson</t>
  </si>
  <si>
    <t>Roswell</t>
  </si>
  <si>
    <t>Shreve</t>
  </si>
  <si>
    <t>Sheve</t>
  </si>
  <si>
    <t>Summit Lake</t>
  </si>
  <si>
    <t>South Amherst</t>
  </si>
  <si>
    <t>West Leipsic</t>
  </si>
  <si>
    <t>West Manchester</t>
  </si>
  <si>
    <t>Wharton</t>
  </si>
  <si>
    <t>24064-23704</t>
  </si>
  <si>
    <t>Miami/Darke</t>
  </si>
  <si>
    <t>Beginning of Year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</si>
</sst>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2">
    <font>
      <sz val="10"/>
      <name val="Times New Roman"/>
    </font>
    <font>
      <sz val="8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color indexed="10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37" fontId="2" fillId="0" borderId="0" xfId="0" applyNumberFormat="1" applyFont="1"/>
    <xf numFmtId="37" fontId="5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 wrapText="1"/>
    </xf>
    <xf numFmtId="37" fontId="2" fillId="0" borderId="0" xfId="0" applyNumberFormat="1" applyFont="1" applyBorder="1" applyAlignment="1">
      <alignment horizontal="center" wrapText="1"/>
    </xf>
    <xf numFmtId="0" fontId="2" fillId="0" borderId="0" xfId="0" applyFont="1" applyFill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7" fontId="5" fillId="0" borderId="0" xfId="0" applyNumberFormat="1" applyFont="1"/>
    <xf numFmtId="37" fontId="2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37" fontId="2" fillId="0" borderId="0" xfId="0" applyNumberFormat="1" applyFont="1" applyFill="1"/>
    <xf numFmtId="0" fontId="2" fillId="0" borderId="1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37" fontId="5" fillId="0" borderId="0" xfId="0" applyNumberFormat="1" applyFont="1" applyFill="1"/>
    <xf numFmtId="0" fontId="2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8" fillId="0" borderId="0" xfId="0" applyFont="1"/>
    <xf numFmtId="0" fontId="6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/>
    <xf numFmtId="37" fontId="2" fillId="0" borderId="0" xfId="0" applyNumberFormat="1" applyFont="1" applyBorder="1" applyAlignment="1">
      <alignment horizontal="right"/>
    </xf>
    <xf numFmtId="37" fontId="9" fillId="0" borderId="0" xfId="0" applyNumberFormat="1" applyFont="1" applyFill="1"/>
    <xf numFmtId="5" fontId="2" fillId="0" borderId="0" xfId="0" applyNumberFormat="1" applyFont="1" applyBorder="1" applyAlignment="1">
      <alignment horizontal="right"/>
    </xf>
    <xf numFmtId="5" fontId="2" fillId="0" borderId="0" xfId="0" applyNumberFormat="1" applyFont="1"/>
    <xf numFmtId="5" fontId="2" fillId="0" borderId="0" xfId="0" applyNumberFormat="1" applyFont="1" applyFill="1"/>
    <xf numFmtId="0" fontId="0" fillId="0" borderId="0" xfId="0" applyBorder="1"/>
    <xf numFmtId="37" fontId="2" fillId="0" borderId="0" xfId="0" applyNumberFormat="1" applyFont="1" applyFill="1" applyBorder="1" applyAlignment="1">
      <alignment horizontal="right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37" fontId="2" fillId="0" borderId="0" xfId="0" applyNumberFormat="1" applyFont="1" applyBorder="1"/>
    <xf numFmtId="37" fontId="2" fillId="0" borderId="0" xfId="0" applyNumberFormat="1" applyFont="1" applyFill="1" applyBorder="1"/>
    <xf numFmtId="37" fontId="5" fillId="0" borderId="0" xfId="0" applyNumberFormat="1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/>
    <xf numFmtId="37" fontId="2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5" fontId="5" fillId="0" borderId="0" xfId="0" applyNumberFormat="1" applyFont="1"/>
    <xf numFmtId="5" fontId="6" fillId="0" borderId="0" xfId="0" applyNumberFormat="1" applyFont="1"/>
    <xf numFmtId="37" fontId="6" fillId="0" borderId="0" xfId="0" applyNumberFormat="1" applyFont="1"/>
    <xf numFmtId="0" fontId="6" fillId="2" borderId="0" xfId="0" applyFont="1" applyFill="1"/>
    <xf numFmtId="37" fontId="2" fillId="0" borderId="0" xfId="0" applyNumberFormat="1" applyFont="1" applyBorder="1" applyAlignment="1"/>
    <xf numFmtId="0" fontId="2" fillId="2" borderId="0" xfId="0" applyFont="1" applyFill="1"/>
    <xf numFmtId="37" fontId="2" fillId="2" borderId="0" xfId="0" applyNumberFormat="1" applyFont="1" applyFill="1"/>
    <xf numFmtId="37" fontId="2" fillId="2" borderId="0" xfId="0" applyNumberFormat="1" applyFont="1" applyFill="1" applyBorder="1"/>
    <xf numFmtId="37" fontId="9" fillId="2" borderId="0" xfId="0" applyNumberFormat="1" applyFont="1" applyFill="1"/>
    <xf numFmtId="0" fontId="5" fillId="2" borderId="0" xfId="0" applyFont="1" applyFill="1"/>
    <xf numFmtId="3" fontId="2" fillId="0" borderId="0" xfId="0" applyNumberFormat="1" applyFont="1" applyFill="1"/>
    <xf numFmtId="3" fontId="5" fillId="0" borderId="0" xfId="0" applyNumberFormat="1" applyFont="1" applyFill="1"/>
    <xf numFmtId="5" fontId="2" fillId="2" borderId="0" xfId="0" applyNumberFormat="1" applyFont="1" applyFill="1"/>
    <xf numFmtId="0" fontId="5" fillId="2" borderId="0" xfId="0" applyFont="1" applyFill="1" applyBorder="1"/>
    <xf numFmtId="10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37" fontId="2" fillId="0" borderId="1" xfId="0" applyNumberFormat="1" applyFont="1" applyFill="1" applyBorder="1" applyAlignment="1">
      <alignment horizontal="center" wrapText="1"/>
    </xf>
    <xf numFmtId="37" fontId="2" fillId="0" borderId="0" xfId="0" applyNumberFormat="1" applyFont="1" applyFill="1" applyBorder="1" applyAlignment="1">
      <alignment horizontal="center" wrapText="1"/>
    </xf>
    <xf numFmtId="5" fontId="6" fillId="0" borderId="0" xfId="0" applyNumberFormat="1" applyFont="1" applyFill="1"/>
    <xf numFmtId="5" fontId="5" fillId="0" borderId="0" xfId="0" applyNumberFormat="1" applyFont="1" applyFill="1"/>
    <xf numFmtId="37" fontId="6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37" fontId="5" fillId="0" borderId="0" xfId="0" applyNumberFormat="1" applyFont="1" applyFill="1" applyBorder="1"/>
    <xf numFmtId="0" fontId="0" fillId="0" borderId="0" xfId="0" applyFill="1"/>
    <xf numFmtId="37" fontId="3" fillId="0" borderId="0" xfId="0" applyNumberFormat="1" applyFont="1" applyFill="1" applyAlignment="1"/>
    <xf numFmtId="37" fontId="4" fillId="0" borderId="0" xfId="0" applyNumberFormat="1" applyFont="1" applyFill="1" applyAlignment="1"/>
    <xf numFmtId="37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/>
    <xf numFmtId="5" fontId="5" fillId="0" borderId="0" xfId="0" applyNumberFormat="1" applyFont="1" applyFill="1" applyBorder="1"/>
    <xf numFmtId="0" fontId="2" fillId="0" borderId="0" xfId="0" applyFont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61"/>
  <sheetViews>
    <sheetView tabSelected="1" zoomScaleNormal="100" zoomScaleSheetLayoutView="90" workbookViewId="0">
      <pane xSplit="4" ySplit="10" topLeftCell="E15" activePane="bottomRight" state="frozen"/>
      <selection pane="topRight" activeCell="E1" sqref="E1"/>
      <selection pane="bottomLeft" activeCell="A11" sqref="A11"/>
      <selection pane="bottomRight" activeCell="E15" sqref="E15"/>
    </sheetView>
  </sheetViews>
  <sheetFormatPr defaultRowHeight="12.75"/>
  <cols>
    <col min="1" max="1" width="24.1640625" style="23" customWidth="1"/>
    <col min="2" max="2" width="1.83203125" style="23" customWidth="1"/>
    <col min="3" max="3" width="13.83203125" style="23" customWidth="1"/>
    <col min="4" max="4" width="1.83203125" style="23" customWidth="1"/>
    <col min="5" max="5" width="14.5" bestFit="1" customWidth="1"/>
    <col min="6" max="6" width="1.83203125" customWidth="1"/>
    <col min="7" max="7" width="11.83203125" customWidth="1"/>
    <col min="8" max="8" width="1.83203125" customWidth="1"/>
    <col min="9" max="9" width="12.83203125" customWidth="1"/>
    <col min="10" max="10" width="1.83203125" customWidth="1"/>
    <col min="11" max="11" width="11.83203125" customWidth="1"/>
    <col min="12" max="12" width="1.83203125" customWidth="1"/>
    <col min="13" max="13" width="14.83203125" style="23" customWidth="1"/>
    <col min="14" max="14" width="1.83203125" style="23" hidden="1" customWidth="1"/>
    <col min="15" max="15" width="14.83203125" style="23" hidden="1" customWidth="1"/>
    <col min="16" max="16" width="1.83203125" style="23" customWidth="1"/>
    <col min="17" max="17" width="15.83203125" style="23" customWidth="1"/>
    <col min="18" max="18" width="1.83203125" style="23" customWidth="1"/>
    <col min="19" max="19" width="11.83203125" style="23" customWidth="1"/>
    <col min="20" max="20" width="1.83203125" style="23" customWidth="1"/>
    <col min="21" max="21" width="11.83203125" style="23" customWidth="1"/>
    <col min="22" max="22" width="1.83203125" style="23" customWidth="1"/>
    <col min="23" max="23" width="11.83203125" style="23" customWidth="1"/>
    <col min="24" max="24" width="1.83203125" style="23" customWidth="1"/>
    <col min="25" max="25" width="13.6640625" style="23" customWidth="1"/>
    <col min="26" max="26" width="1.83203125" style="23" customWidth="1"/>
    <col min="27" max="27" width="11.83203125" style="23" customWidth="1"/>
    <col min="28" max="28" width="1.83203125" style="23" customWidth="1"/>
    <col min="29" max="29" width="11.83203125" style="23" customWidth="1"/>
    <col min="30" max="30" width="1.83203125" style="23" customWidth="1"/>
    <col min="31" max="31" width="13.83203125" style="23" customWidth="1"/>
    <col min="32" max="32" width="1.83203125" style="23" customWidth="1"/>
    <col min="33" max="33" width="13.83203125" style="23" customWidth="1"/>
    <col min="34" max="34" width="1.83203125" style="23" customWidth="1"/>
    <col min="35" max="35" width="13.83203125" style="23" customWidth="1"/>
    <col min="36" max="36" width="1.83203125" style="23" customWidth="1"/>
    <col min="37" max="37" width="13.83203125" style="23" customWidth="1"/>
    <col min="38" max="38" width="1.83203125" style="23" customWidth="1"/>
    <col min="39" max="39" width="15.6640625" customWidth="1"/>
    <col min="40" max="40" width="1.83203125" customWidth="1"/>
    <col min="41" max="41" width="13.83203125" customWidth="1"/>
    <col min="42" max="42" width="2.6640625" customWidth="1"/>
    <col min="43" max="43" width="16.6640625" bestFit="1" customWidth="1"/>
    <col min="44" max="44" width="1.83203125" customWidth="1"/>
    <col min="45" max="45" width="10.6640625" bestFit="1" customWidth="1"/>
    <col min="46" max="46" width="1.83203125" customWidth="1"/>
    <col min="47" max="47" width="13.83203125" bestFit="1" customWidth="1"/>
    <col min="48" max="48" width="1.83203125" customWidth="1"/>
    <col min="49" max="49" width="13.83203125" bestFit="1" customWidth="1"/>
  </cols>
  <sheetData>
    <row r="1" spans="1:49" s="23" customFormat="1">
      <c r="A1" s="23" t="s">
        <v>717</v>
      </c>
      <c r="M1" s="53"/>
      <c r="N1" s="53"/>
      <c r="O1" s="53"/>
      <c r="P1" s="53"/>
      <c r="Q1" s="53"/>
    </row>
    <row r="2" spans="1:49" s="23" customFormat="1">
      <c r="A2" s="23" t="s">
        <v>718</v>
      </c>
      <c r="O2" s="23" t="s">
        <v>879</v>
      </c>
    </row>
    <row r="3" spans="1:49" s="23" customFormat="1">
      <c r="A3" s="23" t="s">
        <v>878</v>
      </c>
      <c r="O3" s="23" t="s">
        <v>880</v>
      </c>
    </row>
    <row r="4" spans="1:49" s="23" customFormat="1">
      <c r="O4" s="23" t="s">
        <v>881</v>
      </c>
    </row>
    <row r="5" spans="1:49" s="23" customFormat="1">
      <c r="A5" s="23" t="s">
        <v>719</v>
      </c>
      <c r="O5" s="23" t="s">
        <v>882</v>
      </c>
    </row>
    <row r="6" spans="1:49">
      <c r="A6" s="33"/>
      <c r="B6" s="33"/>
      <c r="E6" s="1"/>
      <c r="F6" s="1"/>
      <c r="G6" s="1"/>
      <c r="H6" s="1"/>
      <c r="K6" s="1"/>
      <c r="L6" s="1"/>
      <c r="O6" s="23" t="s">
        <v>883</v>
      </c>
      <c r="AE6" s="34"/>
      <c r="AF6" s="34"/>
    </row>
    <row r="7" spans="1:49" s="1" customFormat="1" ht="12">
      <c r="G7" s="98" t="s">
        <v>720</v>
      </c>
      <c r="H7" s="98"/>
      <c r="I7" s="98"/>
      <c r="J7" s="98"/>
      <c r="K7" s="98"/>
      <c r="L7" s="4"/>
      <c r="M7" s="96"/>
      <c r="N7" s="96"/>
      <c r="O7" s="96"/>
      <c r="P7" s="96"/>
      <c r="Q7" s="98" t="s">
        <v>866</v>
      </c>
      <c r="R7" s="98"/>
      <c r="S7" s="98"/>
      <c r="T7" s="25"/>
      <c r="U7" s="98" t="s">
        <v>866</v>
      </c>
      <c r="V7" s="98"/>
      <c r="W7" s="98"/>
      <c r="X7" s="98"/>
      <c r="Y7" s="98"/>
      <c r="Z7" s="98"/>
      <c r="AA7" s="98"/>
      <c r="AB7" s="98"/>
      <c r="AC7" s="98"/>
      <c r="AD7" s="4"/>
      <c r="AE7" s="3" t="s">
        <v>721</v>
      </c>
      <c r="AF7" s="3"/>
      <c r="AG7" s="4" t="s">
        <v>722</v>
      </c>
      <c r="AH7" s="4"/>
      <c r="AI7" s="4"/>
      <c r="AJ7" s="4"/>
      <c r="AK7" s="4"/>
      <c r="AL7" s="4"/>
      <c r="AQ7" s="99" t="s">
        <v>886</v>
      </c>
      <c r="AR7" s="99"/>
      <c r="AS7" s="99"/>
      <c r="AT7" s="99"/>
      <c r="AU7" s="99"/>
      <c r="AV7" s="99"/>
      <c r="AW7" s="99"/>
    </row>
    <row r="8" spans="1:49" s="1" customFormat="1" ht="12">
      <c r="I8" s="3" t="s">
        <v>723</v>
      </c>
      <c r="J8" s="3"/>
      <c r="M8" s="3" t="s">
        <v>724</v>
      </c>
      <c r="N8" s="3"/>
      <c r="O8" s="3" t="s">
        <v>724</v>
      </c>
      <c r="P8" s="3"/>
      <c r="Q8" s="4" t="s">
        <v>725</v>
      </c>
      <c r="R8" s="4"/>
      <c r="AE8" s="72" t="s">
        <v>726</v>
      </c>
      <c r="AF8" s="72"/>
      <c r="AG8" s="72" t="s">
        <v>726</v>
      </c>
      <c r="AH8" s="72"/>
      <c r="AI8" s="72" t="s">
        <v>884</v>
      </c>
      <c r="AJ8" s="72"/>
      <c r="AK8" s="4" t="s">
        <v>727</v>
      </c>
      <c r="AL8" s="4"/>
      <c r="AQ8" s="4" t="s">
        <v>724</v>
      </c>
      <c r="AR8" s="4"/>
      <c r="AS8" s="4"/>
      <c r="AT8" s="4"/>
      <c r="AU8" s="4"/>
      <c r="AV8" s="4"/>
      <c r="AW8" s="4"/>
    </row>
    <row r="9" spans="1:49" s="1" customFormat="1" ht="12">
      <c r="A9" s="51"/>
      <c r="B9" s="51"/>
      <c r="C9" s="51"/>
      <c r="D9" s="51"/>
      <c r="E9" s="26" t="s">
        <v>728</v>
      </c>
      <c r="F9" s="26"/>
      <c r="G9" s="3" t="s">
        <v>631</v>
      </c>
      <c r="H9" s="3"/>
      <c r="I9" s="3" t="s">
        <v>729</v>
      </c>
      <c r="J9" s="3"/>
      <c r="K9" s="3" t="s">
        <v>730</v>
      </c>
      <c r="L9" s="3"/>
      <c r="M9" s="3" t="s">
        <v>675</v>
      </c>
      <c r="N9" s="3"/>
      <c r="O9" s="3" t="s">
        <v>675</v>
      </c>
      <c r="P9" s="3"/>
      <c r="Q9" s="4" t="s">
        <v>731</v>
      </c>
      <c r="R9" s="4"/>
      <c r="S9" s="4" t="s">
        <v>732</v>
      </c>
      <c r="T9" s="4"/>
      <c r="U9" s="4" t="s">
        <v>733</v>
      </c>
      <c r="V9" s="4"/>
      <c r="W9" s="3" t="s">
        <v>734</v>
      </c>
      <c r="X9" s="3"/>
      <c r="Y9" s="3" t="s">
        <v>840</v>
      </c>
      <c r="Z9" s="3"/>
      <c r="AA9" s="3"/>
      <c r="AB9" s="3"/>
      <c r="AC9" s="3" t="s">
        <v>735</v>
      </c>
      <c r="AD9" s="3"/>
      <c r="AE9" s="3" t="s">
        <v>736</v>
      </c>
      <c r="AF9" s="3"/>
      <c r="AG9" s="3" t="s">
        <v>737</v>
      </c>
      <c r="AH9" s="3"/>
      <c r="AI9" s="3" t="s">
        <v>885</v>
      </c>
      <c r="AJ9" s="3"/>
      <c r="AK9" s="4" t="s">
        <v>738</v>
      </c>
      <c r="AL9" s="4"/>
      <c r="AM9" s="72" t="s">
        <v>842</v>
      </c>
      <c r="AN9" s="72"/>
      <c r="AO9" s="72" t="s">
        <v>842</v>
      </c>
      <c r="AQ9" s="4" t="s">
        <v>889</v>
      </c>
      <c r="AR9" s="4"/>
      <c r="AS9" s="4" t="s">
        <v>654</v>
      </c>
      <c r="AT9" s="4"/>
      <c r="AU9" s="4" t="s">
        <v>888</v>
      </c>
      <c r="AV9" s="4"/>
      <c r="AW9" s="4" t="s">
        <v>887</v>
      </c>
    </row>
    <row r="10" spans="1:49" s="1" customFormat="1" ht="12">
      <c r="A10" s="27" t="s">
        <v>739</v>
      </c>
      <c r="B10" s="49"/>
      <c r="C10" s="27" t="s">
        <v>740</v>
      </c>
      <c r="D10" s="49"/>
      <c r="E10" s="27" t="s">
        <v>674</v>
      </c>
      <c r="F10" s="49"/>
      <c r="G10" s="25" t="s">
        <v>632</v>
      </c>
      <c r="H10" s="4"/>
      <c r="I10" s="25" t="s">
        <v>741</v>
      </c>
      <c r="J10" s="4"/>
      <c r="K10" s="25" t="s">
        <v>742</v>
      </c>
      <c r="L10" s="4"/>
      <c r="M10" s="25" t="s">
        <v>743</v>
      </c>
      <c r="N10" s="4"/>
      <c r="O10" s="25" t="s">
        <v>743</v>
      </c>
      <c r="P10" s="4"/>
      <c r="Q10" s="25" t="s">
        <v>744</v>
      </c>
      <c r="R10" s="4"/>
      <c r="S10" s="25" t="s">
        <v>744</v>
      </c>
      <c r="T10" s="4"/>
      <c r="U10" s="25" t="s">
        <v>742</v>
      </c>
      <c r="V10" s="4"/>
      <c r="W10" s="97" t="s">
        <v>745</v>
      </c>
      <c r="X10" s="72"/>
      <c r="Y10" s="97" t="s">
        <v>841</v>
      </c>
      <c r="Z10" s="72"/>
      <c r="AA10" s="97" t="s">
        <v>746</v>
      </c>
      <c r="AB10" s="72"/>
      <c r="AC10" s="97" t="s">
        <v>747</v>
      </c>
      <c r="AD10" s="72"/>
      <c r="AE10" s="25" t="s">
        <v>748</v>
      </c>
      <c r="AF10" s="4"/>
      <c r="AG10" s="97" t="s">
        <v>749</v>
      </c>
      <c r="AH10" s="72"/>
      <c r="AI10" s="97" t="s">
        <v>675</v>
      </c>
      <c r="AJ10" s="72"/>
      <c r="AK10" s="25" t="s">
        <v>750</v>
      </c>
      <c r="AL10" s="4"/>
      <c r="AM10" s="97" t="s">
        <v>932</v>
      </c>
      <c r="AN10" s="72"/>
      <c r="AO10" s="97" t="s">
        <v>843</v>
      </c>
      <c r="AQ10" s="25" t="s">
        <v>743</v>
      </c>
      <c r="AR10" s="25"/>
      <c r="AS10" s="25" t="s">
        <v>675</v>
      </c>
      <c r="AT10" s="25"/>
      <c r="AU10" s="25" t="s">
        <v>842</v>
      </c>
      <c r="AV10" s="25"/>
      <c r="AW10" s="25" t="s">
        <v>842</v>
      </c>
    </row>
    <row r="11" spans="1:49" s="7" customFormat="1" ht="12" hidden="1" customHeight="1">
      <c r="A11" s="7" t="s">
        <v>129</v>
      </c>
      <c r="C11" s="7" t="s">
        <v>790</v>
      </c>
      <c r="E11" s="39">
        <v>0</v>
      </c>
      <c r="F11" s="39"/>
      <c r="G11" s="39">
        <v>0</v>
      </c>
      <c r="H11" s="39"/>
      <c r="I11" s="39">
        <v>0</v>
      </c>
      <c r="J11" s="39"/>
      <c r="K11" s="39">
        <v>0</v>
      </c>
      <c r="L11" s="39"/>
      <c r="M11" s="39">
        <v>0</v>
      </c>
      <c r="N11" s="39"/>
      <c r="O11" s="39">
        <f>-E11+G11+I11+K11</f>
        <v>0</v>
      </c>
      <c r="P11" s="39"/>
      <c r="Q11" s="39">
        <v>0</v>
      </c>
      <c r="R11" s="39"/>
      <c r="S11" s="39">
        <v>0</v>
      </c>
      <c r="T11" s="39"/>
      <c r="U11" s="39">
        <v>0</v>
      </c>
      <c r="V11" s="39"/>
      <c r="W11" s="39">
        <v>0</v>
      </c>
      <c r="X11" s="39"/>
      <c r="Y11" s="39">
        <v>0</v>
      </c>
      <c r="Z11" s="39"/>
      <c r="AA11" s="39">
        <v>0</v>
      </c>
      <c r="AB11" s="39"/>
      <c r="AC11" s="39">
        <v>0</v>
      </c>
      <c r="AD11" s="39"/>
      <c r="AE11" s="39">
        <v>0</v>
      </c>
      <c r="AF11" s="39"/>
      <c r="AG11" s="39">
        <v>0</v>
      </c>
      <c r="AH11" s="39"/>
      <c r="AI11" s="39">
        <f>+Q11+S11+U11+W11+Y11+AA11+AC11+AE11+AG11</f>
        <v>0</v>
      </c>
      <c r="AJ11" s="39"/>
      <c r="AK11" s="39">
        <v>0</v>
      </c>
      <c r="AL11" s="39"/>
      <c r="AM11" s="39">
        <v>0</v>
      </c>
      <c r="AN11" s="39"/>
      <c r="AO11" s="39">
        <v>0</v>
      </c>
      <c r="AQ11" s="44">
        <f>+M11-O11</f>
        <v>0</v>
      </c>
      <c r="AR11" s="44"/>
      <c r="AS11" s="44">
        <f>+Q11+S11+U11+W11+Y11+AA11+AC11+AE11+AG11-AI11</f>
        <v>0</v>
      </c>
      <c r="AT11" s="44"/>
      <c r="AU11" s="44">
        <f>+O11+AI11-AK11</f>
        <v>0</v>
      </c>
      <c r="AV11" s="44"/>
      <c r="AW11" s="44">
        <f>+O11+AI11+AM11-AO11</f>
        <v>0</v>
      </c>
    </row>
    <row r="12" spans="1:49" s="7" customFormat="1" ht="12" hidden="1">
      <c r="A12" s="7" t="s">
        <v>715</v>
      </c>
      <c r="C12" s="7" t="s">
        <v>396</v>
      </c>
      <c r="E12" s="37">
        <v>0</v>
      </c>
      <c r="F12" s="37"/>
      <c r="G12" s="37">
        <v>0</v>
      </c>
      <c r="H12" s="37"/>
      <c r="I12" s="37">
        <v>0</v>
      </c>
      <c r="J12" s="37"/>
      <c r="K12" s="37">
        <v>0</v>
      </c>
      <c r="L12" s="37"/>
      <c r="M12" s="37">
        <v>0</v>
      </c>
      <c r="N12" s="37"/>
      <c r="O12" s="39">
        <f t="shared" ref="O12:O83" si="0">-E12+G12+I12+K12</f>
        <v>0</v>
      </c>
      <c r="P12" s="37"/>
      <c r="Q12" s="37">
        <v>0</v>
      </c>
      <c r="R12" s="37"/>
      <c r="S12" s="37">
        <v>0</v>
      </c>
      <c r="T12" s="37"/>
      <c r="U12" s="37">
        <v>0</v>
      </c>
      <c r="V12" s="37"/>
      <c r="W12" s="37">
        <v>0</v>
      </c>
      <c r="X12" s="37"/>
      <c r="Y12" s="37">
        <v>0</v>
      </c>
      <c r="Z12" s="37"/>
      <c r="AA12" s="37">
        <v>0</v>
      </c>
      <c r="AB12" s="37"/>
      <c r="AC12" s="37">
        <v>0</v>
      </c>
      <c r="AD12" s="37"/>
      <c r="AE12" s="37">
        <v>0</v>
      </c>
      <c r="AF12" s="37"/>
      <c r="AG12" s="37">
        <v>0</v>
      </c>
      <c r="AH12" s="37"/>
      <c r="AI12" s="39">
        <f t="shared" ref="AI12:AI83" si="1">+Q12+S12+U12+W12+Y12+AA12+AC12+AE12+AG12</f>
        <v>0</v>
      </c>
      <c r="AJ12" s="37"/>
      <c r="AK12" s="37">
        <v>0</v>
      </c>
      <c r="AL12" s="37"/>
      <c r="AM12" s="37">
        <v>0</v>
      </c>
      <c r="AN12" s="37"/>
      <c r="AO12" s="37">
        <v>0</v>
      </c>
      <c r="AQ12" s="44">
        <f t="shared" ref="AQ12:AQ83" si="2">+M12-O12</f>
        <v>0</v>
      </c>
      <c r="AR12" s="44"/>
      <c r="AS12" s="44">
        <f t="shared" ref="AS12:AS83" si="3">+Q12+S12+U12+W12+Y12+AA12+AC12+AE12+AG12-AI12</f>
        <v>0</v>
      </c>
      <c r="AT12" s="44"/>
      <c r="AU12" s="44">
        <f t="shared" ref="AU12:AU83" si="4">+O12+AI12-AK12</f>
        <v>0</v>
      </c>
      <c r="AV12" s="44"/>
      <c r="AW12" s="44">
        <f t="shared" ref="AW12:AW83" si="5">+O12+AI12+AM12-AO12</f>
        <v>0</v>
      </c>
    </row>
    <row r="13" spans="1:49" s="7" customFormat="1" ht="12" hidden="1">
      <c r="A13" s="7" t="s">
        <v>671</v>
      </c>
      <c r="C13" s="7" t="s">
        <v>350</v>
      </c>
      <c r="E13" s="37">
        <v>0</v>
      </c>
      <c r="F13" s="37"/>
      <c r="G13" s="37">
        <v>0</v>
      </c>
      <c r="H13" s="37"/>
      <c r="I13" s="37">
        <v>0</v>
      </c>
      <c r="J13" s="37"/>
      <c r="K13" s="37">
        <v>0</v>
      </c>
      <c r="L13" s="37"/>
      <c r="M13" s="37">
        <v>0</v>
      </c>
      <c r="N13" s="37"/>
      <c r="O13" s="39">
        <f t="shared" si="0"/>
        <v>0</v>
      </c>
      <c r="P13" s="37"/>
      <c r="Q13" s="37">
        <v>0</v>
      </c>
      <c r="R13" s="37"/>
      <c r="S13" s="37">
        <v>0</v>
      </c>
      <c r="T13" s="37"/>
      <c r="U13" s="37">
        <v>0</v>
      </c>
      <c r="V13" s="37"/>
      <c r="W13" s="37">
        <v>0</v>
      </c>
      <c r="X13" s="37"/>
      <c r="Y13" s="37">
        <v>0</v>
      </c>
      <c r="Z13" s="37"/>
      <c r="AA13" s="37">
        <v>0</v>
      </c>
      <c r="AB13" s="37"/>
      <c r="AC13" s="37">
        <v>0</v>
      </c>
      <c r="AD13" s="37"/>
      <c r="AE13" s="37">
        <v>0</v>
      </c>
      <c r="AF13" s="37"/>
      <c r="AG13" s="37">
        <v>0</v>
      </c>
      <c r="AH13" s="37"/>
      <c r="AI13" s="39">
        <f t="shared" si="1"/>
        <v>0</v>
      </c>
      <c r="AJ13" s="37"/>
      <c r="AK13" s="37">
        <v>0</v>
      </c>
      <c r="AL13" s="37"/>
      <c r="AM13" s="37">
        <v>0</v>
      </c>
      <c r="AN13" s="37"/>
      <c r="AO13" s="37">
        <v>0</v>
      </c>
      <c r="AQ13" s="44">
        <f t="shared" si="2"/>
        <v>0</v>
      </c>
      <c r="AR13" s="44"/>
      <c r="AS13" s="44">
        <f t="shared" si="3"/>
        <v>0</v>
      </c>
      <c r="AT13" s="44"/>
      <c r="AU13" s="44">
        <f t="shared" si="4"/>
        <v>0</v>
      </c>
      <c r="AV13" s="44"/>
      <c r="AW13" s="44">
        <f t="shared" si="5"/>
        <v>0</v>
      </c>
    </row>
    <row r="14" spans="1:49" s="7" customFormat="1" ht="12" hidden="1">
      <c r="A14" s="7" t="s">
        <v>387</v>
      </c>
      <c r="C14" s="7" t="s">
        <v>388</v>
      </c>
      <c r="E14" s="37">
        <v>0</v>
      </c>
      <c r="F14" s="37"/>
      <c r="G14" s="37">
        <v>0</v>
      </c>
      <c r="H14" s="37"/>
      <c r="I14" s="37">
        <v>0</v>
      </c>
      <c r="J14" s="37"/>
      <c r="K14" s="37">
        <v>0</v>
      </c>
      <c r="L14" s="37"/>
      <c r="M14" s="37">
        <v>0</v>
      </c>
      <c r="N14" s="37"/>
      <c r="O14" s="39">
        <f t="shared" si="0"/>
        <v>0</v>
      </c>
      <c r="P14" s="37"/>
      <c r="Q14" s="37">
        <v>0</v>
      </c>
      <c r="R14" s="37"/>
      <c r="S14" s="37">
        <v>0</v>
      </c>
      <c r="T14" s="37"/>
      <c r="U14" s="37">
        <v>0</v>
      </c>
      <c r="V14" s="37"/>
      <c r="W14" s="37">
        <v>0</v>
      </c>
      <c r="X14" s="37"/>
      <c r="Y14" s="37">
        <v>0</v>
      </c>
      <c r="Z14" s="37"/>
      <c r="AA14" s="37">
        <v>0</v>
      </c>
      <c r="AB14" s="37"/>
      <c r="AC14" s="37">
        <v>0</v>
      </c>
      <c r="AD14" s="37"/>
      <c r="AE14" s="37">
        <v>0</v>
      </c>
      <c r="AF14" s="37"/>
      <c r="AG14" s="37">
        <v>0</v>
      </c>
      <c r="AH14" s="37"/>
      <c r="AI14" s="39">
        <f t="shared" si="1"/>
        <v>0</v>
      </c>
      <c r="AJ14" s="37"/>
      <c r="AK14" s="37">
        <v>0</v>
      </c>
      <c r="AL14" s="37"/>
      <c r="AM14" s="37">
        <v>0</v>
      </c>
      <c r="AN14" s="37"/>
      <c r="AO14" s="37">
        <v>0</v>
      </c>
      <c r="AQ14" s="44">
        <f t="shared" si="2"/>
        <v>0</v>
      </c>
      <c r="AR14" s="44"/>
      <c r="AS14" s="44">
        <f t="shared" si="3"/>
        <v>0</v>
      </c>
      <c r="AT14" s="44"/>
      <c r="AU14" s="44">
        <f t="shared" si="4"/>
        <v>0</v>
      </c>
      <c r="AV14" s="44"/>
      <c r="AW14" s="44">
        <f t="shared" si="5"/>
        <v>0</v>
      </c>
    </row>
    <row r="15" spans="1:49" s="44" customFormat="1" ht="12">
      <c r="A15" s="44" t="s">
        <v>98</v>
      </c>
      <c r="C15" s="44" t="s">
        <v>779</v>
      </c>
      <c r="E15" s="39">
        <v>534072</v>
      </c>
      <c r="F15" s="39"/>
      <c r="G15" s="39">
        <v>74416</v>
      </c>
      <c r="H15" s="39"/>
      <c r="I15" s="39">
        <v>74508</v>
      </c>
      <c r="J15" s="39"/>
      <c r="K15" s="39">
        <v>103450</v>
      </c>
      <c r="L15" s="39"/>
      <c r="M15" s="39">
        <v>-281698</v>
      </c>
      <c r="N15" s="39"/>
      <c r="O15" s="39">
        <f t="shared" si="0"/>
        <v>-281698</v>
      </c>
      <c r="P15" s="39"/>
      <c r="Q15" s="39">
        <v>93059</v>
      </c>
      <c r="R15" s="39"/>
      <c r="S15" s="39">
        <v>161369</v>
      </c>
      <c r="T15" s="39"/>
      <c r="U15" s="39">
        <v>56222</v>
      </c>
      <c r="V15" s="39"/>
      <c r="W15" s="39">
        <v>27730</v>
      </c>
      <c r="X15" s="39"/>
      <c r="Y15" s="39">
        <v>0</v>
      </c>
      <c r="Z15" s="39"/>
      <c r="AA15" s="39">
        <v>9937</v>
      </c>
      <c r="AB15" s="39"/>
      <c r="AC15" s="39">
        <v>0</v>
      </c>
      <c r="AD15" s="39"/>
      <c r="AE15" s="39">
        <v>33131</v>
      </c>
      <c r="AF15" s="39"/>
      <c r="AG15" s="39">
        <v>0</v>
      </c>
      <c r="AH15" s="39"/>
      <c r="AI15" s="39">
        <f>+Q15+S15+U15+W15+Y15+AA15+AC15+AE15+AG15</f>
        <v>381448</v>
      </c>
      <c r="AJ15" s="39"/>
      <c r="AK15" s="39">
        <v>99750</v>
      </c>
      <c r="AL15" s="39"/>
      <c r="AM15" s="39">
        <v>317340</v>
      </c>
      <c r="AN15" s="39"/>
      <c r="AO15" s="39">
        <v>417090</v>
      </c>
      <c r="AQ15" s="44">
        <f t="shared" si="2"/>
        <v>0</v>
      </c>
      <c r="AS15" s="44">
        <f>+Q15+S15+U15+W15+Y15+AA15+AC15+AE15+AG15-AI15</f>
        <v>0</v>
      </c>
      <c r="AU15" s="44">
        <f>+O15+AI15-AK15</f>
        <v>0</v>
      </c>
      <c r="AW15" s="44">
        <f>+O15+AI15+AM15-AO15</f>
        <v>0</v>
      </c>
    </row>
    <row r="16" spans="1:49" s="7" customFormat="1" ht="12" hidden="1">
      <c r="A16" s="7" t="s">
        <v>132</v>
      </c>
      <c r="C16" s="7" t="s">
        <v>791</v>
      </c>
      <c r="E16" s="37">
        <v>0</v>
      </c>
      <c r="F16" s="37"/>
      <c r="G16" s="37">
        <v>0</v>
      </c>
      <c r="H16" s="37"/>
      <c r="I16" s="37">
        <v>0</v>
      </c>
      <c r="J16" s="37"/>
      <c r="K16" s="37">
        <v>0</v>
      </c>
      <c r="L16" s="37"/>
      <c r="M16" s="37">
        <v>0</v>
      </c>
      <c r="N16" s="37"/>
      <c r="O16" s="39">
        <f t="shared" si="0"/>
        <v>0</v>
      </c>
      <c r="P16" s="37"/>
      <c r="Q16" s="37">
        <v>0</v>
      </c>
      <c r="R16" s="37"/>
      <c r="S16" s="37">
        <v>0</v>
      </c>
      <c r="T16" s="37"/>
      <c r="U16" s="37">
        <v>0</v>
      </c>
      <c r="V16" s="37"/>
      <c r="W16" s="37">
        <v>0</v>
      </c>
      <c r="X16" s="37"/>
      <c r="Y16" s="37">
        <v>0</v>
      </c>
      <c r="Z16" s="37"/>
      <c r="AA16" s="37">
        <v>0</v>
      </c>
      <c r="AB16" s="37"/>
      <c r="AC16" s="37">
        <v>0</v>
      </c>
      <c r="AD16" s="37"/>
      <c r="AE16" s="37">
        <v>0</v>
      </c>
      <c r="AF16" s="37"/>
      <c r="AG16" s="37">
        <v>0</v>
      </c>
      <c r="AH16" s="37"/>
      <c r="AI16" s="39">
        <f t="shared" si="1"/>
        <v>0</v>
      </c>
      <c r="AJ16" s="37"/>
      <c r="AK16" s="37">
        <v>0</v>
      </c>
      <c r="AL16" s="37"/>
      <c r="AM16" s="37">
        <v>0</v>
      </c>
      <c r="AN16" s="37"/>
      <c r="AO16" s="37">
        <v>0</v>
      </c>
      <c r="AQ16" s="44">
        <f t="shared" si="2"/>
        <v>0</v>
      </c>
      <c r="AR16" s="44"/>
      <c r="AS16" s="44">
        <f t="shared" si="3"/>
        <v>0</v>
      </c>
      <c r="AT16" s="44"/>
      <c r="AU16" s="44">
        <f t="shared" si="4"/>
        <v>0</v>
      </c>
      <c r="AV16" s="44"/>
      <c r="AW16" s="44">
        <f t="shared" si="5"/>
        <v>0</v>
      </c>
    </row>
    <row r="17" spans="1:49" s="7" customFormat="1" ht="12" hidden="1">
      <c r="A17" s="7" t="s">
        <v>208</v>
      </c>
      <c r="C17" s="7" t="s">
        <v>814</v>
      </c>
      <c r="E17" s="37">
        <v>0</v>
      </c>
      <c r="F17" s="37"/>
      <c r="G17" s="37">
        <v>0</v>
      </c>
      <c r="H17" s="37"/>
      <c r="I17" s="37">
        <v>0</v>
      </c>
      <c r="J17" s="37"/>
      <c r="K17" s="37">
        <v>0</v>
      </c>
      <c r="L17" s="37"/>
      <c r="M17" s="37">
        <v>0</v>
      </c>
      <c r="N17" s="37"/>
      <c r="O17" s="39">
        <f t="shared" si="0"/>
        <v>0</v>
      </c>
      <c r="P17" s="37"/>
      <c r="Q17" s="37">
        <v>0</v>
      </c>
      <c r="R17" s="37"/>
      <c r="S17" s="37">
        <v>0</v>
      </c>
      <c r="T17" s="37"/>
      <c r="U17" s="37">
        <v>0</v>
      </c>
      <c r="V17" s="37"/>
      <c r="W17" s="37">
        <v>0</v>
      </c>
      <c r="X17" s="37"/>
      <c r="Y17" s="37">
        <v>0</v>
      </c>
      <c r="Z17" s="37"/>
      <c r="AA17" s="37">
        <v>0</v>
      </c>
      <c r="AB17" s="37"/>
      <c r="AC17" s="37">
        <v>0</v>
      </c>
      <c r="AD17" s="37"/>
      <c r="AE17" s="37">
        <v>0</v>
      </c>
      <c r="AF17" s="37"/>
      <c r="AG17" s="37">
        <v>0</v>
      </c>
      <c r="AH17" s="37"/>
      <c r="AI17" s="39">
        <f t="shared" si="1"/>
        <v>0</v>
      </c>
      <c r="AJ17" s="37"/>
      <c r="AK17" s="37">
        <v>0</v>
      </c>
      <c r="AL17" s="37"/>
      <c r="AM17" s="37">
        <v>0</v>
      </c>
      <c r="AN17" s="37"/>
      <c r="AO17" s="37">
        <v>0</v>
      </c>
      <c r="AQ17" s="44">
        <f t="shared" si="2"/>
        <v>0</v>
      </c>
      <c r="AR17" s="44"/>
      <c r="AS17" s="44">
        <f t="shared" si="3"/>
        <v>0</v>
      </c>
      <c r="AT17" s="44"/>
      <c r="AU17" s="44">
        <f t="shared" si="4"/>
        <v>0</v>
      </c>
      <c r="AV17" s="44"/>
      <c r="AW17" s="44">
        <f t="shared" si="5"/>
        <v>0</v>
      </c>
    </row>
    <row r="18" spans="1:49" s="7" customFormat="1" ht="12" hidden="1">
      <c r="A18" s="7" t="s">
        <v>143</v>
      </c>
      <c r="C18" s="7" t="s">
        <v>795</v>
      </c>
      <c r="E18" s="37">
        <v>0</v>
      </c>
      <c r="F18" s="37"/>
      <c r="G18" s="37">
        <v>0</v>
      </c>
      <c r="H18" s="37"/>
      <c r="I18" s="37">
        <v>0</v>
      </c>
      <c r="J18" s="37"/>
      <c r="K18" s="37">
        <v>0</v>
      </c>
      <c r="L18" s="37"/>
      <c r="M18" s="37">
        <v>0</v>
      </c>
      <c r="N18" s="37"/>
      <c r="O18" s="39">
        <f t="shared" si="0"/>
        <v>0</v>
      </c>
      <c r="P18" s="37"/>
      <c r="Q18" s="37">
        <v>0</v>
      </c>
      <c r="R18" s="37"/>
      <c r="S18" s="37">
        <v>0</v>
      </c>
      <c r="T18" s="37"/>
      <c r="U18" s="37">
        <v>0</v>
      </c>
      <c r="V18" s="37"/>
      <c r="W18" s="37">
        <v>0</v>
      </c>
      <c r="X18" s="37"/>
      <c r="Y18" s="37">
        <v>0</v>
      </c>
      <c r="Z18" s="37"/>
      <c r="AA18" s="37">
        <v>0</v>
      </c>
      <c r="AB18" s="37"/>
      <c r="AC18" s="37">
        <v>0</v>
      </c>
      <c r="AD18" s="37"/>
      <c r="AE18" s="37">
        <v>0</v>
      </c>
      <c r="AF18" s="37"/>
      <c r="AG18" s="37">
        <v>0</v>
      </c>
      <c r="AH18" s="37"/>
      <c r="AI18" s="39">
        <f t="shared" si="1"/>
        <v>0</v>
      </c>
      <c r="AJ18" s="37"/>
      <c r="AK18" s="37">
        <v>0</v>
      </c>
      <c r="AL18" s="37"/>
      <c r="AM18" s="37">
        <v>0</v>
      </c>
      <c r="AN18" s="37"/>
      <c r="AO18" s="37">
        <v>0</v>
      </c>
      <c r="AP18" s="44"/>
      <c r="AQ18" s="44">
        <f t="shared" si="2"/>
        <v>0</v>
      </c>
      <c r="AR18" s="44"/>
      <c r="AS18" s="44">
        <f t="shared" si="3"/>
        <v>0</v>
      </c>
      <c r="AT18" s="44"/>
      <c r="AU18" s="44">
        <f t="shared" si="4"/>
        <v>0</v>
      </c>
      <c r="AV18" s="44"/>
      <c r="AW18" s="44">
        <f t="shared" si="5"/>
        <v>0</v>
      </c>
    </row>
    <row r="19" spans="1:49" s="7" customFormat="1" ht="12">
      <c r="A19" s="7" t="s">
        <v>315</v>
      </c>
      <c r="C19" s="7" t="s">
        <v>316</v>
      </c>
      <c r="E19" s="37">
        <v>1751299</v>
      </c>
      <c r="F19" s="37"/>
      <c r="G19" s="37">
        <v>44481</v>
      </c>
      <c r="H19" s="37"/>
      <c r="I19" s="37">
        <v>0</v>
      </c>
      <c r="J19" s="37"/>
      <c r="K19" s="37">
        <v>182642</v>
      </c>
      <c r="L19" s="37"/>
      <c r="M19" s="37">
        <v>-1524176</v>
      </c>
      <c r="N19" s="37"/>
      <c r="O19" s="39">
        <f>-E19+G19+I19+K19</f>
        <v>-1524176</v>
      </c>
      <c r="P19" s="37"/>
      <c r="Q19" s="37">
        <v>423831</v>
      </c>
      <c r="R19" s="37"/>
      <c r="S19" s="37">
        <v>1146578</v>
      </c>
      <c r="T19" s="37"/>
      <c r="U19" s="37">
        <v>135414</v>
      </c>
      <c r="V19" s="37"/>
      <c r="W19" s="37">
        <v>64192</v>
      </c>
      <c r="X19" s="37"/>
      <c r="Y19" s="37">
        <v>13184</v>
      </c>
      <c r="Z19" s="37"/>
      <c r="AA19" s="37">
        <v>12279</v>
      </c>
      <c r="AB19" s="37"/>
      <c r="AC19" s="37">
        <v>0</v>
      </c>
      <c r="AD19" s="37"/>
      <c r="AE19" s="37">
        <v>0</v>
      </c>
      <c r="AF19" s="37"/>
      <c r="AG19" s="37">
        <v>-60000</v>
      </c>
      <c r="AH19" s="37"/>
      <c r="AI19" s="37">
        <f>+Q19+S19+U19+W19+Y19+AA19+AC19+AE19+AG19</f>
        <v>1735478</v>
      </c>
      <c r="AJ19" s="37"/>
      <c r="AK19" s="37">
        <v>211302</v>
      </c>
      <c r="AL19" s="37"/>
      <c r="AM19" s="37">
        <v>1516345</v>
      </c>
      <c r="AN19" s="37"/>
      <c r="AO19" s="37">
        <v>1727647</v>
      </c>
      <c r="AQ19" s="44">
        <f>+M19-O19</f>
        <v>0</v>
      </c>
      <c r="AR19" s="44"/>
      <c r="AS19" s="44">
        <f>+Q19+S19+U19+W19+Y19+AA19+AC19+AE19+AG19-AI19</f>
        <v>0</v>
      </c>
      <c r="AT19" s="44"/>
      <c r="AU19" s="44">
        <f>+O19+AI19-AK19</f>
        <v>0</v>
      </c>
      <c r="AV19" s="44"/>
      <c r="AW19" s="44">
        <f>+O19+AI19+AM19-AO19</f>
        <v>0</v>
      </c>
    </row>
    <row r="20" spans="1:49" s="7" customFormat="1" ht="12" hidden="1">
      <c r="A20" s="7" t="s">
        <v>15</v>
      </c>
      <c r="C20" s="7" t="s">
        <v>755</v>
      </c>
      <c r="E20" s="37">
        <v>0</v>
      </c>
      <c r="F20" s="37"/>
      <c r="G20" s="37">
        <v>0</v>
      </c>
      <c r="H20" s="37"/>
      <c r="I20" s="37">
        <v>0</v>
      </c>
      <c r="J20" s="37"/>
      <c r="K20" s="37">
        <v>0</v>
      </c>
      <c r="L20" s="37"/>
      <c r="M20" s="37">
        <v>0</v>
      </c>
      <c r="N20" s="37"/>
      <c r="O20" s="39">
        <f t="shared" si="0"/>
        <v>0</v>
      </c>
      <c r="P20" s="37"/>
      <c r="Q20" s="37">
        <v>0</v>
      </c>
      <c r="R20" s="37"/>
      <c r="S20" s="37">
        <v>0</v>
      </c>
      <c r="T20" s="37"/>
      <c r="U20" s="37">
        <v>0</v>
      </c>
      <c r="V20" s="37"/>
      <c r="W20" s="37">
        <v>0</v>
      </c>
      <c r="X20" s="37"/>
      <c r="Y20" s="37">
        <v>0</v>
      </c>
      <c r="Z20" s="37"/>
      <c r="AA20" s="37">
        <v>0</v>
      </c>
      <c r="AB20" s="37"/>
      <c r="AC20" s="37">
        <v>0</v>
      </c>
      <c r="AD20" s="37"/>
      <c r="AE20" s="37">
        <v>0</v>
      </c>
      <c r="AF20" s="37"/>
      <c r="AG20" s="37">
        <v>0</v>
      </c>
      <c r="AH20" s="37"/>
      <c r="AI20" s="37">
        <f t="shared" si="1"/>
        <v>0</v>
      </c>
      <c r="AJ20" s="37"/>
      <c r="AK20" s="37">
        <v>0</v>
      </c>
      <c r="AL20" s="37"/>
      <c r="AM20" s="37">
        <v>0</v>
      </c>
      <c r="AN20" s="37"/>
      <c r="AO20" s="37">
        <v>0</v>
      </c>
      <c r="AQ20" s="44">
        <f t="shared" si="2"/>
        <v>0</v>
      </c>
      <c r="AR20" s="44"/>
      <c r="AS20" s="44">
        <f t="shared" si="3"/>
        <v>0</v>
      </c>
      <c r="AT20" s="44"/>
      <c r="AU20" s="44">
        <f t="shared" si="4"/>
        <v>0</v>
      </c>
      <c r="AV20" s="44"/>
      <c r="AW20" s="44">
        <f t="shared" si="5"/>
        <v>0</v>
      </c>
    </row>
    <row r="21" spans="1:49" s="7" customFormat="1" ht="12">
      <c r="A21" s="7" t="s">
        <v>589</v>
      </c>
      <c r="C21" s="7" t="s">
        <v>590</v>
      </c>
      <c r="E21" s="37">
        <v>734188</v>
      </c>
      <c r="F21" s="37"/>
      <c r="G21" s="37">
        <v>176228</v>
      </c>
      <c r="H21" s="37"/>
      <c r="I21" s="37">
        <v>55939</v>
      </c>
      <c r="J21" s="37"/>
      <c r="K21" s="37">
        <v>0</v>
      </c>
      <c r="L21" s="37"/>
      <c r="M21" s="37">
        <v>-502021</v>
      </c>
      <c r="N21" s="37"/>
      <c r="O21" s="39">
        <f t="shared" si="0"/>
        <v>-502021</v>
      </c>
      <c r="P21" s="37"/>
      <c r="Q21" s="37">
        <f>58027+100032</f>
        <v>158059</v>
      </c>
      <c r="R21" s="37"/>
      <c r="S21" s="37">
        <v>272981</v>
      </c>
      <c r="T21" s="37"/>
      <c r="U21" s="37">
        <v>0</v>
      </c>
      <c r="V21" s="37"/>
      <c r="W21" s="37">
        <v>0</v>
      </c>
      <c r="X21" s="37"/>
      <c r="Y21" s="37">
        <v>0</v>
      </c>
      <c r="Z21" s="37"/>
      <c r="AA21" s="37">
        <v>21952</v>
      </c>
      <c r="AB21" s="37"/>
      <c r="AC21" s="37">
        <v>0</v>
      </c>
      <c r="AD21" s="37"/>
      <c r="AE21" s="37">
        <v>7830</v>
      </c>
      <c r="AF21" s="37"/>
      <c r="AG21" s="37">
        <v>0</v>
      </c>
      <c r="AH21" s="37"/>
      <c r="AI21" s="37">
        <f t="shared" si="1"/>
        <v>460822</v>
      </c>
      <c r="AJ21" s="37"/>
      <c r="AK21" s="37">
        <v>-41199</v>
      </c>
      <c r="AL21" s="37"/>
      <c r="AM21" s="37">
        <v>440507</v>
      </c>
      <c r="AN21" s="37"/>
      <c r="AO21" s="37">
        <v>399308</v>
      </c>
      <c r="AQ21" s="44">
        <f t="shared" si="2"/>
        <v>0</v>
      </c>
      <c r="AR21" s="44"/>
      <c r="AS21" s="44">
        <f t="shared" si="3"/>
        <v>0</v>
      </c>
      <c r="AT21" s="44"/>
      <c r="AU21" s="44">
        <f t="shared" si="4"/>
        <v>0</v>
      </c>
      <c r="AV21" s="44"/>
      <c r="AW21" s="44">
        <f t="shared" si="5"/>
        <v>0</v>
      </c>
    </row>
    <row r="22" spans="1:49" s="7" customFormat="1" ht="12">
      <c r="A22" s="7" t="s">
        <v>901</v>
      </c>
      <c r="C22" s="7" t="s">
        <v>714</v>
      </c>
      <c r="E22" s="37">
        <v>4955568</v>
      </c>
      <c r="F22" s="37"/>
      <c r="G22" s="37">
        <v>277482</v>
      </c>
      <c r="H22" s="37"/>
      <c r="I22" s="37">
        <v>484838</v>
      </c>
      <c r="J22" s="37"/>
      <c r="K22" s="37">
        <v>43180</v>
      </c>
      <c r="L22" s="37"/>
      <c r="M22" s="37">
        <v>-4150068</v>
      </c>
      <c r="N22" s="37"/>
      <c r="O22" s="39">
        <f>-E22+G22+I22+K22</f>
        <v>-4150068</v>
      </c>
      <c r="P22" s="37"/>
      <c r="Q22" s="37">
        <f>201663+28524</f>
        <v>230187</v>
      </c>
      <c r="R22" s="37"/>
      <c r="S22" s="37">
        <v>1864665</v>
      </c>
      <c r="T22" s="37"/>
      <c r="U22" s="37">
        <v>0</v>
      </c>
      <c r="V22" s="37"/>
      <c r="W22" s="37">
        <v>130957</v>
      </c>
      <c r="X22" s="37"/>
      <c r="Y22" s="37">
        <v>32471</v>
      </c>
      <c r="Z22" s="37"/>
      <c r="AA22" s="37">
        <f>32251+19862</f>
        <v>52113</v>
      </c>
      <c r="AB22" s="37"/>
      <c r="AC22" s="37">
        <v>0</v>
      </c>
      <c r="AD22" s="37"/>
      <c r="AE22" s="37">
        <f>-194884-2250</f>
        <v>-197134</v>
      </c>
      <c r="AF22" s="37"/>
      <c r="AG22" s="37">
        <v>6363</v>
      </c>
      <c r="AH22" s="37"/>
      <c r="AI22" s="37">
        <f>+Q22+S22+U22+W22+Y22+AA22+AC22+AE22+AG22</f>
        <v>2119622</v>
      </c>
      <c r="AJ22" s="37"/>
      <c r="AK22" s="37">
        <v>-2030446</v>
      </c>
      <c r="AL22" s="37"/>
      <c r="AM22" s="37">
        <v>5094471</v>
      </c>
      <c r="AN22" s="37"/>
      <c r="AO22" s="37">
        <v>3064025</v>
      </c>
      <c r="AQ22" s="44">
        <f>+M22-O22</f>
        <v>0</v>
      </c>
      <c r="AR22" s="44"/>
      <c r="AS22" s="44">
        <f>+Q22+S22+U22+W22+Y22+AA22+AC22+AE22+AG22-AI22</f>
        <v>0</v>
      </c>
      <c r="AT22" s="44"/>
      <c r="AU22" s="44">
        <f>+O22+AI22-AK22</f>
        <v>0</v>
      </c>
      <c r="AV22" s="44"/>
      <c r="AW22" s="44">
        <f>+O22+AI22+AM22-AO22</f>
        <v>0</v>
      </c>
    </row>
    <row r="23" spans="1:49" s="7" customFormat="1" ht="12">
      <c r="A23" s="7" t="s">
        <v>318</v>
      </c>
      <c r="C23" s="7" t="s">
        <v>316</v>
      </c>
      <c r="E23" s="37">
        <v>6692527</v>
      </c>
      <c r="F23" s="37"/>
      <c r="G23" s="37">
        <v>205672</v>
      </c>
      <c r="H23" s="37"/>
      <c r="I23" s="37">
        <v>160228</v>
      </c>
      <c r="J23" s="37"/>
      <c r="K23" s="37">
        <v>759570</v>
      </c>
      <c r="L23" s="37"/>
      <c r="M23" s="37">
        <v>-5567057</v>
      </c>
      <c r="N23" s="37"/>
      <c r="O23" s="39">
        <f>-E23+G23+I23+K23</f>
        <v>-5567057</v>
      </c>
      <c r="P23" s="37"/>
      <c r="Q23" s="37">
        <f>355880+82794+26040+84843</f>
        <v>549557</v>
      </c>
      <c r="R23" s="37"/>
      <c r="S23" s="37">
        <v>4950229</v>
      </c>
      <c r="T23" s="37"/>
      <c r="U23" s="37">
        <v>184265</v>
      </c>
      <c r="V23" s="37"/>
      <c r="W23" s="37">
        <v>150322</v>
      </c>
      <c r="X23" s="37"/>
      <c r="Y23" s="37">
        <v>0</v>
      </c>
      <c r="Z23" s="37"/>
      <c r="AA23" s="37">
        <v>11248</v>
      </c>
      <c r="AB23" s="37"/>
      <c r="AC23" s="37">
        <v>11750</v>
      </c>
      <c r="AD23" s="37"/>
      <c r="AE23" s="37">
        <v>150</v>
      </c>
      <c r="AF23" s="37"/>
      <c r="AG23" s="37">
        <f>-388738+12271</f>
        <v>-376467</v>
      </c>
      <c r="AH23" s="37"/>
      <c r="AI23" s="37">
        <f>+Q23+S23+U23+W23+Y23+AA23+AC23+AE23+AG23</f>
        <v>5481054</v>
      </c>
      <c r="AJ23" s="37"/>
      <c r="AK23" s="37">
        <v>-86003</v>
      </c>
      <c r="AL23" s="37"/>
      <c r="AM23" s="37">
        <v>5618400</v>
      </c>
      <c r="AN23" s="37"/>
      <c r="AO23" s="37">
        <v>5532397</v>
      </c>
      <c r="AQ23" s="44">
        <f>+M23-O23</f>
        <v>0</v>
      </c>
      <c r="AR23" s="44"/>
      <c r="AS23" s="44">
        <f>+Q23+S23+U23+W23+Y23+AA23+AC23+AE23+AG23-AI23</f>
        <v>0</v>
      </c>
      <c r="AT23" s="44"/>
      <c r="AU23" s="44">
        <f>+O23+AI23-AK23</f>
        <v>0</v>
      </c>
      <c r="AV23" s="44"/>
      <c r="AW23" s="44">
        <f>+O23+AI23+AM23-AO23</f>
        <v>0</v>
      </c>
    </row>
    <row r="24" spans="1:49" s="7" customFormat="1" ht="12" hidden="1">
      <c r="A24" s="7" t="s">
        <v>130</v>
      </c>
      <c r="C24" s="7" t="s">
        <v>790</v>
      </c>
      <c r="E24" s="37">
        <v>0</v>
      </c>
      <c r="F24" s="37"/>
      <c r="G24" s="37">
        <v>0</v>
      </c>
      <c r="H24" s="37"/>
      <c r="I24" s="37">
        <v>0</v>
      </c>
      <c r="J24" s="37"/>
      <c r="K24" s="37">
        <v>0</v>
      </c>
      <c r="L24" s="37"/>
      <c r="M24" s="37">
        <v>0</v>
      </c>
      <c r="N24" s="37"/>
      <c r="O24" s="39">
        <f t="shared" si="0"/>
        <v>0</v>
      </c>
      <c r="P24" s="37"/>
      <c r="Q24" s="37">
        <v>0</v>
      </c>
      <c r="R24" s="37"/>
      <c r="S24" s="37">
        <v>0</v>
      </c>
      <c r="T24" s="37"/>
      <c r="U24" s="37">
        <v>0</v>
      </c>
      <c r="V24" s="37"/>
      <c r="W24" s="37">
        <v>0</v>
      </c>
      <c r="X24" s="37"/>
      <c r="Y24" s="37">
        <v>0</v>
      </c>
      <c r="Z24" s="37"/>
      <c r="AA24" s="37">
        <v>0</v>
      </c>
      <c r="AB24" s="37"/>
      <c r="AC24" s="37">
        <v>0</v>
      </c>
      <c r="AD24" s="37"/>
      <c r="AE24" s="37">
        <v>0</v>
      </c>
      <c r="AF24" s="37"/>
      <c r="AG24" s="37">
        <v>0</v>
      </c>
      <c r="AH24" s="37"/>
      <c r="AI24" s="37">
        <f t="shared" si="1"/>
        <v>0</v>
      </c>
      <c r="AJ24" s="37"/>
      <c r="AK24" s="37">
        <v>0</v>
      </c>
      <c r="AL24" s="37"/>
      <c r="AM24" s="37">
        <v>0</v>
      </c>
      <c r="AN24" s="37"/>
      <c r="AO24" s="37">
        <v>0</v>
      </c>
      <c r="AQ24" s="44">
        <f t="shared" si="2"/>
        <v>0</v>
      </c>
      <c r="AR24" s="44"/>
      <c r="AS24" s="44">
        <f t="shared" si="3"/>
        <v>0</v>
      </c>
      <c r="AT24" s="44"/>
      <c r="AU24" s="44">
        <f t="shared" si="4"/>
        <v>0</v>
      </c>
      <c r="AV24" s="44"/>
      <c r="AW24" s="44">
        <f t="shared" si="5"/>
        <v>0</v>
      </c>
    </row>
    <row r="25" spans="1:49" s="7" customFormat="1" ht="12" hidden="1">
      <c r="A25" s="7" t="s">
        <v>241</v>
      </c>
      <c r="C25" s="7" t="s">
        <v>826</v>
      </c>
      <c r="E25" s="37">
        <v>0</v>
      </c>
      <c r="F25" s="37"/>
      <c r="G25" s="37">
        <v>0</v>
      </c>
      <c r="H25" s="37"/>
      <c r="I25" s="37">
        <v>0</v>
      </c>
      <c r="J25" s="37"/>
      <c r="K25" s="37">
        <v>0</v>
      </c>
      <c r="L25" s="37"/>
      <c r="M25" s="37">
        <v>0</v>
      </c>
      <c r="N25" s="37"/>
      <c r="O25" s="39">
        <f t="shared" si="0"/>
        <v>0</v>
      </c>
      <c r="P25" s="37"/>
      <c r="Q25" s="37">
        <v>0</v>
      </c>
      <c r="R25" s="37"/>
      <c r="S25" s="37">
        <v>0</v>
      </c>
      <c r="T25" s="37"/>
      <c r="U25" s="37">
        <v>0</v>
      </c>
      <c r="V25" s="37"/>
      <c r="W25" s="37">
        <v>0</v>
      </c>
      <c r="X25" s="37"/>
      <c r="Y25" s="37">
        <v>0</v>
      </c>
      <c r="Z25" s="37"/>
      <c r="AA25" s="37">
        <v>0</v>
      </c>
      <c r="AB25" s="37"/>
      <c r="AC25" s="37">
        <v>0</v>
      </c>
      <c r="AD25" s="37"/>
      <c r="AE25" s="37">
        <v>0</v>
      </c>
      <c r="AF25" s="37"/>
      <c r="AG25" s="37">
        <v>0</v>
      </c>
      <c r="AH25" s="37"/>
      <c r="AI25" s="37">
        <f t="shared" si="1"/>
        <v>0</v>
      </c>
      <c r="AJ25" s="37"/>
      <c r="AK25" s="37">
        <v>0</v>
      </c>
      <c r="AL25" s="37"/>
      <c r="AM25" s="37">
        <v>0</v>
      </c>
      <c r="AN25" s="37"/>
      <c r="AO25" s="37">
        <v>0</v>
      </c>
      <c r="AQ25" s="44">
        <f t="shared" si="2"/>
        <v>0</v>
      </c>
      <c r="AR25" s="44"/>
      <c r="AS25" s="44">
        <f t="shared" si="3"/>
        <v>0</v>
      </c>
      <c r="AT25" s="44"/>
      <c r="AU25" s="44">
        <f t="shared" si="4"/>
        <v>0</v>
      </c>
      <c r="AV25" s="44"/>
      <c r="AW25" s="44">
        <f t="shared" si="5"/>
        <v>0</v>
      </c>
    </row>
    <row r="26" spans="1:49" s="7" customFormat="1" ht="12" hidden="1">
      <c r="A26" s="7" t="s">
        <v>86</v>
      </c>
      <c r="C26" s="7" t="s">
        <v>777</v>
      </c>
      <c r="E26" s="37">
        <v>0</v>
      </c>
      <c r="F26" s="37"/>
      <c r="G26" s="37">
        <v>0</v>
      </c>
      <c r="H26" s="37"/>
      <c r="I26" s="37">
        <v>0</v>
      </c>
      <c r="J26" s="37"/>
      <c r="K26" s="37">
        <v>0</v>
      </c>
      <c r="L26" s="37"/>
      <c r="M26" s="37">
        <v>0</v>
      </c>
      <c r="N26" s="37"/>
      <c r="O26" s="39">
        <f t="shared" si="0"/>
        <v>0</v>
      </c>
      <c r="P26" s="37"/>
      <c r="Q26" s="37">
        <v>0</v>
      </c>
      <c r="R26" s="37"/>
      <c r="S26" s="37">
        <v>0</v>
      </c>
      <c r="T26" s="37"/>
      <c r="U26" s="37">
        <v>0</v>
      </c>
      <c r="V26" s="37"/>
      <c r="W26" s="37">
        <v>0</v>
      </c>
      <c r="X26" s="37"/>
      <c r="Y26" s="37">
        <v>0</v>
      </c>
      <c r="Z26" s="37"/>
      <c r="AA26" s="37">
        <v>0</v>
      </c>
      <c r="AB26" s="37"/>
      <c r="AC26" s="37">
        <v>0</v>
      </c>
      <c r="AD26" s="37"/>
      <c r="AE26" s="37">
        <v>0</v>
      </c>
      <c r="AF26" s="37"/>
      <c r="AG26" s="37">
        <v>0</v>
      </c>
      <c r="AH26" s="37"/>
      <c r="AI26" s="37">
        <f t="shared" si="1"/>
        <v>0</v>
      </c>
      <c r="AJ26" s="37"/>
      <c r="AK26" s="37">
        <v>0</v>
      </c>
      <c r="AL26" s="37"/>
      <c r="AM26" s="37">
        <v>0</v>
      </c>
      <c r="AN26" s="37"/>
      <c r="AO26" s="37">
        <v>0</v>
      </c>
      <c r="AQ26" s="44">
        <f t="shared" si="2"/>
        <v>0</v>
      </c>
      <c r="AR26" s="44"/>
      <c r="AS26" s="44">
        <f t="shared" si="3"/>
        <v>0</v>
      </c>
      <c r="AT26" s="44"/>
      <c r="AU26" s="44">
        <f t="shared" si="4"/>
        <v>0</v>
      </c>
      <c r="AV26" s="44"/>
      <c r="AW26" s="44">
        <f t="shared" si="5"/>
        <v>0</v>
      </c>
    </row>
    <row r="27" spans="1:49" s="7" customFormat="1" ht="12" hidden="1">
      <c r="A27" s="7" t="s">
        <v>177</v>
      </c>
      <c r="C27" s="7" t="s">
        <v>806</v>
      </c>
      <c r="E27" s="37">
        <v>0</v>
      </c>
      <c r="F27" s="37"/>
      <c r="G27" s="37">
        <v>0</v>
      </c>
      <c r="H27" s="37"/>
      <c r="I27" s="37">
        <v>0</v>
      </c>
      <c r="J27" s="37"/>
      <c r="K27" s="37">
        <v>0</v>
      </c>
      <c r="L27" s="37"/>
      <c r="M27" s="37">
        <v>0</v>
      </c>
      <c r="N27" s="37"/>
      <c r="O27" s="39">
        <f t="shared" si="0"/>
        <v>0</v>
      </c>
      <c r="P27" s="37"/>
      <c r="Q27" s="37">
        <v>0</v>
      </c>
      <c r="R27" s="37"/>
      <c r="S27" s="37">
        <v>0</v>
      </c>
      <c r="T27" s="37"/>
      <c r="U27" s="37">
        <v>0</v>
      </c>
      <c r="V27" s="37"/>
      <c r="W27" s="37">
        <v>0</v>
      </c>
      <c r="X27" s="37"/>
      <c r="Y27" s="37">
        <v>0</v>
      </c>
      <c r="Z27" s="37"/>
      <c r="AA27" s="37">
        <v>0</v>
      </c>
      <c r="AB27" s="37"/>
      <c r="AC27" s="37">
        <v>0</v>
      </c>
      <c r="AD27" s="37"/>
      <c r="AE27" s="37">
        <v>0</v>
      </c>
      <c r="AF27" s="37"/>
      <c r="AG27" s="37">
        <v>0</v>
      </c>
      <c r="AH27" s="37"/>
      <c r="AI27" s="37">
        <f t="shared" si="1"/>
        <v>0</v>
      </c>
      <c r="AJ27" s="37"/>
      <c r="AK27" s="37">
        <v>0</v>
      </c>
      <c r="AL27" s="37"/>
      <c r="AM27" s="37">
        <v>0</v>
      </c>
      <c r="AN27" s="37"/>
      <c r="AO27" s="37">
        <v>0</v>
      </c>
      <c r="AQ27" s="44">
        <f t="shared" si="2"/>
        <v>0</v>
      </c>
      <c r="AR27" s="44"/>
      <c r="AS27" s="44">
        <f t="shared" si="3"/>
        <v>0</v>
      </c>
      <c r="AT27" s="44"/>
      <c r="AU27" s="44">
        <f t="shared" si="4"/>
        <v>0</v>
      </c>
      <c r="AV27" s="44"/>
      <c r="AW27" s="44">
        <f t="shared" si="5"/>
        <v>0</v>
      </c>
    </row>
    <row r="28" spans="1:49" s="7" customFormat="1" ht="12">
      <c r="A28" s="7" t="s">
        <v>352</v>
      </c>
      <c r="C28" s="7" t="s">
        <v>773</v>
      </c>
      <c r="E28" s="37">
        <v>13593802</v>
      </c>
      <c r="F28" s="37"/>
      <c r="G28" s="37">
        <v>690593</v>
      </c>
      <c r="H28" s="37"/>
      <c r="I28" s="37">
        <v>335910</v>
      </c>
      <c r="J28" s="37"/>
      <c r="K28" s="37">
        <v>594938</v>
      </c>
      <c r="L28" s="37"/>
      <c r="M28" s="37">
        <v>-11972361</v>
      </c>
      <c r="N28" s="37"/>
      <c r="O28" s="39">
        <f>-E28+G28+I28+K28</f>
        <v>-11972361</v>
      </c>
      <c r="P28" s="37"/>
      <c r="Q28" s="37">
        <f>415077+48669</f>
        <v>463746</v>
      </c>
      <c r="R28" s="37"/>
      <c r="S28" s="37">
        <v>4190233</v>
      </c>
      <c r="T28" s="37"/>
      <c r="U28" s="37">
        <v>350897</v>
      </c>
      <c r="V28" s="37"/>
      <c r="W28" s="37">
        <v>381841</v>
      </c>
      <c r="X28" s="37"/>
      <c r="Y28" s="37">
        <v>0</v>
      </c>
      <c r="Z28" s="37"/>
      <c r="AA28" s="37">
        <v>69161</v>
      </c>
      <c r="AB28" s="37"/>
      <c r="AC28" s="37">
        <f>5790000+456000</f>
        <v>6246000</v>
      </c>
      <c r="AD28" s="37"/>
      <c r="AE28" s="37">
        <v>0</v>
      </c>
      <c r="AF28" s="37"/>
      <c r="AG28" s="37">
        <v>0</v>
      </c>
      <c r="AH28" s="37"/>
      <c r="AI28" s="37">
        <f>+Q28+S28+U28+W28+Y28+AA28+AC28+AE28+AG28</f>
        <v>11701878</v>
      </c>
      <c r="AJ28" s="37"/>
      <c r="AK28" s="37">
        <v>-270483</v>
      </c>
      <c r="AL28" s="37"/>
      <c r="AM28" s="37">
        <v>3375073</v>
      </c>
      <c r="AN28" s="37"/>
      <c r="AO28" s="37">
        <v>3104590</v>
      </c>
      <c r="AQ28" s="44">
        <f>+M28-O28</f>
        <v>0</v>
      </c>
      <c r="AR28" s="44"/>
      <c r="AS28" s="44">
        <f>+Q28+S28+U28+W28+Y28+AA28+AC28+AE28+AG28-AI28</f>
        <v>0</v>
      </c>
      <c r="AT28" s="44"/>
      <c r="AU28" s="44">
        <f>+O28+AI28-AK28</f>
        <v>0</v>
      </c>
      <c r="AV28" s="44"/>
      <c r="AW28" s="44">
        <f>+O28+AI28+AM28-AO28</f>
        <v>0</v>
      </c>
    </row>
    <row r="29" spans="1:49" s="7" customFormat="1" ht="12" hidden="1">
      <c r="A29" s="7" t="s">
        <v>170</v>
      </c>
      <c r="C29" s="7" t="s">
        <v>804</v>
      </c>
      <c r="E29" s="37">
        <v>0</v>
      </c>
      <c r="F29" s="37"/>
      <c r="G29" s="37">
        <v>0</v>
      </c>
      <c r="H29" s="37"/>
      <c r="I29" s="37">
        <v>0</v>
      </c>
      <c r="J29" s="37"/>
      <c r="K29" s="37">
        <v>0</v>
      </c>
      <c r="L29" s="37"/>
      <c r="M29" s="37">
        <v>0</v>
      </c>
      <c r="N29" s="37"/>
      <c r="O29" s="39">
        <f t="shared" si="0"/>
        <v>0</v>
      </c>
      <c r="P29" s="37"/>
      <c r="Q29" s="37">
        <v>0</v>
      </c>
      <c r="R29" s="37"/>
      <c r="S29" s="37">
        <v>0</v>
      </c>
      <c r="T29" s="37"/>
      <c r="U29" s="37">
        <v>0</v>
      </c>
      <c r="V29" s="37"/>
      <c r="W29" s="37">
        <v>0</v>
      </c>
      <c r="X29" s="37"/>
      <c r="Y29" s="37">
        <v>0</v>
      </c>
      <c r="Z29" s="37"/>
      <c r="AA29" s="37">
        <v>0</v>
      </c>
      <c r="AB29" s="37"/>
      <c r="AC29" s="37">
        <v>0</v>
      </c>
      <c r="AD29" s="37"/>
      <c r="AE29" s="37">
        <v>0</v>
      </c>
      <c r="AF29" s="37"/>
      <c r="AG29" s="37">
        <v>0</v>
      </c>
      <c r="AH29" s="37"/>
      <c r="AI29" s="37">
        <f t="shared" si="1"/>
        <v>0</v>
      </c>
      <c r="AJ29" s="37"/>
      <c r="AK29" s="37">
        <v>0</v>
      </c>
      <c r="AL29" s="37"/>
      <c r="AM29" s="37">
        <v>0</v>
      </c>
      <c r="AN29" s="37"/>
      <c r="AO29" s="37">
        <v>0</v>
      </c>
      <c r="AQ29" s="44">
        <f t="shared" si="2"/>
        <v>0</v>
      </c>
      <c r="AR29" s="44"/>
      <c r="AS29" s="44">
        <f t="shared" si="3"/>
        <v>0</v>
      </c>
      <c r="AT29" s="44"/>
      <c r="AU29" s="44">
        <f t="shared" si="4"/>
        <v>0</v>
      </c>
      <c r="AV29" s="44"/>
      <c r="AW29" s="44">
        <f t="shared" si="5"/>
        <v>0</v>
      </c>
    </row>
    <row r="30" spans="1:49" s="7" customFormat="1" ht="12">
      <c r="A30" s="7" t="s">
        <v>613</v>
      </c>
      <c r="C30" s="7" t="s">
        <v>614</v>
      </c>
      <c r="E30" s="37">
        <v>2458150</v>
      </c>
      <c r="F30" s="37"/>
      <c r="G30" s="37">
        <v>124090</v>
      </c>
      <c r="H30" s="37"/>
      <c r="I30" s="37">
        <v>323827</v>
      </c>
      <c r="J30" s="37"/>
      <c r="K30" s="37">
        <v>0</v>
      </c>
      <c r="L30" s="37"/>
      <c r="M30" s="37">
        <v>-2010233</v>
      </c>
      <c r="N30" s="37"/>
      <c r="O30" s="39">
        <f>-E30+G30+I30+K30</f>
        <v>-2010233</v>
      </c>
      <c r="P30" s="37"/>
      <c r="Q30" s="37">
        <f>90321+244917</f>
        <v>335238</v>
      </c>
      <c r="R30" s="37"/>
      <c r="S30" s="37">
        <v>540622</v>
      </c>
      <c r="T30" s="37"/>
      <c r="U30" s="37">
        <v>140469</v>
      </c>
      <c r="V30" s="37"/>
      <c r="W30" s="37">
        <v>272997</v>
      </c>
      <c r="X30" s="37"/>
      <c r="Y30" s="37">
        <v>0</v>
      </c>
      <c r="Z30" s="37"/>
      <c r="AA30" s="37">
        <f>2179+32679</f>
        <v>34858</v>
      </c>
      <c r="AB30" s="37"/>
      <c r="AC30" s="37">
        <v>0</v>
      </c>
      <c r="AD30" s="37"/>
      <c r="AE30" s="37">
        <v>-244917</v>
      </c>
      <c r="AF30" s="37"/>
      <c r="AG30" s="37">
        <v>0</v>
      </c>
      <c r="AH30" s="37"/>
      <c r="AI30" s="37">
        <f>+Q30+S30+U30+W30+Y30+AA30+AC30+AE30+AG30</f>
        <v>1079267</v>
      </c>
      <c r="AJ30" s="37"/>
      <c r="AK30" s="37">
        <v>-930966</v>
      </c>
      <c r="AL30" s="37"/>
      <c r="AM30" s="37">
        <v>2304659</v>
      </c>
      <c r="AN30" s="37"/>
      <c r="AO30" s="37">
        <v>1373693</v>
      </c>
      <c r="AQ30" s="44">
        <f>+M30-O30</f>
        <v>0</v>
      </c>
      <c r="AR30" s="44"/>
      <c r="AS30" s="44">
        <f>+Q30+S30+U30+W30+Y30+AA30+AC30+AE30+AG30-AI30</f>
        <v>0</v>
      </c>
      <c r="AT30" s="44"/>
      <c r="AU30" s="44">
        <f>+O30+AI30-AK30</f>
        <v>0</v>
      </c>
      <c r="AV30" s="44"/>
      <c r="AW30" s="44">
        <f>+O30+AI30+AM30-AO30</f>
        <v>0</v>
      </c>
    </row>
    <row r="31" spans="1:49" s="7" customFormat="1" ht="12" hidden="1">
      <c r="A31" s="7" t="s">
        <v>62</v>
      </c>
      <c r="C31" s="7" t="s">
        <v>771</v>
      </c>
      <c r="E31" s="37">
        <v>0</v>
      </c>
      <c r="F31" s="37"/>
      <c r="G31" s="37">
        <v>0</v>
      </c>
      <c r="H31" s="37"/>
      <c r="I31" s="37">
        <v>0</v>
      </c>
      <c r="J31" s="37"/>
      <c r="K31" s="37">
        <v>0</v>
      </c>
      <c r="L31" s="37"/>
      <c r="M31" s="37">
        <v>0</v>
      </c>
      <c r="N31" s="37"/>
      <c r="O31" s="39">
        <f t="shared" si="0"/>
        <v>0</v>
      </c>
      <c r="P31" s="37"/>
      <c r="Q31" s="37">
        <v>0</v>
      </c>
      <c r="R31" s="37"/>
      <c r="S31" s="37">
        <v>0</v>
      </c>
      <c r="T31" s="37"/>
      <c r="U31" s="37">
        <v>0</v>
      </c>
      <c r="V31" s="37"/>
      <c r="W31" s="37">
        <v>0</v>
      </c>
      <c r="X31" s="37"/>
      <c r="Y31" s="37">
        <v>0</v>
      </c>
      <c r="Z31" s="37"/>
      <c r="AA31" s="37">
        <v>0</v>
      </c>
      <c r="AB31" s="37"/>
      <c r="AC31" s="37">
        <v>0</v>
      </c>
      <c r="AD31" s="37"/>
      <c r="AE31" s="37">
        <v>0</v>
      </c>
      <c r="AF31" s="37"/>
      <c r="AG31" s="37">
        <v>0</v>
      </c>
      <c r="AH31" s="37"/>
      <c r="AI31" s="37">
        <f t="shared" si="1"/>
        <v>0</v>
      </c>
      <c r="AJ31" s="37"/>
      <c r="AK31" s="37">
        <v>0</v>
      </c>
      <c r="AL31" s="37"/>
      <c r="AM31" s="37">
        <v>0</v>
      </c>
      <c r="AN31" s="37"/>
      <c r="AO31" s="37">
        <v>0</v>
      </c>
      <c r="AQ31" s="44">
        <f t="shared" si="2"/>
        <v>0</v>
      </c>
      <c r="AR31" s="44"/>
      <c r="AS31" s="44">
        <f t="shared" si="3"/>
        <v>0</v>
      </c>
      <c r="AT31" s="44"/>
      <c r="AU31" s="44">
        <f t="shared" si="4"/>
        <v>0</v>
      </c>
      <c r="AV31" s="44"/>
      <c r="AW31" s="44">
        <f t="shared" si="5"/>
        <v>0</v>
      </c>
    </row>
    <row r="32" spans="1:49" s="7" customFormat="1" ht="12" hidden="1">
      <c r="A32" s="7" t="s">
        <v>34</v>
      </c>
      <c r="C32" s="7" t="s">
        <v>760</v>
      </c>
      <c r="E32" s="37">
        <v>0</v>
      </c>
      <c r="F32" s="37"/>
      <c r="G32" s="37">
        <v>0</v>
      </c>
      <c r="H32" s="37"/>
      <c r="I32" s="37">
        <v>0</v>
      </c>
      <c r="J32" s="37"/>
      <c r="K32" s="37">
        <v>0</v>
      </c>
      <c r="L32" s="37"/>
      <c r="M32" s="37">
        <v>0</v>
      </c>
      <c r="N32" s="37"/>
      <c r="O32" s="39">
        <f t="shared" si="0"/>
        <v>0</v>
      </c>
      <c r="P32" s="37"/>
      <c r="Q32" s="37">
        <v>0</v>
      </c>
      <c r="R32" s="37"/>
      <c r="S32" s="37">
        <v>0</v>
      </c>
      <c r="T32" s="37"/>
      <c r="U32" s="37">
        <v>0</v>
      </c>
      <c r="V32" s="37"/>
      <c r="W32" s="37">
        <v>0</v>
      </c>
      <c r="X32" s="37"/>
      <c r="Y32" s="37">
        <v>0</v>
      </c>
      <c r="Z32" s="37"/>
      <c r="AA32" s="37">
        <v>0</v>
      </c>
      <c r="AB32" s="37"/>
      <c r="AC32" s="37">
        <v>0</v>
      </c>
      <c r="AD32" s="37"/>
      <c r="AE32" s="37">
        <v>0</v>
      </c>
      <c r="AF32" s="37"/>
      <c r="AG32" s="37">
        <v>0</v>
      </c>
      <c r="AH32" s="37"/>
      <c r="AI32" s="37">
        <f t="shared" si="1"/>
        <v>0</v>
      </c>
      <c r="AJ32" s="37"/>
      <c r="AK32" s="37">
        <v>0</v>
      </c>
      <c r="AL32" s="37"/>
      <c r="AM32" s="37">
        <v>0</v>
      </c>
      <c r="AN32" s="37"/>
      <c r="AO32" s="37">
        <v>0</v>
      </c>
      <c r="AQ32" s="44">
        <f t="shared" si="2"/>
        <v>0</v>
      </c>
      <c r="AR32" s="44"/>
      <c r="AS32" s="44">
        <f t="shared" si="3"/>
        <v>0</v>
      </c>
      <c r="AT32" s="44"/>
      <c r="AU32" s="44">
        <f t="shared" si="4"/>
        <v>0</v>
      </c>
      <c r="AV32" s="44"/>
      <c r="AW32" s="44">
        <f t="shared" si="5"/>
        <v>0</v>
      </c>
    </row>
    <row r="33" spans="1:49" s="7" customFormat="1" ht="12" hidden="1">
      <c r="A33" s="7" t="s">
        <v>121</v>
      </c>
      <c r="C33" s="7" t="s">
        <v>787</v>
      </c>
      <c r="E33" s="37">
        <v>0</v>
      </c>
      <c r="F33" s="37"/>
      <c r="G33" s="37">
        <v>0</v>
      </c>
      <c r="H33" s="37"/>
      <c r="I33" s="37">
        <v>0</v>
      </c>
      <c r="J33" s="37"/>
      <c r="K33" s="37">
        <v>0</v>
      </c>
      <c r="L33" s="37"/>
      <c r="M33" s="37">
        <v>0</v>
      </c>
      <c r="N33" s="37"/>
      <c r="O33" s="39">
        <f t="shared" si="0"/>
        <v>0</v>
      </c>
      <c r="P33" s="37"/>
      <c r="Q33" s="37">
        <v>0</v>
      </c>
      <c r="R33" s="37"/>
      <c r="S33" s="37">
        <v>0</v>
      </c>
      <c r="T33" s="37"/>
      <c r="U33" s="37">
        <v>0</v>
      </c>
      <c r="V33" s="37"/>
      <c r="W33" s="37">
        <v>0</v>
      </c>
      <c r="X33" s="37"/>
      <c r="Y33" s="37">
        <v>0</v>
      </c>
      <c r="Z33" s="37"/>
      <c r="AA33" s="37">
        <v>0</v>
      </c>
      <c r="AB33" s="37"/>
      <c r="AC33" s="37">
        <v>0</v>
      </c>
      <c r="AD33" s="37"/>
      <c r="AE33" s="37">
        <v>0</v>
      </c>
      <c r="AF33" s="37"/>
      <c r="AG33" s="37">
        <v>0</v>
      </c>
      <c r="AH33" s="37"/>
      <c r="AI33" s="37">
        <f t="shared" si="1"/>
        <v>0</v>
      </c>
      <c r="AJ33" s="37"/>
      <c r="AK33" s="37">
        <v>0</v>
      </c>
      <c r="AL33" s="37"/>
      <c r="AM33" s="37">
        <v>0</v>
      </c>
      <c r="AN33" s="37"/>
      <c r="AO33" s="37">
        <v>0</v>
      </c>
      <c r="AQ33" s="44">
        <f t="shared" si="2"/>
        <v>0</v>
      </c>
      <c r="AR33" s="44"/>
      <c r="AS33" s="44">
        <f t="shared" si="3"/>
        <v>0</v>
      </c>
      <c r="AT33" s="44"/>
      <c r="AU33" s="44">
        <f t="shared" si="4"/>
        <v>0</v>
      </c>
      <c r="AV33" s="44"/>
      <c r="AW33" s="44">
        <f t="shared" si="5"/>
        <v>0</v>
      </c>
    </row>
    <row r="34" spans="1:49" s="7" customFormat="1" ht="12" hidden="1">
      <c r="A34" s="7" t="s">
        <v>79</v>
      </c>
      <c r="C34" s="7" t="s">
        <v>775</v>
      </c>
      <c r="E34" s="37">
        <v>0</v>
      </c>
      <c r="F34" s="37"/>
      <c r="G34" s="37">
        <v>0</v>
      </c>
      <c r="H34" s="37"/>
      <c r="I34" s="37">
        <v>0</v>
      </c>
      <c r="J34" s="37"/>
      <c r="K34" s="37">
        <v>0</v>
      </c>
      <c r="L34" s="37"/>
      <c r="M34" s="37">
        <v>0</v>
      </c>
      <c r="N34" s="37"/>
      <c r="O34" s="39">
        <f t="shared" si="0"/>
        <v>0</v>
      </c>
      <c r="P34" s="37"/>
      <c r="Q34" s="37">
        <v>0</v>
      </c>
      <c r="R34" s="37"/>
      <c r="S34" s="37">
        <v>0</v>
      </c>
      <c r="T34" s="37"/>
      <c r="U34" s="37">
        <v>0</v>
      </c>
      <c r="V34" s="37"/>
      <c r="W34" s="37">
        <v>0</v>
      </c>
      <c r="X34" s="37"/>
      <c r="Y34" s="37">
        <v>0</v>
      </c>
      <c r="Z34" s="37"/>
      <c r="AA34" s="37">
        <v>0</v>
      </c>
      <c r="AB34" s="37"/>
      <c r="AC34" s="37">
        <v>0</v>
      </c>
      <c r="AD34" s="37"/>
      <c r="AE34" s="37">
        <v>0</v>
      </c>
      <c r="AF34" s="37"/>
      <c r="AG34" s="37">
        <v>0</v>
      </c>
      <c r="AH34" s="37"/>
      <c r="AI34" s="37">
        <f t="shared" si="1"/>
        <v>0</v>
      </c>
      <c r="AJ34" s="37"/>
      <c r="AK34" s="37">
        <v>0</v>
      </c>
      <c r="AL34" s="37"/>
      <c r="AM34" s="37">
        <v>0</v>
      </c>
      <c r="AN34" s="37"/>
      <c r="AO34" s="37">
        <v>0</v>
      </c>
      <c r="AQ34" s="44">
        <f t="shared" si="2"/>
        <v>0</v>
      </c>
      <c r="AR34" s="44"/>
      <c r="AS34" s="44">
        <f t="shared" si="3"/>
        <v>0</v>
      </c>
      <c r="AT34" s="44"/>
      <c r="AU34" s="44">
        <f t="shared" si="4"/>
        <v>0</v>
      </c>
      <c r="AV34" s="44"/>
      <c r="AW34" s="44">
        <f t="shared" si="5"/>
        <v>0</v>
      </c>
    </row>
    <row r="35" spans="1:49" s="7" customFormat="1" ht="12" hidden="1">
      <c r="A35" s="7" t="s">
        <v>152</v>
      </c>
      <c r="C35" s="7" t="s">
        <v>797</v>
      </c>
      <c r="E35" s="37">
        <v>0</v>
      </c>
      <c r="F35" s="37"/>
      <c r="G35" s="37">
        <v>0</v>
      </c>
      <c r="H35" s="37"/>
      <c r="I35" s="37">
        <v>0</v>
      </c>
      <c r="J35" s="37"/>
      <c r="K35" s="37">
        <v>0</v>
      </c>
      <c r="L35" s="37"/>
      <c r="M35" s="37">
        <v>0</v>
      </c>
      <c r="N35" s="37"/>
      <c r="O35" s="39">
        <f t="shared" si="0"/>
        <v>0</v>
      </c>
      <c r="P35" s="37"/>
      <c r="Q35" s="37">
        <v>0</v>
      </c>
      <c r="R35" s="37"/>
      <c r="S35" s="37">
        <v>0</v>
      </c>
      <c r="T35" s="37"/>
      <c r="U35" s="37">
        <v>0</v>
      </c>
      <c r="V35" s="37"/>
      <c r="W35" s="37">
        <v>0</v>
      </c>
      <c r="X35" s="37"/>
      <c r="Y35" s="37">
        <v>0</v>
      </c>
      <c r="Z35" s="37"/>
      <c r="AA35" s="37">
        <v>0</v>
      </c>
      <c r="AB35" s="37"/>
      <c r="AC35" s="37">
        <v>0</v>
      </c>
      <c r="AD35" s="37"/>
      <c r="AE35" s="37">
        <v>0</v>
      </c>
      <c r="AF35" s="37"/>
      <c r="AG35" s="37">
        <v>0</v>
      </c>
      <c r="AH35" s="37"/>
      <c r="AI35" s="37">
        <f t="shared" si="1"/>
        <v>0</v>
      </c>
      <c r="AJ35" s="37"/>
      <c r="AK35" s="37">
        <v>0</v>
      </c>
      <c r="AL35" s="37"/>
      <c r="AM35" s="37">
        <v>0</v>
      </c>
      <c r="AN35" s="37"/>
      <c r="AO35" s="37">
        <v>0</v>
      </c>
      <c r="AQ35" s="44">
        <f t="shared" si="2"/>
        <v>0</v>
      </c>
      <c r="AR35" s="44"/>
      <c r="AS35" s="44">
        <f t="shared" si="3"/>
        <v>0</v>
      </c>
      <c r="AT35" s="44"/>
      <c r="AU35" s="44">
        <f t="shared" si="4"/>
        <v>0</v>
      </c>
      <c r="AV35" s="44"/>
      <c r="AW35" s="44">
        <f t="shared" si="5"/>
        <v>0</v>
      </c>
    </row>
    <row r="36" spans="1:49" s="7" customFormat="1" ht="12" hidden="1">
      <c r="A36" s="7" t="s">
        <v>125</v>
      </c>
      <c r="C36" s="7" t="s">
        <v>789</v>
      </c>
      <c r="E36" s="37">
        <v>0</v>
      </c>
      <c r="F36" s="37"/>
      <c r="G36" s="37">
        <v>0</v>
      </c>
      <c r="H36" s="37"/>
      <c r="I36" s="37">
        <v>0</v>
      </c>
      <c r="J36" s="37"/>
      <c r="K36" s="37">
        <v>0</v>
      </c>
      <c r="L36" s="37"/>
      <c r="M36" s="37">
        <v>0</v>
      </c>
      <c r="N36" s="37"/>
      <c r="O36" s="39">
        <f t="shared" si="0"/>
        <v>0</v>
      </c>
      <c r="P36" s="37"/>
      <c r="Q36" s="37">
        <v>0</v>
      </c>
      <c r="R36" s="37"/>
      <c r="S36" s="37">
        <v>0</v>
      </c>
      <c r="T36" s="37"/>
      <c r="U36" s="37">
        <v>0</v>
      </c>
      <c r="V36" s="37"/>
      <c r="W36" s="37">
        <v>0</v>
      </c>
      <c r="X36" s="37"/>
      <c r="Y36" s="37">
        <v>0</v>
      </c>
      <c r="Z36" s="37"/>
      <c r="AA36" s="37">
        <v>0</v>
      </c>
      <c r="AB36" s="37"/>
      <c r="AC36" s="37">
        <v>0</v>
      </c>
      <c r="AD36" s="37"/>
      <c r="AE36" s="37">
        <v>0</v>
      </c>
      <c r="AF36" s="37"/>
      <c r="AG36" s="37">
        <v>0</v>
      </c>
      <c r="AH36" s="37"/>
      <c r="AI36" s="37">
        <f t="shared" si="1"/>
        <v>0</v>
      </c>
      <c r="AJ36" s="37"/>
      <c r="AK36" s="37">
        <v>0</v>
      </c>
      <c r="AL36" s="37"/>
      <c r="AM36" s="37">
        <v>0</v>
      </c>
      <c r="AN36" s="37"/>
      <c r="AO36" s="37">
        <v>0</v>
      </c>
      <c r="AQ36" s="44">
        <f t="shared" si="2"/>
        <v>0</v>
      </c>
      <c r="AR36" s="44"/>
      <c r="AS36" s="44">
        <f t="shared" si="3"/>
        <v>0</v>
      </c>
      <c r="AT36" s="44"/>
      <c r="AU36" s="44">
        <f t="shared" si="4"/>
        <v>0</v>
      </c>
      <c r="AV36" s="44"/>
      <c r="AW36" s="44">
        <f t="shared" si="5"/>
        <v>0</v>
      </c>
    </row>
    <row r="37" spans="1:49" s="7" customFormat="1" ht="12" hidden="1">
      <c r="A37" s="7" t="s">
        <v>188</v>
      </c>
      <c r="C37" s="7" t="s">
        <v>809</v>
      </c>
      <c r="E37" s="37">
        <v>0</v>
      </c>
      <c r="F37" s="37"/>
      <c r="G37" s="37">
        <v>0</v>
      </c>
      <c r="H37" s="37"/>
      <c r="I37" s="37">
        <v>0</v>
      </c>
      <c r="J37" s="37"/>
      <c r="K37" s="37">
        <v>0</v>
      </c>
      <c r="L37" s="37"/>
      <c r="M37" s="37">
        <v>0</v>
      </c>
      <c r="N37" s="37"/>
      <c r="O37" s="39">
        <f t="shared" si="0"/>
        <v>0</v>
      </c>
      <c r="P37" s="37"/>
      <c r="Q37" s="37">
        <v>0</v>
      </c>
      <c r="R37" s="37"/>
      <c r="S37" s="37">
        <v>0</v>
      </c>
      <c r="T37" s="37"/>
      <c r="U37" s="37">
        <v>0</v>
      </c>
      <c r="V37" s="37"/>
      <c r="W37" s="37">
        <v>0</v>
      </c>
      <c r="X37" s="37"/>
      <c r="Y37" s="37">
        <v>0</v>
      </c>
      <c r="Z37" s="37"/>
      <c r="AA37" s="37">
        <v>0</v>
      </c>
      <c r="AB37" s="37"/>
      <c r="AC37" s="37">
        <v>0</v>
      </c>
      <c r="AD37" s="37"/>
      <c r="AE37" s="37">
        <v>0</v>
      </c>
      <c r="AF37" s="37"/>
      <c r="AG37" s="37">
        <v>0</v>
      </c>
      <c r="AH37" s="37"/>
      <c r="AI37" s="37">
        <f t="shared" si="1"/>
        <v>0</v>
      </c>
      <c r="AJ37" s="37"/>
      <c r="AK37" s="37">
        <v>0</v>
      </c>
      <c r="AL37" s="37"/>
      <c r="AM37" s="37">
        <v>0</v>
      </c>
      <c r="AN37" s="37"/>
      <c r="AO37" s="37">
        <v>0</v>
      </c>
      <c r="AQ37" s="44">
        <f t="shared" si="2"/>
        <v>0</v>
      </c>
      <c r="AR37" s="44"/>
      <c r="AS37" s="44">
        <f t="shared" si="3"/>
        <v>0</v>
      </c>
      <c r="AT37" s="44"/>
      <c r="AU37" s="44">
        <f t="shared" si="4"/>
        <v>0</v>
      </c>
      <c r="AV37" s="44"/>
      <c r="AW37" s="44">
        <f t="shared" si="5"/>
        <v>0</v>
      </c>
    </row>
    <row r="38" spans="1:49" s="7" customFormat="1" ht="12" hidden="1">
      <c r="A38" s="7" t="s">
        <v>848</v>
      </c>
      <c r="C38" s="7" t="s">
        <v>830</v>
      </c>
      <c r="E38" s="37">
        <v>0</v>
      </c>
      <c r="F38" s="37"/>
      <c r="G38" s="37">
        <v>0</v>
      </c>
      <c r="H38" s="37"/>
      <c r="I38" s="37">
        <v>0</v>
      </c>
      <c r="J38" s="37"/>
      <c r="K38" s="37">
        <v>0</v>
      </c>
      <c r="L38" s="37"/>
      <c r="M38" s="37">
        <v>0</v>
      </c>
      <c r="N38" s="37"/>
      <c r="O38" s="39">
        <f t="shared" si="0"/>
        <v>0</v>
      </c>
      <c r="P38" s="37"/>
      <c r="Q38" s="37">
        <v>0</v>
      </c>
      <c r="R38" s="37"/>
      <c r="S38" s="37">
        <v>0</v>
      </c>
      <c r="T38" s="37"/>
      <c r="U38" s="37">
        <v>0</v>
      </c>
      <c r="V38" s="37"/>
      <c r="W38" s="37">
        <v>0</v>
      </c>
      <c r="X38" s="37"/>
      <c r="Y38" s="37">
        <v>0</v>
      </c>
      <c r="Z38" s="37"/>
      <c r="AA38" s="37">
        <v>0</v>
      </c>
      <c r="AB38" s="37"/>
      <c r="AC38" s="37">
        <v>0</v>
      </c>
      <c r="AD38" s="37"/>
      <c r="AE38" s="37">
        <v>0</v>
      </c>
      <c r="AF38" s="37"/>
      <c r="AG38" s="37">
        <v>0</v>
      </c>
      <c r="AH38" s="37"/>
      <c r="AI38" s="37">
        <f t="shared" si="1"/>
        <v>0</v>
      </c>
      <c r="AJ38" s="37"/>
      <c r="AK38" s="37">
        <v>0</v>
      </c>
      <c r="AL38" s="37"/>
      <c r="AM38" s="37">
        <v>0</v>
      </c>
      <c r="AN38" s="37"/>
      <c r="AO38" s="37">
        <v>0</v>
      </c>
      <c r="AQ38" s="44">
        <f t="shared" si="2"/>
        <v>0</v>
      </c>
      <c r="AR38" s="44"/>
      <c r="AS38" s="44">
        <f t="shared" si="3"/>
        <v>0</v>
      </c>
      <c r="AT38" s="44"/>
      <c r="AU38" s="44">
        <f t="shared" si="4"/>
        <v>0</v>
      </c>
      <c r="AV38" s="44"/>
      <c r="AW38" s="44">
        <f t="shared" si="5"/>
        <v>0</v>
      </c>
    </row>
    <row r="39" spans="1:49" s="7" customFormat="1" ht="12" hidden="1">
      <c r="A39" s="7" t="s">
        <v>446</v>
      </c>
      <c r="C39" s="7" t="s">
        <v>447</v>
      </c>
      <c r="E39" s="37">
        <v>0</v>
      </c>
      <c r="F39" s="37"/>
      <c r="G39" s="37">
        <v>0</v>
      </c>
      <c r="H39" s="37"/>
      <c r="I39" s="37">
        <v>0</v>
      </c>
      <c r="J39" s="37"/>
      <c r="K39" s="37">
        <v>0</v>
      </c>
      <c r="L39" s="37"/>
      <c r="M39" s="37">
        <v>0</v>
      </c>
      <c r="N39" s="37"/>
      <c r="O39" s="39">
        <f t="shared" si="0"/>
        <v>0</v>
      </c>
      <c r="P39" s="37"/>
      <c r="Q39" s="37">
        <v>0</v>
      </c>
      <c r="R39" s="37"/>
      <c r="S39" s="37">
        <v>0</v>
      </c>
      <c r="T39" s="37"/>
      <c r="U39" s="37">
        <v>0</v>
      </c>
      <c r="V39" s="37"/>
      <c r="W39" s="37">
        <v>0</v>
      </c>
      <c r="X39" s="37"/>
      <c r="Y39" s="37">
        <v>0</v>
      </c>
      <c r="Z39" s="37"/>
      <c r="AA39" s="37">
        <v>0</v>
      </c>
      <c r="AB39" s="37"/>
      <c r="AC39" s="37">
        <v>0</v>
      </c>
      <c r="AD39" s="37"/>
      <c r="AE39" s="37">
        <v>0</v>
      </c>
      <c r="AF39" s="37"/>
      <c r="AG39" s="37">
        <v>0</v>
      </c>
      <c r="AH39" s="37"/>
      <c r="AI39" s="37">
        <f t="shared" si="1"/>
        <v>0</v>
      </c>
      <c r="AJ39" s="37"/>
      <c r="AK39" s="37">
        <v>0</v>
      </c>
      <c r="AL39" s="37"/>
      <c r="AM39" s="37">
        <v>0</v>
      </c>
      <c r="AN39" s="37"/>
      <c r="AO39" s="37">
        <v>0</v>
      </c>
      <c r="AQ39" s="44">
        <f t="shared" si="2"/>
        <v>0</v>
      </c>
      <c r="AR39" s="44"/>
      <c r="AS39" s="44">
        <f t="shared" si="3"/>
        <v>0</v>
      </c>
      <c r="AT39" s="44"/>
      <c r="AU39" s="44">
        <f t="shared" si="4"/>
        <v>0</v>
      </c>
      <c r="AV39" s="44"/>
      <c r="AW39" s="44">
        <f t="shared" si="5"/>
        <v>0</v>
      </c>
    </row>
    <row r="40" spans="1:49" s="7" customFormat="1" ht="12" hidden="1">
      <c r="A40" s="7" t="s">
        <v>28</v>
      </c>
      <c r="C40" s="7" t="s">
        <v>758</v>
      </c>
      <c r="E40" s="37">
        <v>0</v>
      </c>
      <c r="F40" s="37"/>
      <c r="G40" s="37">
        <v>0</v>
      </c>
      <c r="H40" s="37"/>
      <c r="I40" s="37">
        <v>0</v>
      </c>
      <c r="J40" s="37"/>
      <c r="K40" s="37">
        <v>0</v>
      </c>
      <c r="L40" s="37"/>
      <c r="M40" s="37">
        <v>0</v>
      </c>
      <c r="N40" s="37"/>
      <c r="O40" s="39">
        <f t="shared" si="0"/>
        <v>0</v>
      </c>
      <c r="P40" s="37"/>
      <c r="Q40" s="37">
        <v>0</v>
      </c>
      <c r="R40" s="37"/>
      <c r="S40" s="37">
        <v>0</v>
      </c>
      <c r="T40" s="37"/>
      <c r="U40" s="37">
        <v>0</v>
      </c>
      <c r="V40" s="37"/>
      <c r="W40" s="37">
        <v>0</v>
      </c>
      <c r="X40" s="37"/>
      <c r="Y40" s="37">
        <v>0</v>
      </c>
      <c r="Z40" s="37"/>
      <c r="AA40" s="37">
        <v>0</v>
      </c>
      <c r="AB40" s="37"/>
      <c r="AC40" s="37">
        <v>0</v>
      </c>
      <c r="AD40" s="37"/>
      <c r="AE40" s="37">
        <v>0</v>
      </c>
      <c r="AF40" s="37"/>
      <c r="AG40" s="37">
        <v>0</v>
      </c>
      <c r="AH40" s="37"/>
      <c r="AI40" s="37">
        <f t="shared" si="1"/>
        <v>0</v>
      </c>
      <c r="AJ40" s="37"/>
      <c r="AK40" s="37">
        <v>0</v>
      </c>
      <c r="AL40" s="37"/>
      <c r="AM40" s="37">
        <v>0</v>
      </c>
      <c r="AN40" s="37"/>
      <c r="AO40" s="37">
        <v>0</v>
      </c>
      <c r="AQ40" s="44">
        <f t="shared" si="2"/>
        <v>0</v>
      </c>
      <c r="AR40" s="44"/>
      <c r="AS40" s="44">
        <f t="shared" si="3"/>
        <v>0</v>
      </c>
      <c r="AT40" s="44"/>
      <c r="AU40" s="44">
        <f t="shared" si="4"/>
        <v>0</v>
      </c>
      <c r="AV40" s="44"/>
      <c r="AW40" s="44">
        <f t="shared" si="5"/>
        <v>0</v>
      </c>
    </row>
    <row r="41" spans="1:49" s="7" customFormat="1" ht="12" hidden="1">
      <c r="A41" s="7" t="s">
        <v>116</v>
      </c>
      <c r="C41" s="7" t="s">
        <v>786</v>
      </c>
      <c r="E41" s="37">
        <v>0</v>
      </c>
      <c r="F41" s="37"/>
      <c r="G41" s="37">
        <v>0</v>
      </c>
      <c r="H41" s="37"/>
      <c r="I41" s="37">
        <v>0</v>
      </c>
      <c r="J41" s="37"/>
      <c r="K41" s="37">
        <v>0</v>
      </c>
      <c r="L41" s="37"/>
      <c r="M41" s="37">
        <v>0</v>
      </c>
      <c r="N41" s="37"/>
      <c r="O41" s="39">
        <f t="shared" si="0"/>
        <v>0</v>
      </c>
      <c r="P41" s="37"/>
      <c r="Q41" s="37">
        <v>0</v>
      </c>
      <c r="R41" s="37"/>
      <c r="S41" s="37">
        <v>0</v>
      </c>
      <c r="T41" s="37"/>
      <c r="U41" s="37">
        <v>0</v>
      </c>
      <c r="V41" s="37"/>
      <c r="W41" s="37">
        <v>0</v>
      </c>
      <c r="X41" s="37"/>
      <c r="Y41" s="37">
        <v>0</v>
      </c>
      <c r="Z41" s="37"/>
      <c r="AA41" s="37">
        <v>0</v>
      </c>
      <c r="AB41" s="37"/>
      <c r="AC41" s="37">
        <v>0</v>
      </c>
      <c r="AD41" s="37"/>
      <c r="AE41" s="37">
        <v>0</v>
      </c>
      <c r="AF41" s="37"/>
      <c r="AG41" s="37">
        <v>0</v>
      </c>
      <c r="AH41" s="37"/>
      <c r="AI41" s="37">
        <f t="shared" si="1"/>
        <v>0</v>
      </c>
      <c r="AJ41" s="37"/>
      <c r="AK41" s="37">
        <v>0</v>
      </c>
      <c r="AL41" s="37"/>
      <c r="AM41" s="37">
        <v>0</v>
      </c>
      <c r="AN41" s="37"/>
      <c r="AO41" s="37">
        <v>0</v>
      </c>
      <c r="AQ41" s="44">
        <f t="shared" si="2"/>
        <v>0</v>
      </c>
      <c r="AR41" s="44"/>
      <c r="AS41" s="44">
        <f t="shared" si="3"/>
        <v>0</v>
      </c>
      <c r="AT41" s="44"/>
      <c r="AU41" s="44">
        <f t="shared" si="4"/>
        <v>0</v>
      </c>
      <c r="AV41" s="44"/>
      <c r="AW41" s="44">
        <f t="shared" si="5"/>
        <v>0</v>
      </c>
    </row>
    <row r="42" spans="1:49" s="7" customFormat="1" ht="12" hidden="1">
      <c r="A42" s="7" t="s">
        <v>597</v>
      </c>
      <c r="C42" s="7" t="s">
        <v>593</v>
      </c>
      <c r="E42" s="37">
        <v>0</v>
      </c>
      <c r="F42" s="37"/>
      <c r="G42" s="37">
        <v>0</v>
      </c>
      <c r="H42" s="37"/>
      <c r="I42" s="37">
        <v>0</v>
      </c>
      <c r="J42" s="37"/>
      <c r="K42" s="37">
        <v>0</v>
      </c>
      <c r="L42" s="37"/>
      <c r="M42" s="37">
        <v>0</v>
      </c>
      <c r="N42" s="37"/>
      <c r="O42" s="39">
        <f t="shared" si="0"/>
        <v>0</v>
      </c>
      <c r="P42" s="37"/>
      <c r="Q42" s="37">
        <v>0</v>
      </c>
      <c r="R42" s="37"/>
      <c r="S42" s="37">
        <v>0</v>
      </c>
      <c r="T42" s="37"/>
      <c r="U42" s="37">
        <v>0</v>
      </c>
      <c r="V42" s="37"/>
      <c r="W42" s="37">
        <v>0</v>
      </c>
      <c r="X42" s="37"/>
      <c r="Y42" s="37">
        <v>0</v>
      </c>
      <c r="Z42" s="37"/>
      <c r="AA42" s="37">
        <v>0</v>
      </c>
      <c r="AB42" s="37"/>
      <c r="AC42" s="37">
        <v>0</v>
      </c>
      <c r="AD42" s="37"/>
      <c r="AE42" s="37">
        <v>0</v>
      </c>
      <c r="AF42" s="37"/>
      <c r="AG42" s="37">
        <v>0</v>
      </c>
      <c r="AH42" s="37"/>
      <c r="AI42" s="37">
        <f t="shared" si="1"/>
        <v>0</v>
      </c>
      <c r="AJ42" s="37"/>
      <c r="AK42" s="37">
        <v>0</v>
      </c>
      <c r="AL42" s="37"/>
      <c r="AM42" s="37">
        <v>0</v>
      </c>
      <c r="AN42" s="37"/>
      <c r="AO42" s="37">
        <v>0</v>
      </c>
      <c r="AQ42" s="44">
        <f t="shared" si="2"/>
        <v>0</v>
      </c>
      <c r="AR42" s="44"/>
      <c r="AS42" s="44">
        <f t="shared" si="3"/>
        <v>0</v>
      </c>
      <c r="AT42" s="44"/>
      <c r="AU42" s="44">
        <f t="shared" si="4"/>
        <v>0</v>
      </c>
      <c r="AV42" s="44"/>
      <c r="AW42" s="44">
        <f t="shared" si="5"/>
        <v>0</v>
      </c>
    </row>
    <row r="43" spans="1:49" s="7" customFormat="1" ht="12" hidden="1">
      <c r="A43" s="7" t="s">
        <v>397</v>
      </c>
      <c r="C43" s="7" t="s">
        <v>396</v>
      </c>
      <c r="E43" s="37">
        <v>0</v>
      </c>
      <c r="F43" s="37"/>
      <c r="G43" s="37">
        <v>0</v>
      </c>
      <c r="H43" s="37"/>
      <c r="I43" s="37">
        <v>0</v>
      </c>
      <c r="J43" s="37"/>
      <c r="K43" s="37">
        <v>0</v>
      </c>
      <c r="L43" s="37"/>
      <c r="M43" s="37">
        <v>0</v>
      </c>
      <c r="N43" s="37"/>
      <c r="O43" s="39">
        <f t="shared" si="0"/>
        <v>0</v>
      </c>
      <c r="P43" s="37"/>
      <c r="Q43" s="37">
        <v>0</v>
      </c>
      <c r="R43" s="37"/>
      <c r="S43" s="37">
        <v>0</v>
      </c>
      <c r="T43" s="37"/>
      <c r="U43" s="37">
        <v>0</v>
      </c>
      <c r="V43" s="37"/>
      <c r="W43" s="37">
        <v>0</v>
      </c>
      <c r="X43" s="37"/>
      <c r="Y43" s="37">
        <v>0</v>
      </c>
      <c r="Z43" s="37"/>
      <c r="AA43" s="37">
        <v>0</v>
      </c>
      <c r="AB43" s="37"/>
      <c r="AC43" s="37">
        <v>0</v>
      </c>
      <c r="AD43" s="37"/>
      <c r="AE43" s="37">
        <v>0</v>
      </c>
      <c r="AF43" s="37"/>
      <c r="AG43" s="37">
        <v>0</v>
      </c>
      <c r="AH43" s="37"/>
      <c r="AI43" s="37">
        <f t="shared" si="1"/>
        <v>0</v>
      </c>
      <c r="AJ43" s="37"/>
      <c r="AK43" s="37">
        <v>0</v>
      </c>
      <c r="AL43" s="37"/>
      <c r="AM43" s="37">
        <v>0</v>
      </c>
      <c r="AN43" s="37"/>
      <c r="AO43" s="37">
        <v>0</v>
      </c>
      <c r="AQ43" s="44">
        <f t="shared" si="2"/>
        <v>0</v>
      </c>
      <c r="AR43" s="44"/>
      <c r="AS43" s="44">
        <f t="shared" si="3"/>
        <v>0</v>
      </c>
      <c r="AT43" s="44"/>
      <c r="AU43" s="44">
        <f t="shared" si="4"/>
        <v>0</v>
      </c>
      <c r="AV43" s="44"/>
      <c r="AW43" s="44">
        <f t="shared" si="5"/>
        <v>0</v>
      </c>
    </row>
    <row r="44" spans="1:49" s="7" customFormat="1" ht="12" hidden="1">
      <c r="A44" s="7" t="s">
        <v>547</v>
      </c>
      <c r="C44" s="7" t="s">
        <v>545</v>
      </c>
      <c r="E44" s="37">
        <v>0</v>
      </c>
      <c r="F44" s="37"/>
      <c r="G44" s="37">
        <v>0</v>
      </c>
      <c r="H44" s="37"/>
      <c r="I44" s="37">
        <v>0</v>
      </c>
      <c r="J44" s="37"/>
      <c r="K44" s="37">
        <v>0</v>
      </c>
      <c r="L44" s="37"/>
      <c r="M44" s="37">
        <v>0</v>
      </c>
      <c r="N44" s="37"/>
      <c r="O44" s="39">
        <f t="shared" si="0"/>
        <v>0</v>
      </c>
      <c r="P44" s="37"/>
      <c r="Q44" s="37">
        <v>0</v>
      </c>
      <c r="R44" s="37"/>
      <c r="S44" s="37">
        <v>0</v>
      </c>
      <c r="T44" s="37"/>
      <c r="U44" s="37">
        <v>0</v>
      </c>
      <c r="V44" s="37"/>
      <c r="W44" s="37">
        <v>0</v>
      </c>
      <c r="X44" s="37"/>
      <c r="Y44" s="37">
        <v>0</v>
      </c>
      <c r="Z44" s="37"/>
      <c r="AA44" s="37">
        <v>0</v>
      </c>
      <c r="AB44" s="37"/>
      <c r="AC44" s="37">
        <v>0</v>
      </c>
      <c r="AD44" s="37"/>
      <c r="AE44" s="37">
        <v>0</v>
      </c>
      <c r="AF44" s="37"/>
      <c r="AG44" s="37">
        <v>0</v>
      </c>
      <c r="AH44" s="37"/>
      <c r="AI44" s="37">
        <f t="shared" si="1"/>
        <v>0</v>
      </c>
      <c r="AJ44" s="37"/>
      <c r="AK44" s="37">
        <v>0</v>
      </c>
      <c r="AL44" s="37"/>
      <c r="AM44" s="37">
        <v>0</v>
      </c>
      <c r="AN44" s="37"/>
      <c r="AO44" s="37">
        <v>0</v>
      </c>
      <c r="AQ44" s="44">
        <f t="shared" si="2"/>
        <v>0</v>
      </c>
      <c r="AR44" s="44"/>
      <c r="AS44" s="44">
        <f t="shared" si="3"/>
        <v>0</v>
      </c>
      <c r="AT44" s="44"/>
      <c r="AU44" s="44">
        <f t="shared" si="4"/>
        <v>0</v>
      </c>
      <c r="AV44" s="44"/>
      <c r="AW44" s="44">
        <f t="shared" si="5"/>
        <v>0</v>
      </c>
    </row>
    <row r="45" spans="1:49" s="7" customFormat="1" ht="12" hidden="1">
      <c r="A45" s="7" t="s">
        <v>224</v>
      </c>
      <c r="C45" s="7" t="s">
        <v>820</v>
      </c>
      <c r="E45" s="37">
        <v>0</v>
      </c>
      <c r="F45" s="37"/>
      <c r="G45" s="37">
        <v>0</v>
      </c>
      <c r="H45" s="37"/>
      <c r="I45" s="37">
        <v>0</v>
      </c>
      <c r="J45" s="37"/>
      <c r="K45" s="37">
        <v>0</v>
      </c>
      <c r="L45" s="37"/>
      <c r="M45" s="37">
        <v>0</v>
      </c>
      <c r="N45" s="37"/>
      <c r="O45" s="39">
        <f t="shared" si="0"/>
        <v>0</v>
      </c>
      <c r="P45" s="37"/>
      <c r="Q45" s="37">
        <v>0</v>
      </c>
      <c r="R45" s="37"/>
      <c r="S45" s="37">
        <v>0</v>
      </c>
      <c r="T45" s="37"/>
      <c r="U45" s="37">
        <v>0</v>
      </c>
      <c r="V45" s="37"/>
      <c r="W45" s="37">
        <v>0</v>
      </c>
      <c r="X45" s="37"/>
      <c r="Y45" s="37">
        <v>0</v>
      </c>
      <c r="Z45" s="37"/>
      <c r="AA45" s="37">
        <v>0</v>
      </c>
      <c r="AB45" s="37"/>
      <c r="AC45" s="37">
        <v>0</v>
      </c>
      <c r="AD45" s="37"/>
      <c r="AE45" s="37">
        <v>0</v>
      </c>
      <c r="AF45" s="37"/>
      <c r="AG45" s="37">
        <v>0</v>
      </c>
      <c r="AH45" s="37"/>
      <c r="AI45" s="37">
        <f t="shared" si="1"/>
        <v>0</v>
      </c>
      <c r="AJ45" s="37"/>
      <c r="AK45" s="37">
        <v>0</v>
      </c>
      <c r="AL45" s="37"/>
      <c r="AM45" s="37">
        <v>0</v>
      </c>
      <c r="AN45" s="37"/>
      <c r="AO45" s="37">
        <v>0</v>
      </c>
      <c r="AQ45" s="44">
        <f t="shared" si="2"/>
        <v>0</v>
      </c>
      <c r="AR45" s="44"/>
      <c r="AS45" s="44">
        <f t="shared" si="3"/>
        <v>0</v>
      </c>
      <c r="AT45" s="44"/>
      <c r="AU45" s="44">
        <f t="shared" si="4"/>
        <v>0</v>
      </c>
      <c r="AV45" s="44"/>
      <c r="AW45" s="44">
        <f t="shared" si="5"/>
        <v>0</v>
      </c>
    </row>
    <row r="46" spans="1:49" s="7" customFormat="1" ht="12" hidden="1">
      <c r="A46" s="7" t="s">
        <v>93</v>
      </c>
      <c r="C46" s="7" t="s">
        <v>778</v>
      </c>
      <c r="E46" s="37">
        <v>0</v>
      </c>
      <c r="F46" s="37"/>
      <c r="G46" s="37">
        <v>0</v>
      </c>
      <c r="H46" s="37"/>
      <c r="I46" s="37">
        <v>0</v>
      </c>
      <c r="J46" s="37"/>
      <c r="K46" s="37">
        <v>0</v>
      </c>
      <c r="L46" s="37"/>
      <c r="M46" s="37">
        <v>0</v>
      </c>
      <c r="N46" s="37"/>
      <c r="O46" s="39">
        <f t="shared" si="0"/>
        <v>0</v>
      </c>
      <c r="P46" s="37"/>
      <c r="Q46" s="37">
        <v>0</v>
      </c>
      <c r="R46" s="37"/>
      <c r="S46" s="37">
        <v>0</v>
      </c>
      <c r="T46" s="37"/>
      <c r="U46" s="37">
        <v>0</v>
      </c>
      <c r="V46" s="37"/>
      <c r="W46" s="37">
        <v>0</v>
      </c>
      <c r="X46" s="37"/>
      <c r="Y46" s="37">
        <v>0</v>
      </c>
      <c r="Z46" s="37"/>
      <c r="AA46" s="37">
        <v>0</v>
      </c>
      <c r="AB46" s="37"/>
      <c r="AC46" s="37">
        <v>0</v>
      </c>
      <c r="AD46" s="37"/>
      <c r="AE46" s="37">
        <v>0</v>
      </c>
      <c r="AF46" s="37"/>
      <c r="AG46" s="37">
        <v>0</v>
      </c>
      <c r="AH46" s="37"/>
      <c r="AI46" s="37">
        <f t="shared" si="1"/>
        <v>0</v>
      </c>
      <c r="AJ46" s="37"/>
      <c r="AK46" s="37">
        <v>0</v>
      </c>
      <c r="AL46" s="37"/>
      <c r="AM46" s="37">
        <v>0</v>
      </c>
      <c r="AN46" s="37"/>
      <c r="AO46" s="37">
        <v>0</v>
      </c>
      <c r="AQ46" s="44">
        <f t="shared" si="2"/>
        <v>0</v>
      </c>
      <c r="AR46" s="44"/>
      <c r="AS46" s="44">
        <f t="shared" si="3"/>
        <v>0</v>
      </c>
      <c r="AT46" s="44"/>
      <c r="AU46" s="44">
        <f t="shared" si="4"/>
        <v>0</v>
      </c>
      <c r="AV46" s="44"/>
      <c r="AW46" s="44">
        <f t="shared" si="5"/>
        <v>0</v>
      </c>
    </row>
    <row r="47" spans="1:49" s="7" customFormat="1" ht="12" hidden="1">
      <c r="A47" s="7" t="s">
        <v>222</v>
      </c>
      <c r="C47" s="7" t="s">
        <v>819</v>
      </c>
      <c r="E47" s="37">
        <v>0</v>
      </c>
      <c r="F47" s="37"/>
      <c r="G47" s="37">
        <v>0</v>
      </c>
      <c r="H47" s="37"/>
      <c r="I47" s="37">
        <v>0</v>
      </c>
      <c r="J47" s="37"/>
      <c r="K47" s="37">
        <v>0</v>
      </c>
      <c r="L47" s="37"/>
      <c r="M47" s="37">
        <v>0</v>
      </c>
      <c r="N47" s="37"/>
      <c r="O47" s="39">
        <f t="shared" si="0"/>
        <v>0</v>
      </c>
      <c r="P47" s="37"/>
      <c r="Q47" s="37">
        <v>0</v>
      </c>
      <c r="R47" s="37"/>
      <c r="S47" s="37">
        <v>0</v>
      </c>
      <c r="T47" s="37"/>
      <c r="U47" s="37">
        <v>0</v>
      </c>
      <c r="V47" s="37"/>
      <c r="W47" s="37">
        <v>0</v>
      </c>
      <c r="X47" s="37"/>
      <c r="Y47" s="37">
        <v>0</v>
      </c>
      <c r="Z47" s="37"/>
      <c r="AA47" s="37">
        <v>0</v>
      </c>
      <c r="AB47" s="37"/>
      <c r="AC47" s="37">
        <v>0</v>
      </c>
      <c r="AD47" s="37"/>
      <c r="AE47" s="37">
        <v>0</v>
      </c>
      <c r="AF47" s="37"/>
      <c r="AG47" s="37">
        <v>0</v>
      </c>
      <c r="AH47" s="37"/>
      <c r="AI47" s="37">
        <f t="shared" si="1"/>
        <v>0</v>
      </c>
      <c r="AJ47" s="37"/>
      <c r="AK47" s="37">
        <v>0</v>
      </c>
      <c r="AL47" s="37"/>
      <c r="AM47" s="37">
        <v>0</v>
      </c>
      <c r="AN47" s="37"/>
      <c r="AO47" s="37">
        <v>0</v>
      </c>
      <c r="AQ47" s="44">
        <f t="shared" si="2"/>
        <v>0</v>
      </c>
      <c r="AR47" s="44"/>
      <c r="AS47" s="44">
        <f t="shared" si="3"/>
        <v>0</v>
      </c>
      <c r="AT47" s="44"/>
      <c r="AU47" s="44">
        <f t="shared" si="4"/>
        <v>0</v>
      </c>
      <c r="AV47" s="44"/>
      <c r="AW47" s="44">
        <f t="shared" si="5"/>
        <v>0</v>
      </c>
    </row>
    <row r="48" spans="1:49" s="7" customFormat="1" ht="12">
      <c r="A48" s="7" t="s">
        <v>363</v>
      </c>
      <c r="C48" s="7" t="s">
        <v>775</v>
      </c>
      <c r="E48" s="37">
        <v>4358334</v>
      </c>
      <c r="F48" s="37"/>
      <c r="G48" s="37">
        <v>1486498</v>
      </c>
      <c r="H48" s="37"/>
      <c r="I48" s="37">
        <v>299380</v>
      </c>
      <c r="J48" s="37"/>
      <c r="K48" s="37">
        <v>56894</v>
      </c>
      <c r="L48" s="37"/>
      <c r="M48" s="37">
        <v>-2515562</v>
      </c>
      <c r="N48" s="37"/>
      <c r="O48" s="39">
        <f>-E48+G48+I48+K48</f>
        <v>-2515562</v>
      </c>
      <c r="P48" s="37"/>
      <c r="Q48" s="37">
        <f>186213+119736</f>
        <v>305949</v>
      </c>
      <c r="R48" s="37"/>
      <c r="S48" s="37">
        <f>1637474+122345</f>
        <v>1759819</v>
      </c>
      <c r="T48" s="37"/>
      <c r="U48" s="37">
        <v>195552</v>
      </c>
      <c r="V48" s="37"/>
      <c r="W48" s="37">
        <v>134525</v>
      </c>
      <c r="X48" s="37"/>
      <c r="Y48" s="37">
        <v>55413</v>
      </c>
      <c r="Z48" s="37"/>
      <c r="AA48" s="37">
        <f>2950+26340</f>
        <v>29290</v>
      </c>
      <c r="AB48" s="37"/>
      <c r="AC48" s="37">
        <v>0</v>
      </c>
      <c r="AD48" s="37"/>
      <c r="AE48" s="37">
        <v>0</v>
      </c>
      <c r="AF48" s="37"/>
      <c r="AG48" s="37">
        <v>0</v>
      </c>
      <c r="AH48" s="37"/>
      <c r="AI48" s="37">
        <f>+Q48+S48+U48+W48+Y48+AA48+AC48+AE48+AG48</f>
        <v>2480548</v>
      </c>
      <c r="AJ48" s="37"/>
      <c r="AK48" s="37">
        <v>-35014</v>
      </c>
      <c r="AL48" s="37"/>
      <c r="AM48" s="37">
        <v>2704543</v>
      </c>
      <c r="AN48" s="37"/>
      <c r="AO48" s="37">
        <v>2669529</v>
      </c>
      <c r="AQ48" s="44">
        <f>+M48-O48</f>
        <v>0</v>
      </c>
      <c r="AR48" s="44"/>
      <c r="AS48" s="44">
        <f>+Q48+S48+U48+W48+Y48+AA48+AC48+AE48+AG48-AI48</f>
        <v>0</v>
      </c>
      <c r="AT48" s="44"/>
      <c r="AU48" s="44">
        <f>+O48+AI48-AK48</f>
        <v>0</v>
      </c>
      <c r="AV48" s="44"/>
      <c r="AW48" s="44">
        <f>+O48+AI48+AM48-AO48</f>
        <v>0</v>
      </c>
    </row>
    <row r="49" spans="1:49" s="7" customFormat="1" ht="12" hidden="1">
      <c r="A49" s="7" t="s">
        <v>57</v>
      </c>
      <c r="C49" s="7" t="s">
        <v>769</v>
      </c>
      <c r="E49" s="37">
        <v>0</v>
      </c>
      <c r="F49" s="37"/>
      <c r="G49" s="37">
        <v>0</v>
      </c>
      <c r="H49" s="37"/>
      <c r="I49" s="37">
        <v>0</v>
      </c>
      <c r="J49" s="37"/>
      <c r="K49" s="37">
        <v>0</v>
      </c>
      <c r="L49" s="37"/>
      <c r="M49" s="37">
        <v>0</v>
      </c>
      <c r="N49" s="37"/>
      <c r="O49" s="39">
        <f t="shared" si="0"/>
        <v>0</v>
      </c>
      <c r="P49" s="37"/>
      <c r="Q49" s="37">
        <v>0</v>
      </c>
      <c r="R49" s="37"/>
      <c r="S49" s="37">
        <v>0</v>
      </c>
      <c r="T49" s="37"/>
      <c r="U49" s="37">
        <v>0</v>
      </c>
      <c r="V49" s="37"/>
      <c r="W49" s="37">
        <v>0</v>
      </c>
      <c r="X49" s="37"/>
      <c r="Y49" s="37">
        <v>0</v>
      </c>
      <c r="Z49" s="37"/>
      <c r="AA49" s="37">
        <v>0</v>
      </c>
      <c r="AB49" s="37"/>
      <c r="AC49" s="37">
        <v>0</v>
      </c>
      <c r="AD49" s="37"/>
      <c r="AE49" s="37">
        <v>0</v>
      </c>
      <c r="AF49" s="37"/>
      <c r="AG49" s="37">
        <v>0</v>
      </c>
      <c r="AH49" s="37"/>
      <c r="AI49" s="37">
        <f t="shared" si="1"/>
        <v>0</v>
      </c>
      <c r="AJ49" s="37"/>
      <c r="AK49" s="37">
        <v>0</v>
      </c>
      <c r="AL49" s="37"/>
      <c r="AM49" s="37">
        <v>0</v>
      </c>
      <c r="AN49" s="37"/>
      <c r="AO49" s="37">
        <v>0</v>
      </c>
      <c r="AQ49" s="44">
        <f t="shared" si="2"/>
        <v>0</v>
      </c>
      <c r="AR49" s="44"/>
      <c r="AS49" s="44">
        <f t="shared" si="3"/>
        <v>0</v>
      </c>
      <c r="AT49" s="44"/>
      <c r="AU49" s="44">
        <f t="shared" si="4"/>
        <v>0</v>
      </c>
      <c r="AV49" s="44"/>
      <c r="AW49" s="44">
        <f t="shared" si="5"/>
        <v>0</v>
      </c>
    </row>
    <row r="50" spans="1:49" s="7" customFormat="1" ht="12" hidden="1">
      <c r="A50" s="7" t="s">
        <v>122</v>
      </c>
      <c r="C50" s="7" t="s">
        <v>787</v>
      </c>
      <c r="E50" s="37">
        <v>0</v>
      </c>
      <c r="F50" s="37"/>
      <c r="G50" s="37">
        <v>0</v>
      </c>
      <c r="H50" s="37"/>
      <c r="I50" s="37">
        <v>0</v>
      </c>
      <c r="J50" s="37"/>
      <c r="K50" s="37">
        <v>0</v>
      </c>
      <c r="L50" s="37"/>
      <c r="M50" s="37">
        <v>0</v>
      </c>
      <c r="N50" s="37"/>
      <c r="O50" s="39">
        <f t="shared" si="0"/>
        <v>0</v>
      </c>
      <c r="P50" s="37"/>
      <c r="Q50" s="37">
        <v>0</v>
      </c>
      <c r="R50" s="37"/>
      <c r="S50" s="37">
        <v>0</v>
      </c>
      <c r="T50" s="37"/>
      <c r="U50" s="37">
        <v>0</v>
      </c>
      <c r="V50" s="37"/>
      <c r="W50" s="37">
        <v>0</v>
      </c>
      <c r="X50" s="37"/>
      <c r="Y50" s="37">
        <v>0</v>
      </c>
      <c r="Z50" s="37"/>
      <c r="AA50" s="37">
        <v>0</v>
      </c>
      <c r="AB50" s="37"/>
      <c r="AC50" s="37">
        <v>0</v>
      </c>
      <c r="AD50" s="37"/>
      <c r="AE50" s="37">
        <v>0</v>
      </c>
      <c r="AF50" s="37"/>
      <c r="AG50" s="37">
        <v>0</v>
      </c>
      <c r="AH50" s="37"/>
      <c r="AI50" s="37">
        <f t="shared" si="1"/>
        <v>0</v>
      </c>
      <c r="AJ50" s="37"/>
      <c r="AK50" s="37">
        <v>0</v>
      </c>
      <c r="AL50" s="37"/>
      <c r="AM50" s="37">
        <v>0</v>
      </c>
      <c r="AN50" s="37"/>
      <c r="AO50" s="37">
        <v>0</v>
      </c>
      <c r="AQ50" s="44">
        <f t="shared" si="2"/>
        <v>0</v>
      </c>
      <c r="AR50" s="44"/>
      <c r="AS50" s="44">
        <f t="shared" si="3"/>
        <v>0</v>
      </c>
      <c r="AT50" s="44"/>
      <c r="AU50" s="44">
        <f t="shared" si="4"/>
        <v>0</v>
      </c>
      <c r="AV50" s="44"/>
      <c r="AW50" s="44">
        <f t="shared" si="5"/>
        <v>0</v>
      </c>
    </row>
    <row r="51" spans="1:49" s="7" customFormat="1" ht="12">
      <c r="A51" s="7" t="s">
        <v>320</v>
      </c>
      <c r="C51" s="7" t="s">
        <v>316</v>
      </c>
      <c r="E51" s="46">
        <v>10790725</v>
      </c>
      <c r="F51" s="46"/>
      <c r="G51" s="46">
        <v>595244</v>
      </c>
      <c r="H51" s="46"/>
      <c r="I51" s="46">
        <v>40876</v>
      </c>
      <c r="J51" s="46"/>
      <c r="K51" s="46">
        <v>373616</v>
      </c>
      <c r="L51" s="46"/>
      <c r="M51" s="46">
        <v>-9780989</v>
      </c>
      <c r="N51" s="46"/>
      <c r="O51" s="39">
        <f t="shared" si="0"/>
        <v>-9780989</v>
      </c>
      <c r="P51" s="46"/>
      <c r="Q51" s="46">
        <f>2091003+58062+193540</f>
        <v>2342605</v>
      </c>
      <c r="R51" s="46"/>
      <c r="S51" s="46">
        <v>1820306</v>
      </c>
      <c r="T51" s="46"/>
      <c r="U51" s="46">
        <f>544793+565008</f>
        <v>1109801</v>
      </c>
      <c r="V51" s="46"/>
      <c r="W51" s="46">
        <v>102284</v>
      </c>
      <c r="X51" s="46"/>
      <c r="Y51" s="46">
        <v>0</v>
      </c>
      <c r="Z51" s="46"/>
      <c r="AA51" s="46">
        <v>0</v>
      </c>
      <c r="AB51" s="46"/>
      <c r="AC51" s="46">
        <f>2535000+27277</f>
        <v>2562277</v>
      </c>
      <c r="AD51" s="46"/>
      <c r="AE51" s="46">
        <f>15460-70000</f>
        <v>-54540</v>
      </c>
      <c r="AF51" s="46"/>
      <c r="AG51" s="46">
        <v>0</v>
      </c>
      <c r="AH51" s="46"/>
      <c r="AI51" s="37">
        <f t="shared" si="1"/>
        <v>7882733</v>
      </c>
      <c r="AJ51" s="46"/>
      <c r="AK51" s="46">
        <v>-1898256</v>
      </c>
      <c r="AL51" s="46"/>
      <c r="AM51" s="46">
        <v>3381886</v>
      </c>
      <c r="AN51" s="43"/>
      <c r="AO51" s="46">
        <v>1483630</v>
      </c>
      <c r="AQ51" s="44">
        <f t="shared" si="2"/>
        <v>0</v>
      </c>
      <c r="AR51" s="44"/>
      <c r="AS51" s="44">
        <f t="shared" si="3"/>
        <v>0</v>
      </c>
      <c r="AT51" s="44"/>
      <c r="AU51" s="44">
        <f t="shared" si="4"/>
        <v>0</v>
      </c>
      <c r="AV51" s="44"/>
      <c r="AW51" s="44">
        <f t="shared" si="5"/>
        <v>0</v>
      </c>
    </row>
    <row r="52" spans="1:49" s="7" customFormat="1" ht="12" hidden="1">
      <c r="A52" s="7" t="s">
        <v>531</v>
      </c>
      <c r="C52" s="7" t="s">
        <v>530</v>
      </c>
      <c r="E52" s="37">
        <v>0</v>
      </c>
      <c r="F52" s="37"/>
      <c r="G52" s="37">
        <v>0</v>
      </c>
      <c r="H52" s="37"/>
      <c r="I52" s="37">
        <v>0</v>
      </c>
      <c r="J52" s="37"/>
      <c r="K52" s="37">
        <v>0</v>
      </c>
      <c r="L52" s="37"/>
      <c r="M52" s="37">
        <v>0</v>
      </c>
      <c r="N52" s="37"/>
      <c r="O52" s="39">
        <f t="shared" si="0"/>
        <v>0</v>
      </c>
      <c r="P52" s="37"/>
      <c r="Q52" s="37">
        <v>0</v>
      </c>
      <c r="R52" s="37"/>
      <c r="S52" s="37">
        <v>0</v>
      </c>
      <c r="T52" s="37"/>
      <c r="U52" s="37">
        <v>0</v>
      </c>
      <c r="V52" s="37"/>
      <c r="W52" s="37">
        <v>0</v>
      </c>
      <c r="X52" s="37"/>
      <c r="Y52" s="37">
        <v>0</v>
      </c>
      <c r="Z52" s="37"/>
      <c r="AA52" s="37">
        <v>0</v>
      </c>
      <c r="AB52" s="37"/>
      <c r="AC52" s="37">
        <v>0</v>
      </c>
      <c r="AD52" s="37"/>
      <c r="AE52" s="37">
        <v>0</v>
      </c>
      <c r="AF52" s="37"/>
      <c r="AG52" s="37">
        <v>0</v>
      </c>
      <c r="AH52" s="37"/>
      <c r="AI52" s="37">
        <f t="shared" si="1"/>
        <v>0</v>
      </c>
      <c r="AJ52" s="37"/>
      <c r="AK52" s="37">
        <v>0</v>
      </c>
      <c r="AL52" s="37"/>
      <c r="AM52" s="37">
        <v>0</v>
      </c>
      <c r="AN52" s="37"/>
      <c r="AO52" s="37">
        <v>0</v>
      </c>
      <c r="AQ52" s="44">
        <f t="shared" si="2"/>
        <v>0</v>
      </c>
      <c r="AR52" s="44"/>
      <c r="AS52" s="44">
        <f t="shared" si="3"/>
        <v>0</v>
      </c>
      <c r="AT52" s="44"/>
      <c r="AU52" s="44">
        <f t="shared" si="4"/>
        <v>0</v>
      </c>
      <c r="AV52" s="44"/>
      <c r="AW52" s="44">
        <f t="shared" si="5"/>
        <v>0</v>
      </c>
    </row>
    <row r="53" spans="1:49" s="7" customFormat="1" ht="12" hidden="1">
      <c r="A53" s="7" t="s">
        <v>153</v>
      </c>
      <c r="C53" s="7" t="s">
        <v>797</v>
      </c>
      <c r="E53" s="37">
        <v>0</v>
      </c>
      <c r="F53" s="37"/>
      <c r="G53" s="37">
        <v>0</v>
      </c>
      <c r="H53" s="37"/>
      <c r="I53" s="37">
        <v>0</v>
      </c>
      <c r="J53" s="37"/>
      <c r="K53" s="37">
        <v>0</v>
      </c>
      <c r="L53" s="37"/>
      <c r="M53" s="37">
        <v>0</v>
      </c>
      <c r="N53" s="37"/>
      <c r="O53" s="39">
        <f t="shared" si="0"/>
        <v>0</v>
      </c>
      <c r="P53" s="37"/>
      <c r="Q53" s="37">
        <v>0</v>
      </c>
      <c r="R53" s="37"/>
      <c r="S53" s="37">
        <v>0</v>
      </c>
      <c r="T53" s="37"/>
      <c r="U53" s="37">
        <v>0</v>
      </c>
      <c r="V53" s="37"/>
      <c r="W53" s="37">
        <v>0</v>
      </c>
      <c r="X53" s="37"/>
      <c r="Y53" s="37">
        <v>0</v>
      </c>
      <c r="Z53" s="37"/>
      <c r="AA53" s="37">
        <v>0</v>
      </c>
      <c r="AB53" s="37"/>
      <c r="AC53" s="37">
        <v>0</v>
      </c>
      <c r="AD53" s="37"/>
      <c r="AE53" s="37">
        <v>0</v>
      </c>
      <c r="AF53" s="37"/>
      <c r="AG53" s="37">
        <v>0</v>
      </c>
      <c r="AH53" s="37"/>
      <c r="AI53" s="37">
        <f t="shared" si="1"/>
        <v>0</v>
      </c>
      <c r="AJ53" s="37"/>
      <c r="AK53" s="37">
        <v>0</v>
      </c>
      <c r="AL53" s="37"/>
      <c r="AM53" s="37">
        <v>0</v>
      </c>
      <c r="AN53" s="37"/>
      <c r="AO53" s="37">
        <v>0</v>
      </c>
      <c r="AQ53" s="44">
        <f t="shared" si="2"/>
        <v>0</v>
      </c>
      <c r="AR53" s="44"/>
      <c r="AS53" s="44">
        <f t="shared" si="3"/>
        <v>0</v>
      </c>
      <c r="AT53" s="44"/>
      <c r="AU53" s="44">
        <f t="shared" si="4"/>
        <v>0</v>
      </c>
      <c r="AV53" s="44"/>
      <c r="AW53" s="44">
        <f t="shared" si="5"/>
        <v>0</v>
      </c>
    </row>
    <row r="54" spans="1:49" s="7" customFormat="1" ht="12" hidden="1">
      <c r="A54" s="7" t="s">
        <v>148</v>
      </c>
      <c r="C54" s="7" t="s">
        <v>796</v>
      </c>
      <c r="E54" s="37">
        <v>0</v>
      </c>
      <c r="F54" s="37"/>
      <c r="G54" s="37">
        <v>0</v>
      </c>
      <c r="H54" s="37"/>
      <c r="I54" s="37">
        <v>0</v>
      </c>
      <c r="J54" s="37"/>
      <c r="K54" s="37">
        <v>0</v>
      </c>
      <c r="L54" s="37"/>
      <c r="M54" s="37">
        <v>0</v>
      </c>
      <c r="N54" s="37"/>
      <c r="O54" s="39">
        <f t="shared" si="0"/>
        <v>0</v>
      </c>
      <c r="P54" s="37"/>
      <c r="Q54" s="37">
        <v>0</v>
      </c>
      <c r="R54" s="37"/>
      <c r="S54" s="37">
        <v>0</v>
      </c>
      <c r="T54" s="37"/>
      <c r="U54" s="37">
        <v>0</v>
      </c>
      <c r="V54" s="37"/>
      <c r="W54" s="37">
        <v>0</v>
      </c>
      <c r="X54" s="37"/>
      <c r="Y54" s="37">
        <v>0</v>
      </c>
      <c r="Z54" s="37"/>
      <c r="AA54" s="37">
        <v>0</v>
      </c>
      <c r="AB54" s="37"/>
      <c r="AC54" s="37">
        <v>0</v>
      </c>
      <c r="AD54" s="37"/>
      <c r="AE54" s="37">
        <v>0</v>
      </c>
      <c r="AF54" s="37"/>
      <c r="AG54" s="37">
        <v>0</v>
      </c>
      <c r="AH54" s="37"/>
      <c r="AI54" s="37">
        <f t="shared" si="1"/>
        <v>0</v>
      </c>
      <c r="AJ54" s="37"/>
      <c r="AK54" s="37">
        <v>0</v>
      </c>
      <c r="AL54" s="37"/>
      <c r="AM54" s="37">
        <v>0</v>
      </c>
      <c r="AN54" s="37"/>
      <c r="AO54" s="37">
        <v>0</v>
      </c>
      <c r="AQ54" s="44">
        <f t="shared" si="2"/>
        <v>0</v>
      </c>
      <c r="AR54" s="44"/>
      <c r="AS54" s="44">
        <f t="shared" si="3"/>
        <v>0</v>
      </c>
      <c r="AT54" s="44"/>
      <c r="AU54" s="44">
        <f t="shared" si="4"/>
        <v>0</v>
      </c>
      <c r="AV54" s="44"/>
      <c r="AW54" s="44">
        <f t="shared" si="5"/>
        <v>0</v>
      </c>
    </row>
    <row r="55" spans="1:49" s="7" customFormat="1" ht="12" hidden="1">
      <c r="A55" s="7" t="s">
        <v>94</v>
      </c>
      <c r="C55" s="7" t="s">
        <v>778</v>
      </c>
      <c r="E55" s="37">
        <v>0</v>
      </c>
      <c r="F55" s="37"/>
      <c r="G55" s="37">
        <v>0</v>
      </c>
      <c r="H55" s="37"/>
      <c r="I55" s="37">
        <v>0</v>
      </c>
      <c r="J55" s="37"/>
      <c r="K55" s="37">
        <v>0</v>
      </c>
      <c r="L55" s="37"/>
      <c r="M55" s="37">
        <v>0</v>
      </c>
      <c r="N55" s="37"/>
      <c r="O55" s="39">
        <f t="shared" si="0"/>
        <v>0</v>
      </c>
      <c r="P55" s="37"/>
      <c r="Q55" s="37">
        <v>0</v>
      </c>
      <c r="R55" s="37"/>
      <c r="S55" s="37">
        <v>0</v>
      </c>
      <c r="T55" s="37"/>
      <c r="U55" s="37">
        <v>0</v>
      </c>
      <c r="V55" s="37"/>
      <c r="W55" s="37">
        <v>0</v>
      </c>
      <c r="X55" s="37"/>
      <c r="Y55" s="37">
        <v>0</v>
      </c>
      <c r="Z55" s="37"/>
      <c r="AA55" s="37">
        <v>0</v>
      </c>
      <c r="AB55" s="37"/>
      <c r="AC55" s="37">
        <v>0</v>
      </c>
      <c r="AD55" s="37"/>
      <c r="AE55" s="37">
        <v>0</v>
      </c>
      <c r="AF55" s="37"/>
      <c r="AG55" s="37">
        <v>0</v>
      </c>
      <c r="AH55" s="37"/>
      <c r="AI55" s="37">
        <f t="shared" si="1"/>
        <v>0</v>
      </c>
      <c r="AJ55" s="37"/>
      <c r="AK55" s="37">
        <v>0</v>
      </c>
      <c r="AL55" s="37"/>
      <c r="AM55" s="37">
        <v>0</v>
      </c>
      <c r="AN55" s="37"/>
      <c r="AO55" s="37">
        <v>0</v>
      </c>
      <c r="AQ55" s="44">
        <f t="shared" si="2"/>
        <v>0</v>
      </c>
      <c r="AR55" s="44"/>
      <c r="AS55" s="44">
        <f t="shared" si="3"/>
        <v>0</v>
      </c>
      <c r="AT55" s="44"/>
      <c r="AU55" s="44">
        <f t="shared" si="4"/>
        <v>0</v>
      </c>
      <c r="AV55" s="44"/>
      <c r="AW55" s="44">
        <f t="shared" si="5"/>
        <v>0</v>
      </c>
    </row>
    <row r="56" spans="1:49" s="7" customFormat="1" ht="12" hidden="1">
      <c r="A56" s="7" t="s">
        <v>113</v>
      </c>
      <c r="C56" s="7" t="s">
        <v>785</v>
      </c>
      <c r="E56" s="37">
        <v>0</v>
      </c>
      <c r="F56" s="37"/>
      <c r="G56" s="37">
        <v>0</v>
      </c>
      <c r="H56" s="37"/>
      <c r="I56" s="37">
        <v>0</v>
      </c>
      <c r="J56" s="37"/>
      <c r="K56" s="37">
        <v>0</v>
      </c>
      <c r="L56" s="37"/>
      <c r="M56" s="37">
        <v>0</v>
      </c>
      <c r="N56" s="37"/>
      <c r="O56" s="39">
        <f t="shared" si="0"/>
        <v>0</v>
      </c>
      <c r="P56" s="37"/>
      <c r="Q56" s="37">
        <v>0</v>
      </c>
      <c r="R56" s="37"/>
      <c r="S56" s="37">
        <v>0</v>
      </c>
      <c r="T56" s="37"/>
      <c r="U56" s="37">
        <v>0</v>
      </c>
      <c r="V56" s="37"/>
      <c r="W56" s="37">
        <v>0</v>
      </c>
      <c r="X56" s="37"/>
      <c r="Y56" s="37">
        <v>0</v>
      </c>
      <c r="Z56" s="37"/>
      <c r="AA56" s="37">
        <v>0</v>
      </c>
      <c r="AB56" s="37"/>
      <c r="AC56" s="37">
        <v>0</v>
      </c>
      <c r="AD56" s="37"/>
      <c r="AE56" s="37">
        <v>0</v>
      </c>
      <c r="AF56" s="37"/>
      <c r="AG56" s="37">
        <v>0</v>
      </c>
      <c r="AH56" s="37"/>
      <c r="AI56" s="37">
        <f t="shared" si="1"/>
        <v>0</v>
      </c>
      <c r="AJ56" s="37"/>
      <c r="AK56" s="37">
        <v>0</v>
      </c>
      <c r="AL56" s="37"/>
      <c r="AM56" s="37">
        <v>0</v>
      </c>
      <c r="AN56" s="37"/>
      <c r="AO56" s="37">
        <v>0</v>
      </c>
      <c r="AQ56" s="44">
        <f t="shared" si="2"/>
        <v>0</v>
      </c>
      <c r="AR56" s="44"/>
      <c r="AS56" s="44">
        <f t="shared" si="3"/>
        <v>0</v>
      </c>
      <c r="AT56" s="44"/>
      <c r="AU56" s="44">
        <f t="shared" si="4"/>
        <v>0</v>
      </c>
      <c r="AV56" s="44"/>
      <c r="AW56" s="44">
        <f t="shared" si="5"/>
        <v>0</v>
      </c>
    </row>
    <row r="57" spans="1:49" s="7" customFormat="1" ht="12">
      <c r="A57" s="7" t="s">
        <v>354</v>
      </c>
      <c r="C57" s="7" t="s">
        <v>773</v>
      </c>
      <c r="E57" s="37">
        <v>19518319</v>
      </c>
      <c r="F57" s="37"/>
      <c r="G57" s="37">
        <v>2376032</v>
      </c>
      <c r="H57" s="37"/>
      <c r="I57" s="37">
        <v>689671</v>
      </c>
      <c r="J57" s="37"/>
      <c r="K57" s="37">
        <v>768986</v>
      </c>
      <c r="L57" s="37"/>
      <c r="M57" s="37">
        <v>-15683630</v>
      </c>
      <c r="N57" s="37"/>
      <c r="O57" s="39">
        <f>-E57+G57+I57+K57</f>
        <v>-15683630</v>
      </c>
      <c r="P57" s="37"/>
      <c r="Q57" s="37">
        <v>289025</v>
      </c>
      <c r="R57" s="37"/>
      <c r="S57" s="37">
        <f>8738249+1929964</f>
        <v>10668213</v>
      </c>
      <c r="T57" s="37"/>
      <c r="U57" s="37">
        <v>319023</v>
      </c>
      <c r="V57" s="37"/>
      <c r="W57" s="37">
        <v>232609</v>
      </c>
      <c r="X57" s="37"/>
      <c r="Y57" s="37">
        <v>0</v>
      </c>
      <c r="Z57" s="37"/>
      <c r="AA57" s="37">
        <v>127835</v>
      </c>
      <c r="AB57" s="37"/>
      <c r="AC57" s="37">
        <f>4600000+40020</f>
        <v>4640020</v>
      </c>
      <c r="AD57" s="37"/>
      <c r="AE57" s="37">
        <v>0</v>
      </c>
      <c r="AF57" s="37"/>
      <c r="AG57" s="37">
        <v>0</v>
      </c>
      <c r="AH57" s="37"/>
      <c r="AI57" s="37">
        <f>+Q57+S57+U57+W57+Y57+AA57+AC57+AE57+AG57</f>
        <v>16276725</v>
      </c>
      <c r="AJ57" s="37"/>
      <c r="AK57" s="37">
        <v>593095</v>
      </c>
      <c r="AL57" s="37"/>
      <c r="AM57" s="37">
        <v>4064523</v>
      </c>
      <c r="AN57" s="37"/>
      <c r="AO57" s="37">
        <v>4657618</v>
      </c>
      <c r="AQ57" s="44">
        <f>+M57-O57</f>
        <v>0</v>
      </c>
      <c r="AR57" s="44"/>
      <c r="AS57" s="44">
        <f>+Q57+S57+U57+W57+Y57+AA57+AC57+AE57+AG57-AI57</f>
        <v>0</v>
      </c>
      <c r="AT57" s="44"/>
      <c r="AU57" s="44">
        <f>+O57+AI57-AK57</f>
        <v>0</v>
      </c>
      <c r="AV57" s="44"/>
      <c r="AW57" s="44">
        <f>+O57+AI57+AM57-AO57</f>
        <v>0</v>
      </c>
    </row>
    <row r="58" spans="1:49" s="7" customFormat="1" ht="12" hidden="1">
      <c r="A58" s="7" t="s">
        <v>42</v>
      </c>
      <c r="C58" s="7" t="s">
        <v>763</v>
      </c>
      <c r="E58" s="37">
        <v>0</v>
      </c>
      <c r="F58" s="37"/>
      <c r="G58" s="37">
        <v>0</v>
      </c>
      <c r="H58" s="37"/>
      <c r="I58" s="37">
        <v>0</v>
      </c>
      <c r="J58" s="37"/>
      <c r="K58" s="37">
        <v>0</v>
      </c>
      <c r="L58" s="37"/>
      <c r="M58" s="37">
        <v>0</v>
      </c>
      <c r="N58" s="37"/>
      <c r="O58" s="39">
        <f t="shared" si="0"/>
        <v>0</v>
      </c>
      <c r="P58" s="37"/>
      <c r="Q58" s="37">
        <v>0</v>
      </c>
      <c r="R58" s="37"/>
      <c r="S58" s="37">
        <v>0</v>
      </c>
      <c r="T58" s="37"/>
      <c r="U58" s="37">
        <v>0</v>
      </c>
      <c r="V58" s="37"/>
      <c r="W58" s="37">
        <v>0</v>
      </c>
      <c r="X58" s="37"/>
      <c r="Y58" s="37">
        <v>0</v>
      </c>
      <c r="Z58" s="37"/>
      <c r="AA58" s="37">
        <v>0</v>
      </c>
      <c r="AB58" s="37"/>
      <c r="AC58" s="37">
        <v>0</v>
      </c>
      <c r="AD58" s="37"/>
      <c r="AE58" s="37">
        <v>0</v>
      </c>
      <c r="AF58" s="37"/>
      <c r="AG58" s="37">
        <v>0</v>
      </c>
      <c r="AH58" s="37"/>
      <c r="AI58" s="37">
        <f t="shared" si="1"/>
        <v>0</v>
      </c>
      <c r="AJ58" s="37"/>
      <c r="AK58" s="37">
        <v>0</v>
      </c>
      <c r="AL58" s="37"/>
      <c r="AM58" s="37">
        <v>0</v>
      </c>
      <c r="AN58" s="37"/>
      <c r="AO58" s="37">
        <v>0</v>
      </c>
      <c r="AQ58" s="44">
        <f t="shared" si="2"/>
        <v>0</v>
      </c>
      <c r="AR58" s="44"/>
      <c r="AS58" s="44">
        <f t="shared" si="3"/>
        <v>0</v>
      </c>
      <c r="AT58" s="44"/>
      <c r="AU58" s="44">
        <f t="shared" si="4"/>
        <v>0</v>
      </c>
      <c r="AV58" s="44"/>
      <c r="AW58" s="44">
        <f t="shared" si="5"/>
        <v>0</v>
      </c>
    </row>
    <row r="59" spans="1:49" s="7" customFormat="1" ht="12" hidden="1">
      <c r="A59" s="7" t="s">
        <v>850</v>
      </c>
      <c r="C59" s="7" t="s">
        <v>781</v>
      </c>
      <c r="E59" s="37">
        <v>0</v>
      </c>
      <c r="F59" s="37"/>
      <c r="G59" s="37">
        <v>0</v>
      </c>
      <c r="H59" s="37"/>
      <c r="I59" s="37">
        <v>0</v>
      </c>
      <c r="J59" s="37"/>
      <c r="K59" s="37">
        <v>0</v>
      </c>
      <c r="L59" s="37"/>
      <c r="M59" s="37">
        <v>0</v>
      </c>
      <c r="N59" s="37"/>
      <c r="O59" s="39">
        <f t="shared" si="0"/>
        <v>0</v>
      </c>
      <c r="P59" s="37"/>
      <c r="Q59" s="37">
        <v>0</v>
      </c>
      <c r="R59" s="37"/>
      <c r="S59" s="37">
        <v>0</v>
      </c>
      <c r="T59" s="37"/>
      <c r="U59" s="37">
        <v>0</v>
      </c>
      <c r="V59" s="37"/>
      <c r="W59" s="37">
        <v>0</v>
      </c>
      <c r="X59" s="37"/>
      <c r="Y59" s="37">
        <v>0</v>
      </c>
      <c r="Z59" s="37"/>
      <c r="AA59" s="37">
        <v>0</v>
      </c>
      <c r="AB59" s="37"/>
      <c r="AC59" s="37">
        <v>0</v>
      </c>
      <c r="AD59" s="37"/>
      <c r="AE59" s="37">
        <v>0</v>
      </c>
      <c r="AF59" s="37"/>
      <c r="AG59" s="37">
        <v>0</v>
      </c>
      <c r="AH59" s="37"/>
      <c r="AI59" s="37">
        <f t="shared" si="1"/>
        <v>0</v>
      </c>
      <c r="AJ59" s="37"/>
      <c r="AK59" s="37">
        <v>0</v>
      </c>
      <c r="AL59" s="37"/>
      <c r="AM59" s="37">
        <v>0</v>
      </c>
      <c r="AN59" s="37"/>
      <c r="AO59" s="37">
        <v>0</v>
      </c>
      <c r="AQ59" s="44">
        <f t="shared" si="2"/>
        <v>0</v>
      </c>
      <c r="AR59" s="44"/>
      <c r="AS59" s="44">
        <f t="shared" si="3"/>
        <v>0</v>
      </c>
      <c r="AT59" s="44"/>
      <c r="AU59" s="44">
        <f t="shared" si="4"/>
        <v>0</v>
      </c>
      <c r="AV59" s="44"/>
      <c r="AW59" s="44">
        <f t="shared" si="5"/>
        <v>0</v>
      </c>
    </row>
    <row r="60" spans="1:49" s="7" customFormat="1" ht="12" hidden="1">
      <c r="A60" s="7" t="s">
        <v>585</v>
      </c>
      <c r="C60" s="7" t="s">
        <v>586</v>
      </c>
      <c r="E60" s="37">
        <v>0</v>
      </c>
      <c r="F60" s="37"/>
      <c r="G60" s="37">
        <v>0</v>
      </c>
      <c r="H60" s="37"/>
      <c r="I60" s="37">
        <v>0</v>
      </c>
      <c r="J60" s="37"/>
      <c r="K60" s="37">
        <v>0</v>
      </c>
      <c r="L60" s="37"/>
      <c r="M60" s="37">
        <v>0</v>
      </c>
      <c r="N60" s="37"/>
      <c r="O60" s="39">
        <f t="shared" si="0"/>
        <v>0</v>
      </c>
      <c r="P60" s="37"/>
      <c r="Q60" s="37">
        <v>0</v>
      </c>
      <c r="R60" s="37"/>
      <c r="S60" s="37">
        <v>0</v>
      </c>
      <c r="T60" s="37"/>
      <c r="U60" s="37">
        <v>0</v>
      </c>
      <c r="V60" s="37"/>
      <c r="W60" s="37">
        <v>0</v>
      </c>
      <c r="X60" s="37"/>
      <c r="Y60" s="37">
        <v>0</v>
      </c>
      <c r="Z60" s="37"/>
      <c r="AA60" s="37">
        <v>0</v>
      </c>
      <c r="AB60" s="37"/>
      <c r="AC60" s="37">
        <v>0</v>
      </c>
      <c r="AD60" s="37"/>
      <c r="AE60" s="37">
        <v>0</v>
      </c>
      <c r="AF60" s="37"/>
      <c r="AG60" s="37">
        <v>0</v>
      </c>
      <c r="AH60" s="37"/>
      <c r="AI60" s="37">
        <f t="shared" si="1"/>
        <v>0</v>
      </c>
      <c r="AJ60" s="37"/>
      <c r="AK60" s="37">
        <v>0</v>
      </c>
      <c r="AL60" s="37"/>
      <c r="AM60" s="37">
        <v>0</v>
      </c>
      <c r="AN60" s="37"/>
      <c r="AO60" s="37">
        <v>0</v>
      </c>
      <c r="AQ60" s="44">
        <f t="shared" si="2"/>
        <v>0</v>
      </c>
      <c r="AR60" s="44"/>
      <c r="AS60" s="44">
        <f t="shared" si="3"/>
        <v>0</v>
      </c>
      <c r="AT60" s="44"/>
      <c r="AU60" s="44">
        <f t="shared" si="4"/>
        <v>0</v>
      </c>
      <c r="AV60" s="44"/>
      <c r="AW60" s="44">
        <f t="shared" si="5"/>
        <v>0</v>
      </c>
    </row>
    <row r="61" spans="1:49" s="7" customFormat="1" ht="12" hidden="1">
      <c r="A61" s="7" t="s">
        <v>225</v>
      </c>
      <c r="C61" s="7" t="s">
        <v>820</v>
      </c>
      <c r="E61" s="37">
        <v>0</v>
      </c>
      <c r="F61" s="37"/>
      <c r="G61" s="37">
        <v>0</v>
      </c>
      <c r="H61" s="37"/>
      <c r="I61" s="37">
        <v>0</v>
      </c>
      <c r="J61" s="37"/>
      <c r="K61" s="37">
        <v>0</v>
      </c>
      <c r="L61" s="37"/>
      <c r="M61" s="37">
        <v>0</v>
      </c>
      <c r="N61" s="37"/>
      <c r="O61" s="39">
        <f t="shared" si="0"/>
        <v>0</v>
      </c>
      <c r="P61" s="37"/>
      <c r="Q61" s="37">
        <v>0</v>
      </c>
      <c r="R61" s="37"/>
      <c r="S61" s="37">
        <v>0</v>
      </c>
      <c r="T61" s="37"/>
      <c r="U61" s="37">
        <v>0</v>
      </c>
      <c r="V61" s="37"/>
      <c r="W61" s="37">
        <v>0</v>
      </c>
      <c r="X61" s="37"/>
      <c r="Y61" s="37">
        <v>0</v>
      </c>
      <c r="Z61" s="37"/>
      <c r="AA61" s="37">
        <v>0</v>
      </c>
      <c r="AB61" s="37"/>
      <c r="AC61" s="37">
        <v>0</v>
      </c>
      <c r="AD61" s="37"/>
      <c r="AE61" s="37">
        <v>0</v>
      </c>
      <c r="AF61" s="37"/>
      <c r="AG61" s="37">
        <v>0</v>
      </c>
      <c r="AH61" s="37"/>
      <c r="AI61" s="37">
        <f t="shared" si="1"/>
        <v>0</v>
      </c>
      <c r="AJ61" s="37"/>
      <c r="AK61" s="37">
        <v>0</v>
      </c>
      <c r="AL61" s="37"/>
      <c r="AM61" s="37">
        <v>0</v>
      </c>
      <c r="AN61" s="37"/>
      <c r="AO61" s="37">
        <v>0</v>
      </c>
      <c r="AQ61" s="44">
        <f t="shared" si="2"/>
        <v>0</v>
      </c>
      <c r="AR61" s="44"/>
      <c r="AS61" s="44">
        <f t="shared" si="3"/>
        <v>0</v>
      </c>
      <c r="AT61" s="44"/>
      <c r="AU61" s="44">
        <f t="shared" si="4"/>
        <v>0</v>
      </c>
      <c r="AV61" s="44"/>
      <c r="AW61" s="44">
        <f t="shared" si="5"/>
        <v>0</v>
      </c>
    </row>
    <row r="62" spans="1:49" s="7" customFormat="1" ht="12" hidden="1">
      <c r="A62" s="7" t="s">
        <v>194</v>
      </c>
      <c r="C62" s="7" t="s">
        <v>811</v>
      </c>
      <c r="E62" s="37">
        <v>0</v>
      </c>
      <c r="F62" s="37"/>
      <c r="G62" s="37">
        <v>0</v>
      </c>
      <c r="H62" s="37"/>
      <c r="I62" s="37">
        <v>0</v>
      </c>
      <c r="J62" s="37"/>
      <c r="K62" s="37">
        <v>0</v>
      </c>
      <c r="L62" s="37"/>
      <c r="M62" s="37">
        <v>0</v>
      </c>
      <c r="N62" s="37"/>
      <c r="O62" s="39">
        <f t="shared" si="0"/>
        <v>0</v>
      </c>
      <c r="P62" s="37"/>
      <c r="Q62" s="37">
        <v>0</v>
      </c>
      <c r="R62" s="37"/>
      <c r="S62" s="37">
        <v>0</v>
      </c>
      <c r="T62" s="37"/>
      <c r="U62" s="37">
        <v>0</v>
      </c>
      <c r="V62" s="37"/>
      <c r="W62" s="37">
        <v>0</v>
      </c>
      <c r="X62" s="37"/>
      <c r="Y62" s="37">
        <v>0</v>
      </c>
      <c r="Z62" s="37"/>
      <c r="AA62" s="37">
        <v>0</v>
      </c>
      <c r="AB62" s="37"/>
      <c r="AC62" s="37">
        <v>0</v>
      </c>
      <c r="AD62" s="37"/>
      <c r="AE62" s="37">
        <v>0</v>
      </c>
      <c r="AF62" s="37"/>
      <c r="AG62" s="37">
        <v>0</v>
      </c>
      <c r="AH62" s="37"/>
      <c r="AI62" s="37">
        <f t="shared" si="1"/>
        <v>0</v>
      </c>
      <c r="AJ62" s="37"/>
      <c r="AK62" s="37">
        <v>0</v>
      </c>
      <c r="AL62" s="37"/>
      <c r="AM62" s="37">
        <v>0</v>
      </c>
      <c r="AN62" s="37"/>
      <c r="AO62" s="37">
        <v>0</v>
      </c>
      <c r="AQ62" s="44">
        <f t="shared" si="2"/>
        <v>0</v>
      </c>
      <c r="AR62" s="44"/>
      <c r="AS62" s="44">
        <f t="shared" si="3"/>
        <v>0</v>
      </c>
      <c r="AT62" s="44"/>
      <c r="AU62" s="44">
        <f t="shared" si="4"/>
        <v>0</v>
      </c>
      <c r="AV62" s="44"/>
      <c r="AW62" s="44">
        <f t="shared" si="5"/>
        <v>0</v>
      </c>
    </row>
    <row r="63" spans="1:49" s="7" customFormat="1" ht="12" hidden="1">
      <c r="A63" s="7" t="s">
        <v>267</v>
      </c>
      <c r="C63" s="7" t="s">
        <v>829</v>
      </c>
      <c r="E63" s="37">
        <v>0</v>
      </c>
      <c r="F63" s="37"/>
      <c r="G63" s="37">
        <v>0</v>
      </c>
      <c r="H63" s="37"/>
      <c r="I63" s="37">
        <v>0</v>
      </c>
      <c r="J63" s="37"/>
      <c r="K63" s="37">
        <v>0</v>
      </c>
      <c r="L63" s="37"/>
      <c r="M63" s="37">
        <v>0</v>
      </c>
      <c r="N63" s="37"/>
      <c r="O63" s="39">
        <f t="shared" si="0"/>
        <v>0</v>
      </c>
      <c r="P63" s="37"/>
      <c r="Q63" s="37">
        <v>0</v>
      </c>
      <c r="R63" s="37"/>
      <c r="S63" s="37">
        <v>0</v>
      </c>
      <c r="T63" s="37"/>
      <c r="U63" s="37">
        <v>0</v>
      </c>
      <c r="V63" s="37"/>
      <c r="W63" s="37">
        <v>0</v>
      </c>
      <c r="X63" s="37"/>
      <c r="Y63" s="37">
        <v>0</v>
      </c>
      <c r="Z63" s="37"/>
      <c r="AA63" s="37">
        <v>0</v>
      </c>
      <c r="AB63" s="37"/>
      <c r="AC63" s="37">
        <v>0</v>
      </c>
      <c r="AD63" s="37"/>
      <c r="AE63" s="37">
        <v>0</v>
      </c>
      <c r="AF63" s="37"/>
      <c r="AG63" s="37">
        <v>0</v>
      </c>
      <c r="AH63" s="37"/>
      <c r="AI63" s="37">
        <f t="shared" si="1"/>
        <v>0</v>
      </c>
      <c r="AJ63" s="37"/>
      <c r="AK63" s="37">
        <v>0</v>
      </c>
      <c r="AL63" s="37"/>
      <c r="AM63" s="37">
        <v>0</v>
      </c>
      <c r="AN63" s="37"/>
      <c r="AO63" s="37">
        <v>0</v>
      </c>
      <c r="AQ63" s="44">
        <f t="shared" si="2"/>
        <v>0</v>
      </c>
      <c r="AR63" s="44"/>
      <c r="AS63" s="44">
        <f t="shared" si="3"/>
        <v>0</v>
      </c>
      <c r="AT63" s="44"/>
      <c r="AU63" s="44">
        <f t="shared" si="4"/>
        <v>0</v>
      </c>
      <c r="AV63" s="44"/>
      <c r="AW63" s="44">
        <f t="shared" si="5"/>
        <v>0</v>
      </c>
    </row>
    <row r="64" spans="1:49" s="7" customFormat="1" ht="12" hidden="1">
      <c r="A64" s="7" t="s">
        <v>101</v>
      </c>
      <c r="C64" s="7" t="s">
        <v>781</v>
      </c>
      <c r="E64" s="37">
        <v>0</v>
      </c>
      <c r="F64" s="37"/>
      <c r="G64" s="37">
        <v>0</v>
      </c>
      <c r="H64" s="37"/>
      <c r="I64" s="37">
        <v>0</v>
      </c>
      <c r="J64" s="37"/>
      <c r="K64" s="37">
        <v>0</v>
      </c>
      <c r="L64" s="37"/>
      <c r="M64" s="37">
        <v>0</v>
      </c>
      <c r="N64" s="37"/>
      <c r="O64" s="39">
        <f t="shared" si="0"/>
        <v>0</v>
      </c>
      <c r="P64" s="37"/>
      <c r="Q64" s="37">
        <v>0</v>
      </c>
      <c r="R64" s="37"/>
      <c r="S64" s="37">
        <v>0</v>
      </c>
      <c r="T64" s="37"/>
      <c r="U64" s="37">
        <v>0</v>
      </c>
      <c r="V64" s="37"/>
      <c r="W64" s="37">
        <v>0</v>
      </c>
      <c r="X64" s="37"/>
      <c r="Y64" s="37">
        <v>0</v>
      </c>
      <c r="Z64" s="37"/>
      <c r="AA64" s="37">
        <v>0</v>
      </c>
      <c r="AB64" s="37"/>
      <c r="AC64" s="37">
        <v>0</v>
      </c>
      <c r="AD64" s="37"/>
      <c r="AE64" s="37">
        <v>0</v>
      </c>
      <c r="AF64" s="37"/>
      <c r="AG64" s="37">
        <v>0</v>
      </c>
      <c r="AH64" s="37"/>
      <c r="AI64" s="37">
        <f t="shared" si="1"/>
        <v>0</v>
      </c>
      <c r="AJ64" s="37"/>
      <c r="AK64" s="37">
        <v>0</v>
      </c>
      <c r="AL64" s="37"/>
      <c r="AM64" s="37">
        <v>0</v>
      </c>
      <c r="AN64" s="37"/>
      <c r="AO64" s="37">
        <v>0</v>
      </c>
      <c r="AQ64" s="44">
        <f t="shared" si="2"/>
        <v>0</v>
      </c>
      <c r="AR64" s="44"/>
      <c r="AS64" s="44">
        <f t="shared" si="3"/>
        <v>0</v>
      </c>
      <c r="AT64" s="44"/>
      <c r="AU64" s="44">
        <f t="shared" si="4"/>
        <v>0</v>
      </c>
      <c r="AV64" s="44"/>
      <c r="AW64" s="44">
        <f t="shared" si="5"/>
        <v>0</v>
      </c>
    </row>
    <row r="65" spans="1:49" s="7" customFormat="1" ht="12" hidden="1">
      <c r="A65" s="7" t="s">
        <v>133</v>
      </c>
      <c r="C65" s="7" t="s">
        <v>791</v>
      </c>
      <c r="E65" s="37">
        <v>0</v>
      </c>
      <c r="F65" s="37"/>
      <c r="G65" s="37">
        <v>0</v>
      </c>
      <c r="H65" s="37"/>
      <c r="I65" s="37">
        <v>0</v>
      </c>
      <c r="J65" s="37"/>
      <c r="K65" s="37">
        <v>0</v>
      </c>
      <c r="L65" s="37"/>
      <c r="M65" s="37">
        <v>0</v>
      </c>
      <c r="N65" s="37"/>
      <c r="O65" s="39">
        <f t="shared" si="0"/>
        <v>0</v>
      </c>
      <c r="P65" s="37"/>
      <c r="Q65" s="37">
        <v>0</v>
      </c>
      <c r="R65" s="37"/>
      <c r="S65" s="37">
        <v>0</v>
      </c>
      <c r="T65" s="37"/>
      <c r="U65" s="37">
        <v>0</v>
      </c>
      <c r="V65" s="37"/>
      <c r="W65" s="37">
        <v>0</v>
      </c>
      <c r="X65" s="37"/>
      <c r="Y65" s="37">
        <v>0</v>
      </c>
      <c r="Z65" s="37"/>
      <c r="AA65" s="37">
        <v>0</v>
      </c>
      <c r="AB65" s="37"/>
      <c r="AC65" s="37">
        <v>0</v>
      </c>
      <c r="AD65" s="37"/>
      <c r="AE65" s="37">
        <v>0</v>
      </c>
      <c r="AF65" s="37"/>
      <c r="AG65" s="37">
        <v>0</v>
      </c>
      <c r="AH65" s="37"/>
      <c r="AI65" s="37">
        <f t="shared" si="1"/>
        <v>0</v>
      </c>
      <c r="AJ65" s="37"/>
      <c r="AK65" s="37">
        <v>0</v>
      </c>
      <c r="AL65" s="37"/>
      <c r="AM65" s="37">
        <v>0</v>
      </c>
      <c r="AN65" s="37"/>
      <c r="AO65" s="37">
        <v>0</v>
      </c>
      <c r="AQ65" s="44">
        <f t="shared" si="2"/>
        <v>0</v>
      </c>
      <c r="AR65" s="44"/>
      <c r="AS65" s="44">
        <f t="shared" si="3"/>
        <v>0</v>
      </c>
      <c r="AT65" s="44"/>
      <c r="AU65" s="44">
        <f t="shared" si="4"/>
        <v>0</v>
      </c>
      <c r="AV65" s="44"/>
      <c r="AW65" s="44">
        <f t="shared" si="5"/>
        <v>0</v>
      </c>
    </row>
    <row r="66" spans="1:49" s="7" customFormat="1" ht="12" hidden="1">
      <c r="A66" s="7" t="s">
        <v>223</v>
      </c>
      <c r="C66" s="7" t="s">
        <v>819</v>
      </c>
      <c r="E66" s="37">
        <v>0</v>
      </c>
      <c r="F66" s="37"/>
      <c r="G66" s="37">
        <v>0</v>
      </c>
      <c r="H66" s="37"/>
      <c r="I66" s="37">
        <v>0</v>
      </c>
      <c r="J66" s="37"/>
      <c r="K66" s="37">
        <v>0</v>
      </c>
      <c r="L66" s="37"/>
      <c r="M66" s="37">
        <v>0</v>
      </c>
      <c r="N66" s="37"/>
      <c r="O66" s="39">
        <f t="shared" si="0"/>
        <v>0</v>
      </c>
      <c r="P66" s="37"/>
      <c r="Q66" s="37">
        <v>0</v>
      </c>
      <c r="R66" s="37"/>
      <c r="S66" s="37">
        <v>0</v>
      </c>
      <c r="T66" s="37"/>
      <c r="U66" s="37">
        <v>0</v>
      </c>
      <c r="V66" s="37"/>
      <c r="W66" s="37">
        <v>0</v>
      </c>
      <c r="X66" s="37"/>
      <c r="Y66" s="37">
        <v>0</v>
      </c>
      <c r="Z66" s="37"/>
      <c r="AA66" s="37">
        <v>0</v>
      </c>
      <c r="AB66" s="37"/>
      <c r="AC66" s="37">
        <v>0</v>
      </c>
      <c r="AD66" s="37"/>
      <c r="AE66" s="37">
        <v>0</v>
      </c>
      <c r="AF66" s="37"/>
      <c r="AG66" s="37">
        <v>0</v>
      </c>
      <c r="AH66" s="37"/>
      <c r="AI66" s="37">
        <f t="shared" si="1"/>
        <v>0</v>
      </c>
      <c r="AJ66" s="37"/>
      <c r="AK66" s="37">
        <v>0</v>
      </c>
      <c r="AL66" s="37"/>
      <c r="AM66" s="37">
        <v>0</v>
      </c>
      <c r="AN66" s="37"/>
      <c r="AO66" s="37">
        <v>0</v>
      </c>
      <c r="AQ66" s="44">
        <f t="shared" si="2"/>
        <v>0</v>
      </c>
      <c r="AR66" s="44"/>
      <c r="AS66" s="44">
        <f t="shared" si="3"/>
        <v>0</v>
      </c>
      <c r="AT66" s="44"/>
      <c r="AU66" s="44">
        <f t="shared" si="4"/>
        <v>0</v>
      </c>
      <c r="AV66" s="44"/>
      <c r="AW66" s="44">
        <f t="shared" si="5"/>
        <v>0</v>
      </c>
    </row>
    <row r="67" spans="1:49" s="7" customFormat="1" ht="12">
      <c r="A67" s="1" t="s">
        <v>131</v>
      </c>
      <c r="B67" s="1"/>
      <c r="C67" s="1" t="s">
        <v>790</v>
      </c>
      <c r="E67" s="37">
        <v>3217654</v>
      </c>
      <c r="F67" s="37"/>
      <c r="G67" s="37">
        <v>140460</v>
      </c>
      <c r="H67" s="37"/>
      <c r="I67" s="37">
        <v>197448</v>
      </c>
      <c r="J67" s="37"/>
      <c r="K67" s="37">
        <v>61074</v>
      </c>
      <c r="L67" s="37"/>
      <c r="M67" s="37">
        <v>-2818672</v>
      </c>
      <c r="N67" s="37"/>
      <c r="O67" s="39">
        <f>-E67+G67+I67+K67</f>
        <v>-2818672</v>
      </c>
      <c r="P67" s="37"/>
      <c r="Q67" s="37">
        <v>225267</v>
      </c>
      <c r="R67" s="37"/>
      <c r="S67" s="37">
        <v>1071073</v>
      </c>
      <c r="T67" s="37"/>
      <c r="U67" s="37">
        <v>279434</v>
      </c>
      <c r="V67" s="37"/>
      <c r="W67" s="37">
        <v>109769</v>
      </c>
      <c r="X67" s="37"/>
      <c r="Y67" s="37">
        <v>0</v>
      </c>
      <c r="Z67" s="37"/>
      <c r="AA67" s="37">
        <v>97192</v>
      </c>
      <c r="AB67" s="37"/>
      <c r="AC67" s="37">
        <f>113860+29243</f>
        <v>143103</v>
      </c>
      <c r="AD67" s="37"/>
      <c r="AE67" s="37">
        <v>0</v>
      </c>
      <c r="AF67" s="37"/>
      <c r="AG67" s="37">
        <v>0</v>
      </c>
      <c r="AH67" s="37"/>
      <c r="AI67" s="37">
        <f>+Q67+S67+U67+W67+Y67+AA67+AC67+AE67+AG67</f>
        <v>1925838</v>
      </c>
      <c r="AJ67" s="37"/>
      <c r="AK67" s="37">
        <v>-892834</v>
      </c>
      <c r="AL67" s="37"/>
      <c r="AM67" s="37">
        <v>2405495</v>
      </c>
      <c r="AN67" s="37"/>
      <c r="AO67" s="37">
        <v>1512661</v>
      </c>
      <c r="AQ67" s="44">
        <f>+M67-O67</f>
        <v>0</v>
      </c>
      <c r="AR67" s="44"/>
      <c r="AS67" s="44">
        <f>+Q67+S67+U67+W67+Y67+AA67+AC67+AE67+AG67-AI67</f>
        <v>0</v>
      </c>
      <c r="AT67" s="44"/>
      <c r="AU67" s="44">
        <f>+O67+AI67-AK67</f>
        <v>0</v>
      </c>
      <c r="AV67" s="44"/>
      <c r="AW67" s="44">
        <f>+O67+AI67+AM67-AO67</f>
        <v>0</v>
      </c>
    </row>
    <row r="68" spans="1:49" s="7" customFormat="1" ht="12" hidden="1">
      <c r="A68" s="7" t="s">
        <v>137</v>
      </c>
      <c r="C68" s="7" t="s">
        <v>792</v>
      </c>
      <c r="E68" s="37">
        <v>0</v>
      </c>
      <c r="F68" s="37"/>
      <c r="G68" s="37">
        <v>0</v>
      </c>
      <c r="H68" s="37"/>
      <c r="I68" s="37">
        <v>0</v>
      </c>
      <c r="J68" s="37"/>
      <c r="K68" s="37">
        <v>0</v>
      </c>
      <c r="L68" s="37"/>
      <c r="M68" s="37">
        <v>0</v>
      </c>
      <c r="N68" s="37"/>
      <c r="O68" s="39">
        <f t="shared" si="0"/>
        <v>0</v>
      </c>
      <c r="P68" s="37"/>
      <c r="Q68" s="37">
        <v>0</v>
      </c>
      <c r="R68" s="37"/>
      <c r="S68" s="37">
        <v>0</v>
      </c>
      <c r="T68" s="37"/>
      <c r="U68" s="37">
        <v>0</v>
      </c>
      <c r="V68" s="37"/>
      <c r="W68" s="37">
        <v>0</v>
      </c>
      <c r="X68" s="37"/>
      <c r="Y68" s="37">
        <v>0</v>
      </c>
      <c r="Z68" s="37"/>
      <c r="AA68" s="37">
        <v>0</v>
      </c>
      <c r="AB68" s="37"/>
      <c r="AC68" s="37">
        <v>0</v>
      </c>
      <c r="AD68" s="37"/>
      <c r="AE68" s="37">
        <v>0</v>
      </c>
      <c r="AF68" s="37"/>
      <c r="AG68" s="37">
        <v>0</v>
      </c>
      <c r="AH68" s="37"/>
      <c r="AI68" s="37">
        <f t="shared" si="1"/>
        <v>0</v>
      </c>
      <c r="AJ68" s="37"/>
      <c r="AK68" s="37">
        <v>0</v>
      </c>
      <c r="AL68" s="37"/>
      <c r="AM68" s="37">
        <v>0</v>
      </c>
      <c r="AN68" s="37"/>
      <c r="AO68" s="37">
        <v>0</v>
      </c>
      <c r="AQ68" s="44">
        <f t="shared" si="2"/>
        <v>0</v>
      </c>
      <c r="AR68" s="44"/>
      <c r="AS68" s="44">
        <f t="shared" si="3"/>
        <v>0</v>
      </c>
      <c r="AT68" s="44"/>
      <c r="AU68" s="44">
        <f t="shared" si="4"/>
        <v>0</v>
      </c>
      <c r="AV68" s="44"/>
      <c r="AW68" s="44">
        <f t="shared" si="5"/>
        <v>0</v>
      </c>
    </row>
    <row r="69" spans="1:49" s="7" customFormat="1" ht="12" hidden="1">
      <c r="A69" s="7" t="s">
        <v>184</v>
      </c>
      <c r="C69" s="7" t="s">
        <v>808</v>
      </c>
      <c r="E69" s="37">
        <v>0</v>
      </c>
      <c r="F69" s="37"/>
      <c r="G69" s="37">
        <v>0</v>
      </c>
      <c r="H69" s="37"/>
      <c r="I69" s="37">
        <v>0</v>
      </c>
      <c r="J69" s="37"/>
      <c r="K69" s="37">
        <v>0</v>
      </c>
      <c r="L69" s="37"/>
      <c r="M69" s="37">
        <v>0</v>
      </c>
      <c r="N69" s="37"/>
      <c r="O69" s="39">
        <f t="shared" si="0"/>
        <v>0</v>
      </c>
      <c r="P69" s="37"/>
      <c r="Q69" s="37">
        <v>0</v>
      </c>
      <c r="R69" s="37"/>
      <c r="S69" s="37">
        <v>0</v>
      </c>
      <c r="T69" s="37"/>
      <c r="U69" s="37">
        <v>0</v>
      </c>
      <c r="V69" s="37"/>
      <c r="W69" s="37">
        <v>0</v>
      </c>
      <c r="X69" s="37"/>
      <c r="Y69" s="37">
        <v>0</v>
      </c>
      <c r="Z69" s="37"/>
      <c r="AA69" s="37">
        <v>0</v>
      </c>
      <c r="AB69" s="37"/>
      <c r="AC69" s="37">
        <v>0</v>
      </c>
      <c r="AD69" s="37"/>
      <c r="AE69" s="37">
        <v>0</v>
      </c>
      <c r="AF69" s="37"/>
      <c r="AG69" s="37">
        <v>0</v>
      </c>
      <c r="AH69" s="37"/>
      <c r="AI69" s="37">
        <f t="shared" si="1"/>
        <v>0</v>
      </c>
      <c r="AJ69" s="37"/>
      <c r="AK69" s="37">
        <v>0</v>
      </c>
      <c r="AL69" s="37"/>
      <c r="AM69" s="37">
        <v>0</v>
      </c>
      <c r="AN69" s="37"/>
      <c r="AO69" s="37">
        <v>0</v>
      </c>
      <c r="AQ69" s="44">
        <f t="shared" si="2"/>
        <v>0</v>
      </c>
      <c r="AR69" s="44"/>
      <c r="AS69" s="44">
        <f t="shared" si="3"/>
        <v>0</v>
      </c>
      <c r="AT69" s="44"/>
      <c r="AU69" s="44">
        <f t="shared" si="4"/>
        <v>0</v>
      </c>
      <c r="AV69" s="44"/>
      <c r="AW69" s="44">
        <f t="shared" si="5"/>
        <v>0</v>
      </c>
    </row>
    <row r="70" spans="1:49" s="7" customFormat="1" ht="12" hidden="1">
      <c r="A70" s="7" t="s">
        <v>851</v>
      </c>
      <c r="C70" s="7" t="s">
        <v>766</v>
      </c>
      <c r="E70" s="37">
        <v>0</v>
      </c>
      <c r="F70" s="37"/>
      <c r="G70" s="37">
        <v>0</v>
      </c>
      <c r="H70" s="37"/>
      <c r="I70" s="37">
        <v>0</v>
      </c>
      <c r="J70" s="37"/>
      <c r="K70" s="37">
        <v>0</v>
      </c>
      <c r="L70" s="37"/>
      <c r="M70" s="37">
        <v>0</v>
      </c>
      <c r="N70" s="37"/>
      <c r="O70" s="39">
        <f t="shared" si="0"/>
        <v>0</v>
      </c>
      <c r="P70" s="37"/>
      <c r="Q70" s="37">
        <v>0</v>
      </c>
      <c r="R70" s="37"/>
      <c r="S70" s="37">
        <v>0</v>
      </c>
      <c r="T70" s="37"/>
      <c r="U70" s="37">
        <v>0</v>
      </c>
      <c r="V70" s="37"/>
      <c r="W70" s="37">
        <v>0</v>
      </c>
      <c r="X70" s="37"/>
      <c r="Y70" s="37">
        <v>0</v>
      </c>
      <c r="Z70" s="37"/>
      <c r="AA70" s="37">
        <v>0</v>
      </c>
      <c r="AB70" s="37"/>
      <c r="AC70" s="37">
        <v>0</v>
      </c>
      <c r="AD70" s="37"/>
      <c r="AE70" s="37">
        <v>0</v>
      </c>
      <c r="AF70" s="37"/>
      <c r="AG70" s="37">
        <v>0</v>
      </c>
      <c r="AH70" s="37"/>
      <c r="AI70" s="37">
        <f t="shared" si="1"/>
        <v>0</v>
      </c>
      <c r="AJ70" s="37"/>
      <c r="AK70" s="37">
        <v>0</v>
      </c>
      <c r="AL70" s="37"/>
      <c r="AM70" s="37">
        <v>0</v>
      </c>
      <c r="AN70" s="37"/>
      <c r="AO70" s="37">
        <v>0</v>
      </c>
      <c r="AQ70" s="44">
        <f t="shared" si="2"/>
        <v>0</v>
      </c>
      <c r="AR70" s="44"/>
      <c r="AS70" s="44">
        <f t="shared" si="3"/>
        <v>0</v>
      </c>
      <c r="AT70" s="44"/>
      <c r="AU70" s="44">
        <f t="shared" si="4"/>
        <v>0</v>
      </c>
      <c r="AV70" s="44"/>
      <c r="AW70" s="44">
        <f t="shared" si="5"/>
        <v>0</v>
      </c>
    </row>
    <row r="71" spans="1:49" s="7" customFormat="1" ht="12" hidden="1">
      <c r="A71" s="7" t="s">
        <v>95</v>
      </c>
      <c r="C71" s="7" t="s">
        <v>778</v>
      </c>
      <c r="E71" s="37">
        <v>0</v>
      </c>
      <c r="F71" s="37"/>
      <c r="G71" s="37">
        <v>0</v>
      </c>
      <c r="H71" s="37"/>
      <c r="I71" s="37">
        <v>0</v>
      </c>
      <c r="J71" s="37"/>
      <c r="K71" s="37">
        <v>0</v>
      </c>
      <c r="L71" s="37"/>
      <c r="M71" s="37">
        <v>0</v>
      </c>
      <c r="N71" s="37"/>
      <c r="O71" s="39">
        <f t="shared" si="0"/>
        <v>0</v>
      </c>
      <c r="P71" s="37"/>
      <c r="Q71" s="37">
        <v>0</v>
      </c>
      <c r="R71" s="37"/>
      <c r="S71" s="37">
        <v>0</v>
      </c>
      <c r="T71" s="37"/>
      <c r="U71" s="37">
        <v>0</v>
      </c>
      <c r="V71" s="37"/>
      <c r="W71" s="37">
        <v>0</v>
      </c>
      <c r="X71" s="37"/>
      <c r="Y71" s="37">
        <v>0</v>
      </c>
      <c r="Z71" s="37"/>
      <c r="AA71" s="37">
        <v>0</v>
      </c>
      <c r="AB71" s="37"/>
      <c r="AC71" s="37">
        <v>0</v>
      </c>
      <c r="AD71" s="37"/>
      <c r="AE71" s="37">
        <v>0</v>
      </c>
      <c r="AF71" s="37"/>
      <c r="AG71" s="37">
        <v>0</v>
      </c>
      <c r="AH71" s="37"/>
      <c r="AI71" s="37">
        <f t="shared" si="1"/>
        <v>0</v>
      </c>
      <c r="AJ71" s="37"/>
      <c r="AK71" s="37">
        <v>0</v>
      </c>
      <c r="AL71" s="37"/>
      <c r="AM71" s="37">
        <v>0</v>
      </c>
      <c r="AN71" s="37"/>
      <c r="AO71" s="37">
        <v>0</v>
      </c>
      <c r="AQ71" s="44">
        <f t="shared" si="2"/>
        <v>0</v>
      </c>
      <c r="AR71" s="44"/>
      <c r="AS71" s="44">
        <f t="shared" si="3"/>
        <v>0</v>
      </c>
      <c r="AT71" s="44"/>
      <c r="AU71" s="44">
        <f t="shared" si="4"/>
        <v>0</v>
      </c>
      <c r="AV71" s="44"/>
      <c r="AW71" s="44">
        <f t="shared" si="5"/>
        <v>0</v>
      </c>
    </row>
    <row r="72" spans="1:49" s="7" customFormat="1" ht="12" hidden="1">
      <c r="A72" s="7" t="s">
        <v>245</v>
      </c>
      <c r="C72" s="7" t="s">
        <v>827</v>
      </c>
      <c r="E72" s="37">
        <v>0</v>
      </c>
      <c r="F72" s="37"/>
      <c r="G72" s="37">
        <v>0</v>
      </c>
      <c r="H72" s="37"/>
      <c r="I72" s="37">
        <v>0</v>
      </c>
      <c r="J72" s="37"/>
      <c r="K72" s="37">
        <v>0</v>
      </c>
      <c r="L72" s="37"/>
      <c r="M72" s="37">
        <v>0</v>
      </c>
      <c r="N72" s="37"/>
      <c r="O72" s="39">
        <f t="shared" si="0"/>
        <v>0</v>
      </c>
      <c r="P72" s="37"/>
      <c r="Q72" s="37">
        <v>0</v>
      </c>
      <c r="R72" s="37"/>
      <c r="S72" s="37">
        <v>0</v>
      </c>
      <c r="T72" s="37"/>
      <c r="U72" s="37">
        <v>0</v>
      </c>
      <c r="V72" s="37"/>
      <c r="W72" s="37">
        <v>0</v>
      </c>
      <c r="X72" s="37"/>
      <c r="Y72" s="37">
        <v>0</v>
      </c>
      <c r="Z72" s="37"/>
      <c r="AA72" s="37">
        <v>0</v>
      </c>
      <c r="AB72" s="37"/>
      <c r="AC72" s="37">
        <v>0</v>
      </c>
      <c r="AD72" s="37"/>
      <c r="AE72" s="37">
        <v>0</v>
      </c>
      <c r="AF72" s="37"/>
      <c r="AG72" s="37">
        <v>0</v>
      </c>
      <c r="AH72" s="37"/>
      <c r="AI72" s="37">
        <f t="shared" si="1"/>
        <v>0</v>
      </c>
      <c r="AJ72" s="37"/>
      <c r="AK72" s="37">
        <v>0</v>
      </c>
      <c r="AL72" s="37"/>
      <c r="AM72" s="37">
        <v>0</v>
      </c>
      <c r="AN72" s="37"/>
      <c r="AO72" s="37">
        <v>0</v>
      </c>
      <c r="AQ72" s="44">
        <f t="shared" si="2"/>
        <v>0</v>
      </c>
      <c r="AR72" s="44"/>
      <c r="AS72" s="44">
        <f t="shared" si="3"/>
        <v>0</v>
      </c>
      <c r="AT72" s="44"/>
      <c r="AU72" s="44">
        <f t="shared" si="4"/>
        <v>0</v>
      </c>
      <c r="AV72" s="44"/>
      <c r="AW72" s="44">
        <f t="shared" si="5"/>
        <v>0</v>
      </c>
    </row>
    <row r="73" spans="1:49" s="7" customFormat="1" ht="12" hidden="1">
      <c r="A73" s="7" t="s">
        <v>609</v>
      </c>
      <c r="C73" s="7" t="s">
        <v>606</v>
      </c>
      <c r="E73" s="37">
        <v>0</v>
      </c>
      <c r="F73" s="37"/>
      <c r="G73" s="37">
        <v>0</v>
      </c>
      <c r="H73" s="37"/>
      <c r="I73" s="37">
        <v>0</v>
      </c>
      <c r="J73" s="37"/>
      <c r="K73" s="37">
        <v>0</v>
      </c>
      <c r="L73" s="37"/>
      <c r="M73" s="37">
        <v>0</v>
      </c>
      <c r="N73" s="37"/>
      <c r="O73" s="39">
        <f t="shared" si="0"/>
        <v>0</v>
      </c>
      <c r="P73" s="37"/>
      <c r="Q73" s="37">
        <v>0</v>
      </c>
      <c r="R73" s="37"/>
      <c r="S73" s="37">
        <v>0</v>
      </c>
      <c r="T73" s="37"/>
      <c r="U73" s="37">
        <v>0</v>
      </c>
      <c r="V73" s="37"/>
      <c r="W73" s="37">
        <v>0</v>
      </c>
      <c r="X73" s="37"/>
      <c r="Y73" s="37">
        <v>0</v>
      </c>
      <c r="Z73" s="37"/>
      <c r="AA73" s="37">
        <v>0</v>
      </c>
      <c r="AB73" s="37"/>
      <c r="AC73" s="37">
        <v>0</v>
      </c>
      <c r="AD73" s="37"/>
      <c r="AE73" s="37">
        <v>0</v>
      </c>
      <c r="AF73" s="37"/>
      <c r="AG73" s="37">
        <v>0</v>
      </c>
      <c r="AH73" s="37"/>
      <c r="AI73" s="37">
        <f t="shared" si="1"/>
        <v>0</v>
      </c>
      <c r="AJ73" s="37"/>
      <c r="AK73" s="37">
        <v>0</v>
      </c>
      <c r="AL73" s="37"/>
      <c r="AM73" s="37">
        <v>0</v>
      </c>
      <c r="AN73" s="37"/>
      <c r="AO73" s="37">
        <v>0</v>
      </c>
      <c r="AQ73" s="44">
        <f t="shared" si="2"/>
        <v>0</v>
      </c>
      <c r="AR73" s="44"/>
      <c r="AS73" s="44">
        <f t="shared" si="3"/>
        <v>0</v>
      </c>
      <c r="AT73" s="44"/>
      <c r="AU73" s="44">
        <f t="shared" si="4"/>
        <v>0</v>
      </c>
      <c r="AV73" s="44"/>
      <c r="AW73" s="44">
        <f t="shared" si="5"/>
        <v>0</v>
      </c>
    </row>
    <row r="74" spans="1:49" s="7" customFormat="1" ht="12" hidden="1">
      <c r="A74" s="7" t="s">
        <v>242</v>
      </c>
      <c r="C74" s="7" t="s">
        <v>826</v>
      </c>
      <c r="E74" s="37">
        <v>0</v>
      </c>
      <c r="F74" s="37"/>
      <c r="G74" s="37">
        <v>0</v>
      </c>
      <c r="H74" s="37"/>
      <c r="I74" s="37">
        <v>0</v>
      </c>
      <c r="J74" s="37"/>
      <c r="K74" s="37">
        <v>0</v>
      </c>
      <c r="L74" s="37"/>
      <c r="M74" s="37">
        <v>0</v>
      </c>
      <c r="N74" s="37"/>
      <c r="O74" s="39">
        <f t="shared" si="0"/>
        <v>0</v>
      </c>
      <c r="P74" s="37"/>
      <c r="Q74" s="37">
        <v>0</v>
      </c>
      <c r="R74" s="37"/>
      <c r="S74" s="37">
        <v>0</v>
      </c>
      <c r="T74" s="37"/>
      <c r="U74" s="37">
        <v>0</v>
      </c>
      <c r="V74" s="37"/>
      <c r="W74" s="37">
        <v>0</v>
      </c>
      <c r="X74" s="37"/>
      <c r="Y74" s="37">
        <v>0</v>
      </c>
      <c r="Z74" s="37"/>
      <c r="AA74" s="37">
        <v>0</v>
      </c>
      <c r="AB74" s="37"/>
      <c r="AC74" s="37">
        <v>0</v>
      </c>
      <c r="AD74" s="37"/>
      <c r="AE74" s="37">
        <v>0</v>
      </c>
      <c r="AF74" s="37"/>
      <c r="AG74" s="37">
        <v>0</v>
      </c>
      <c r="AH74" s="37"/>
      <c r="AI74" s="37">
        <f t="shared" si="1"/>
        <v>0</v>
      </c>
      <c r="AJ74" s="37"/>
      <c r="AK74" s="37">
        <v>0</v>
      </c>
      <c r="AL74" s="37"/>
      <c r="AM74" s="37">
        <v>0</v>
      </c>
      <c r="AN74" s="37"/>
      <c r="AO74" s="37">
        <v>0</v>
      </c>
      <c r="AQ74" s="44">
        <f t="shared" si="2"/>
        <v>0</v>
      </c>
      <c r="AR74" s="44"/>
      <c r="AS74" s="44">
        <f t="shared" si="3"/>
        <v>0</v>
      </c>
      <c r="AT74" s="44"/>
      <c r="AU74" s="44">
        <f t="shared" si="4"/>
        <v>0</v>
      </c>
      <c r="AV74" s="44"/>
      <c r="AW74" s="44">
        <f t="shared" si="5"/>
        <v>0</v>
      </c>
    </row>
    <row r="75" spans="1:49" s="7" customFormat="1" ht="12" hidden="1">
      <c r="A75" s="7" t="s">
        <v>173</v>
      </c>
      <c r="C75" s="7" t="s">
        <v>804</v>
      </c>
      <c r="E75" s="37">
        <v>0</v>
      </c>
      <c r="F75" s="37"/>
      <c r="G75" s="37">
        <v>0</v>
      </c>
      <c r="H75" s="37"/>
      <c r="I75" s="37">
        <v>0</v>
      </c>
      <c r="J75" s="37"/>
      <c r="K75" s="37">
        <v>0</v>
      </c>
      <c r="L75" s="37"/>
      <c r="M75" s="37">
        <v>0</v>
      </c>
      <c r="N75" s="37"/>
      <c r="O75" s="39">
        <f t="shared" si="0"/>
        <v>0</v>
      </c>
      <c r="P75" s="37"/>
      <c r="Q75" s="37">
        <v>0</v>
      </c>
      <c r="R75" s="37"/>
      <c r="S75" s="37">
        <v>0</v>
      </c>
      <c r="T75" s="37"/>
      <c r="U75" s="37">
        <v>0</v>
      </c>
      <c r="V75" s="37"/>
      <c r="W75" s="37">
        <v>0</v>
      </c>
      <c r="X75" s="37"/>
      <c r="Y75" s="37">
        <v>0</v>
      </c>
      <c r="Z75" s="37"/>
      <c r="AA75" s="37">
        <v>0</v>
      </c>
      <c r="AB75" s="37"/>
      <c r="AC75" s="37">
        <v>0</v>
      </c>
      <c r="AD75" s="37"/>
      <c r="AE75" s="37">
        <v>0</v>
      </c>
      <c r="AF75" s="37"/>
      <c r="AG75" s="37">
        <v>0</v>
      </c>
      <c r="AH75" s="37"/>
      <c r="AI75" s="37">
        <f t="shared" si="1"/>
        <v>0</v>
      </c>
      <c r="AJ75" s="37"/>
      <c r="AK75" s="37">
        <v>0</v>
      </c>
      <c r="AL75" s="37"/>
      <c r="AM75" s="37">
        <v>0</v>
      </c>
      <c r="AN75" s="37"/>
      <c r="AO75" s="37">
        <v>0</v>
      </c>
      <c r="AP75" s="46"/>
      <c r="AQ75" s="44">
        <f t="shared" si="2"/>
        <v>0</v>
      </c>
      <c r="AR75" s="44"/>
      <c r="AS75" s="44">
        <f t="shared" si="3"/>
        <v>0</v>
      </c>
      <c r="AT75" s="44"/>
      <c r="AU75" s="44">
        <f t="shared" si="4"/>
        <v>0</v>
      </c>
      <c r="AV75" s="44"/>
      <c r="AW75" s="44">
        <f t="shared" si="5"/>
        <v>0</v>
      </c>
    </row>
    <row r="76" spans="1:49" s="7" customFormat="1" ht="12" hidden="1">
      <c r="A76" s="7" t="s">
        <v>168</v>
      </c>
      <c r="C76" s="7" t="s">
        <v>803</v>
      </c>
      <c r="E76" s="37">
        <v>0</v>
      </c>
      <c r="F76" s="37"/>
      <c r="G76" s="37">
        <v>0</v>
      </c>
      <c r="H76" s="37"/>
      <c r="I76" s="37">
        <v>0</v>
      </c>
      <c r="J76" s="37"/>
      <c r="K76" s="37">
        <v>0</v>
      </c>
      <c r="L76" s="37"/>
      <c r="M76" s="37">
        <v>0</v>
      </c>
      <c r="N76" s="37"/>
      <c r="O76" s="39">
        <f t="shared" si="0"/>
        <v>0</v>
      </c>
      <c r="P76" s="37"/>
      <c r="Q76" s="37">
        <v>0</v>
      </c>
      <c r="R76" s="37"/>
      <c r="S76" s="37">
        <v>0</v>
      </c>
      <c r="T76" s="37"/>
      <c r="U76" s="37">
        <v>0</v>
      </c>
      <c r="V76" s="37"/>
      <c r="W76" s="37">
        <v>0</v>
      </c>
      <c r="X76" s="37"/>
      <c r="Y76" s="37">
        <v>0</v>
      </c>
      <c r="Z76" s="37"/>
      <c r="AA76" s="37">
        <v>0</v>
      </c>
      <c r="AB76" s="37"/>
      <c r="AC76" s="37">
        <v>0</v>
      </c>
      <c r="AD76" s="37"/>
      <c r="AE76" s="37">
        <v>0</v>
      </c>
      <c r="AF76" s="37"/>
      <c r="AG76" s="37">
        <v>0</v>
      </c>
      <c r="AH76" s="37"/>
      <c r="AI76" s="37">
        <f t="shared" si="1"/>
        <v>0</v>
      </c>
      <c r="AJ76" s="37"/>
      <c r="AK76" s="37">
        <v>0</v>
      </c>
      <c r="AL76" s="37"/>
      <c r="AM76" s="37">
        <v>0</v>
      </c>
      <c r="AN76" s="37"/>
      <c r="AO76" s="37">
        <v>0</v>
      </c>
      <c r="AQ76" s="44">
        <f t="shared" si="2"/>
        <v>0</v>
      </c>
      <c r="AR76" s="44"/>
      <c r="AS76" s="44">
        <f t="shared" si="3"/>
        <v>0</v>
      </c>
      <c r="AT76" s="44"/>
      <c r="AU76" s="44">
        <f t="shared" si="4"/>
        <v>0</v>
      </c>
      <c r="AV76" s="44"/>
      <c r="AW76" s="44">
        <f t="shared" si="5"/>
        <v>0</v>
      </c>
    </row>
    <row r="77" spans="1:49" s="7" customFormat="1" ht="12" hidden="1">
      <c r="A77" s="7" t="s">
        <v>852</v>
      </c>
      <c r="C77" s="7" t="s">
        <v>799</v>
      </c>
      <c r="E77" s="37">
        <v>0</v>
      </c>
      <c r="F77" s="37"/>
      <c r="G77" s="37">
        <v>0</v>
      </c>
      <c r="H77" s="37"/>
      <c r="I77" s="37">
        <v>0</v>
      </c>
      <c r="J77" s="37"/>
      <c r="K77" s="37">
        <v>0</v>
      </c>
      <c r="L77" s="37"/>
      <c r="M77" s="37">
        <v>0</v>
      </c>
      <c r="N77" s="37"/>
      <c r="O77" s="39">
        <f t="shared" si="0"/>
        <v>0</v>
      </c>
      <c r="P77" s="37"/>
      <c r="Q77" s="37">
        <v>0</v>
      </c>
      <c r="R77" s="37"/>
      <c r="S77" s="37">
        <v>0</v>
      </c>
      <c r="T77" s="37"/>
      <c r="U77" s="37">
        <v>0</v>
      </c>
      <c r="V77" s="37"/>
      <c r="W77" s="37">
        <v>0</v>
      </c>
      <c r="X77" s="37"/>
      <c r="Y77" s="37">
        <v>0</v>
      </c>
      <c r="Z77" s="37"/>
      <c r="AA77" s="37">
        <v>0</v>
      </c>
      <c r="AB77" s="37"/>
      <c r="AC77" s="37">
        <v>0</v>
      </c>
      <c r="AD77" s="37"/>
      <c r="AE77" s="37">
        <v>0</v>
      </c>
      <c r="AF77" s="37"/>
      <c r="AG77" s="37">
        <v>0</v>
      </c>
      <c r="AH77" s="37"/>
      <c r="AI77" s="37">
        <f t="shared" si="1"/>
        <v>0</v>
      </c>
      <c r="AJ77" s="37"/>
      <c r="AK77" s="37">
        <v>0</v>
      </c>
      <c r="AL77" s="37"/>
      <c r="AM77" s="37">
        <v>0</v>
      </c>
      <c r="AN77" s="37"/>
      <c r="AO77" s="37">
        <v>0</v>
      </c>
      <c r="AQ77" s="44">
        <f t="shared" si="2"/>
        <v>0</v>
      </c>
      <c r="AR77" s="44"/>
      <c r="AS77" s="44">
        <f t="shared" si="3"/>
        <v>0</v>
      </c>
      <c r="AT77" s="44"/>
      <c r="AU77" s="44">
        <f t="shared" si="4"/>
        <v>0</v>
      </c>
      <c r="AV77" s="44"/>
      <c r="AW77" s="44">
        <f t="shared" si="5"/>
        <v>0</v>
      </c>
    </row>
    <row r="78" spans="1:49" s="7" customFormat="1" ht="12" hidden="1">
      <c r="A78" s="7" t="s">
        <v>156</v>
      </c>
      <c r="C78" s="7" t="s">
        <v>467</v>
      </c>
      <c r="E78" s="37">
        <v>0</v>
      </c>
      <c r="F78" s="37"/>
      <c r="G78" s="37">
        <v>0</v>
      </c>
      <c r="H78" s="37"/>
      <c r="I78" s="37">
        <v>0</v>
      </c>
      <c r="J78" s="37"/>
      <c r="K78" s="37">
        <v>0</v>
      </c>
      <c r="L78" s="37"/>
      <c r="M78" s="37">
        <v>0</v>
      </c>
      <c r="N78" s="37"/>
      <c r="O78" s="39">
        <f t="shared" si="0"/>
        <v>0</v>
      </c>
      <c r="P78" s="37"/>
      <c r="Q78" s="37">
        <v>0</v>
      </c>
      <c r="R78" s="37"/>
      <c r="S78" s="37">
        <v>0</v>
      </c>
      <c r="T78" s="37"/>
      <c r="U78" s="37">
        <v>0</v>
      </c>
      <c r="V78" s="37"/>
      <c r="W78" s="37">
        <v>0</v>
      </c>
      <c r="X78" s="37"/>
      <c r="Y78" s="37">
        <v>0</v>
      </c>
      <c r="Z78" s="37"/>
      <c r="AA78" s="37">
        <v>0</v>
      </c>
      <c r="AB78" s="37"/>
      <c r="AC78" s="37">
        <v>0</v>
      </c>
      <c r="AD78" s="37"/>
      <c r="AE78" s="37">
        <v>0</v>
      </c>
      <c r="AF78" s="37"/>
      <c r="AG78" s="37">
        <v>0</v>
      </c>
      <c r="AH78" s="37"/>
      <c r="AI78" s="37">
        <f t="shared" si="1"/>
        <v>0</v>
      </c>
      <c r="AJ78" s="37"/>
      <c r="AK78" s="37">
        <v>0</v>
      </c>
      <c r="AL78" s="37"/>
      <c r="AM78" s="37">
        <v>0</v>
      </c>
      <c r="AN78" s="37"/>
      <c r="AO78" s="37">
        <v>0</v>
      </c>
      <c r="AQ78" s="44">
        <f t="shared" si="2"/>
        <v>0</v>
      </c>
      <c r="AR78" s="44"/>
      <c r="AS78" s="44">
        <f t="shared" si="3"/>
        <v>0</v>
      </c>
      <c r="AT78" s="44"/>
      <c r="AU78" s="44">
        <f t="shared" si="4"/>
        <v>0</v>
      </c>
      <c r="AV78" s="44"/>
      <c r="AW78" s="44">
        <f t="shared" si="5"/>
        <v>0</v>
      </c>
    </row>
    <row r="79" spans="1:49" s="7" customFormat="1" ht="12" hidden="1">
      <c r="A79" s="7" t="s">
        <v>63</v>
      </c>
      <c r="C79" s="7" t="s">
        <v>771</v>
      </c>
      <c r="E79" s="37">
        <v>0</v>
      </c>
      <c r="F79" s="37"/>
      <c r="G79" s="37">
        <v>0</v>
      </c>
      <c r="H79" s="37"/>
      <c r="I79" s="37">
        <v>0</v>
      </c>
      <c r="J79" s="37"/>
      <c r="K79" s="37">
        <v>0</v>
      </c>
      <c r="L79" s="37"/>
      <c r="M79" s="37">
        <v>0</v>
      </c>
      <c r="N79" s="37"/>
      <c r="O79" s="39">
        <f t="shared" si="0"/>
        <v>0</v>
      </c>
      <c r="P79" s="37"/>
      <c r="Q79" s="37">
        <v>0</v>
      </c>
      <c r="R79" s="37"/>
      <c r="S79" s="37">
        <v>0</v>
      </c>
      <c r="T79" s="37"/>
      <c r="U79" s="37">
        <v>0</v>
      </c>
      <c r="V79" s="37"/>
      <c r="W79" s="37">
        <v>0</v>
      </c>
      <c r="X79" s="37"/>
      <c r="Y79" s="37">
        <v>0</v>
      </c>
      <c r="Z79" s="37"/>
      <c r="AA79" s="37">
        <v>0</v>
      </c>
      <c r="AB79" s="37"/>
      <c r="AC79" s="37">
        <v>0</v>
      </c>
      <c r="AD79" s="37"/>
      <c r="AE79" s="37">
        <v>0</v>
      </c>
      <c r="AF79" s="37"/>
      <c r="AG79" s="37">
        <v>0</v>
      </c>
      <c r="AH79" s="37"/>
      <c r="AI79" s="37">
        <f t="shared" si="1"/>
        <v>0</v>
      </c>
      <c r="AJ79" s="37"/>
      <c r="AK79" s="37">
        <v>0</v>
      </c>
      <c r="AL79" s="37"/>
      <c r="AM79" s="37">
        <v>0</v>
      </c>
      <c r="AN79" s="37"/>
      <c r="AO79" s="37">
        <v>0</v>
      </c>
      <c r="AQ79" s="44">
        <f t="shared" si="2"/>
        <v>0</v>
      </c>
      <c r="AR79" s="44"/>
      <c r="AS79" s="44">
        <f t="shared" si="3"/>
        <v>0</v>
      </c>
      <c r="AT79" s="44"/>
      <c r="AU79" s="44">
        <f t="shared" si="4"/>
        <v>0</v>
      </c>
      <c r="AV79" s="44"/>
      <c r="AW79" s="44">
        <f t="shared" si="5"/>
        <v>0</v>
      </c>
    </row>
    <row r="80" spans="1:49" s="7" customFormat="1" ht="12" hidden="1">
      <c r="A80" s="7" t="s">
        <v>234</v>
      </c>
      <c r="C80" s="7" t="s">
        <v>823</v>
      </c>
      <c r="E80" s="37">
        <v>0</v>
      </c>
      <c r="F80" s="37"/>
      <c r="G80" s="37">
        <v>0</v>
      </c>
      <c r="H80" s="37"/>
      <c r="I80" s="37">
        <v>0</v>
      </c>
      <c r="J80" s="37"/>
      <c r="K80" s="37">
        <v>0</v>
      </c>
      <c r="L80" s="37"/>
      <c r="M80" s="37">
        <v>0</v>
      </c>
      <c r="N80" s="37"/>
      <c r="O80" s="39">
        <f t="shared" si="0"/>
        <v>0</v>
      </c>
      <c r="P80" s="37"/>
      <c r="Q80" s="37">
        <v>0</v>
      </c>
      <c r="R80" s="37"/>
      <c r="S80" s="37">
        <v>0</v>
      </c>
      <c r="T80" s="37"/>
      <c r="U80" s="37">
        <v>0</v>
      </c>
      <c r="V80" s="37"/>
      <c r="W80" s="37">
        <v>0</v>
      </c>
      <c r="X80" s="37"/>
      <c r="Y80" s="37">
        <v>0</v>
      </c>
      <c r="Z80" s="37"/>
      <c r="AA80" s="37">
        <v>0</v>
      </c>
      <c r="AB80" s="37"/>
      <c r="AC80" s="37">
        <v>0</v>
      </c>
      <c r="AD80" s="37"/>
      <c r="AE80" s="37">
        <v>0</v>
      </c>
      <c r="AF80" s="37"/>
      <c r="AG80" s="37">
        <v>0</v>
      </c>
      <c r="AH80" s="37"/>
      <c r="AI80" s="37">
        <f t="shared" si="1"/>
        <v>0</v>
      </c>
      <c r="AJ80" s="37"/>
      <c r="AK80" s="37">
        <v>0</v>
      </c>
      <c r="AL80" s="37"/>
      <c r="AM80" s="37">
        <v>0</v>
      </c>
      <c r="AN80" s="37"/>
      <c r="AO80" s="37">
        <v>0</v>
      </c>
      <c r="AQ80" s="44">
        <f t="shared" si="2"/>
        <v>0</v>
      </c>
      <c r="AR80" s="44"/>
      <c r="AS80" s="44">
        <f t="shared" si="3"/>
        <v>0</v>
      </c>
      <c r="AT80" s="44"/>
      <c r="AU80" s="44">
        <f t="shared" si="4"/>
        <v>0</v>
      </c>
      <c r="AV80" s="44"/>
      <c r="AW80" s="44">
        <f t="shared" si="5"/>
        <v>0</v>
      </c>
    </row>
    <row r="81" spans="1:49" s="7" customFormat="1" ht="12" hidden="1">
      <c r="A81" s="7" t="s">
        <v>74</v>
      </c>
      <c r="C81" s="7" t="s">
        <v>773</v>
      </c>
      <c r="E81" s="37">
        <v>0</v>
      </c>
      <c r="F81" s="37"/>
      <c r="G81" s="37">
        <v>0</v>
      </c>
      <c r="H81" s="37"/>
      <c r="I81" s="37">
        <v>0</v>
      </c>
      <c r="J81" s="37"/>
      <c r="K81" s="37">
        <v>0</v>
      </c>
      <c r="L81" s="37"/>
      <c r="M81" s="37">
        <v>0</v>
      </c>
      <c r="N81" s="37"/>
      <c r="O81" s="39">
        <f t="shared" si="0"/>
        <v>0</v>
      </c>
      <c r="P81" s="37"/>
      <c r="Q81" s="37">
        <v>0</v>
      </c>
      <c r="R81" s="37"/>
      <c r="S81" s="37">
        <v>0</v>
      </c>
      <c r="T81" s="37"/>
      <c r="U81" s="37">
        <v>0</v>
      </c>
      <c r="V81" s="37"/>
      <c r="W81" s="37">
        <v>0</v>
      </c>
      <c r="X81" s="37"/>
      <c r="Y81" s="37">
        <v>0</v>
      </c>
      <c r="Z81" s="37"/>
      <c r="AA81" s="37">
        <v>0</v>
      </c>
      <c r="AB81" s="37"/>
      <c r="AC81" s="37">
        <v>0</v>
      </c>
      <c r="AD81" s="37"/>
      <c r="AE81" s="37">
        <v>0</v>
      </c>
      <c r="AF81" s="37"/>
      <c r="AG81" s="37">
        <v>0</v>
      </c>
      <c r="AH81" s="37"/>
      <c r="AI81" s="37">
        <f t="shared" si="1"/>
        <v>0</v>
      </c>
      <c r="AJ81" s="37"/>
      <c r="AK81" s="37">
        <v>0</v>
      </c>
      <c r="AL81" s="37"/>
      <c r="AM81" s="37">
        <v>0</v>
      </c>
      <c r="AN81" s="37"/>
      <c r="AO81" s="37">
        <v>0</v>
      </c>
      <c r="AQ81" s="44">
        <f t="shared" si="2"/>
        <v>0</v>
      </c>
      <c r="AR81" s="44"/>
      <c r="AS81" s="44">
        <f t="shared" si="3"/>
        <v>0</v>
      </c>
      <c r="AT81" s="44"/>
      <c r="AU81" s="44">
        <f t="shared" si="4"/>
        <v>0</v>
      </c>
      <c r="AV81" s="44"/>
      <c r="AW81" s="44">
        <f t="shared" si="5"/>
        <v>0</v>
      </c>
    </row>
    <row r="82" spans="1:49" s="7" customFormat="1" ht="12" hidden="1">
      <c r="A82" s="7" t="s">
        <v>298</v>
      </c>
      <c r="C82" s="7" t="s">
        <v>295</v>
      </c>
      <c r="E82" s="37">
        <v>0</v>
      </c>
      <c r="F82" s="37"/>
      <c r="G82" s="37">
        <v>0</v>
      </c>
      <c r="H82" s="37"/>
      <c r="I82" s="37">
        <v>0</v>
      </c>
      <c r="J82" s="37"/>
      <c r="K82" s="37">
        <v>0</v>
      </c>
      <c r="L82" s="37"/>
      <c r="M82" s="37">
        <v>0</v>
      </c>
      <c r="N82" s="37"/>
      <c r="O82" s="39">
        <f t="shared" si="0"/>
        <v>0</v>
      </c>
      <c r="P82" s="37"/>
      <c r="Q82" s="37">
        <v>0</v>
      </c>
      <c r="R82" s="37"/>
      <c r="S82" s="37">
        <v>0</v>
      </c>
      <c r="T82" s="37"/>
      <c r="U82" s="37">
        <v>0</v>
      </c>
      <c r="V82" s="37"/>
      <c r="W82" s="37">
        <v>0</v>
      </c>
      <c r="X82" s="37"/>
      <c r="Y82" s="37">
        <v>0</v>
      </c>
      <c r="Z82" s="37"/>
      <c r="AA82" s="37">
        <v>0</v>
      </c>
      <c r="AB82" s="37"/>
      <c r="AC82" s="37">
        <v>0</v>
      </c>
      <c r="AD82" s="37"/>
      <c r="AE82" s="37">
        <v>0</v>
      </c>
      <c r="AF82" s="37"/>
      <c r="AG82" s="37">
        <v>0</v>
      </c>
      <c r="AH82" s="37"/>
      <c r="AI82" s="37">
        <f t="shared" si="1"/>
        <v>0</v>
      </c>
      <c r="AJ82" s="37"/>
      <c r="AK82" s="37">
        <v>0</v>
      </c>
      <c r="AL82" s="37"/>
      <c r="AM82" s="37">
        <v>0</v>
      </c>
      <c r="AN82" s="37"/>
      <c r="AO82" s="37">
        <v>0</v>
      </c>
      <c r="AQ82" s="44">
        <f t="shared" si="2"/>
        <v>0</v>
      </c>
      <c r="AR82" s="44"/>
      <c r="AS82" s="44">
        <f t="shared" si="3"/>
        <v>0</v>
      </c>
      <c r="AT82" s="44"/>
      <c r="AU82" s="44">
        <f t="shared" si="4"/>
        <v>0</v>
      </c>
      <c r="AV82" s="44"/>
      <c r="AW82" s="44">
        <f t="shared" si="5"/>
        <v>0</v>
      </c>
    </row>
    <row r="83" spans="1:49" s="7" customFormat="1" ht="12" hidden="1">
      <c r="A83" s="7" t="s">
        <v>141</v>
      </c>
      <c r="C83" s="7" t="s">
        <v>794</v>
      </c>
      <c r="E83" s="37">
        <v>0</v>
      </c>
      <c r="F83" s="37"/>
      <c r="G83" s="37">
        <v>0</v>
      </c>
      <c r="H83" s="37"/>
      <c r="I83" s="37">
        <v>0</v>
      </c>
      <c r="J83" s="37"/>
      <c r="K83" s="37">
        <v>0</v>
      </c>
      <c r="L83" s="37"/>
      <c r="M83" s="37">
        <v>0</v>
      </c>
      <c r="N83" s="37"/>
      <c r="O83" s="39">
        <f t="shared" si="0"/>
        <v>0</v>
      </c>
      <c r="P83" s="37"/>
      <c r="Q83" s="37">
        <v>0</v>
      </c>
      <c r="R83" s="37"/>
      <c r="S83" s="37">
        <v>0</v>
      </c>
      <c r="T83" s="37"/>
      <c r="U83" s="37">
        <v>0</v>
      </c>
      <c r="V83" s="37"/>
      <c r="W83" s="37">
        <v>0</v>
      </c>
      <c r="X83" s="37"/>
      <c r="Y83" s="37">
        <v>0</v>
      </c>
      <c r="Z83" s="37"/>
      <c r="AA83" s="37">
        <v>0</v>
      </c>
      <c r="AB83" s="37"/>
      <c r="AC83" s="37">
        <v>0</v>
      </c>
      <c r="AD83" s="37"/>
      <c r="AE83" s="37">
        <v>0</v>
      </c>
      <c r="AF83" s="37"/>
      <c r="AG83" s="37">
        <v>0</v>
      </c>
      <c r="AH83" s="37"/>
      <c r="AI83" s="37">
        <f t="shared" si="1"/>
        <v>0</v>
      </c>
      <c r="AJ83" s="37"/>
      <c r="AK83" s="37">
        <v>0</v>
      </c>
      <c r="AL83" s="37"/>
      <c r="AM83" s="37">
        <v>0</v>
      </c>
      <c r="AN83" s="37"/>
      <c r="AO83" s="37">
        <v>0</v>
      </c>
      <c r="AQ83" s="44">
        <f t="shared" si="2"/>
        <v>0</v>
      </c>
      <c r="AR83" s="44"/>
      <c r="AS83" s="44">
        <f t="shared" si="3"/>
        <v>0</v>
      </c>
      <c r="AT83" s="44"/>
      <c r="AU83" s="44">
        <f t="shared" si="4"/>
        <v>0</v>
      </c>
      <c r="AV83" s="44"/>
      <c r="AW83" s="44">
        <f t="shared" si="5"/>
        <v>0</v>
      </c>
    </row>
    <row r="84" spans="1:49" s="7" customFormat="1" ht="12" hidden="1">
      <c r="A84" s="7" t="s">
        <v>410</v>
      </c>
      <c r="C84" s="7" t="s">
        <v>409</v>
      </c>
      <c r="E84" s="37">
        <v>0</v>
      </c>
      <c r="F84" s="37"/>
      <c r="G84" s="37">
        <v>0</v>
      </c>
      <c r="H84" s="37"/>
      <c r="I84" s="37">
        <v>0</v>
      </c>
      <c r="J84" s="37"/>
      <c r="K84" s="37">
        <v>0</v>
      </c>
      <c r="L84" s="37"/>
      <c r="M84" s="37">
        <v>0</v>
      </c>
      <c r="N84" s="37"/>
      <c r="O84" s="39">
        <f t="shared" ref="O84:O147" si="6">-E84+G84+I84+K84</f>
        <v>0</v>
      </c>
      <c r="P84" s="37"/>
      <c r="Q84" s="37">
        <v>0</v>
      </c>
      <c r="R84" s="37"/>
      <c r="S84" s="37">
        <v>0</v>
      </c>
      <c r="T84" s="37"/>
      <c r="U84" s="37">
        <v>0</v>
      </c>
      <c r="V84" s="37"/>
      <c r="W84" s="37">
        <v>0</v>
      </c>
      <c r="X84" s="37"/>
      <c r="Y84" s="37">
        <v>0</v>
      </c>
      <c r="Z84" s="37"/>
      <c r="AA84" s="37">
        <v>0</v>
      </c>
      <c r="AB84" s="37"/>
      <c r="AC84" s="37">
        <v>0</v>
      </c>
      <c r="AD84" s="37"/>
      <c r="AE84" s="37">
        <v>0</v>
      </c>
      <c r="AF84" s="37"/>
      <c r="AG84" s="37">
        <v>0</v>
      </c>
      <c r="AH84" s="37"/>
      <c r="AI84" s="37">
        <f t="shared" ref="AI84:AI147" si="7">+Q84+S84+U84+W84+Y84+AA84+AC84+AE84+AG84</f>
        <v>0</v>
      </c>
      <c r="AJ84" s="37"/>
      <c r="AK84" s="37">
        <v>0</v>
      </c>
      <c r="AL84" s="37"/>
      <c r="AM84" s="37">
        <v>0</v>
      </c>
      <c r="AN84" s="37"/>
      <c r="AO84" s="37">
        <v>0</v>
      </c>
      <c r="AQ84" s="44">
        <f t="shared" ref="AQ84:AQ147" si="8">+M84-O84</f>
        <v>0</v>
      </c>
      <c r="AR84" s="44"/>
      <c r="AS84" s="44">
        <f t="shared" ref="AS84:AS147" si="9">+Q84+S84+U84+W84+Y84+AA84+AC84+AE84+AG84-AI84</f>
        <v>0</v>
      </c>
      <c r="AT84" s="44"/>
      <c r="AU84" s="44">
        <f t="shared" ref="AU84:AU147" si="10">+O84+AI84-AK84</f>
        <v>0</v>
      </c>
      <c r="AV84" s="44"/>
      <c r="AW84" s="44">
        <f t="shared" ref="AW84:AW147" si="11">+O84+AI84+AM84-AO84</f>
        <v>0</v>
      </c>
    </row>
    <row r="85" spans="1:49" s="7" customFormat="1" ht="12" hidden="1">
      <c r="A85" s="7" t="s">
        <v>288</v>
      </c>
      <c r="C85" s="7" t="s">
        <v>287</v>
      </c>
      <c r="E85" s="37">
        <v>0</v>
      </c>
      <c r="F85" s="37"/>
      <c r="G85" s="37">
        <v>0</v>
      </c>
      <c r="H85" s="37"/>
      <c r="I85" s="37">
        <v>0</v>
      </c>
      <c r="J85" s="37"/>
      <c r="K85" s="37">
        <v>0</v>
      </c>
      <c r="L85" s="37"/>
      <c r="M85" s="37">
        <v>0</v>
      </c>
      <c r="N85" s="37"/>
      <c r="O85" s="39">
        <f t="shared" si="6"/>
        <v>0</v>
      </c>
      <c r="P85" s="37"/>
      <c r="Q85" s="37">
        <v>0</v>
      </c>
      <c r="R85" s="37"/>
      <c r="S85" s="37">
        <v>0</v>
      </c>
      <c r="T85" s="37"/>
      <c r="U85" s="37">
        <v>0</v>
      </c>
      <c r="V85" s="37"/>
      <c r="W85" s="37">
        <v>0</v>
      </c>
      <c r="X85" s="37"/>
      <c r="Y85" s="37">
        <v>0</v>
      </c>
      <c r="Z85" s="37"/>
      <c r="AA85" s="37">
        <v>0</v>
      </c>
      <c r="AB85" s="37"/>
      <c r="AC85" s="37">
        <v>0</v>
      </c>
      <c r="AD85" s="37"/>
      <c r="AE85" s="37">
        <v>0</v>
      </c>
      <c r="AF85" s="37"/>
      <c r="AG85" s="37">
        <v>0</v>
      </c>
      <c r="AH85" s="37"/>
      <c r="AI85" s="37">
        <f t="shared" si="7"/>
        <v>0</v>
      </c>
      <c r="AJ85" s="37"/>
      <c r="AK85" s="37">
        <v>0</v>
      </c>
      <c r="AL85" s="37"/>
      <c r="AM85" s="37">
        <v>0</v>
      </c>
      <c r="AN85" s="37"/>
      <c r="AO85" s="37">
        <v>0</v>
      </c>
      <c r="AQ85" s="44">
        <f t="shared" si="8"/>
        <v>0</v>
      </c>
      <c r="AR85" s="44"/>
      <c r="AS85" s="44">
        <f t="shared" si="9"/>
        <v>0</v>
      </c>
      <c r="AT85" s="44"/>
      <c r="AU85" s="44">
        <f t="shared" si="10"/>
        <v>0</v>
      </c>
      <c r="AV85" s="44"/>
      <c r="AW85" s="44">
        <f t="shared" si="11"/>
        <v>0</v>
      </c>
    </row>
    <row r="86" spans="1:49" s="7" customFormat="1" ht="12" hidden="1">
      <c r="A86" s="7" t="s">
        <v>37</v>
      </c>
      <c r="C86" s="7" t="s">
        <v>761</v>
      </c>
      <c r="E86" s="37">
        <v>0</v>
      </c>
      <c r="F86" s="37"/>
      <c r="G86" s="37">
        <v>0</v>
      </c>
      <c r="H86" s="37"/>
      <c r="I86" s="37">
        <v>0</v>
      </c>
      <c r="J86" s="37"/>
      <c r="K86" s="37">
        <v>0</v>
      </c>
      <c r="L86" s="37"/>
      <c r="M86" s="37">
        <v>0</v>
      </c>
      <c r="N86" s="37"/>
      <c r="O86" s="39">
        <f t="shared" si="6"/>
        <v>0</v>
      </c>
      <c r="P86" s="37"/>
      <c r="Q86" s="37">
        <v>0</v>
      </c>
      <c r="R86" s="37"/>
      <c r="S86" s="37">
        <v>0</v>
      </c>
      <c r="T86" s="37"/>
      <c r="U86" s="37">
        <v>0</v>
      </c>
      <c r="V86" s="37"/>
      <c r="W86" s="37">
        <v>0</v>
      </c>
      <c r="X86" s="37"/>
      <c r="Y86" s="37">
        <v>0</v>
      </c>
      <c r="Z86" s="37"/>
      <c r="AA86" s="37">
        <v>0</v>
      </c>
      <c r="AB86" s="37"/>
      <c r="AC86" s="37">
        <v>0</v>
      </c>
      <c r="AD86" s="37"/>
      <c r="AE86" s="37">
        <v>0</v>
      </c>
      <c r="AF86" s="37"/>
      <c r="AG86" s="37">
        <v>0</v>
      </c>
      <c r="AH86" s="37"/>
      <c r="AI86" s="37">
        <f t="shared" si="7"/>
        <v>0</v>
      </c>
      <c r="AJ86" s="37"/>
      <c r="AK86" s="37">
        <v>0</v>
      </c>
      <c r="AL86" s="37"/>
      <c r="AM86" s="37">
        <v>0</v>
      </c>
      <c r="AN86" s="37"/>
      <c r="AO86" s="37">
        <v>0</v>
      </c>
      <c r="AQ86" s="44">
        <f t="shared" si="8"/>
        <v>0</v>
      </c>
      <c r="AR86" s="44"/>
      <c r="AS86" s="44">
        <f t="shared" si="9"/>
        <v>0</v>
      </c>
      <c r="AT86" s="44"/>
      <c r="AU86" s="44">
        <f t="shared" si="10"/>
        <v>0</v>
      </c>
      <c r="AV86" s="44"/>
      <c r="AW86" s="44">
        <f t="shared" si="11"/>
        <v>0</v>
      </c>
    </row>
    <row r="87" spans="1:49" s="7" customFormat="1" ht="12" hidden="1">
      <c r="A87" s="7" t="s">
        <v>149</v>
      </c>
      <c r="C87" s="7" t="s">
        <v>796</v>
      </c>
      <c r="E87" s="37">
        <v>0</v>
      </c>
      <c r="F87" s="37"/>
      <c r="G87" s="37">
        <v>0</v>
      </c>
      <c r="H87" s="37"/>
      <c r="I87" s="37">
        <v>0</v>
      </c>
      <c r="J87" s="37"/>
      <c r="K87" s="37">
        <v>0</v>
      </c>
      <c r="L87" s="37"/>
      <c r="M87" s="37">
        <v>0</v>
      </c>
      <c r="N87" s="37"/>
      <c r="O87" s="39">
        <f t="shared" si="6"/>
        <v>0</v>
      </c>
      <c r="P87" s="37"/>
      <c r="Q87" s="37">
        <v>0</v>
      </c>
      <c r="R87" s="37"/>
      <c r="S87" s="37">
        <v>0</v>
      </c>
      <c r="T87" s="37"/>
      <c r="U87" s="37">
        <v>0</v>
      </c>
      <c r="V87" s="37"/>
      <c r="W87" s="37">
        <v>0</v>
      </c>
      <c r="X87" s="37"/>
      <c r="Y87" s="37">
        <v>0</v>
      </c>
      <c r="Z87" s="37"/>
      <c r="AA87" s="37">
        <v>0</v>
      </c>
      <c r="AB87" s="37"/>
      <c r="AC87" s="37">
        <v>0</v>
      </c>
      <c r="AD87" s="37"/>
      <c r="AE87" s="37">
        <v>0</v>
      </c>
      <c r="AF87" s="37"/>
      <c r="AG87" s="37">
        <v>0</v>
      </c>
      <c r="AH87" s="37"/>
      <c r="AI87" s="37">
        <f t="shared" si="7"/>
        <v>0</v>
      </c>
      <c r="AJ87" s="37"/>
      <c r="AK87" s="37">
        <v>0</v>
      </c>
      <c r="AL87" s="37"/>
      <c r="AM87" s="37">
        <v>0</v>
      </c>
      <c r="AN87" s="37"/>
      <c r="AO87" s="37">
        <v>0</v>
      </c>
      <c r="AQ87" s="44">
        <f t="shared" si="8"/>
        <v>0</v>
      </c>
      <c r="AR87" s="44"/>
      <c r="AS87" s="44">
        <f t="shared" si="9"/>
        <v>0</v>
      </c>
      <c r="AT87" s="44"/>
      <c r="AU87" s="44">
        <f t="shared" si="10"/>
        <v>0</v>
      </c>
      <c r="AV87" s="44"/>
      <c r="AW87" s="44">
        <f t="shared" si="11"/>
        <v>0</v>
      </c>
    </row>
    <row r="88" spans="1:49" s="7" customFormat="1" ht="12" hidden="1">
      <c r="A88" s="7" t="s">
        <v>12</v>
      </c>
      <c r="C88" s="7" t="s">
        <v>754</v>
      </c>
      <c r="E88" s="37">
        <v>0</v>
      </c>
      <c r="F88" s="37"/>
      <c r="G88" s="37">
        <v>0</v>
      </c>
      <c r="H88" s="37"/>
      <c r="I88" s="37">
        <v>0</v>
      </c>
      <c r="J88" s="37"/>
      <c r="K88" s="37">
        <v>0</v>
      </c>
      <c r="L88" s="37"/>
      <c r="M88" s="37">
        <v>0</v>
      </c>
      <c r="N88" s="37"/>
      <c r="O88" s="39">
        <f t="shared" si="6"/>
        <v>0</v>
      </c>
      <c r="P88" s="37"/>
      <c r="Q88" s="37">
        <v>0</v>
      </c>
      <c r="R88" s="37"/>
      <c r="S88" s="37">
        <v>0</v>
      </c>
      <c r="T88" s="37"/>
      <c r="U88" s="37">
        <v>0</v>
      </c>
      <c r="V88" s="37"/>
      <c r="W88" s="37">
        <v>0</v>
      </c>
      <c r="X88" s="37"/>
      <c r="Y88" s="37">
        <v>0</v>
      </c>
      <c r="Z88" s="37"/>
      <c r="AA88" s="37">
        <v>0</v>
      </c>
      <c r="AB88" s="37"/>
      <c r="AC88" s="37">
        <v>0</v>
      </c>
      <c r="AD88" s="37"/>
      <c r="AE88" s="37">
        <v>0</v>
      </c>
      <c r="AF88" s="37"/>
      <c r="AG88" s="37">
        <v>0</v>
      </c>
      <c r="AH88" s="37"/>
      <c r="AI88" s="37">
        <f t="shared" si="7"/>
        <v>0</v>
      </c>
      <c r="AJ88" s="37"/>
      <c r="AK88" s="37">
        <v>0</v>
      </c>
      <c r="AL88" s="37"/>
      <c r="AM88" s="37">
        <v>0</v>
      </c>
      <c r="AN88" s="37"/>
      <c r="AO88" s="37">
        <v>0</v>
      </c>
      <c r="AQ88" s="44">
        <f t="shared" si="8"/>
        <v>0</v>
      </c>
      <c r="AR88" s="44"/>
      <c r="AS88" s="44">
        <f t="shared" si="9"/>
        <v>0</v>
      </c>
      <c r="AT88" s="44"/>
      <c r="AU88" s="44">
        <f t="shared" si="10"/>
        <v>0</v>
      </c>
      <c r="AV88" s="44"/>
      <c r="AW88" s="44">
        <f t="shared" si="11"/>
        <v>0</v>
      </c>
    </row>
    <row r="89" spans="1:49" s="7" customFormat="1" ht="12" hidden="1">
      <c r="A89" s="7" t="s">
        <v>145</v>
      </c>
      <c r="C89" s="7" t="s">
        <v>795</v>
      </c>
      <c r="E89" s="37">
        <v>0</v>
      </c>
      <c r="F89" s="37"/>
      <c r="G89" s="37">
        <v>0</v>
      </c>
      <c r="H89" s="37"/>
      <c r="I89" s="37">
        <v>0</v>
      </c>
      <c r="J89" s="37"/>
      <c r="K89" s="37">
        <v>0</v>
      </c>
      <c r="L89" s="37"/>
      <c r="M89" s="37">
        <v>0</v>
      </c>
      <c r="N89" s="37"/>
      <c r="O89" s="39">
        <f t="shared" si="6"/>
        <v>0</v>
      </c>
      <c r="P89" s="37"/>
      <c r="Q89" s="37">
        <v>0</v>
      </c>
      <c r="R89" s="37"/>
      <c r="S89" s="37">
        <v>0</v>
      </c>
      <c r="T89" s="37"/>
      <c r="U89" s="37">
        <v>0</v>
      </c>
      <c r="V89" s="37"/>
      <c r="W89" s="37">
        <v>0</v>
      </c>
      <c r="X89" s="37"/>
      <c r="Y89" s="37">
        <v>0</v>
      </c>
      <c r="Z89" s="37"/>
      <c r="AA89" s="37">
        <v>0</v>
      </c>
      <c r="AB89" s="37"/>
      <c r="AC89" s="37">
        <v>0</v>
      </c>
      <c r="AD89" s="37"/>
      <c r="AE89" s="37">
        <v>0</v>
      </c>
      <c r="AF89" s="37"/>
      <c r="AG89" s="37">
        <v>0</v>
      </c>
      <c r="AH89" s="37"/>
      <c r="AI89" s="37">
        <f t="shared" si="7"/>
        <v>0</v>
      </c>
      <c r="AJ89" s="37"/>
      <c r="AK89" s="37">
        <v>0</v>
      </c>
      <c r="AL89" s="37"/>
      <c r="AM89" s="37">
        <v>0</v>
      </c>
      <c r="AN89" s="37"/>
      <c r="AO89" s="37">
        <v>0</v>
      </c>
      <c r="AQ89" s="44">
        <f t="shared" si="8"/>
        <v>0</v>
      </c>
      <c r="AR89" s="44"/>
      <c r="AS89" s="44">
        <f t="shared" si="9"/>
        <v>0</v>
      </c>
      <c r="AT89" s="44"/>
      <c r="AU89" s="44">
        <f t="shared" si="10"/>
        <v>0</v>
      </c>
      <c r="AV89" s="44"/>
      <c r="AW89" s="44">
        <f t="shared" si="11"/>
        <v>0</v>
      </c>
    </row>
    <row r="90" spans="1:49" s="7" customFormat="1" ht="12" hidden="1">
      <c r="A90" s="7" t="s">
        <v>75</v>
      </c>
      <c r="C90" s="7" t="s">
        <v>773</v>
      </c>
      <c r="E90" s="37">
        <v>0</v>
      </c>
      <c r="F90" s="37"/>
      <c r="G90" s="37">
        <v>0</v>
      </c>
      <c r="H90" s="37"/>
      <c r="I90" s="37">
        <v>0</v>
      </c>
      <c r="J90" s="37"/>
      <c r="K90" s="37">
        <v>0</v>
      </c>
      <c r="L90" s="37"/>
      <c r="M90" s="37">
        <v>0</v>
      </c>
      <c r="N90" s="37"/>
      <c r="O90" s="39">
        <f t="shared" si="6"/>
        <v>0</v>
      </c>
      <c r="P90" s="37"/>
      <c r="Q90" s="37">
        <v>0</v>
      </c>
      <c r="R90" s="37"/>
      <c r="S90" s="37">
        <v>0</v>
      </c>
      <c r="T90" s="37"/>
      <c r="U90" s="37">
        <v>0</v>
      </c>
      <c r="V90" s="37"/>
      <c r="W90" s="37">
        <v>0</v>
      </c>
      <c r="X90" s="37"/>
      <c r="Y90" s="37">
        <v>0</v>
      </c>
      <c r="Z90" s="37"/>
      <c r="AA90" s="37">
        <v>0</v>
      </c>
      <c r="AB90" s="37"/>
      <c r="AC90" s="37">
        <v>0</v>
      </c>
      <c r="AD90" s="37"/>
      <c r="AE90" s="37">
        <v>0</v>
      </c>
      <c r="AF90" s="37"/>
      <c r="AG90" s="37">
        <v>0</v>
      </c>
      <c r="AH90" s="37"/>
      <c r="AI90" s="37">
        <f t="shared" si="7"/>
        <v>0</v>
      </c>
      <c r="AJ90" s="37"/>
      <c r="AK90" s="37">
        <v>0</v>
      </c>
      <c r="AL90" s="37"/>
      <c r="AM90" s="37">
        <v>0</v>
      </c>
      <c r="AN90" s="37"/>
      <c r="AO90" s="37">
        <v>0</v>
      </c>
      <c r="AQ90" s="44">
        <f t="shared" si="8"/>
        <v>0</v>
      </c>
      <c r="AR90" s="44"/>
      <c r="AS90" s="44">
        <f t="shared" si="9"/>
        <v>0</v>
      </c>
      <c r="AT90" s="44"/>
      <c r="AU90" s="44">
        <f t="shared" si="10"/>
        <v>0</v>
      </c>
      <c r="AV90" s="44"/>
      <c r="AW90" s="44">
        <f t="shared" si="11"/>
        <v>0</v>
      </c>
    </row>
    <row r="91" spans="1:49" s="7" customFormat="1" ht="12" hidden="1">
      <c r="E91" s="37">
        <v>0</v>
      </c>
      <c r="F91" s="37"/>
      <c r="G91" s="37">
        <v>0</v>
      </c>
      <c r="H91" s="37"/>
      <c r="I91" s="37">
        <v>0</v>
      </c>
      <c r="J91" s="37"/>
      <c r="K91" s="37">
        <v>0</v>
      </c>
      <c r="L91" s="37"/>
      <c r="M91" s="37">
        <v>0</v>
      </c>
      <c r="N91" s="37"/>
      <c r="O91" s="39">
        <f t="shared" si="6"/>
        <v>0</v>
      </c>
      <c r="P91" s="37"/>
      <c r="Q91" s="37">
        <v>0</v>
      </c>
      <c r="R91" s="37"/>
      <c r="S91" s="37">
        <v>0</v>
      </c>
      <c r="T91" s="37"/>
      <c r="U91" s="37">
        <v>0</v>
      </c>
      <c r="V91" s="37"/>
      <c r="W91" s="37">
        <v>0</v>
      </c>
      <c r="X91" s="37"/>
      <c r="Y91" s="37">
        <v>0</v>
      </c>
      <c r="Z91" s="37"/>
      <c r="AA91" s="37">
        <v>0</v>
      </c>
      <c r="AB91" s="37"/>
      <c r="AC91" s="37">
        <v>0</v>
      </c>
      <c r="AD91" s="37"/>
      <c r="AE91" s="37">
        <v>0</v>
      </c>
      <c r="AF91" s="37"/>
      <c r="AG91" s="37">
        <v>0</v>
      </c>
      <c r="AH91" s="37"/>
      <c r="AI91" s="37">
        <f t="shared" si="7"/>
        <v>0</v>
      </c>
      <c r="AJ91" s="37"/>
      <c r="AK91" s="37">
        <v>0</v>
      </c>
      <c r="AL91" s="37"/>
      <c r="AM91" s="37">
        <v>0</v>
      </c>
      <c r="AN91" s="37"/>
      <c r="AO91" s="37">
        <v>0</v>
      </c>
      <c r="AQ91" s="44">
        <f t="shared" si="8"/>
        <v>0</v>
      </c>
      <c r="AR91" s="44"/>
      <c r="AS91" s="44">
        <f t="shared" si="9"/>
        <v>0</v>
      </c>
      <c r="AT91" s="44"/>
      <c r="AU91" s="44">
        <f t="shared" si="10"/>
        <v>0</v>
      </c>
      <c r="AV91" s="44"/>
      <c r="AW91" s="44">
        <f t="shared" si="11"/>
        <v>0</v>
      </c>
    </row>
    <row r="92" spans="1:49" s="44" customFormat="1" ht="12" hidden="1">
      <c r="A92" s="44" t="s">
        <v>207</v>
      </c>
      <c r="C92" s="44" t="s">
        <v>813</v>
      </c>
      <c r="E92" s="39">
        <v>0</v>
      </c>
      <c r="F92" s="39"/>
      <c r="G92" s="39">
        <v>0</v>
      </c>
      <c r="H92" s="39"/>
      <c r="I92" s="39">
        <v>0</v>
      </c>
      <c r="J92" s="39"/>
      <c r="K92" s="39">
        <v>0</v>
      </c>
      <c r="L92" s="39"/>
      <c r="M92" s="39">
        <v>0</v>
      </c>
      <c r="N92" s="39"/>
      <c r="O92" s="39">
        <f t="shared" si="6"/>
        <v>0</v>
      </c>
      <c r="P92" s="39"/>
      <c r="Q92" s="39">
        <v>0</v>
      </c>
      <c r="R92" s="39"/>
      <c r="S92" s="39">
        <v>0</v>
      </c>
      <c r="T92" s="39"/>
      <c r="U92" s="39">
        <v>0</v>
      </c>
      <c r="V92" s="39"/>
      <c r="W92" s="39">
        <v>0</v>
      </c>
      <c r="X92" s="39"/>
      <c r="Y92" s="39">
        <v>0</v>
      </c>
      <c r="Z92" s="39"/>
      <c r="AA92" s="39">
        <v>0</v>
      </c>
      <c r="AB92" s="39"/>
      <c r="AC92" s="39">
        <v>0</v>
      </c>
      <c r="AD92" s="39"/>
      <c r="AE92" s="39">
        <v>0</v>
      </c>
      <c r="AF92" s="39"/>
      <c r="AG92" s="39">
        <v>0</v>
      </c>
      <c r="AH92" s="39"/>
      <c r="AI92" s="37">
        <f t="shared" si="7"/>
        <v>0</v>
      </c>
      <c r="AJ92" s="39"/>
      <c r="AK92" s="39">
        <v>0</v>
      </c>
      <c r="AL92" s="39"/>
      <c r="AM92" s="39">
        <v>0</v>
      </c>
      <c r="AN92" s="39"/>
      <c r="AO92" s="39">
        <v>0</v>
      </c>
      <c r="AQ92" s="44">
        <f t="shared" si="8"/>
        <v>0</v>
      </c>
      <c r="AS92" s="44">
        <f t="shared" si="9"/>
        <v>0</v>
      </c>
      <c r="AU92" s="44">
        <f t="shared" si="10"/>
        <v>0</v>
      </c>
      <c r="AW92" s="44">
        <f t="shared" si="11"/>
        <v>0</v>
      </c>
    </row>
    <row r="93" spans="1:49" s="46" customFormat="1" ht="12">
      <c r="A93" s="46" t="s">
        <v>457</v>
      </c>
      <c r="C93" s="46" t="s">
        <v>456</v>
      </c>
      <c r="E93" s="37">
        <v>7512530</v>
      </c>
      <c r="F93" s="37"/>
      <c r="G93" s="37">
        <v>219977</v>
      </c>
      <c r="H93" s="37"/>
      <c r="I93" s="37">
        <v>261682</v>
      </c>
      <c r="J93" s="37"/>
      <c r="K93" s="37">
        <v>90559</v>
      </c>
      <c r="L93" s="37"/>
      <c r="M93" s="37">
        <v>-6940312</v>
      </c>
      <c r="N93" s="37"/>
      <c r="O93" s="37">
        <f>-E93+G93+I93+K93</f>
        <v>-6940312</v>
      </c>
      <c r="P93" s="37"/>
      <c r="Q93" s="37">
        <f>560059+47955+47955+32967</f>
        <v>688936</v>
      </c>
      <c r="R93" s="37"/>
      <c r="S93" s="37">
        <v>2994807</v>
      </c>
      <c r="T93" s="37"/>
      <c r="U93" s="37">
        <v>1406012</v>
      </c>
      <c r="V93" s="37"/>
      <c r="W93" s="37">
        <v>469995</v>
      </c>
      <c r="X93" s="37"/>
      <c r="Y93" s="37">
        <v>0</v>
      </c>
      <c r="Z93" s="37"/>
      <c r="AA93" s="37">
        <v>54789</v>
      </c>
      <c r="AB93" s="37"/>
      <c r="AC93" s="37">
        <v>0</v>
      </c>
      <c r="AD93" s="37"/>
      <c r="AE93" s="37">
        <v>0</v>
      </c>
      <c r="AF93" s="37"/>
      <c r="AG93" s="37">
        <v>0</v>
      </c>
      <c r="AH93" s="37"/>
      <c r="AI93" s="37">
        <f>+Q93+S93+U93+W93+Y93+AA93+AC93+AE93+AG93</f>
        <v>5614539</v>
      </c>
      <c r="AJ93" s="37"/>
      <c r="AK93" s="37">
        <v>-1325773</v>
      </c>
      <c r="AL93" s="37"/>
      <c r="AM93" s="37">
        <v>14531270</v>
      </c>
      <c r="AN93" s="37"/>
      <c r="AO93" s="37">
        <v>13205497</v>
      </c>
      <c r="AQ93" s="46">
        <f>+M93-O93</f>
        <v>0</v>
      </c>
      <c r="AS93" s="46">
        <f>+Q93+S93+U93+W93+Y93+AA93+AC93+AE93+AG93-AI93</f>
        <v>0</v>
      </c>
      <c r="AU93" s="46">
        <f>+O93+AI93-AK93</f>
        <v>0</v>
      </c>
      <c r="AW93" s="46">
        <f>+O93+AI93+AM93-AO93</f>
        <v>0</v>
      </c>
    </row>
    <row r="94" spans="1:49" s="7" customFormat="1" ht="12" hidden="1">
      <c r="A94" s="7" t="s">
        <v>216</v>
      </c>
      <c r="C94" s="7" t="s">
        <v>817</v>
      </c>
      <c r="E94" s="37">
        <v>0</v>
      </c>
      <c r="F94" s="37"/>
      <c r="G94" s="37">
        <v>0</v>
      </c>
      <c r="H94" s="37"/>
      <c r="I94" s="37">
        <v>0</v>
      </c>
      <c r="J94" s="37"/>
      <c r="K94" s="37">
        <v>0</v>
      </c>
      <c r="L94" s="37"/>
      <c r="M94" s="37">
        <v>0</v>
      </c>
      <c r="N94" s="37"/>
      <c r="O94" s="39">
        <f t="shared" si="6"/>
        <v>0</v>
      </c>
      <c r="P94" s="37"/>
      <c r="Q94" s="37">
        <v>0</v>
      </c>
      <c r="R94" s="37"/>
      <c r="S94" s="37">
        <v>0</v>
      </c>
      <c r="T94" s="37"/>
      <c r="U94" s="37">
        <v>0</v>
      </c>
      <c r="V94" s="37"/>
      <c r="W94" s="37">
        <v>0</v>
      </c>
      <c r="X94" s="37"/>
      <c r="Y94" s="37">
        <v>0</v>
      </c>
      <c r="Z94" s="37"/>
      <c r="AA94" s="37">
        <v>0</v>
      </c>
      <c r="AB94" s="37"/>
      <c r="AC94" s="37">
        <v>0</v>
      </c>
      <c r="AD94" s="37"/>
      <c r="AE94" s="37">
        <v>0</v>
      </c>
      <c r="AF94" s="37"/>
      <c r="AG94" s="37">
        <v>0</v>
      </c>
      <c r="AH94" s="37"/>
      <c r="AI94" s="37">
        <f t="shared" si="7"/>
        <v>0</v>
      </c>
      <c r="AJ94" s="37"/>
      <c r="AK94" s="37">
        <v>0</v>
      </c>
      <c r="AL94" s="37"/>
      <c r="AM94" s="37">
        <v>0</v>
      </c>
      <c r="AN94" s="37"/>
      <c r="AO94" s="37">
        <v>0</v>
      </c>
      <c r="AQ94" s="44">
        <f t="shared" si="8"/>
        <v>0</v>
      </c>
      <c r="AR94" s="44"/>
      <c r="AS94" s="44">
        <f t="shared" si="9"/>
        <v>0</v>
      </c>
      <c r="AT94" s="44"/>
      <c r="AU94" s="44">
        <f t="shared" si="10"/>
        <v>0</v>
      </c>
      <c r="AV94" s="44"/>
      <c r="AW94" s="44">
        <f t="shared" si="11"/>
        <v>0</v>
      </c>
    </row>
    <row r="95" spans="1:49" s="7" customFormat="1" ht="12" hidden="1">
      <c r="A95" s="7" t="s">
        <v>39</v>
      </c>
      <c r="C95" s="7" t="s">
        <v>761</v>
      </c>
      <c r="E95" s="37">
        <v>0</v>
      </c>
      <c r="F95" s="37"/>
      <c r="G95" s="37">
        <v>0</v>
      </c>
      <c r="H95" s="37"/>
      <c r="I95" s="37">
        <v>0</v>
      </c>
      <c r="J95" s="37"/>
      <c r="K95" s="37">
        <v>0</v>
      </c>
      <c r="L95" s="37"/>
      <c r="M95" s="37">
        <v>0</v>
      </c>
      <c r="N95" s="37"/>
      <c r="O95" s="39">
        <f t="shared" si="6"/>
        <v>0</v>
      </c>
      <c r="P95" s="37"/>
      <c r="Q95" s="37">
        <v>0</v>
      </c>
      <c r="R95" s="37"/>
      <c r="S95" s="37">
        <v>0</v>
      </c>
      <c r="T95" s="37"/>
      <c r="U95" s="37">
        <v>0</v>
      </c>
      <c r="V95" s="37"/>
      <c r="W95" s="37">
        <v>0</v>
      </c>
      <c r="X95" s="37"/>
      <c r="Y95" s="37">
        <v>0</v>
      </c>
      <c r="Z95" s="37"/>
      <c r="AA95" s="37">
        <v>0</v>
      </c>
      <c r="AB95" s="37"/>
      <c r="AC95" s="37">
        <v>0</v>
      </c>
      <c r="AD95" s="37"/>
      <c r="AE95" s="37">
        <v>0</v>
      </c>
      <c r="AF95" s="37"/>
      <c r="AG95" s="37">
        <v>0</v>
      </c>
      <c r="AH95" s="37"/>
      <c r="AI95" s="37">
        <f t="shared" si="7"/>
        <v>0</v>
      </c>
      <c r="AJ95" s="37"/>
      <c r="AK95" s="37">
        <v>0</v>
      </c>
      <c r="AL95" s="37"/>
      <c r="AM95" s="37">
        <v>0</v>
      </c>
      <c r="AN95" s="37"/>
      <c r="AO95" s="37">
        <v>0</v>
      </c>
      <c r="AQ95" s="44">
        <f t="shared" si="8"/>
        <v>0</v>
      </c>
      <c r="AR95" s="44"/>
      <c r="AS95" s="44">
        <f t="shared" si="9"/>
        <v>0</v>
      </c>
      <c r="AT95" s="44"/>
      <c r="AU95" s="44">
        <f t="shared" si="10"/>
        <v>0</v>
      </c>
      <c r="AV95" s="44"/>
      <c r="AW95" s="44">
        <f t="shared" si="11"/>
        <v>0</v>
      </c>
    </row>
    <row r="96" spans="1:49" s="7" customFormat="1" ht="12">
      <c r="A96" s="7" t="s">
        <v>521</v>
      </c>
      <c r="C96" s="7" t="s">
        <v>813</v>
      </c>
      <c r="E96" s="37">
        <v>710173</v>
      </c>
      <c r="F96" s="37"/>
      <c r="G96" s="37">
        <v>24088</v>
      </c>
      <c r="H96" s="37"/>
      <c r="I96" s="37">
        <v>0</v>
      </c>
      <c r="J96" s="37"/>
      <c r="K96" s="37">
        <v>0</v>
      </c>
      <c r="L96" s="37"/>
      <c r="M96" s="37">
        <v>-686085</v>
      </c>
      <c r="N96" s="37"/>
      <c r="O96" s="39">
        <f>-E96+G96+I96+K96</f>
        <v>-686085</v>
      </c>
      <c r="P96" s="37"/>
      <c r="Q96" s="37">
        <f>35896+2503</f>
        <v>38399</v>
      </c>
      <c r="R96" s="37"/>
      <c r="S96" s="37">
        <v>341746</v>
      </c>
      <c r="T96" s="37"/>
      <c r="U96" s="37">
        <v>168975</v>
      </c>
      <c r="V96" s="37"/>
      <c r="W96" s="37">
        <v>24165</v>
      </c>
      <c r="X96" s="37"/>
      <c r="Y96" s="37">
        <v>3774</v>
      </c>
      <c r="Z96" s="37"/>
      <c r="AA96" s="37">
        <f>10101+3500</f>
        <v>13601</v>
      </c>
      <c r="AB96" s="37"/>
      <c r="AC96" s="37">
        <v>0</v>
      </c>
      <c r="AD96" s="37"/>
      <c r="AE96" s="37">
        <v>0</v>
      </c>
      <c r="AF96" s="37"/>
      <c r="AG96" s="37">
        <v>0</v>
      </c>
      <c r="AH96" s="37"/>
      <c r="AI96" s="37">
        <f>+Q96+S96+U96+W96+Y96+AA96+AC96+AE96+AG96</f>
        <v>590660</v>
      </c>
      <c r="AJ96" s="37"/>
      <c r="AK96" s="37">
        <v>-95425</v>
      </c>
      <c r="AL96" s="37"/>
      <c r="AM96" s="37">
        <v>495806</v>
      </c>
      <c r="AN96" s="37"/>
      <c r="AO96" s="37">
        <v>400381</v>
      </c>
      <c r="AQ96" s="44">
        <f>+M96-O96</f>
        <v>0</v>
      </c>
      <c r="AR96" s="44"/>
      <c r="AS96" s="44">
        <f>+Q96+S96+U96+W96+Y96+AA96+AC96+AE96+AG96-AI96</f>
        <v>0</v>
      </c>
      <c r="AT96" s="44"/>
      <c r="AU96" s="44">
        <f>+O96+AI96-AK96</f>
        <v>0</v>
      </c>
      <c r="AV96" s="44"/>
      <c r="AW96" s="44">
        <f>+O96+AI96+AM96-AO96</f>
        <v>0</v>
      </c>
    </row>
    <row r="97" spans="1:49" s="7" customFormat="1" ht="12" hidden="1">
      <c r="A97" s="7" t="s">
        <v>502</v>
      </c>
      <c r="C97" s="7" t="s">
        <v>500</v>
      </c>
      <c r="E97" s="37">
        <v>0</v>
      </c>
      <c r="F97" s="37"/>
      <c r="G97" s="37">
        <v>0</v>
      </c>
      <c r="H97" s="37"/>
      <c r="I97" s="37">
        <v>0</v>
      </c>
      <c r="J97" s="37"/>
      <c r="K97" s="37">
        <v>0</v>
      </c>
      <c r="L97" s="37"/>
      <c r="M97" s="37">
        <v>0</v>
      </c>
      <c r="N97" s="37"/>
      <c r="O97" s="39">
        <f t="shared" si="6"/>
        <v>0</v>
      </c>
      <c r="P97" s="37"/>
      <c r="Q97" s="37">
        <v>0</v>
      </c>
      <c r="R97" s="37"/>
      <c r="S97" s="37">
        <v>0</v>
      </c>
      <c r="T97" s="37"/>
      <c r="U97" s="37">
        <v>0</v>
      </c>
      <c r="V97" s="37"/>
      <c r="W97" s="37">
        <v>0</v>
      </c>
      <c r="X97" s="37"/>
      <c r="Y97" s="37">
        <v>0</v>
      </c>
      <c r="Z97" s="37"/>
      <c r="AA97" s="37">
        <v>0</v>
      </c>
      <c r="AB97" s="37"/>
      <c r="AC97" s="37">
        <v>0</v>
      </c>
      <c r="AD97" s="37"/>
      <c r="AE97" s="37">
        <v>0</v>
      </c>
      <c r="AF97" s="37"/>
      <c r="AG97" s="37">
        <v>0</v>
      </c>
      <c r="AH97" s="37"/>
      <c r="AI97" s="37">
        <f t="shared" si="7"/>
        <v>0</v>
      </c>
      <c r="AJ97" s="37"/>
      <c r="AK97" s="37">
        <v>0</v>
      </c>
      <c r="AL97" s="37"/>
      <c r="AM97" s="37">
        <v>0</v>
      </c>
      <c r="AN97" s="37"/>
      <c r="AO97" s="37">
        <v>0</v>
      </c>
      <c r="AQ97" s="44">
        <f t="shared" si="8"/>
        <v>0</v>
      </c>
      <c r="AR97" s="44"/>
      <c r="AS97" s="44">
        <f t="shared" si="9"/>
        <v>0</v>
      </c>
      <c r="AT97" s="44"/>
      <c r="AU97" s="44">
        <f t="shared" si="10"/>
        <v>0</v>
      </c>
      <c r="AV97" s="44"/>
      <c r="AW97" s="44">
        <f t="shared" si="11"/>
        <v>0</v>
      </c>
    </row>
    <row r="98" spans="1:49" s="7" customFormat="1" ht="12" hidden="1">
      <c r="A98" s="7" t="s">
        <v>611</v>
      </c>
      <c r="C98" s="7" t="s">
        <v>606</v>
      </c>
      <c r="E98" s="37">
        <v>0</v>
      </c>
      <c r="F98" s="37"/>
      <c r="G98" s="37">
        <v>0</v>
      </c>
      <c r="H98" s="37"/>
      <c r="I98" s="37">
        <v>0</v>
      </c>
      <c r="J98" s="37"/>
      <c r="K98" s="37">
        <v>0</v>
      </c>
      <c r="L98" s="37"/>
      <c r="M98" s="37">
        <v>0</v>
      </c>
      <c r="N98" s="37"/>
      <c r="O98" s="39">
        <f t="shared" si="6"/>
        <v>0</v>
      </c>
      <c r="P98" s="37"/>
      <c r="Q98" s="37">
        <v>0</v>
      </c>
      <c r="R98" s="37"/>
      <c r="S98" s="37">
        <v>0</v>
      </c>
      <c r="T98" s="37"/>
      <c r="U98" s="37">
        <v>0</v>
      </c>
      <c r="V98" s="37"/>
      <c r="W98" s="37">
        <v>0</v>
      </c>
      <c r="X98" s="37"/>
      <c r="Y98" s="37">
        <v>0</v>
      </c>
      <c r="Z98" s="37"/>
      <c r="AA98" s="37">
        <v>0</v>
      </c>
      <c r="AB98" s="37"/>
      <c r="AC98" s="37">
        <v>0</v>
      </c>
      <c r="AD98" s="37"/>
      <c r="AE98" s="37">
        <v>0</v>
      </c>
      <c r="AF98" s="37"/>
      <c r="AG98" s="37">
        <v>0</v>
      </c>
      <c r="AH98" s="37"/>
      <c r="AI98" s="37">
        <f t="shared" si="7"/>
        <v>0</v>
      </c>
      <c r="AJ98" s="37"/>
      <c r="AK98" s="37">
        <v>0</v>
      </c>
      <c r="AL98" s="37"/>
      <c r="AM98" s="37">
        <v>0</v>
      </c>
      <c r="AN98" s="37"/>
      <c r="AO98" s="37">
        <v>0</v>
      </c>
      <c r="AQ98" s="44">
        <f t="shared" si="8"/>
        <v>0</v>
      </c>
      <c r="AR98" s="44"/>
      <c r="AS98" s="44">
        <f t="shared" si="9"/>
        <v>0</v>
      </c>
      <c r="AT98" s="44"/>
      <c r="AU98" s="44">
        <f t="shared" si="10"/>
        <v>0</v>
      </c>
      <c r="AV98" s="44"/>
      <c r="AW98" s="44">
        <f t="shared" si="11"/>
        <v>0</v>
      </c>
    </row>
    <row r="99" spans="1:49" s="7" customFormat="1" ht="12" hidden="1">
      <c r="A99" s="7" t="s">
        <v>557</v>
      </c>
      <c r="C99" s="7" t="s">
        <v>554</v>
      </c>
      <c r="E99" s="37">
        <v>0</v>
      </c>
      <c r="F99" s="37"/>
      <c r="G99" s="37">
        <v>0</v>
      </c>
      <c r="H99" s="37"/>
      <c r="I99" s="37">
        <v>0</v>
      </c>
      <c r="J99" s="37"/>
      <c r="K99" s="37">
        <v>0</v>
      </c>
      <c r="L99" s="37"/>
      <c r="M99" s="37">
        <v>0</v>
      </c>
      <c r="N99" s="37"/>
      <c r="O99" s="39">
        <f t="shared" si="6"/>
        <v>0</v>
      </c>
      <c r="P99" s="37"/>
      <c r="Q99" s="37">
        <v>0</v>
      </c>
      <c r="R99" s="37"/>
      <c r="S99" s="37">
        <v>0</v>
      </c>
      <c r="T99" s="37"/>
      <c r="U99" s="37">
        <v>0</v>
      </c>
      <c r="V99" s="37"/>
      <c r="W99" s="37">
        <v>0</v>
      </c>
      <c r="X99" s="37"/>
      <c r="Y99" s="37">
        <v>0</v>
      </c>
      <c r="Z99" s="37"/>
      <c r="AA99" s="37">
        <v>0</v>
      </c>
      <c r="AB99" s="37"/>
      <c r="AC99" s="37">
        <v>0</v>
      </c>
      <c r="AD99" s="37"/>
      <c r="AE99" s="37">
        <v>0</v>
      </c>
      <c r="AF99" s="37"/>
      <c r="AG99" s="37">
        <v>0</v>
      </c>
      <c r="AH99" s="37"/>
      <c r="AI99" s="37">
        <f t="shared" si="7"/>
        <v>0</v>
      </c>
      <c r="AJ99" s="37"/>
      <c r="AK99" s="37">
        <v>0</v>
      </c>
      <c r="AL99" s="37"/>
      <c r="AM99" s="37">
        <v>0</v>
      </c>
      <c r="AN99" s="37"/>
      <c r="AO99" s="37">
        <v>0</v>
      </c>
      <c r="AQ99" s="44">
        <f t="shared" si="8"/>
        <v>0</v>
      </c>
      <c r="AR99" s="44"/>
      <c r="AS99" s="44">
        <f t="shared" si="9"/>
        <v>0</v>
      </c>
      <c r="AT99" s="44"/>
      <c r="AU99" s="44">
        <f t="shared" si="10"/>
        <v>0</v>
      </c>
      <c r="AV99" s="44"/>
      <c r="AW99" s="44">
        <f t="shared" si="11"/>
        <v>0</v>
      </c>
    </row>
    <row r="100" spans="1:49" s="7" customFormat="1" ht="12">
      <c r="A100" s="7" t="s">
        <v>917</v>
      </c>
      <c r="C100" s="7" t="s">
        <v>601</v>
      </c>
      <c r="E100" s="37">
        <v>1159555</v>
      </c>
      <c r="F100" s="37"/>
      <c r="G100" s="37">
        <v>105112</v>
      </c>
      <c r="H100" s="37"/>
      <c r="I100" s="37">
        <v>81950</v>
      </c>
      <c r="J100" s="37"/>
      <c r="K100" s="37">
        <v>0</v>
      </c>
      <c r="L100" s="37"/>
      <c r="M100" s="37">
        <v>-972493</v>
      </c>
      <c r="N100" s="37"/>
      <c r="O100" s="39">
        <f>-E100+G100+I100+K100</f>
        <v>-972493</v>
      </c>
      <c r="P100" s="37"/>
      <c r="Q100" s="37">
        <f>68110+146132</f>
        <v>214242</v>
      </c>
      <c r="R100" s="37"/>
      <c r="S100" s="37">
        <v>401110</v>
      </c>
      <c r="T100" s="37"/>
      <c r="U100" s="37">
        <v>135161</v>
      </c>
      <c r="V100" s="37"/>
      <c r="W100" s="37">
        <v>59597</v>
      </c>
      <c r="X100" s="37"/>
      <c r="Y100" s="37">
        <v>904</v>
      </c>
      <c r="Z100" s="37"/>
      <c r="AA100" s="37">
        <v>37931</v>
      </c>
      <c r="AB100" s="37"/>
      <c r="AC100" s="37">
        <v>0</v>
      </c>
      <c r="AD100" s="37"/>
      <c r="AE100" s="37">
        <v>0</v>
      </c>
      <c r="AF100" s="37"/>
      <c r="AG100" s="37">
        <v>0</v>
      </c>
      <c r="AH100" s="37"/>
      <c r="AI100" s="37">
        <f>+Q100+S100+U100+W100+Y100+AA100+AC100+AE100+AG100</f>
        <v>848945</v>
      </c>
      <c r="AJ100" s="37"/>
      <c r="AK100" s="37">
        <v>-123548</v>
      </c>
      <c r="AL100" s="37"/>
      <c r="AM100" s="37">
        <v>667225</v>
      </c>
      <c r="AN100" s="37"/>
      <c r="AO100" s="37">
        <v>543677</v>
      </c>
      <c r="AQ100" s="44">
        <f>+M100-O100</f>
        <v>0</v>
      </c>
      <c r="AR100" s="44"/>
      <c r="AS100" s="44">
        <f>+Q100+S100+U100+W100+Y100+AA100+AC100+AE100+AG100-AI100</f>
        <v>0</v>
      </c>
      <c r="AT100" s="44"/>
      <c r="AU100" s="44">
        <f>+O100+AI100-AK100</f>
        <v>0</v>
      </c>
      <c r="AV100" s="44"/>
      <c r="AW100" s="44">
        <f>+O100+AI100+AM100-AO100</f>
        <v>0</v>
      </c>
    </row>
    <row r="101" spans="1:49" s="7" customFormat="1" ht="12" hidden="1">
      <c r="A101" s="7" t="s">
        <v>163</v>
      </c>
      <c r="C101" s="7" t="s">
        <v>800</v>
      </c>
      <c r="E101" s="37">
        <v>0</v>
      </c>
      <c r="F101" s="37"/>
      <c r="G101" s="37">
        <v>0</v>
      </c>
      <c r="H101" s="37"/>
      <c r="I101" s="37">
        <v>0</v>
      </c>
      <c r="J101" s="37"/>
      <c r="K101" s="37">
        <v>0</v>
      </c>
      <c r="L101" s="37"/>
      <c r="M101" s="37">
        <v>0</v>
      </c>
      <c r="N101" s="37"/>
      <c r="O101" s="39">
        <f t="shared" si="6"/>
        <v>0</v>
      </c>
      <c r="P101" s="37"/>
      <c r="Q101" s="37">
        <v>0</v>
      </c>
      <c r="R101" s="37"/>
      <c r="S101" s="37">
        <v>0</v>
      </c>
      <c r="T101" s="37"/>
      <c r="U101" s="37">
        <v>0</v>
      </c>
      <c r="V101" s="37"/>
      <c r="W101" s="37">
        <v>0</v>
      </c>
      <c r="X101" s="37"/>
      <c r="Y101" s="37">
        <v>0</v>
      </c>
      <c r="Z101" s="37"/>
      <c r="AA101" s="37">
        <v>0</v>
      </c>
      <c r="AB101" s="37"/>
      <c r="AC101" s="37">
        <v>0</v>
      </c>
      <c r="AD101" s="37"/>
      <c r="AE101" s="37">
        <v>0</v>
      </c>
      <c r="AF101" s="37"/>
      <c r="AG101" s="37">
        <v>0</v>
      </c>
      <c r="AH101" s="37"/>
      <c r="AI101" s="37">
        <f t="shared" si="7"/>
        <v>0</v>
      </c>
      <c r="AJ101" s="37"/>
      <c r="AK101" s="37">
        <v>0</v>
      </c>
      <c r="AL101" s="37"/>
      <c r="AM101" s="37">
        <v>0</v>
      </c>
      <c r="AN101" s="37"/>
      <c r="AO101" s="37">
        <v>0</v>
      </c>
      <c r="AQ101" s="44">
        <f t="shared" si="8"/>
        <v>0</v>
      </c>
      <c r="AR101" s="44"/>
      <c r="AS101" s="44">
        <f t="shared" si="9"/>
        <v>0</v>
      </c>
      <c r="AT101" s="44"/>
      <c r="AU101" s="44">
        <f t="shared" si="10"/>
        <v>0</v>
      </c>
      <c r="AV101" s="44"/>
      <c r="AW101" s="44">
        <f t="shared" si="11"/>
        <v>0</v>
      </c>
    </row>
    <row r="102" spans="1:49" s="7" customFormat="1" ht="12" hidden="1">
      <c r="A102" s="7" t="s">
        <v>64</v>
      </c>
      <c r="C102" s="7" t="s">
        <v>771</v>
      </c>
      <c r="E102" s="37">
        <v>0</v>
      </c>
      <c r="F102" s="37"/>
      <c r="G102" s="37">
        <v>0</v>
      </c>
      <c r="H102" s="37"/>
      <c r="I102" s="37">
        <v>0</v>
      </c>
      <c r="J102" s="37"/>
      <c r="K102" s="37">
        <v>0</v>
      </c>
      <c r="L102" s="37"/>
      <c r="M102" s="37">
        <v>0</v>
      </c>
      <c r="N102" s="37"/>
      <c r="O102" s="39">
        <f t="shared" si="6"/>
        <v>0</v>
      </c>
      <c r="P102" s="37"/>
      <c r="Q102" s="37">
        <v>0</v>
      </c>
      <c r="R102" s="37"/>
      <c r="S102" s="37">
        <v>0</v>
      </c>
      <c r="T102" s="37"/>
      <c r="U102" s="37">
        <v>0</v>
      </c>
      <c r="V102" s="37"/>
      <c r="W102" s="37">
        <v>0</v>
      </c>
      <c r="X102" s="37"/>
      <c r="Y102" s="37">
        <v>0</v>
      </c>
      <c r="Z102" s="37"/>
      <c r="AA102" s="37">
        <v>0</v>
      </c>
      <c r="AB102" s="37"/>
      <c r="AC102" s="37">
        <v>0</v>
      </c>
      <c r="AD102" s="37"/>
      <c r="AE102" s="37">
        <v>0</v>
      </c>
      <c r="AF102" s="37"/>
      <c r="AG102" s="37">
        <v>0</v>
      </c>
      <c r="AH102" s="37"/>
      <c r="AI102" s="37">
        <f t="shared" si="7"/>
        <v>0</v>
      </c>
      <c r="AJ102" s="37"/>
      <c r="AK102" s="37">
        <v>0</v>
      </c>
      <c r="AL102" s="37"/>
      <c r="AM102" s="37">
        <v>0</v>
      </c>
      <c r="AN102" s="37"/>
      <c r="AO102" s="37">
        <v>0</v>
      </c>
      <c r="AQ102" s="44">
        <f t="shared" si="8"/>
        <v>0</v>
      </c>
      <c r="AR102" s="44"/>
      <c r="AS102" s="44">
        <f t="shared" si="9"/>
        <v>0</v>
      </c>
      <c r="AT102" s="44"/>
      <c r="AU102" s="44">
        <f t="shared" si="10"/>
        <v>0</v>
      </c>
      <c r="AV102" s="44"/>
      <c r="AW102" s="44">
        <f t="shared" si="11"/>
        <v>0</v>
      </c>
    </row>
    <row r="103" spans="1:49" s="7" customFormat="1" ht="12" hidden="1">
      <c r="A103" s="7" t="s">
        <v>209</v>
      </c>
      <c r="C103" s="7" t="s">
        <v>814</v>
      </c>
      <c r="E103" s="37">
        <v>0</v>
      </c>
      <c r="F103" s="37"/>
      <c r="G103" s="37">
        <v>0</v>
      </c>
      <c r="H103" s="37"/>
      <c r="I103" s="37">
        <v>0</v>
      </c>
      <c r="J103" s="37"/>
      <c r="K103" s="37">
        <v>0</v>
      </c>
      <c r="L103" s="37"/>
      <c r="M103" s="37">
        <v>0</v>
      </c>
      <c r="N103" s="37"/>
      <c r="O103" s="39">
        <f t="shared" si="6"/>
        <v>0</v>
      </c>
      <c r="P103" s="37"/>
      <c r="Q103" s="37">
        <v>0</v>
      </c>
      <c r="R103" s="37"/>
      <c r="S103" s="37">
        <v>0</v>
      </c>
      <c r="T103" s="37"/>
      <c r="U103" s="37">
        <v>0</v>
      </c>
      <c r="V103" s="37"/>
      <c r="W103" s="37">
        <v>0</v>
      </c>
      <c r="X103" s="37"/>
      <c r="Y103" s="37">
        <v>0</v>
      </c>
      <c r="Z103" s="37"/>
      <c r="AA103" s="37">
        <v>0</v>
      </c>
      <c r="AB103" s="37"/>
      <c r="AC103" s="37">
        <v>0</v>
      </c>
      <c r="AD103" s="37"/>
      <c r="AE103" s="37">
        <v>0</v>
      </c>
      <c r="AF103" s="37"/>
      <c r="AG103" s="37">
        <v>0</v>
      </c>
      <c r="AH103" s="37"/>
      <c r="AI103" s="37">
        <f t="shared" si="7"/>
        <v>0</v>
      </c>
      <c r="AJ103" s="37"/>
      <c r="AK103" s="37">
        <v>0</v>
      </c>
      <c r="AL103" s="37"/>
      <c r="AM103" s="37">
        <v>0</v>
      </c>
      <c r="AN103" s="37"/>
      <c r="AO103" s="37">
        <v>0</v>
      </c>
      <c r="AQ103" s="44">
        <f t="shared" si="8"/>
        <v>0</v>
      </c>
      <c r="AR103" s="44"/>
      <c r="AS103" s="44">
        <f t="shared" si="9"/>
        <v>0</v>
      </c>
      <c r="AT103" s="44"/>
      <c r="AU103" s="44">
        <f t="shared" si="10"/>
        <v>0</v>
      </c>
      <c r="AV103" s="44"/>
      <c r="AW103" s="44">
        <f t="shared" si="11"/>
        <v>0</v>
      </c>
    </row>
    <row r="104" spans="1:49" s="7" customFormat="1" ht="12" hidden="1">
      <c r="A104" s="7" t="s">
        <v>181</v>
      </c>
      <c r="C104" s="7" t="s">
        <v>807</v>
      </c>
      <c r="E104" s="37">
        <v>0</v>
      </c>
      <c r="F104" s="37"/>
      <c r="G104" s="37">
        <v>0</v>
      </c>
      <c r="H104" s="37"/>
      <c r="I104" s="37">
        <v>0</v>
      </c>
      <c r="J104" s="37"/>
      <c r="K104" s="37">
        <v>0</v>
      </c>
      <c r="L104" s="37"/>
      <c r="M104" s="37">
        <v>0</v>
      </c>
      <c r="N104" s="37"/>
      <c r="O104" s="39">
        <f t="shared" si="6"/>
        <v>0</v>
      </c>
      <c r="P104" s="37"/>
      <c r="Q104" s="37">
        <v>0</v>
      </c>
      <c r="R104" s="37"/>
      <c r="S104" s="37">
        <v>0</v>
      </c>
      <c r="T104" s="37"/>
      <c r="U104" s="37">
        <v>0</v>
      </c>
      <c r="V104" s="37"/>
      <c r="W104" s="37">
        <v>0</v>
      </c>
      <c r="X104" s="37"/>
      <c r="Y104" s="37">
        <v>0</v>
      </c>
      <c r="Z104" s="37"/>
      <c r="AA104" s="37">
        <v>0</v>
      </c>
      <c r="AB104" s="37"/>
      <c r="AC104" s="37">
        <v>0</v>
      </c>
      <c r="AD104" s="37"/>
      <c r="AE104" s="37">
        <v>0</v>
      </c>
      <c r="AF104" s="37"/>
      <c r="AG104" s="37">
        <v>0</v>
      </c>
      <c r="AH104" s="37"/>
      <c r="AI104" s="37">
        <f t="shared" si="7"/>
        <v>0</v>
      </c>
      <c r="AJ104" s="37"/>
      <c r="AK104" s="37">
        <v>0</v>
      </c>
      <c r="AL104" s="37"/>
      <c r="AM104" s="37">
        <v>0</v>
      </c>
      <c r="AN104" s="37"/>
      <c r="AO104" s="37">
        <v>0</v>
      </c>
      <c r="AQ104" s="44">
        <f t="shared" si="8"/>
        <v>0</v>
      </c>
      <c r="AR104" s="44"/>
      <c r="AS104" s="44">
        <f t="shared" si="9"/>
        <v>0</v>
      </c>
      <c r="AT104" s="44"/>
      <c r="AU104" s="44">
        <f t="shared" si="10"/>
        <v>0</v>
      </c>
      <c r="AV104" s="44"/>
      <c r="AW104" s="44">
        <f t="shared" si="11"/>
        <v>0</v>
      </c>
    </row>
    <row r="105" spans="1:49" s="46" customFormat="1" ht="12" hidden="1">
      <c r="A105" s="46" t="s">
        <v>228</v>
      </c>
      <c r="C105" s="46" t="s">
        <v>554</v>
      </c>
      <c r="E105" s="37">
        <v>0</v>
      </c>
      <c r="F105" s="37"/>
      <c r="G105" s="37">
        <v>0</v>
      </c>
      <c r="H105" s="37"/>
      <c r="I105" s="37">
        <v>0</v>
      </c>
      <c r="J105" s="37"/>
      <c r="K105" s="37">
        <v>0</v>
      </c>
      <c r="L105" s="37"/>
      <c r="M105" s="37">
        <v>0</v>
      </c>
      <c r="N105" s="37"/>
      <c r="O105" s="39">
        <f t="shared" si="6"/>
        <v>0</v>
      </c>
      <c r="P105" s="37"/>
      <c r="Q105" s="37">
        <v>0</v>
      </c>
      <c r="R105" s="37"/>
      <c r="S105" s="37">
        <v>0</v>
      </c>
      <c r="T105" s="37"/>
      <c r="U105" s="37">
        <v>0</v>
      </c>
      <c r="V105" s="37"/>
      <c r="W105" s="37">
        <v>0</v>
      </c>
      <c r="X105" s="37"/>
      <c r="Y105" s="37">
        <v>0</v>
      </c>
      <c r="Z105" s="37"/>
      <c r="AA105" s="37">
        <v>0</v>
      </c>
      <c r="AB105" s="37"/>
      <c r="AC105" s="37">
        <v>0</v>
      </c>
      <c r="AD105" s="37"/>
      <c r="AE105" s="37">
        <v>0</v>
      </c>
      <c r="AF105" s="37"/>
      <c r="AG105" s="37">
        <v>0</v>
      </c>
      <c r="AH105" s="37"/>
      <c r="AI105" s="37">
        <f t="shared" si="7"/>
        <v>0</v>
      </c>
      <c r="AJ105" s="37"/>
      <c r="AK105" s="37">
        <v>0</v>
      </c>
      <c r="AL105" s="37"/>
      <c r="AM105" s="37">
        <v>0</v>
      </c>
      <c r="AN105" s="37"/>
      <c r="AO105" s="37">
        <v>0</v>
      </c>
      <c r="AQ105" s="44">
        <f t="shared" si="8"/>
        <v>0</v>
      </c>
      <c r="AR105" s="44"/>
      <c r="AS105" s="44">
        <f t="shared" si="9"/>
        <v>0</v>
      </c>
      <c r="AT105" s="44"/>
      <c r="AU105" s="44">
        <f t="shared" si="10"/>
        <v>0</v>
      </c>
      <c r="AV105" s="44"/>
      <c r="AW105" s="44">
        <f t="shared" si="11"/>
        <v>0</v>
      </c>
    </row>
    <row r="106" spans="1:49" s="7" customFormat="1" ht="12" hidden="1">
      <c r="A106" s="7" t="s">
        <v>401</v>
      </c>
      <c r="C106" s="7" t="s">
        <v>396</v>
      </c>
      <c r="E106" s="37">
        <v>0</v>
      </c>
      <c r="F106" s="37"/>
      <c r="G106" s="37">
        <v>0</v>
      </c>
      <c r="H106" s="37"/>
      <c r="I106" s="37">
        <v>0</v>
      </c>
      <c r="J106" s="37"/>
      <c r="K106" s="37">
        <v>0</v>
      </c>
      <c r="L106" s="37"/>
      <c r="M106" s="37">
        <v>0</v>
      </c>
      <c r="N106" s="37"/>
      <c r="O106" s="39">
        <f t="shared" si="6"/>
        <v>0</v>
      </c>
      <c r="P106" s="37"/>
      <c r="Q106" s="37">
        <v>0</v>
      </c>
      <c r="R106" s="37"/>
      <c r="S106" s="37">
        <v>0</v>
      </c>
      <c r="T106" s="37"/>
      <c r="U106" s="37">
        <v>0</v>
      </c>
      <c r="V106" s="37"/>
      <c r="W106" s="37">
        <v>0</v>
      </c>
      <c r="X106" s="37"/>
      <c r="Y106" s="37">
        <v>0</v>
      </c>
      <c r="Z106" s="37"/>
      <c r="AA106" s="37">
        <v>0</v>
      </c>
      <c r="AB106" s="37"/>
      <c r="AC106" s="37">
        <v>0</v>
      </c>
      <c r="AD106" s="37"/>
      <c r="AE106" s="37">
        <v>0</v>
      </c>
      <c r="AF106" s="37"/>
      <c r="AG106" s="37">
        <v>0</v>
      </c>
      <c r="AH106" s="37"/>
      <c r="AI106" s="37">
        <f t="shared" si="7"/>
        <v>0</v>
      </c>
      <c r="AJ106" s="37"/>
      <c r="AK106" s="37">
        <v>0</v>
      </c>
      <c r="AL106" s="37"/>
      <c r="AM106" s="37">
        <v>0</v>
      </c>
      <c r="AN106" s="37"/>
      <c r="AO106" s="37">
        <v>0</v>
      </c>
      <c r="AQ106" s="44">
        <f t="shared" si="8"/>
        <v>0</v>
      </c>
      <c r="AR106" s="44"/>
      <c r="AS106" s="44">
        <f t="shared" si="9"/>
        <v>0</v>
      </c>
      <c r="AT106" s="44"/>
      <c r="AU106" s="44">
        <f t="shared" si="10"/>
        <v>0</v>
      </c>
      <c r="AV106" s="44"/>
      <c r="AW106" s="44">
        <f t="shared" si="11"/>
        <v>0</v>
      </c>
    </row>
    <row r="107" spans="1:49" s="7" customFormat="1" ht="12" hidden="1">
      <c r="A107" s="7" t="s">
        <v>81</v>
      </c>
      <c r="C107" s="7" t="s">
        <v>775</v>
      </c>
      <c r="E107" s="37">
        <v>0</v>
      </c>
      <c r="F107" s="37"/>
      <c r="G107" s="37">
        <v>0</v>
      </c>
      <c r="H107" s="37"/>
      <c r="I107" s="37">
        <v>0</v>
      </c>
      <c r="J107" s="37"/>
      <c r="K107" s="37">
        <v>0</v>
      </c>
      <c r="L107" s="37"/>
      <c r="M107" s="37">
        <v>0</v>
      </c>
      <c r="N107" s="37"/>
      <c r="O107" s="39">
        <f t="shared" si="6"/>
        <v>0</v>
      </c>
      <c r="P107" s="37"/>
      <c r="Q107" s="37">
        <v>0</v>
      </c>
      <c r="R107" s="37"/>
      <c r="S107" s="37">
        <v>0</v>
      </c>
      <c r="T107" s="37"/>
      <c r="U107" s="37">
        <v>0</v>
      </c>
      <c r="V107" s="37"/>
      <c r="W107" s="37">
        <v>0</v>
      </c>
      <c r="X107" s="37"/>
      <c r="Y107" s="37">
        <v>0</v>
      </c>
      <c r="Z107" s="37"/>
      <c r="AA107" s="37">
        <v>0</v>
      </c>
      <c r="AB107" s="37"/>
      <c r="AC107" s="37">
        <v>0</v>
      </c>
      <c r="AD107" s="37"/>
      <c r="AE107" s="37">
        <v>0</v>
      </c>
      <c r="AF107" s="37"/>
      <c r="AG107" s="37">
        <v>0</v>
      </c>
      <c r="AH107" s="37"/>
      <c r="AI107" s="37">
        <f t="shared" si="7"/>
        <v>0</v>
      </c>
      <c r="AJ107" s="37"/>
      <c r="AK107" s="37">
        <v>0</v>
      </c>
      <c r="AL107" s="37"/>
      <c r="AM107" s="37">
        <v>0</v>
      </c>
      <c r="AN107" s="37"/>
      <c r="AO107" s="37">
        <v>0</v>
      </c>
      <c r="AQ107" s="44">
        <f t="shared" si="8"/>
        <v>0</v>
      </c>
      <c r="AR107" s="44"/>
      <c r="AS107" s="44">
        <f t="shared" si="9"/>
        <v>0</v>
      </c>
      <c r="AT107" s="44"/>
      <c r="AU107" s="44">
        <f t="shared" si="10"/>
        <v>0</v>
      </c>
      <c r="AV107" s="44"/>
      <c r="AW107" s="44">
        <f t="shared" si="11"/>
        <v>0</v>
      </c>
    </row>
    <row r="108" spans="1:49" s="7" customFormat="1" ht="12" hidden="1">
      <c r="A108" s="7" t="s">
        <v>138</v>
      </c>
      <c r="C108" s="7" t="s">
        <v>792</v>
      </c>
      <c r="E108" s="37">
        <v>0</v>
      </c>
      <c r="F108" s="37"/>
      <c r="G108" s="37">
        <v>0</v>
      </c>
      <c r="H108" s="37"/>
      <c r="I108" s="37">
        <v>0</v>
      </c>
      <c r="J108" s="37"/>
      <c r="K108" s="37">
        <v>0</v>
      </c>
      <c r="L108" s="37"/>
      <c r="M108" s="37">
        <v>0</v>
      </c>
      <c r="N108" s="37"/>
      <c r="O108" s="39">
        <f t="shared" si="6"/>
        <v>0</v>
      </c>
      <c r="P108" s="37"/>
      <c r="Q108" s="37">
        <v>0</v>
      </c>
      <c r="R108" s="37"/>
      <c r="S108" s="37">
        <v>0</v>
      </c>
      <c r="T108" s="37"/>
      <c r="U108" s="37">
        <v>0</v>
      </c>
      <c r="V108" s="37"/>
      <c r="W108" s="37">
        <v>0</v>
      </c>
      <c r="X108" s="37"/>
      <c r="Y108" s="37">
        <v>0</v>
      </c>
      <c r="Z108" s="37"/>
      <c r="AA108" s="37">
        <v>0</v>
      </c>
      <c r="AB108" s="37"/>
      <c r="AC108" s="37">
        <v>0</v>
      </c>
      <c r="AD108" s="37"/>
      <c r="AE108" s="37">
        <v>0</v>
      </c>
      <c r="AF108" s="37"/>
      <c r="AG108" s="37">
        <v>0</v>
      </c>
      <c r="AH108" s="37"/>
      <c r="AI108" s="37">
        <f t="shared" si="7"/>
        <v>0</v>
      </c>
      <c r="AJ108" s="37"/>
      <c r="AK108" s="37">
        <v>0</v>
      </c>
      <c r="AL108" s="37"/>
      <c r="AM108" s="37">
        <v>0</v>
      </c>
      <c r="AN108" s="37"/>
      <c r="AO108" s="37">
        <v>0</v>
      </c>
      <c r="AQ108" s="44">
        <f t="shared" si="8"/>
        <v>0</v>
      </c>
      <c r="AR108" s="44"/>
      <c r="AS108" s="44">
        <f t="shared" si="9"/>
        <v>0</v>
      </c>
      <c r="AT108" s="44"/>
      <c r="AU108" s="44">
        <f t="shared" si="10"/>
        <v>0</v>
      </c>
      <c r="AV108" s="44"/>
      <c r="AW108" s="44">
        <f t="shared" si="11"/>
        <v>0</v>
      </c>
    </row>
    <row r="109" spans="1:49" s="7" customFormat="1" ht="12" hidden="1">
      <c r="A109" s="7" t="s">
        <v>492</v>
      </c>
      <c r="C109" s="7" t="s">
        <v>488</v>
      </c>
      <c r="E109" s="37">
        <v>0</v>
      </c>
      <c r="F109" s="37"/>
      <c r="G109" s="37">
        <v>0</v>
      </c>
      <c r="H109" s="37"/>
      <c r="I109" s="37">
        <v>0</v>
      </c>
      <c r="J109" s="37"/>
      <c r="K109" s="37">
        <v>0</v>
      </c>
      <c r="L109" s="37"/>
      <c r="M109" s="37">
        <v>0</v>
      </c>
      <c r="N109" s="37"/>
      <c r="O109" s="39">
        <f t="shared" si="6"/>
        <v>0</v>
      </c>
      <c r="P109" s="37"/>
      <c r="Q109" s="37">
        <v>0</v>
      </c>
      <c r="R109" s="37"/>
      <c r="S109" s="37">
        <v>0</v>
      </c>
      <c r="T109" s="37"/>
      <c r="U109" s="37">
        <v>0</v>
      </c>
      <c r="V109" s="37"/>
      <c r="W109" s="37">
        <v>0</v>
      </c>
      <c r="X109" s="37"/>
      <c r="Y109" s="37">
        <v>0</v>
      </c>
      <c r="Z109" s="37"/>
      <c r="AA109" s="37">
        <v>0</v>
      </c>
      <c r="AB109" s="37"/>
      <c r="AC109" s="37">
        <v>0</v>
      </c>
      <c r="AD109" s="37"/>
      <c r="AE109" s="37">
        <v>0</v>
      </c>
      <c r="AF109" s="37"/>
      <c r="AG109" s="37">
        <v>0</v>
      </c>
      <c r="AH109" s="37"/>
      <c r="AI109" s="37">
        <f t="shared" si="7"/>
        <v>0</v>
      </c>
      <c r="AJ109" s="37"/>
      <c r="AK109" s="37">
        <v>0</v>
      </c>
      <c r="AL109" s="37"/>
      <c r="AM109" s="37">
        <v>0</v>
      </c>
      <c r="AN109" s="37"/>
      <c r="AO109" s="37">
        <v>0</v>
      </c>
      <c r="AQ109" s="44">
        <f t="shared" si="8"/>
        <v>0</v>
      </c>
      <c r="AR109" s="44"/>
      <c r="AS109" s="44">
        <f t="shared" si="9"/>
        <v>0</v>
      </c>
      <c r="AT109" s="44"/>
      <c r="AU109" s="44">
        <f t="shared" si="10"/>
        <v>0</v>
      </c>
      <c r="AV109" s="44"/>
      <c r="AW109" s="44">
        <f t="shared" si="11"/>
        <v>0</v>
      </c>
    </row>
    <row r="110" spans="1:49" s="7" customFormat="1" ht="12" hidden="1">
      <c r="A110" s="7" t="s">
        <v>448</v>
      </c>
      <c r="C110" s="7" t="s">
        <v>447</v>
      </c>
      <c r="E110" s="37">
        <v>0</v>
      </c>
      <c r="F110" s="37"/>
      <c r="G110" s="37">
        <v>0</v>
      </c>
      <c r="H110" s="37"/>
      <c r="I110" s="37">
        <v>0</v>
      </c>
      <c r="J110" s="37"/>
      <c r="K110" s="37">
        <v>0</v>
      </c>
      <c r="L110" s="37"/>
      <c r="M110" s="37">
        <v>0</v>
      </c>
      <c r="N110" s="37"/>
      <c r="O110" s="39">
        <f t="shared" si="6"/>
        <v>0</v>
      </c>
      <c r="P110" s="37"/>
      <c r="Q110" s="37">
        <v>0</v>
      </c>
      <c r="R110" s="37"/>
      <c r="S110" s="37">
        <v>0</v>
      </c>
      <c r="T110" s="37"/>
      <c r="U110" s="37">
        <v>0</v>
      </c>
      <c r="V110" s="37"/>
      <c r="W110" s="37">
        <v>0</v>
      </c>
      <c r="X110" s="37"/>
      <c r="Y110" s="37">
        <v>0</v>
      </c>
      <c r="Z110" s="37"/>
      <c r="AA110" s="37">
        <v>0</v>
      </c>
      <c r="AB110" s="37"/>
      <c r="AC110" s="37">
        <v>0</v>
      </c>
      <c r="AD110" s="37"/>
      <c r="AE110" s="37">
        <v>0</v>
      </c>
      <c r="AF110" s="37"/>
      <c r="AG110" s="37">
        <v>0</v>
      </c>
      <c r="AH110" s="37"/>
      <c r="AI110" s="37">
        <f t="shared" si="7"/>
        <v>0</v>
      </c>
      <c r="AJ110" s="37"/>
      <c r="AK110" s="37">
        <v>0</v>
      </c>
      <c r="AL110" s="37"/>
      <c r="AM110" s="37">
        <v>0</v>
      </c>
      <c r="AN110" s="37"/>
      <c r="AO110" s="37">
        <v>0</v>
      </c>
      <c r="AQ110" s="44">
        <f t="shared" si="8"/>
        <v>0</v>
      </c>
      <c r="AR110" s="44"/>
      <c r="AS110" s="44">
        <f t="shared" si="9"/>
        <v>0</v>
      </c>
      <c r="AT110" s="44"/>
      <c r="AU110" s="44">
        <f t="shared" si="10"/>
        <v>0</v>
      </c>
      <c r="AV110" s="44"/>
      <c r="AW110" s="44">
        <f t="shared" si="11"/>
        <v>0</v>
      </c>
    </row>
    <row r="111" spans="1:49" s="7" customFormat="1" ht="12" hidden="1">
      <c r="A111" s="7" t="s">
        <v>161</v>
      </c>
      <c r="C111" s="7" t="s">
        <v>799</v>
      </c>
      <c r="E111" s="37">
        <v>0</v>
      </c>
      <c r="F111" s="37"/>
      <c r="G111" s="37">
        <v>0</v>
      </c>
      <c r="H111" s="37"/>
      <c r="I111" s="37">
        <v>0</v>
      </c>
      <c r="J111" s="37"/>
      <c r="K111" s="37">
        <v>0</v>
      </c>
      <c r="L111" s="37"/>
      <c r="M111" s="37">
        <v>0</v>
      </c>
      <c r="N111" s="37"/>
      <c r="O111" s="39">
        <f t="shared" si="6"/>
        <v>0</v>
      </c>
      <c r="P111" s="37"/>
      <c r="Q111" s="37">
        <v>0</v>
      </c>
      <c r="R111" s="37"/>
      <c r="S111" s="37">
        <v>0</v>
      </c>
      <c r="T111" s="37"/>
      <c r="U111" s="37">
        <v>0</v>
      </c>
      <c r="V111" s="37"/>
      <c r="W111" s="37">
        <v>0</v>
      </c>
      <c r="X111" s="37"/>
      <c r="Y111" s="37">
        <v>0</v>
      </c>
      <c r="Z111" s="37"/>
      <c r="AA111" s="37">
        <v>0</v>
      </c>
      <c r="AB111" s="37"/>
      <c r="AC111" s="37">
        <v>0</v>
      </c>
      <c r="AD111" s="37"/>
      <c r="AE111" s="37">
        <v>0</v>
      </c>
      <c r="AF111" s="37"/>
      <c r="AG111" s="37">
        <v>0</v>
      </c>
      <c r="AH111" s="37"/>
      <c r="AI111" s="37">
        <f t="shared" si="7"/>
        <v>0</v>
      </c>
      <c r="AJ111" s="37"/>
      <c r="AK111" s="37">
        <v>0</v>
      </c>
      <c r="AL111" s="37"/>
      <c r="AM111" s="37">
        <v>0</v>
      </c>
      <c r="AN111" s="37"/>
      <c r="AO111" s="37">
        <v>0</v>
      </c>
      <c r="AQ111" s="44">
        <f t="shared" si="8"/>
        <v>0</v>
      </c>
      <c r="AR111" s="44"/>
      <c r="AS111" s="44">
        <f t="shared" si="9"/>
        <v>0</v>
      </c>
      <c r="AT111" s="44"/>
      <c r="AU111" s="44">
        <f t="shared" si="10"/>
        <v>0</v>
      </c>
      <c r="AV111" s="44"/>
      <c r="AW111" s="44">
        <f t="shared" si="11"/>
        <v>0</v>
      </c>
    </row>
    <row r="112" spans="1:49" s="7" customFormat="1" ht="12" hidden="1">
      <c r="A112" s="7" t="s">
        <v>25</v>
      </c>
      <c r="C112" s="7" t="s">
        <v>756</v>
      </c>
      <c r="E112" s="37">
        <v>0</v>
      </c>
      <c r="F112" s="37"/>
      <c r="G112" s="37">
        <v>0</v>
      </c>
      <c r="H112" s="37"/>
      <c r="I112" s="37">
        <v>0</v>
      </c>
      <c r="J112" s="37"/>
      <c r="K112" s="37">
        <v>0</v>
      </c>
      <c r="L112" s="37"/>
      <c r="M112" s="37">
        <v>0</v>
      </c>
      <c r="N112" s="37"/>
      <c r="O112" s="39">
        <f t="shared" si="6"/>
        <v>0</v>
      </c>
      <c r="P112" s="37"/>
      <c r="Q112" s="37">
        <v>0</v>
      </c>
      <c r="R112" s="37"/>
      <c r="S112" s="37">
        <v>0</v>
      </c>
      <c r="T112" s="37"/>
      <c r="U112" s="37">
        <v>0</v>
      </c>
      <c r="V112" s="37"/>
      <c r="W112" s="37">
        <v>0</v>
      </c>
      <c r="X112" s="37"/>
      <c r="Y112" s="37">
        <v>0</v>
      </c>
      <c r="Z112" s="37"/>
      <c r="AA112" s="37">
        <v>0</v>
      </c>
      <c r="AB112" s="37"/>
      <c r="AC112" s="37">
        <v>0</v>
      </c>
      <c r="AD112" s="37"/>
      <c r="AE112" s="37">
        <v>0</v>
      </c>
      <c r="AF112" s="37"/>
      <c r="AG112" s="37">
        <v>0</v>
      </c>
      <c r="AH112" s="37"/>
      <c r="AI112" s="37">
        <f t="shared" si="7"/>
        <v>0</v>
      </c>
      <c r="AJ112" s="37"/>
      <c r="AK112" s="37">
        <v>0</v>
      </c>
      <c r="AL112" s="37"/>
      <c r="AM112" s="37">
        <v>0</v>
      </c>
      <c r="AN112" s="37"/>
      <c r="AO112" s="37">
        <v>0</v>
      </c>
      <c r="AQ112" s="44">
        <f t="shared" si="8"/>
        <v>0</v>
      </c>
      <c r="AR112" s="44"/>
      <c r="AS112" s="44">
        <f t="shared" si="9"/>
        <v>0</v>
      </c>
      <c r="AT112" s="44"/>
      <c r="AU112" s="44">
        <f t="shared" si="10"/>
        <v>0</v>
      </c>
      <c r="AV112" s="44"/>
      <c r="AW112" s="44">
        <f t="shared" si="11"/>
        <v>0</v>
      </c>
    </row>
    <row r="113" spans="1:49" s="7" customFormat="1" ht="12" hidden="1">
      <c r="A113" s="7" t="s">
        <v>90</v>
      </c>
      <c r="C113" s="7" t="s">
        <v>777</v>
      </c>
      <c r="E113" s="37">
        <v>0</v>
      </c>
      <c r="F113" s="37"/>
      <c r="G113" s="37">
        <v>0</v>
      </c>
      <c r="H113" s="37"/>
      <c r="I113" s="37">
        <v>0</v>
      </c>
      <c r="J113" s="37"/>
      <c r="K113" s="37">
        <v>0</v>
      </c>
      <c r="L113" s="37"/>
      <c r="M113" s="37">
        <v>0</v>
      </c>
      <c r="N113" s="37"/>
      <c r="O113" s="39">
        <f t="shared" si="6"/>
        <v>0</v>
      </c>
      <c r="P113" s="37"/>
      <c r="Q113" s="37">
        <v>0</v>
      </c>
      <c r="R113" s="37"/>
      <c r="S113" s="37">
        <v>0</v>
      </c>
      <c r="T113" s="37"/>
      <c r="U113" s="37">
        <v>0</v>
      </c>
      <c r="V113" s="37"/>
      <c r="W113" s="37">
        <v>0</v>
      </c>
      <c r="X113" s="37"/>
      <c r="Y113" s="37">
        <v>0</v>
      </c>
      <c r="Z113" s="37"/>
      <c r="AA113" s="37">
        <v>0</v>
      </c>
      <c r="AB113" s="37"/>
      <c r="AC113" s="37">
        <v>0</v>
      </c>
      <c r="AD113" s="37"/>
      <c r="AE113" s="37">
        <v>0</v>
      </c>
      <c r="AF113" s="37"/>
      <c r="AG113" s="37">
        <v>0</v>
      </c>
      <c r="AH113" s="37"/>
      <c r="AI113" s="37">
        <f t="shared" si="7"/>
        <v>0</v>
      </c>
      <c r="AJ113" s="37"/>
      <c r="AK113" s="37">
        <v>0</v>
      </c>
      <c r="AL113" s="37"/>
      <c r="AM113" s="37">
        <v>0</v>
      </c>
      <c r="AN113" s="37"/>
      <c r="AO113" s="37">
        <v>0</v>
      </c>
      <c r="AQ113" s="44">
        <f t="shared" si="8"/>
        <v>0</v>
      </c>
      <c r="AR113" s="44"/>
      <c r="AS113" s="44">
        <f t="shared" si="9"/>
        <v>0</v>
      </c>
      <c r="AT113" s="44"/>
      <c r="AU113" s="44">
        <f t="shared" si="10"/>
        <v>0</v>
      </c>
      <c r="AV113" s="44"/>
      <c r="AW113" s="44">
        <f t="shared" si="11"/>
        <v>0</v>
      </c>
    </row>
    <row r="114" spans="1:49" s="7" customFormat="1" ht="12" hidden="1">
      <c r="A114" s="7" t="s">
        <v>154</v>
      </c>
      <c r="C114" s="7" t="s">
        <v>797</v>
      </c>
      <c r="E114" s="37">
        <v>0</v>
      </c>
      <c r="F114" s="37"/>
      <c r="G114" s="37">
        <v>0</v>
      </c>
      <c r="H114" s="37"/>
      <c r="I114" s="37">
        <v>0</v>
      </c>
      <c r="J114" s="37"/>
      <c r="K114" s="37">
        <v>0</v>
      </c>
      <c r="L114" s="37"/>
      <c r="M114" s="37">
        <v>0</v>
      </c>
      <c r="N114" s="37"/>
      <c r="O114" s="39">
        <f t="shared" si="6"/>
        <v>0</v>
      </c>
      <c r="P114" s="37"/>
      <c r="Q114" s="37">
        <v>0</v>
      </c>
      <c r="R114" s="37"/>
      <c r="S114" s="37">
        <v>0</v>
      </c>
      <c r="T114" s="37"/>
      <c r="U114" s="37">
        <v>0</v>
      </c>
      <c r="V114" s="37"/>
      <c r="W114" s="37">
        <v>0</v>
      </c>
      <c r="X114" s="37"/>
      <c r="Y114" s="37">
        <v>0</v>
      </c>
      <c r="Z114" s="37"/>
      <c r="AA114" s="37">
        <v>0</v>
      </c>
      <c r="AB114" s="37"/>
      <c r="AC114" s="37">
        <v>0</v>
      </c>
      <c r="AD114" s="37"/>
      <c r="AE114" s="37">
        <v>0</v>
      </c>
      <c r="AF114" s="37"/>
      <c r="AG114" s="37">
        <v>0</v>
      </c>
      <c r="AH114" s="37"/>
      <c r="AI114" s="37">
        <f t="shared" si="7"/>
        <v>0</v>
      </c>
      <c r="AJ114" s="37"/>
      <c r="AK114" s="37">
        <v>0</v>
      </c>
      <c r="AL114" s="37"/>
      <c r="AM114" s="37">
        <v>0</v>
      </c>
      <c r="AN114" s="37"/>
      <c r="AO114" s="37">
        <v>0</v>
      </c>
      <c r="AQ114" s="44">
        <f t="shared" si="8"/>
        <v>0</v>
      </c>
      <c r="AR114" s="44"/>
      <c r="AS114" s="44">
        <f t="shared" si="9"/>
        <v>0</v>
      </c>
      <c r="AT114" s="44"/>
      <c r="AU114" s="44">
        <f t="shared" si="10"/>
        <v>0</v>
      </c>
      <c r="AV114" s="44"/>
      <c r="AW114" s="44">
        <f t="shared" si="11"/>
        <v>0</v>
      </c>
    </row>
    <row r="115" spans="1:49" s="7" customFormat="1" ht="12" hidden="1">
      <c r="A115" s="7" t="s">
        <v>268</v>
      </c>
      <c r="C115" s="7" t="s">
        <v>508</v>
      </c>
      <c r="E115" s="37">
        <v>0</v>
      </c>
      <c r="F115" s="37"/>
      <c r="G115" s="37">
        <v>0</v>
      </c>
      <c r="H115" s="37"/>
      <c r="I115" s="37">
        <v>0</v>
      </c>
      <c r="J115" s="37"/>
      <c r="K115" s="37">
        <v>0</v>
      </c>
      <c r="L115" s="37"/>
      <c r="M115" s="37">
        <v>0</v>
      </c>
      <c r="N115" s="37"/>
      <c r="O115" s="39">
        <f t="shared" si="6"/>
        <v>0</v>
      </c>
      <c r="P115" s="37"/>
      <c r="Q115" s="37">
        <v>0</v>
      </c>
      <c r="R115" s="37"/>
      <c r="S115" s="37">
        <v>0</v>
      </c>
      <c r="T115" s="37"/>
      <c r="U115" s="37">
        <v>0</v>
      </c>
      <c r="V115" s="37"/>
      <c r="W115" s="37">
        <v>0</v>
      </c>
      <c r="X115" s="37"/>
      <c r="Y115" s="37">
        <v>0</v>
      </c>
      <c r="Z115" s="37"/>
      <c r="AA115" s="37">
        <v>0</v>
      </c>
      <c r="AB115" s="37"/>
      <c r="AC115" s="37">
        <v>0</v>
      </c>
      <c r="AD115" s="37"/>
      <c r="AE115" s="37">
        <v>0</v>
      </c>
      <c r="AF115" s="37"/>
      <c r="AG115" s="37">
        <v>0</v>
      </c>
      <c r="AH115" s="37"/>
      <c r="AI115" s="37">
        <f t="shared" si="7"/>
        <v>0</v>
      </c>
      <c r="AJ115" s="37"/>
      <c r="AK115" s="37">
        <v>0</v>
      </c>
      <c r="AL115" s="37"/>
      <c r="AM115" s="37">
        <v>0</v>
      </c>
      <c r="AN115" s="37"/>
      <c r="AO115" s="37">
        <v>0</v>
      </c>
      <c r="AQ115" s="44">
        <f t="shared" si="8"/>
        <v>0</v>
      </c>
      <c r="AR115" s="44"/>
      <c r="AS115" s="44">
        <f t="shared" si="9"/>
        <v>0</v>
      </c>
      <c r="AT115" s="44"/>
      <c r="AU115" s="44">
        <f t="shared" si="10"/>
        <v>0</v>
      </c>
      <c r="AV115" s="44"/>
      <c r="AW115" s="44">
        <f t="shared" si="11"/>
        <v>0</v>
      </c>
    </row>
    <row r="116" spans="1:49" s="7" customFormat="1" ht="12" hidden="1">
      <c r="A116" s="7" t="s">
        <v>839</v>
      </c>
      <c r="C116" s="7" t="s">
        <v>760</v>
      </c>
      <c r="E116" s="37">
        <v>0</v>
      </c>
      <c r="F116" s="37"/>
      <c r="G116" s="37">
        <v>0</v>
      </c>
      <c r="H116" s="37"/>
      <c r="I116" s="37">
        <v>0</v>
      </c>
      <c r="J116" s="37"/>
      <c r="K116" s="37">
        <v>0</v>
      </c>
      <c r="L116" s="37"/>
      <c r="M116" s="37">
        <v>0</v>
      </c>
      <c r="N116" s="37"/>
      <c r="O116" s="39">
        <f t="shared" si="6"/>
        <v>0</v>
      </c>
      <c r="P116" s="37"/>
      <c r="Q116" s="37">
        <v>0</v>
      </c>
      <c r="R116" s="37"/>
      <c r="S116" s="37">
        <v>0</v>
      </c>
      <c r="T116" s="37"/>
      <c r="U116" s="37">
        <v>0</v>
      </c>
      <c r="V116" s="37"/>
      <c r="W116" s="37">
        <v>0</v>
      </c>
      <c r="X116" s="37"/>
      <c r="Y116" s="37">
        <v>0</v>
      </c>
      <c r="Z116" s="37"/>
      <c r="AA116" s="37">
        <v>0</v>
      </c>
      <c r="AB116" s="37"/>
      <c r="AC116" s="37">
        <v>0</v>
      </c>
      <c r="AD116" s="37"/>
      <c r="AE116" s="37">
        <v>0</v>
      </c>
      <c r="AF116" s="37"/>
      <c r="AG116" s="37">
        <v>0</v>
      </c>
      <c r="AH116" s="37"/>
      <c r="AI116" s="37">
        <f t="shared" si="7"/>
        <v>0</v>
      </c>
      <c r="AJ116" s="37"/>
      <c r="AK116" s="37">
        <v>0</v>
      </c>
      <c r="AL116" s="37"/>
      <c r="AM116" s="37">
        <v>0</v>
      </c>
      <c r="AN116" s="37"/>
      <c r="AO116" s="37">
        <v>0</v>
      </c>
      <c r="AQ116" s="44">
        <f t="shared" si="8"/>
        <v>0</v>
      </c>
      <c r="AR116" s="44"/>
      <c r="AS116" s="44">
        <f t="shared" si="9"/>
        <v>0</v>
      </c>
      <c r="AT116" s="44"/>
      <c r="AU116" s="44">
        <f t="shared" si="10"/>
        <v>0</v>
      </c>
      <c r="AV116" s="44"/>
      <c r="AW116" s="44">
        <f t="shared" si="11"/>
        <v>0</v>
      </c>
    </row>
    <row r="117" spans="1:49" s="7" customFormat="1" ht="12" hidden="1">
      <c r="A117" s="7" t="s">
        <v>587</v>
      </c>
      <c r="C117" s="7" t="s">
        <v>586</v>
      </c>
      <c r="E117" s="37">
        <v>0</v>
      </c>
      <c r="F117" s="37"/>
      <c r="G117" s="37">
        <v>0</v>
      </c>
      <c r="H117" s="37"/>
      <c r="I117" s="37">
        <v>0</v>
      </c>
      <c r="J117" s="37"/>
      <c r="K117" s="37">
        <v>0</v>
      </c>
      <c r="L117" s="37"/>
      <c r="M117" s="37">
        <v>0</v>
      </c>
      <c r="N117" s="37"/>
      <c r="O117" s="39">
        <f t="shared" si="6"/>
        <v>0</v>
      </c>
      <c r="P117" s="37"/>
      <c r="Q117" s="37">
        <v>0</v>
      </c>
      <c r="R117" s="37"/>
      <c r="S117" s="37">
        <v>0</v>
      </c>
      <c r="T117" s="37"/>
      <c r="U117" s="37">
        <v>0</v>
      </c>
      <c r="V117" s="37"/>
      <c r="W117" s="37">
        <v>0</v>
      </c>
      <c r="X117" s="37"/>
      <c r="Y117" s="37">
        <v>0</v>
      </c>
      <c r="Z117" s="37"/>
      <c r="AA117" s="37">
        <v>0</v>
      </c>
      <c r="AB117" s="37"/>
      <c r="AC117" s="37">
        <v>0</v>
      </c>
      <c r="AD117" s="37"/>
      <c r="AE117" s="37">
        <v>0</v>
      </c>
      <c r="AF117" s="37"/>
      <c r="AG117" s="37">
        <v>0</v>
      </c>
      <c r="AH117" s="37"/>
      <c r="AI117" s="37">
        <f t="shared" si="7"/>
        <v>0</v>
      </c>
      <c r="AJ117" s="37"/>
      <c r="AK117" s="37">
        <v>0</v>
      </c>
      <c r="AL117" s="37"/>
      <c r="AM117" s="37">
        <v>0</v>
      </c>
      <c r="AN117" s="37"/>
      <c r="AO117" s="37">
        <v>0</v>
      </c>
      <c r="AQ117" s="44">
        <f t="shared" si="8"/>
        <v>0</v>
      </c>
      <c r="AR117" s="44"/>
      <c r="AS117" s="44">
        <f t="shared" si="9"/>
        <v>0</v>
      </c>
      <c r="AT117" s="44"/>
      <c r="AU117" s="44">
        <f t="shared" si="10"/>
        <v>0</v>
      </c>
      <c r="AV117" s="44"/>
      <c r="AW117" s="44">
        <f t="shared" si="11"/>
        <v>0</v>
      </c>
    </row>
    <row r="118" spans="1:49" s="7" customFormat="1" ht="12" hidden="1">
      <c r="A118" s="7" t="s">
        <v>128</v>
      </c>
      <c r="C118" s="7" t="s">
        <v>789</v>
      </c>
      <c r="E118" s="37">
        <v>0</v>
      </c>
      <c r="F118" s="37"/>
      <c r="G118" s="37">
        <v>0</v>
      </c>
      <c r="H118" s="37"/>
      <c r="I118" s="37">
        <v>0</v>
      </c>
      <c r="J118" s="37"/>
      <c r="K118" s="37">
        <v>0</v>
      </c>
      <c r="L118" s="37"/>
      <c r="M118" s="37">
        <v>0</v>
      </c>
      <c r="N118" s="37"/>
      <c r="O118" s="39">
        <f t="shared" si="6"/>
        <v>0</v>
      </c>
      <c r="P118" s="37"/>
      <c r="Q118" s="37">
        <v>0</v>
      </c>
      <c r="R118" s="37"/>
      <c r="S118" s="37">
        <v>0</v>
      </c>
      <c r="T118" s="37"/>
      <c r="U118" s="37">
        <v>0</v>
      </c>
      <c r="V118" s="37"/>
      <c r="W118" s="37">
        <v>0</v>
      </c>
      <c r="X118" s="37"/>
      <c r="Y118" s="37">
        <v>0</v>
      </c>
      <c r="Z118" s="37"/>
      <c r="AA118" s="37">
        <v>0</v>
      </c>
      <c r="AB118" s="37"/>
      <c r="AC118" s="37">
        <v>0</v>
      </c>
      <c r="AD118" s="37"/>
      <c r="AE118" s="37">
        <v>0</v>
      </c>
      <c r="AF118" s="37"/>
      <c r="AG118" s="37">
        <v>0</v>
      </c>
      <c r="AH118" s="37"/>
      <c r="AI118" s="37">
        <f t="shared" si="7"/>
        <v>0</v>
      </c>
      <c r="AJ118" s="37"/>
      <c r="AK118" s="37">
        <v>0</v>
      </c>
      <c r="AL118" s="37"/>
      <c r="AM118" s="37">
        <v>0</v>
      </c>
      <c r="AN118" s="37"/>
      <c r="AO118" s="37">
        <v>0</v>
      </c>
      <c r="AQ118" s="44">
        <f t="shared" si="8"/>
        <v>0</v>
      </c>
      <c r="AR118" s="44"/>
      <c r="AS118" s="44">
        <f t="shared" si="9"/>
        <v>0</v>
      </c>
      <c r="AT118" s="44"/>
      <c r="AU118" s="44">
        <f t="shared" si="10"/>
        <v>0</v>
      </c>
      <c r="AV118" s="44"/>
      <c r="AW118" s="44">
        <f t="shared" si="11"/>
        <v>0</v>
      </c>
    </row>
    <row r="119" spans="1:49" s="7" customFormat="1" ht="12" hidden="1">
      <c r="A119" s="1" t="s">
        <v>369</v>
      </c>
      <c r="B119" s="1"/>
      <c r="C119" s="1" t="s">
        <v>368</v>
      </c>
      <c r="E119" s="37">
        <v>0</v>
      </c>
      <c r="F119" s="37"/>
      <c r="G119" s="37">
        <v>0</v>
      </c>
      <c r="H119" s="37"/>
      <c r="I119" s="37">
        <v>0</v>
      </c>
      <c r="J119" s="37"/>
      <c r="K119" s="37">
        <v>0</v>
      </c>
      <c r="L119" s="37"/>
      <c r="M119" s="37">
        <v>0</v>
      </c>
      <c r="N119" s="37"/>
      <c r="O119" s="39">
        <f>-E119+G119+I119+K119</f>
        <v>0</v>
      </c>
      <c r="P119" s="37"/>
      <c r="Q119" s="37">
        <v>0</v>
      </c>
      <c r="R119" s="37"/>
      <c r="S119" s="37">
        <v>0</v>
      </c>
      <c r="T119" s="37"/>
      <c r="U119" s="37">
        <v>0</v>
      </c>
      <c r="V119" s="37"/>
      <c r="W119" s="37">
        <v>0</v>
      </c>
      <c r="X119" s="37"/>
      <c r="Y119" s="37">
        <v>0</v>
      </c>
      <c r="Z119" s="37"/>
      <c r="AA119" s="37">
        <v>0</v>
      </c>
      <c r="AB119" s="37"/>
      <c r="AC119" s="37">
        <v>0</v>
      </c>
      <c r="AD119" s="37"/>
      <c r="AE119" s="37">
        <v>0</v>
      </c>
      <c r="AF119" s="37"/>
      <c r="AG119" s="37">
        <v>0</v>
      </c>
      <c r="AH119" s="37"/>
      <c r="AI119" s="37">
        <f>+Q119+S119+U119+W119+Y119+AA119+AC119+AE119+AG119</f>
        <v>0</v>
      </c>
      <c r="AJ119" s="37"/>
      <c r="AK119" s="37">
        <v>0</v>
      </c>
      <c r="AL119" s="37"/>
      <c r="AM119" s="37">
        <v>0</v>
      </c>
      <c r="AN119" s="37"/>
      <c r="AO119" s="37">
        <v>0</v>
      </c>
      <c r="AQ119" s="44">
        <f>+M119-O119</f>
        <v>0</v>
      </c>
      <c r="AR119" s="44"/>
      <c r="AS119" s="44">
        <f>+Q119+S119+U119+W119+Y119+AA119+AC119+AE119+AG119-AI119</f>
        <v>0</v>
      </c>
      <c r="AT119" s="44"/>
      <c r="AU119" s="44">
        <f>+O119+AI119-AK119</f>
        <v>0</v>
      </c>
      <c r="AV119" s="44"/>
      <c r="AW119" s="44">
        <f>+O119+AI119+AM119-AO119</f>
        <v>0</v>
      </c>
    </row>
    <row r="120" spans="1:49" s="7" customFormat="1" ht="12" hidden="1">
      <c r="A120" s="7" t="s">
        <v>35</v>
      </c>
      <c r="C120" s="7" t="s">
        <v>760</v>
      </c>
      <c r="E120" s="37">
        <v>0</v>
      </c>
      <c r="F120" s="37"/>
      <c r="G120" s="37">
        <v>0</v>
      </c>
      <c r="H120" s="37"/>
      <c r="I120" s="37">
        <v>0</v>
      </c>
      <c r="J120" s="37"/>
      <c r="K120" s="37">
        <v>0</v>
      </c>
      <c r="L120" s="37"/>
      <c r="M120" s="37">
        <v>0</v>
      </c>
      <c r="N120" s="37"/>
      <c r="O120" s="39">
        <f t="shared" si="6"/>
        <v>0</v>
      </c>
      <c r="P120" s="37"/>
      <c r="Q120" s="37">
        <v>0</v>
      </c>
      <c r="R120" s="37"/>
      <c r="S120" s="37">
        <v>0</v>
      </c>
      <c r="T120" s="37"/>
      <c r="U120" s="37">
        <v>0</v>
      </c>
      <c r="V120" s="37"/>
      <c r="W120" s="37">
        <v>0</v>
      </c>
      <c r="X120" s="37"/>
      <c r="Y120" s="37">
        <v>0</v>
      </c>
      <c r="Z120" s="37"/>
      <c r="AA120" s="37">
        <v>0</v>
      </c>
      <c r="AB120" s="37"/>
      <c r="AC120" s="37">
        <v>0</v>
      </c>
      <c r="AD120" s="37"/>
      <c r="AE120" s="37">
        <v>0</v>
      </c>
      <c r="AF120" s="37"/>
      <c r="AG120" s="37">
        <v>0</v>
      </c>
      <c r="AH120" s="37"/>
      <c r="AI120" s="37">
        <f t="shared" si="7"/>
        <v>0</v>
      </c>
      <c r="AJ120" s="37"/>
      <c r="AK120" s="37">
        <v>0</v>
      </c>
      <c r="AL120" s="37"/>
      <c r="AM120" s="37">
        <v>0</v>
      </c>
      <c r="AN120" s="37"/>
      <c r="AO120" s="37">
        <v>0</v>
      </c>
      <c r="AQ120" s="44">
        <f t="shared" si="8"/>
        <v>0</v>
      </c>
      <c r="AR120" s="44"/>
      <c r="AS120" s="44">
        <f t="shared" si="9"/>
        <v>0</v>
      </c>
      <c r="AT120" s="44"/>
      <c r="AU120" s="44">
        <f t="shared" si="10"/>
        <v>0</v>
      </c>
      <c r="AV120" s="44"/>
      <c r="AW120" s="44">
        <f t="shared" si="11"/>
        <v>0</v>
      </c>
    </row>
    <row r="121" spans="1:49" s="7" customFormat="1" ht="12" hidden="1">
      <c r="A121" s="7" t="s">
        <v>865</v>
      </c>
      <c r="C121" s="7" t="s">
        <v>805</v>
      </c>
      <c r="E121" s="37">
        <v>0</v>
      </c>
      <c r="F121" s="37"/>
      <c r="G121" s="37">
        <v>0</v>
      </c>
      <c r="H121" s="37"/>
      <c r="I121" s="37">
        <v>0</v>
      </c>
      <c r="J121" s="37"/>
      <c r="K121" s="37">
        <v>0</v>
      </c>
      <c r="L121" s="37"/>
      <c r="M121" s="37">
        <v>0</v>
      </c>
      <c r="N121" s="37"/>
      <c r="O121" s="39">
        <f t="shared" si="6"/>
        <v>0</v>
      </c>
      <c r="P121" s="37"/>
      <c r="Q121" s="37">
        <v>0</v>
      </c>
      <c r="R121" s="37"/>
      <c r="S121" s="37">
        <v>0</v>
      </c>
      <c r="T121" s="37"/>
      <c r="U121" s="37">
        <v>0</v>
      </c>
      <c r="V121" s="37"/>
      <c r="W121" s="37">
        <v>0</v>
      </c>
      <c r="X121" s="37"/>
      <c r="Y121" s="37">
        <v>0</v>
      </c>
      <c r="Z121" s="37"/>
      <c r="AA121" s="37">
        <v>0</v>
      </c>
      <c r="AB121" s="37"/>
      <c r="AC121" s="37">
        <v>0</v>
      </c>
      <c r="AD121" s="37"/>
      <c r="AE121" s="37">
        <v>0</v>
      </c>
      <c r="AF121" s="37"/>
      <c r="AG121" s="37">
        <v>0</v>
      </c>
      <c r="AH121" s="37"/>
      <c r="AI121" s="37">
        <f t="shared" si="7"/>
        <v>0</v>
      </c>
      <c r="AJ121" s="37"/>
      <c r="AK121" s="37">
        <v>0</v>
      </c>
      <c r="AL121" s="37"/>
      <c r="AM121" s="37">
        <v>0</v>
      </c>
      <c r="AN121" s="37"/>
      <c r="AO121" s="37">
        <v>0</v>
      </c>
      <c r="AQ121" s="44">
        <f t="shared" si="8"/>
        <v>0</v>
      </c>
      <c r="AR121" s="44"/>
      <c r="AS121" s="44">
        <f t="shared" si="9"/>
        <v>0</v>
      </c>
      <c r="AT121" s="44"/>
      <c r="AU121" s="44">
        <f t="shared" si="10"/>
        <v>0</v>
      </c>
      <c r="AV121" s="44"/>
      <c r="AW121" s="44">
        <f t="shared" si="11"/>
        <v>0</v>
      </c>
    </row>
    <row r="122" spans="1:49" s="7" customFormat="1" ht="12" hidden="1">
      <c r="A122" s="7" t="s">
        <v>845</v>
      </c>
      <c r="C122" s="7" t="s">
        <v>804</v>
      </c>
      <c r="E122" s="37">
        <v>0</v>
      </c>
      <c r="F122" s="37"/>
      <c r="G122" s="37">
        <v>0</v>
      </c>
      <c r="H122" s="37"/>
      <c r="I122" s="37">
        <v>0</v>
      </c>
      <c r="J122" s="37"/>
      <c r="K122" s="37">
        <v>0</v>
      </c>
      <c r="L122" s="37"/>
      <c r="M122" s="37">
        <v>0</v>
      </c>
      <c r="N122" s="37"/>
      <c r="O122" s="39">
        <f t="shared" si="6"/>
        <v>0</v>
      </c>
      <c r="P122" s="37"/>
      <c r="Q122" s="37">
        <v>0</v>
      </c>
      <c r="R122" s="37"/>
      <c r="S122" s="37">
        <v>0</v>
      </c>
      <c r="T122" s="37"/>
      <c r="U122" s="37">
        <v>0</v>
      </c>
      <c r="V122" s="37"/>
      <c r="W122" s="37">
        <v>0</v>
      </c>
      <c r="X122" s="37"/>
      <c r="Y122" s="37">
        <v>0</v>
      </c>
      <c r="Z122" s="37"/>
      <c r="AA122" s="37">
        <v>0</v>
      </c>
      <c r="AB122" s="37"/>
      <c r="AC122" s="37">
        <v>0</v>
      </c>
      <c r="AD122" s="37"/>
      <c r="AE122" s="37">
        <v>0</v>
      </c>
      <c r="AF122" s="37"/>
      <c r="AG122" s="37">
        <v>0</v>
      </c>
      <c r="AH122" s="37"/>
      <c r="AI122" s="37">
        <f t="shared" si="7"/>
        <v>0</v>
      </c>
      <c r="AJ122" s="37"/>
      <c r="AK122" s="37">
        <v>0</v>
      </c>
      <c r="AL122" s="37"/>
      <c r="AM122" s="37">
        <v>0</v>
      </c>
      <c r="AN122" s="37"/>
      <c r="AO122" s="37">
        <v>0</v>
      </c>
      <c r="AQ122" s="44">
        <f t="shared" si="8"/>
        <v>0</v>
      </c>
      <c r="AR122" s="44"/>
      <c r="AS122" s="44">
        <f t="shared" si="9"/>
        <v>0</v>
      </c>
      <c r="AT122" s="44"/>
      <c r="AU122" s="44">
        <f t="shared" si="10"/>
        <v>0</v>
      </c>
      <c r="AV122" s="44"/>
      <c r="AW122" s="44">
        <f t="shared" si="11"/>
        <v>0</v>
      </c>
    </row>
    <row r="123" spans="1:49" s="7" customFormat="1" ht="12" hidden="1">
      <c r="A123" s="7" t="s">
        <v>33</v>
      </c>
      <c r="C123" s="7" t="s">
        <v>759</v>
      </c>
      <c r="E123" s="37">
        <v>0</v>
      </c>
      <c r="F123" s="37"/>
      <c r="G123" s="37">
        <v>0</v>
      </c>
      <c r="H123" s="37"/>
      <c r="I123" s="37">
        <v>0</v>
      </c>
      <c r="J123" s="37"/>
      <c r="K123" s="37">
        <v>0</v>
      </c>
      <c r="L123" s="37"/>
      <c r="M123" s="37">
        <v>0</v>
      </c>
      <c r="N123" s="37"/>
      <c r="O123" s="39">
        <f t="shared" si="6"/>
        <v>0</v>
      </c>
      <c r="P123" s="37"/>
      <c r="Q123" s="37">
        <v>0</v>
      </c>
      <c r="R123" s="37"/>
      <c r="S123" s="37">
        <v>0</v>
      </c>
      <c r="T123" s="37"/>
      <c r="U123" s="37">
        <v>0</v>
      </c>
      <c r="V123" s="37"/>
      <c r="W123" s="37">
        <v>0</v>
      </c>
      <c r="X123" s="37"/>
      <c r="Y123" s="37">
        <v>0</v>
      </c>
      <c r="Z123" s="37"/>
      <c r="AA123" s="37">
        <v>0</v>
      </c>
      <c r="AB123" s="37"/>
      <c r="AC123" s="37">
        <v>0</v>
      </c>
      <c r="AD123" s="37"/>
      <c r="AE123" s="37">
        <v>0</v>
      </c>
      <c r="AF123" s="37"/>
      <c r="AG123" s="37">
        <v>0</v>
      </c>
      <c r="AH123" s="37"/>
      <c r="AI123" s="37">
        <f t="shared" si="7"/>
        <v>0</v>
      </c>
      <c r="AJ123" s="37"/>
      <c r="AK123" s="37">
        <v>0</v>
      </c>
      <c r="AL123" s="37"/>
      <c r="AM123" s="37">
        <v>0</v>
      </c>
      <c r="AN123" s="37"/>
      <c r="AO123" s="37">
        <v>0</v>
      </c>
      <c r="AQ123" s="44">
        <f t="shared" si="8"/>
        <v>0</v>
      </c>
      <c r="AR123" s="44"/>
      <c r="AS123" s="44">
        <f t="shared" si="9"/>
        <v>0</v>
      </c>
      <c r="AT123" s="44"/>
      <c r="AU123" s="44">
        <f t="shared" si="10"/>
        <v>0</v>
      </c>
      <c r="AV123" s="44"/>
      <c r="AW123" s="44">
        <f t="shared" si="11"/>
        <v>0</v>
      </c>
    </row>
    <row r="124" spans="1:49" s="7" customFormat="1" ht="12" hidden="1">
      <c r="A124" s="7" t="s">
        <v>196</v>
      </c>
      <c r="C124" s="7" t="s">
        <v>811</v>
      </c>
      <c r="E124" s="37">
        <v>0</v>
      </c>
      <c r="F124" s="37"/>
      <c r="G124" s="37">
        <v>0</v>
      </c>
      <c r="H124" s="37"/>
      <c r="I124" s="37">
        <v>0</v>
      </c>
      <c r="J124" s="37"/>
      <c r="K124" s="37">
        <v>0</v>
      </c>
      <c r="L124" s="37"/>
      <c r="M124" s="37">
        <v>0</v>
      </c>
      <c r="N124" s="37"/>
      <c r="O124" s="39">
        <f t="shared" si="6"/>
        <v>0</v>
      </c>
      <c r="P124" s="37"/>
      <c r="Q124" s="37">
        <v>0</v>
      </c>
      <c r="R124" s="37"/>
      <c r="S124" s="37">
        <v>0</v>
      </c>
      <c r="T124" s="37"/>
      <c r="U124" s="37">
        <v>0</v>
      </c>
      <c r="V124" s="37"/>
      <c r="W124" s="37">
        <v>0</v>
      </c>
      <c r="X124" s="37"/>
      <c r="Y124" s="37">
        <v>0</v>
      </c>
      <c r="Z124" s="37"/>
      <c r="AA124" s="37">
        <v>0</v>
      </c>
      <c r="AB124" s="37"/>
      <c r="AC124" s="37">
        <v>0</v>
      </c>
      <c r="AD124" s="37"/>
      <c r="AE124" s="37">
        <v>0</v>
      </c>
      <c r="AF124" s="37"/>
      <c r="AG124" s="37">
        <v>0</v>
      </c>
      <c r="AH124" s="37"/>
      <c r="AI124" s="37">
        <f t="shared" si="7"/>
        <v>0</v>
      </c>
      <c r="AJ124" s="37"/>
      <c r="AK124" s="37">
        <v>0</v>
      </c>
      <c r="AL124" s="37"/>
      <c r="AM124" s="37">
        <v>0</v>
      </c>
      <c r="AN124" s="37"/>
      <c r="AO124" s="37">
        <v>0</v>
      </c>
      <c r="AQ124" s="44">
        <f t="shared" si="8"/>
        <v>0</v>
      </c>
      <c r="AR124" s="44"/>
      <c r="AS124" s="44">
        <f t="shared" si="9"/>
        <v>0</v>
      </c>
      <c r="AT124" s="44"/>
      <c r="AU124" s="44">
        <f t="shared" si="10"/>
        <v>0</v>
      </c>
      <c r="AV124" s="44"/>
      <c r="AW124" s="44">
        <f t="shared" si="11"/>
        <v>0</v>
      </c>
    </row>
    <row r="125" spans="1:49" s="7" customFormat="1" ht="12" hidden="1">
      <c r="A125" s="7" t="s">
        <v>66</v>
      </c>
      <c r="C125" s="7" t="s">
        <v>771</v>
      </c>
      <c r="E125" s="37">
        <v>0</v>
      </c>
      <c r="F125" s="37"/>
      <c r="G125" s="37">
        <v>0</v>
      </c>
      <c r="H125" s="37"/>
      <c r="I125" s="37">
        <v>0</v>
      </c>
      <c r="J125" s="37"/>
      <c r="K125" s="37">
        <v>0</v>
      </c>
      <c r="L125" s="37"/>
      <c r="M125" s="37">
        <v>0</v>
      </c>
      <c r="N125" s="37"/>
      <c r="O125" s="39">
        <f t="shared" si="6"/>
        <v>0</v>
      </c>
      <c r="P125" s="37"/>
      <c r="Q125" s="37">
        <v>0</v>
      </c>
      <c r="R125" s="37"/>
      <c r="S125" s="37">
        <v>0</v>
      </c>
      <c r="T125" s="37"/>
      <c r="U125" s="37">
        <v>0</v>
      </c>
      <c r="V125" s="37"/>
      <c r="W125" s="37">
        <v>0</v>
      </c>
      <c r="X125" s="37"/>
      <c r="Y125" s="37">
        <v>0</v>
      </c>
      <c r="Z125" s="37"/>
      <c r="AA125" s="37">
        <v>0</v>
      </c>
      <c r="AB125" s="37"/>
      <c r="AC125" s="37">
        <v>0</v>
      </c>
      <c r="AD125" s="37"/>
      <c r="AE125" s="37">
        <v>0</v>
      </c>
      <c r="AF125" s="37"/>
      <c r="AG125" s="37">
        <v>0</v>
      </c>
      <c r="AH125" s="37"/>
      <c r="AI125" s="37">
        <f t="shared" si="7"/>
        <v>0</v>
      </c>
      <c r="AJ125" s="37"/>
      <c r="AK125" s="37">
        <v>0</v>
      </c>
      <c r="AL125" s="37"/>
      <c r="AM125" s="37">
        <v>0</v>
      </c>
      <c r="AN125" s="37"/>
      <c r="AO125" s="37">
        <v>0</v>
      </c>
      <c r="AQ125" s="44">
        <f t="shared" si="8"/>
        <v>0</v>
      </c>
      <c r="AR125" s="44"/>
      <c r="AS125" s="44">
        <f t="shared" si="9"/>
        <v>0</v>
      </c>
      <c r="AT125" s="44"/>
      <c r="AU125" s="44">
        <f t="shared" si="10"/>
        <v>0</v>
      </c>
      <c r="AV125" s="44"/>
      <c r="AW125" s="44">
        <f t="shared" si="11"/>
        <v>0</v>
      </c>
    </row>
    <row r="126" spans="1:49" s="7" customFormat="1" ht="12">
      <c r="A126" s="7" t="s">
        <v>925</v>
      </c>
      <c r="C126" s="7" t="s">
        <v>554</v>
      </c>
      <c r="E126" s="37">
        <v>2485769</v>
      </c>
      <c r="F126" s="37"/>
      <c r="G126" s="37">
        <v>59474</v>
      </c>
      <c r="H126" s="37"/>
      <c r="I126" s="37">
        <v>136335</v>
      </c>
      <c r="J126" s="37"/>
      <c r="K126" s="37">
        <v>160283</v>
      </c>
      <c r="L126" s="37"/>
      <c r="M126" s="37">
        <v>-2129677</v>
      </c>
      <c r="N126" s="37"/>
      <c r="O126" s="39">
        <f>-E126+G126+I126+K126</f>
        <v>-2129677</v>
      </c>
      <c r="P126" s="37"/>
      <c r="Q126" s="37">
        <v>974902</v>
      </c>
      <c r="R126" s="37"/>
      <c r="S126" s="37">
        <v>509685</v>
      </c>
      <c r="T126" s="37"/>
      <c r="U126" s="37">
        <v>509318</v>
      </c>
      <c r="V126" s="37"/>
      <c r="W126" s="37">
        <v>78084</v>
      </c>
      <c r="X126" s="37"/>
      <c r="Y126" s="37">
        <v>0</v>
      </c>
      <c r="Z126" s="37"/>
      <c r="AA126" s="37">
        <f>12220+4326</f>
        <v>16546</v>
      </c>
      <c r="AB126" s="37"/>
      <c r="AC126" s="37">
        <v>0</v>
      </c>
      <c r="AD126" s="37"/>
      <c r="AE126" s="37">
        <v>-33100</v>
      </c>
      <c r="AF126" s="37"/>
      <c r="AG126" s="37">
        <v>0</v>
      </c>
      <c r="AH126" s="37"/>
      <c r="AI126" s="37">
        <f>+Q126+S126+U126+W126+Y126+AA126+AC126+AE126+AG126</f>
        <v>2055435</v>
      </c>
      <c r="AJ126" s="37"/>
      <c r="AK126" s="37">
        <v>-74242</v>
      </c>
      <c r="AL126" s="37"/>
      <c r="AM126" s="37">
        <v>1853380</v>
      </c>
      <c r="AN126" s="37"/>
      <c r="AO126" s="37">
        <v>1779138</v>
      </c>
      <c r="AQ126" s="44">
        <f>+M126-O126</f>
        <v>0</v>
      </c>
      <c r="AR126" s="44"/>
      <c r="AS126" s="44">
        <f>+Q126+S126+U126+W126+Y126+AA126+AC126+AE126+AG126-AI126</f>
        <v>0</v>
      </c>
      <c r="AT126" s="44"/>
      <c r="AU126" s="44">
        <f>+O126+AI126-AK126</f>
        <v>0</v>
      </c>
      <c r="AV126" s="44"/>
      <c r="AW126" s="44">
        <f>+O126+AI126+AM126-AO126</f>
        <v>0</v>
      </c>
    </row>
    <row r="127" spans="1:49" s="7" customFormat="1" ht="12">
      <c r="A127" s="7" t="s">
        <v>346</v>
      </c>
      <c r="C127" s="7" t="s">
        <v>343</v>
      </c>
      <c r="E127" s="37">
        <v>8067363</v>
      </c>
      <c r="F127" s="37"/>
      <c r="G127" s="37">
        <v>415188</v>
      </c>
      <c r="H127" s="37"/>
      <c r="I127" s="37">
        <v>231107</v>
      </c>
      <c r="J127" s="37"/>
      <c r="K127" s="37">
        <v>0</v>
      </c>
      <c r="L127" s="37"/>
      <c r="M127" s="37">
        <v>-7421068</v>
      </c>
      <c r="N127" s="37"/>
      <c r="O127" s="39">
        <f>-E127+G127+I127+K127</f>
        <v>-7421068</v>
      </c>
      <c r="P127" s="37"/>
      <c r="Q127" s="37">
        <v>291033</v>
      </c>
      <c r="R127" s="37"/>
      <c r="S127" s="37">
        <v>1753603</v>
      </c>
      <c r="T127" s="37"/>
      <c r="U127" s="37">
        <f>175291+11564+228730</f>
        <v>415585</v>
      </c>
      <c r="V127" s="37"/>
      <c r="W127" s="37">
        <v>142351</v>
      </c>
      <c r="X127" s="37"/>
      <c r="Y127" s="37">
        <v>0</v>
      </c>
      <c r="Z127" s="37"/>
      <c r="AA127" s="37">
        <f>1604912+46443</f>
        <v>1651355</v>
      </c>
      <c r="AB127" s="37"/>
      <c r="AC127" s="37">
        <v>2821000</v>
      </c>
      <c r="AD127" s="37"/>
      <c r="AE127" s="37">
        <v>0</v>
      </c>
      <c r="AF127" s="37"/>
      <c r="AG127" s="37">
        <v>0</v>
      </c>
      <c r="AH127" s="37"/>
      <c r="AI127" s="37">
        <f>+Q127+S127+U127+W127+Y127+AA127+AC127+AE127+AG127</f>
        <v>7074927</v>
      </c>
      <c r="AJ127" s="37"/>
      <c r="AK127" s="37">
        <v>-346141</v>
      </c>
      <c r="AL127" s="37"/>
      <c r="AM127" s="37">
        <v>2441112</v>
      </c>
      <c r="AN127" s="37"/>
      <c r="AO127" s="37">
        <v>2094971</v>
      </c>
      <c r="AQ127" s="44">
        <f>+M127-O127</f>
        <v>0</v>
      </c>
      <c r="AR127" s="44"/>
      <c r="AS127" s="44">
        <f>+Q127+S127+U127+W127+Y127+AA127+AC127+AE127+AG127-AI127</f>
        <v>0</v>
      </c>
      <c r="AT127" s="44"/>
      <c r="AU127" s="44">
        <f>+O127+AI127-AK127</f>
        <v>0</v>
      </c>
      <c r="AV127" s="44"/>
      <c r="AW127" s="44">
        <f>+O127+AI127+AM127-AO127</f>
        <v>0</v>
      </c>
    </row>
    <row r="128" spans="1:49" s="7" customFormat="1" ht="12" hidden="1">
      <c r="A128" s="7" t="s">
        <v>362</v>
      </c>
      <c r="C128" s="7" t="s">
        <v>358</v>
      </c>
      <c r="E128" s="37">
        <v>0</v>
      </c>
      <c r="F128" s="37"/>
      <c r="G128" s="37">
        <v>0</v>
      </c>
      <c r="H128" s="37"/>
      <c r="I128" s="37">
        <v>0</v>
      </c>
      <c r="J128" s="37"/>
      <c r="K128" s="37">
        <v>0</v>
      </c>
      <c r="L128" s="37"/>
      <c r="M128" s="37">
        <v>0</v>
      </c>
      <c r="N128" s="37"/>
      <c r="O128" s="39">
        <f t="shared" si="6"/>
        <v>0</v>
      </c>
      <c r="P128" s="37"/>
      <c r="Q128" s="37">
        <v>0</v>
      </c>
      <c r="R128" s="37"/>
      <c r="S128" s="37">
        <v>0</v>
      </c>
      <c r="T128" s="37"/>
      <c r="U128" s="37">
        <v>0</v>
      </c>
      <c r="V128" s="37"/>
      <c r="W128" s="37">
        <v>0</v>
      </c>
      <c r="X128" s="37"/>
      <c r="Y128" s="37">
        <v>0</v>
      </c>
      <c r="Z128" s="37"/>
      <c r="AA128" s="37">
        <v>0</v>
      </c>
      <c r="AB128" s="37"/>
      <c r="AC128" s="37">
        <v>0</v>
      </c>
      <c r="AD128" s="37"/>
      <c r="AE128" s="37">
        <v>0</v>
      </c>
      <c r="AF128" s="37"/>
      <c r="AG128" s="37">
        <v>0</v>
      </c>
      <c r="AH128" s="37"/>
      <c r="AI128" s="37">
        <f t="shared" si="7"/>
        <v>0</v>
      </c>
      <c r="AJ128" s="37"/>
      <c r="AK128" s="37">
        <v>0</v>
      </c>
      <c r="AL128" s="37"/>
      <c r="AM128" s="37">
        <v>0</v>
      </c>
      <c r="AN128" s="37"/>
      <c r="AO128" s="37">
        <v>0</v>
      </c>
      <c r="AQ128" s="44">
        <f t="shared" si="8"/>
        <v>0</v>
      </c>
      <c r="AR128" s="44"/>
      <c r="AS128" s="44">
        <f t="shared" si="9"/>
        <v>0</v>
      </c>
      <c r="AT128" s="44"/>
      <c r="AU128" s="44">
        <f t="shared" si="10"/>
        <v>0</v>
      </c>
      <c r="AV128" s="44"/>
      <c r="AW128" s="44">
        <f t="shared" si="11"/>
        <v>0</v>
      </c>
    </row>
    <row r="129" spans="1:49" s="7" customFormat="1" ht="12" hidden="1">
      <c r="A129" s="7" t="s">
        <v>507</v>
      </c>
      <c r="C129" s="7" t="s">
        <v>504</v>
      </c>
      <c r="E129" s="37">
        <v>0</v>
      </c>
      <c r="F129" s="37"/>
      <c r="G129" s="37">
        <v>0</v>
      </c>
      <c r="H129" s="37"/>
      <c r="I129" s="37">
        <v>0</v>
      </c>
      <c r="J129" s="37"/>
      <c r="K129" s="37">
        <v>0</v>
      </c>
      <c r="L129" s="37"/>
      <c r="M129" s="37">
        <v>0</v>
      </c>
      <c r="N129" s="37"/>
      <c r="O129" s="39">
        <f t="shared" si="6"/>
        <v>0</v>
      </c>
      <c r="P129" s="37"/>
      <c r="Q129" s="37">
        <v>0</v>
      </c>
      <c r="R129" s="37"/>
      <c r="S129" s="37">
        <v>0</v>
      </c>
      <c r="T129" s="37"/>
      <c r="U129" s="37">
        <v>0</v>
      </c>
      <c r="V129" s="37"/>
      <c r="W129" s="37">
        <v>0</v>
      </c>
      <c r="X129" s="37"/>
      <c r="Y129" s="37">
        <v>0</v>
      </c>
      <c r="Z129" s="37"/>
      <c r="AA129" s="37">
        <v>0</v>
      </c>
      <c r="AB129" s="37"/>
      <c r="AC129" s="37">
        <v>0</v>
      </c>
      <c r="AD129" s="37"/>
      <c r="AE129" s="37">
        <v>0</v>
      </c>
      <c r="AF129" s="37"/>
      <c r="AG129" s="37">
        <v>0</v>
      </c>
      <c r="AH129" s="37"/>
      <c r="AI129" s="37">
        <f t="shared" si="7"/>
        <v>0</v>
      </c>
      <c r="AJ129" s="37"/>
      <c r="AK129" s="37">
        <v>0</v>
      </c>
      <c r="AL129" s="37"/>
      <c r="AM129" s="37">
        <v>0</v>
      </c>
      <c r="AN129" s="37"/>
      <c r="AO129" s="37">
        <v>0</v>
      </c>
      <c r="AQ129" s="44">
        <f t="shared" si="8"/>
        <v>0</v>
      </c>
      <c r="AR129" s="44"/>
      <c r="AS129" s="44">
        <f t="shared" si="9"/>
        <v>0</v>
      </c>
      <c r="AT129" s="44"/>
      <c r="AU129" s="44">
        <f t="shared" si="10"/>
        <v>0</v>
      </c>
      <c r="AV129" s="44"/>
      <c r="AW129" s="44">
        <f t="shared" si="11"/>
        <v>0</v>
      </c>
    </row>
    <row r="130" spans="1:49" s="7" customFormat="1" ht="12" hidden="1">
      <c r="A130" s="7" t="s">
        <v>612</v>
      </c>
      <c r="C130" s="7" t="s">
        <v>606</v>
      </c>
      <c r="E130" s="37">
        <v>0</v>
      </c>
      <c r="F130" s="37"/>
      <c r="G130" s="37">
        <v>0</v>
      </c>
      <c r="H130" s="37"/>
      <c r="I130" s="37">
        <v>0</v>
      </c>
      <c r="J130" s="37"/>
      <c r="K130" s="37">
        <v>0</v>
      </c>
      <c r="L130" s="37"/>
      <c r="M130" s="37">
        <v>0</v>
      </c>
      <c r="N130" s="37"/>
      <c r="O130" s="39">
        <f t="shared" si="6"/>
        <v>0</v>
      </c>
      <c r="P130" s="37"/>
      <c r="Q130" s="37">
        <v>0</v>
      </c>
      <c r="R130" s="37"/>
      <c r="S130" s="37">
        <v>0</v>
      </c>
      <c r="T130" s="37"/>
      <c r="U130" s="37">
        <v>0</v>
      </c>
      <c r="V130" s="37"/>
      <c r="W130" s="37">
        <v>0</v>
      </c>
      <c r="X130" s="37"/>
      <c r="Y130" s="37">
        <v>0</v>
      </c>
      <c r="Z130" s="37"/>
      <c r="AA130" s="37">
        <v>0</v>
      </c>
      <c r="AB130" s="37"/>
      <c r="AC130" s="37">
        <v>0</v>
      </c>
      <c r="AD130" s="37"/>
      <c r="AE130" s="37">
        <v>0</v>
      </c>
      <c r="AF130" s="37"/>
      <c r="AG130" s="37">
        <v>0</v>
      </c>
      <c r="AH130" s="37"/>
      <c r="AI130" s="37">
        <f t="shared" si="7"/>
        <v>0</v>
      </c>
      <c r="AJ130" s="37"/>
      <c r="AK130" s="37">
        <v>0</v>
      </c>
      <c r="AL130" s="37"/>
      <c r="AM130" s="37">
        <v>0</v>
      </c>
      <c r="AN130" s="37"/>
      <c r="AO130" s="37">
        <v>0</v>
      </c>
      <c r="AQ130" s="44">
        <f t="shared" si="8"/>
        <v>0</v>
      </c>
      <c r="AR130" s="44"/>
      <c r="AS130" s="44">
        <f t="shared" si="9"/>
        <v>0</v>
      </c>
      <c r="AT130" s="44"/>
      <c r="AU130" s="44">
        <f t="shared" si="10"/>
        <v>0</v>
      </c>
      <c r="AV130" s="44"/>
      <c r="AW130" s="44">
        <f t="shared" si="11"/>
        <v>0</v>
      </c>
    </row>
    <row r="131" spans="1:49" s="7" customFormat="1" ht="12" hidden="1">
      <c r="A131" s="7" t="s">
        <v>151</v>
      </c>
      <c r="C131" s="7" t="s">
        <v>796</v>
      </c>
      <c r="E131" s="37">
        <v>0</v>
      </c>
      <c r="F131" s="37"/>
      <c r="G131" s="37">
        <v>0</v>
      </c>
      <c r="H131" s="37"/>
      <c r="I131" s="37">
        <v>0</v>
      </c>
      <c r="J131" s="37"/>
      <c r="K131" s="37">
        <v>0</v>
      </c>
      <c r="L131" s="37"/>
      <c r="M131" s="37">
        <v>0</v>
      </c>
      <c r="N131" s="37"/>
      <c r="O131" s="39">
        <f t="shared" si="6"/>
        <v>0</v>
      </c>
      <c r="P131" s="37"/>
      <c r="Q131" s="37">
        <v>0</v>
      </c>
      <c r="R131" s="37"/>
      <c r="S131" s="37">
        <v>0</v>
      </c>
      <c r="T131" s="37"/>
      <c r="U131" s="37">
        <v>0</v>
      </c>
      <c r="V131" s="37"/>
      <c r="W131" s="37">
        <v>0</v>
      </c>
      <c r="X131" s="37"/>
      <c r="Y131" s="37">
        <v>0</v>
      </c>
      <c r="Z131" s="37"/>
      <c r="AA131" s="37">
        <v>0</v>
      </c>
      <c r="AB131" s="37"/>
      <c r="AC131" s="37">
        <v>0</v>
      </c>
      <c r="AD131" s="37"/>
      <c r="AE131" s="37">
        <v>0</v>
      </c>
      <c r="AF131" s="37"/>
      <c r="AG131" s="37">
        <v>0</v>
      </c>
      <c r="AH131" s="37"/>
      <c r="AI131" s="37">
        <f t="shared" si="7"/>
        <v>0</v>
      </c>
      <c r="AJ131" s="37"/>
      <c r="AK131" s="37">
        <v>0</v>
      </c>
      <c r="AL131" s="37"/>
      <c r="AM131" s="37">
        <v>0</v>
      </c>
      <c r="AN131" s="37"/>
      <c r="AO131" s="37">
        <v>0</v>
      </c>
      <c r="AQ131" s="44">
        <f t="shared" si="8"/>
        <v>0</v>
      </c>
      <c r="AR131" s="44"/>
      <c r="AS131" s="44">
        <f t="shared" si="9"/>
        <v>0</v>
      </c>
      <c r="AT131" s="44"/>
      <c r="AU131" s="44">
        <f t="shared" si="10"/>
        <v>0</v>
      </c>
      <c r="AV131" s="44"/>
      <c r="AW131" s="44">
        <f t="shared" si="11"/>
        <v>0</v>
      </c>
    </row>
    <row r="132" spans="1:49" s="7" customFormat="1" ht="12" hidden="1">
      <c r="A132" s="7" t="s">
        <v>50</v>
      </c>
      <c r="C132" s="7" t="s">
        <v>766</v>
      </c>
      <c r="E132" s="37">
        <v>0</v>
      </c>
      <c r="F132" s="37"/>
      <c r="G132" s="37">
        <v>0</v>
      </c>
      <c r="H132" s="37"/>
      <c r="I132" s="37">
        <v>0</v>
      </c>
      <c r="J132" s="37"/>
      <c r="K132" s="37">
        <v>0</v>
      </c>
      <c r="L132" s="37"/>
      <c r="M132" s="37">
        <v>0</v>
      </c>
      <c r="N132" s="37"/>
      <c r="O132" s="39">
        <f t="shared" si="6"/>
        <v>0</v>
      </c>
      <c r="P132" s="37"/>
      <c r="Q132" s="37">
        <v>0</v>
      </c>
      <c r="R132" s="37"/>
      <c r="S132" s="37">
        <v>0</v>
      </c>
      <c r="T132" s="37"/>
      <c r="U132" s="37">
        <v>0</v>
      </c>
      <c r="V132" s="37"/>
      <c r="W132" s="37">
        <v>0</v>
      </c>
      <c r="X132" s="37"/>
      <c r="Y132" s="37">
        <v>0</v>
      </c>
      <c r="Z132" s="37"/>
      <c r="AA132" s="37">
        <v>0</v>
      </c>
      <c r="AB132" s="37"/>
      <c r="AC132" s="37">
        <v>0</v>
      </c>
      <c r="AD132" s="37"/>
      <c r="AE132" s="37">
        <v>0</v>
      </c>
      <c r="AF132" s="37"/>
      <c r="AG132" s="37">
        <v>0</v>
      </c>
      <c r="AH132" s="37"/>
      <c r="AI132" s="37">
        <f t="shared" si="7"/>
        <v>0</v>
      </c>
      <c r="AJ132" s="37"/>
      <c r="AK132" s="37">
        <v>0</v>
      </c>
      <c r="AL132" s="37"/>
      <c r="AM132" s="37">
        <v>0</v>
      </c>
      <c r="AN132" s="37"/>
      <c r="AO132" s="37">
        <v>0</v>
      </c>
      <c r="AQ132" s="44">
        <f t="shared" si="8"/>
        <v>0</v>
      </c>
      <c r="AR132" s="44"/>
      <c r="AS132" s="44">
        <f t="shared" si="9"/>
        <v>0</v>
      </c>
      <c r="AT132" s="44"/>
      <c r="AU132" s="44">
        <f t="shared" si="10"/>
        <v>0</v>
      </c>
      <c r="AV132" s="44"/>
      <c r="AW132" s="44">
        <f t="shared" si="11"/>
        <v>0</v>
      </c>
    </row>
    <row r="133" spans="1:49" s="7" customFormat="1" ht="12" hidden="1">
      <c r="A133" s="7" t="s">
        <v>853</v>
      </c>
      <c r="C133" s="7" t="s">
        <v>764</v>
      </c>
      <c r="E133" s="37">
        <v>0</v>
      </c>
      <c r="F133" s="37"/>
      <c r="G133" s="37">
        <v>0</v>
      </c>
      <c r="H133" s="37"/>
      <c r="I133" s="37">
        <v>0</v>
      </c>
      <c r="J133" s="37"/>
      <c r="K133" s="37">
        <v>0</v>
      </c>
      <c r="L133" s="37"/>
      <c r="M133" s="37">
        <v>0</v>
      </c>
      <c r="N133" s="37"/>
      <c r="O133" s="39">
        <f t="shared" si="6"/>
        <v>0</v>
      </c>
      <c r="P133" s="37"/>
      <c r="Q133" s="37">
        <v>0</v>
      </c>
      <c r="R133" s="37"/>
      <c r="S133" s="37">
        <v>0</v>
      </c>
      <c r="T133" s="37"/>
      <c r="U133" s="37">
        <v>0</v>
      </c>
      <c r="V133" s="37"/>
      <c r="W133" s="37">
        <v>0</v>
      </c>
      <c r="X133" s="37"/>
      <c r="Y133" s="37">
        <v>0</v>
      </c>
      <c r="Z133" s="37"/>
      <c r="AA133" s="37">
        <v>0</v>
      </c>
      <c r="AB133" s="37"/>
      <c r="AC133" s="37">
        <v>0</v>
      </c>
      <c r="AD133" s="37"/>
      <c r="AE133" s="37">
        <v>0</v>
      </c>
      <c r="AF133" s="37"/>
      <c r="AG133" s="37">
        <v>0</v>
      </c>
      <c r="AH133" s="37"/>
      <c r="AI133" s="37">
        <f t="shared" si="7"/>
        <v>0</v>
      </c>
      <c r="AJ133" s="37"/>
      <c r="AK133" s="37">
        <v>0</v>
      </c>
      <c r="AL133" s="37"/>
      <c r="AM133" s="37">
        <v>0</v>
      </c>
      <c r="AN133" s="37"/>
      <c r="AO133" s="37">
        <v>0</v>
      </c>
      <c r="AQ133" s="44">
        <f t="shared" si="8"/>
        <v>0</v>
      </c>
      <c r="AR133" s="44"/>
      <c r="AS133" s="44">
        <f t="shared" si="9"/>
        <v>0</v>
      </c>
      <c r="AT133" s="44"/>
      <c r="AU133" s="44">
        <f t="shared" si="10"/>
        <v>0</v>
      </c>
      <c r="AV133" s="44"/>
      <c r="AW133" s="44">
        <f t="shared" si="11"/>
        <v>0</v>
      </c>
    </row>
    <row r="134" spans="1:49" s="7" customFormat="1" ht="12" hidden="1">
      <c r="A134" s="30" t="s">
        <v>14</v>
      </c>
      <c r="C134" s="30" t="s">
        <v>275</v>
      </c>
      <c r="E134" s="37">
        <v>0</v>
      </c>
      <c r="F134" s="37"/>
      <c r="G134" s="37">
        <v>0</v>
      </c>
      <c r="H134" s="37"/>
      <c r="I134" s="37">
        <v>0</v>
      </c>
      <c r="J134" s="37"/>
      <c r="K134" s="37">
        <v>0</v>
      </c>
      <c r="L134" s="37"/>
      <c r="M134" s="37">
        <v>0</v>
      </c>
      <c r="N134" s="37"/>
      <c r="O134" s="39">
        <f t="shared" si="6"/>
        <v>0</v>
      </c>
      <c r="P134" s="37"/>
      <c r="Q134" s="37">
        <v>0</v>
      </c>
      <c r="R134" s="37"/>
      <c r="S134" s="37">
        <v>0</v>
      </c>
      <c r="T134" s="37"/>
      <c r="U134" s="37">
        <v>0</v>
      </c>
      <c r="V134" s="37"/>
      <c r="W134" s="37">
        <v>0</v>
      </c>
      <c r="X134" s="37"/>
      <c r="Y134" s="37">
        <v>0</v>
      </c>
      <c r="Z134" s="37"/>
      <c r="AA134" s="37">
        <v>0</v>
      </c>
      <c r="AB134" s="37"/>
      <c r="AC134" s="37">
        <v>0</v>
      </c>
      <c r="AD134" s="37"/>
      <c r="AE134" s="37">
        <v>0</v>
      </c>
      <c r="AF134" s="37"/>
      <c r="AG134" s="37">
        <v>0</v>
      </c>
      <c r="AH134" s="37"/>
      <c r="AI134" s="37">
        <f t="shared" si="7"/>
        <v>0</v>
      </c>
      <c r="AJ134" s="37"/>
      <c r="AK134" s="37">
        <v>0</v>
      </c>
      <c r="AL134" s="37"/>
      <c r="AM134" s="37">
        <v>0</v>
      </c>
      <c r="AN134" s="37"/>
      <c r="AO134" s="37">
        <v>0</v>
      </c>
      <c r="AQ134" s="44">
        <f t="shared" si="8"/>
        <v>0</v>
      </c>
      <c r="AR134" s="44"/>
      <c r="AS134" s="44">
        <f t="shared" si="9"/>
        <v>0</v>
      </c>
      <c r="AT134" s="44"/>
      <c r="AU134" s="44">
        <f t="shared" si="10"/>
        <v>0</v>
      </c>
      <c r="AV134" s="44"/>
      <c r="AW134" s="44">
        <f t="shared" si="11"/>
        <v>0</v>
      </c>
    </row>
    <row r="135" spans="1:49" s="7" customFormat="1" ht="12">
      <c r="A135" s="7" t="s">
        <v>454</v>
      </c>
      <c r="C135" s="7" t="s">
        <v>792</v>
      </c>
      <c r="E135" s="37">
        <v>3455878</v>
      </c>
      <c r="F135" s="37"/>
      <c r="G135" s="37">
        <v>198908</v>
      </c>
      <c r="H135" s="37"/>
      <c r="I135" s="37">
        <v>45588</v>
      </c>
      <c r="J135" s="37"/>
      <c r="K135" s="37">
        <v>465286</v>
      </c>
      <c r="L135" s="37"/>
      <c r="M135" s="37">
        <v>-2746096</v>
      </c>
      <c r="N135" s="37"/>
      <c r="O135" s="39">
        <f>-E135+G135+I135+K135</f>
        <v>-2746096</v>
      </c>
      <c r="P135" s="37"/>
      <c r="Q135" s="37">
        <v>703288</v>
      </c>
      <c r="R135" s="37"/>
      <c r="S135" s="37">
        <v>1458270</v>
      </c>
      <c r="T135" s="37"/>
      <c r="U135" s="37">
        <v>490563</v>
      </c>
      <c r="V135" s="37"/>
      <c r="W135" s="37">
        <v>247700</v>
      </c>
      <c r="X135" s="37"/>
      <c r="Y135" s="37">
        <v>0</v>
      </c>
      <c r="Z135" s="37"/>
      <c r="AA135" s="37">
        <v>1706</v>
      </c>
      <c r="AB135" s="37"/>
      <c r="AC135" s="37">
        <v>0</v>
      </c>
      <c r="AD135" s="37"/>
      <c r="AE135" s="37">
        <v>0</v>
      </c>
      <c r="AF135" s="37"/>
      <c r="AG135" s="37">
        <v>0</v>
      </c>
      <c r="AH135" s="37"/>
      <c r="AI135" s="37">
        <f>+Q135+S135+U135+W135+Y135+AA135+AC135+AE135+AG135</f>
        <v>2901527</v>
      </c>
      <c r="AJ135" s="37"/>
      <c r="AK135" s="37">
        <v>155431</v>
      </c>
      <c r="AL135" s="37"/>
      <c r="AM135" s="37">
        <v>2836374</v>
      </c>
      <c r="AN135" s="37"/>
      <c r="AO135" s="37">
        <v>2991805</v>
      </c>
      <c r="AQ135" s="44">
        <f>+M135-O135</f>
        <v>0</v>
      </c>
      <c r="AR135" s="44"/>
      <c r="AS135" s="44">
        <f>+Q135+S135+U135+W135+Y135+AA135+AC135+AE135+AG135-AI135</f>
        <v>0</v>
      </c>
      <c r="AT135" s="44"/>
      <c r="AU135" s="44">
        <f>+O135+AI135-AK135</f>
        <v>0</v>
      </c>
      <c r="AV135" s="44"/>
      <c r="AW135" s="44">
        <f>+O135+AI135+AM135-AO135</f>
        <v>0</v>
      </c>
    </row>
    <row r="136" spans="1:49" s="7" customFormat="1" ht="12" hidden="1">
      <c r="A136" s="7" t="s">
        <v>306</v>
      </c>
      <c r="C136" s="7" t="s">
        <v>305</v>
      </c>
      <c r="E136" s="37">
        <v>0</v>
      </c>
      <c r="F136" s="37"/>
      <c r="G136" s="37">
        <v>0</v>
      </c>
      <c r="H136" s="37"/>
      <c r="I136" s="37">
        <v>0</v>
      </c>
      <c r="J136" s="37"/>
      <c r="K136" s="37">
        <v>0</v>
      </c>
      <c r="L136" s="37"/>
      <c r="M136" s="37">
        <v>0</v>
      </c>
      <c r="N136" s="37"/>
      <c r="O136" s="39">
        <f t="shared" si="6"/>
        <v>0</v>
      </c>
      <c r="P136" s="37"/>
      <c r="Q136" s="37">
        <v>0</v>
      </c>
      <c r="R136" s="37"/>
      <c r="S136" s="37">
        <v>0</v>
      </c>
      <c r="T136" s="37"/>
      <c r="U136" s="37">
        <v>0</v>
      </c>
      <c r="V136" s="37"/>
      <c r="W136" s="37">
        <v>0</v>
      </c>
      <c r="X136" s="37"/>
      <c r="Y136" s="37">
        <v>0</v>
      </c>
      <c r="Z136" s="37"/>
      <c r="AA136" s="37">
        <v>0</v>
      </c>
      <c r="AB136" s="37"/>
      <c r="AC136" s="37">
        <v>0</v>
      </c>
      <c r="AD136" s="37"/>
      <c r="AE136" s="37">
        <v>0</v>
      </c>
      <c r="AF136" s="37"/>
      <c r="AG136" s="37">
        <v>0</v>
      </c>
      <c r="AH136" s="37"/>
      <c r="AI136" s="37">
        <f t="shared" si="7"/>
        <v>0</v>
      </c>
      <c r="AJ136" s="37"/>
      <c r="AK136" s="37">
        <v>0</v>
      </c>
      <c r="AL136" s="37"/>
      <c r="AM136" s="37">
        <v>0</v>
      </c>
      <c r="AN136" s="37"/>
      <c r="AO136" s="37">
        <v>0</v>
      </c>
      <c r="AQ136" s="44">
        <f t="shared" si="8"/>
        <v>0</v>
      </c>
      <c r="AR136" s="44"/>
      <c r="AS136" s="44">
        <f t="shared" si="9"/>
        <v>0</v>
      </c>
      <c r="AT136" s="44"/>
      <c r="AU136" s="44">
        <f t="shared" si="10"/>
        <v>0</v>
      </c>
      <c r="AV136" s="44"/>
      <c r="AW136" s="44">
        <f t="shared" si="11"/>
        <v>0</v>
      </c>
    </row>
    <row r="137" spans="1:49" s="7" customFormat="1" ht="12" hidden="1">
      <c r="A137" s="7" t="s">
        <v>135</v>
      </c>
      <c r="C137" s="7" t="s">
        <v>791</v>
      </c>
      <c r="E137" s="37">
        <v>0</v>
      </c>
      <c r="F137" s="37"/>
      <c r="G137" s="37">
        <v>0</v>
      </c>
      <c r="H137" s="37"/>
      <c r="I137" s="37">
        <v>0</v>
      </c>
      <c r="J137" s="37"/>
      <c r="K137" s="37">
        <v>0</v>
      </c>
      <c r="L137" s="37"/>
      <c r="M137" s="37">
        <v>0</v>
      </c>
      <c r="N137" s="37"/>
      <c r="O137" s="39">
        <f t="shared" si="6"/>
        <v>0</v>
      </c>
      <c r="P137" s="37"/>
      <c r="Q137" s="37">
        <v>0</v>
      </c>
      <c r="R137" s="37"/>
      <c r="S137" s="37">
        <v>0</v>
      </c>
      <c r="T137" s="37"/>
      <c r="U137" s="37">
        <v>0</v>
      </c>
      <c r="V137" s="37"/>
      <c r="W137" s="37">
        <v>0</v>
      </c>
      <c r="X137" s="37"/>
      <c r="Y137" s="37">
        <v>0</v>
      </c>
      <c r="Z137" s="37"/>
      <c r="AA137" s="37">
        <v>0</v>
      </c>
      <c r="AB137" s="37"/>
      <c r="AC137" s="37">
        <v>0</v>
      </c>
      <c r="AD137" s="37"/>
      <c r="AE137" s="37">
        <v>0</v>
      </c>
      <c r="AF137" s="37"/>
      <c r="AG137" s="37">
        <v>0</v>
      </c>
      <c r="AH137" s="37"/>
      <c r="AI137" s="37">
        <f t="shared" si="7"/>
        <v>0</v>
      </c>
      <c r="AJ137" s="37"/>
      <c r="AK137" s="37">
        <v>0</v>
      </c>
      <c r="AL137" s="37"/>
      <c r="AM137" s="37">
        <v>0</v>
      </c>
      <c r="AN137" s="37"/>
      <c r="AO137" s="37">
        <v>0</v>
      </c>
      <c r="AQ137" s="44">
        <f t="shared" si="8"/>
        <v>0</v>
      </c>
      <c r="AR137" s="44"/>
      <c r="AS137" s="44">
        <f t="shared" si="9"/>
        <v>0</v>
      </c>
      <c r="AT137" s="44"/>
      <c r="AU137" s="44">
        <f t="shared" si="10"/>
        <v>0</v>
      </c>
      <c r="AV137" s="44"/>
      <c r="AW137" s="44">
        <f t="shared" si="11"/>
        <v>0</v>
      </c>
    </row>
    <row r="138" spans="1:49" s="7" customFormat="1" ht="12" hidden="1">
      <c r="A138" s="7" t="s">
        <v>250</v>
      </c>
      <c r="C138" s="7" t="s">
        <v>828</v>
      </c>
      <c r="E138" s="37">
        <v>0</v>
      </c>
      <c r="F138" s="37"/>
      <c r="G138" s="37">
        <v>0</v>
      </c>
      <c r="H138" s="37"/>
      <c r="I138" s="37">
        <v>0</v>
      </c>
      <c r="J138" s="37"/>
      <c r="K138" s="37">
        <v>0</v>
      </c>
      <c r="L138" s="37"/>
      <c r="M138" s="37">
        <v>0</v>
      </c>
      <c r="N138" s="37"/>
      <c r="O138" s="39">
        <f t="shared" si="6"/>
        <v>0</v>
      </c>
      <c r="P138" s="37"/>
      <c r="Q138" s="37">
        <v>0</v>
      </c>
      <c r="R138" s="37"/>
      <c r="S138" s="37">
        <v>0</v>
      </c>
      <c r="T138" s="37"/>
      <c r="U138" s="37">
        <v>0</v>
      </c>
      <c r="V138" s="37"/>
      <c r="W138" s="37">
        <v>0</v>
      </c>
      <c r="X138" s="37"/>
      <c r="Y138" s="37">
        <v>0</v>
      </c>
      <c r="Z138" s="37"/>
      <c r="AA138" s="37">
        <v>0</v>
      </c>
      <c r="AB138" s="37"/>
      <c r="AC138" s="37">
        <v>0</v>
      </c>
      <c r="AD138" s="37"/>
      <c r="AE138" s="37">
        <v>0</v>
      </c>
      <c r="AF138" s="37"/>
      <c r="AG138" s="37">
        <v>0</v>
      </c>
      <c r="AH138" s="37"/>
      <c r="AI138" s="37">
        <f t="shared" si="7"/>
        <v>0</v>
      </c>
      <c r="AJ138" s="37"/>
      <c r="AK138" s="37">
        <v>0</v>
      </c>
      <c r="AL138" s="37"/>
      <c r="AM138" s="37">
        <v>0</v>
      </c>
      <c r="AN138" s="37"/>
      <c r="AO138" s="37">
        <v>0</v>
      </c>
      <c r="AQ138" s="44">
        <f t="shared" si="8"/>
        <v>0</v>
      </c>
      <c r="AR138" s="44"/>
      <c r="AS138" s="44">
        <f t="shared" si="9"/>
        <v>0</v>
      </c>
      <c r="AT138" s="44"/>
      <c r="AU138" s="44">
        <f t="shared" si="10"/>
        <v>0</v>
      </c>
      <c r="AV138" s="44"/>
      <c r="AW138" s="44">
        <f t="shared" si="11"/>
        <v>0</v>
      </c>
    </row>
    <row r="139" spans="1:49" s="7" customFormat="1" ht="12" hidden="1">
      <c r="A139" s="30" t="s">
        <v>0</v>
      </c>
      <c r="C139" s="30" t="s">
        <v>665</v>
      </c>
      <c r="E139" s="37">
        <v>0</v>
      </c>
      <c r="F139" s="37"/>
      <c r="G139" s="37">
        <v>0</v>
      </c>
      <c r="H139" s="37"/>
      <c r="I139" s="37">
        <v>0</v>
      </c>
      <c r="J139" s="37"/>
      <c r="K139" s="37">
        <v>0</v>
      </c>
      <c r="L139" s="37"/>
      <c r="M139" s="37">
        <v>0</v>
      </c>
      <c r="N139" s="37"/>
      <c r="O139" s="39">
        <f t="shared" si="6"/>
        <v>0</v>
      </c>
      <c r="P139" s="37"/>
      <c r="Q139" s="37">
        <v>0</v>
      </c>
      <c r="R139" s="37"/>
      <c r="S139" s="37">
        <v>0</v>
      </c>
      <c r="T139" s="37"/>
      <c r="U139" s="37">
        <v>0</v>
      </c>
      <c r="V139" s="37"/>
      <c r="W139" s="37">
        <v>0</v>
      </c>
      <c r="X139" s="37"/>
      <c r="Y139" s="37">
        <v>0</v>
      </c>
      <c r="Z139" s="37"/>
      <c r="AA139" s="37">
        <v>0</v>
      </c>
      <c r="AB139" s="37"/>
      <c r="AC139" s="37">
        <v>0</v>
      </c>
      <c r="AD139" s="37"/>
      <c r="AE139" s="37">
        <v>0</v>
      </c>
      <c r="AF139" s="37"/>
      <c r="AG139" s="37">
        <v>0</v>
      </c>
      <c r="AH139" s="37"/>
      <c r="AI139" s="37">
        <f t="shared" si="7"/>
        <v>0</v>
      </c>
      <c r="AJ139" s="37"/>
      <c r="AK139" s="37">
        <v>0</v>
      </c>
      <c r="AL139" s="37"/>
      <c r="AM139" s="37">
        <v>0</v>
      </c>
      <c r="AN139" s="37"/>
      <c r="AO139" s="37">
        <v>0</v>
      </c>
      <c r="AQ139" s="44">
        <f t="shared" si="8"/>
        <v>0</v>
      </c>
      <c r="AR139" s="44"/>
      <c r="AS139" s="44">
        <f t="shared" si="9"/>
        <v>0</v>
      </c>
      <c r="AT139" s="44"/>
      <c r="AU139" s="44">
        <f t="shared" si="10"/>
        <v>0</v>
      </c>
      <c r="AV139" s="44"/>
      <c r="AW139" s="44">
        <f t="shared" si="11"/>
        <v>0</v>
      </c>
    </row>
    <row r="140" spans="1:49" s="7" customFormat="1" ht="12" hidden="1">
      <c r="A140" s="7" t="s">
        <v>604</v>
      </c>
      <c r="C140" s="7" t="s">
        <v>601</v>
      </c>
      <c r="E140" s="37">
        <v>0</v>
      </c>
      <c r="F140" s="37"/>
      <c r="G140" s="37">
        <v>0</v>
      </c>
      <c r="H140" s="37"/>
      <c r="I140" s="37">
        <v>0</v>
      </c>
      <c r="J140" s="37"/>
      <c r="K140" s="37">
        <v>0</v>
      </c>
      <c r="L140" s="37"/>
      <c r="M140" s="37">
        <v>0</v>
      </c>
      <c r="N140" s="37"/>
      <c r="O140" s="39">
        <f t="shared" si="6"/>
        <v>0</v>
      </c>
      <c r="P140" s="37"/>
      <c r="Q140" s="37">
        <v>0</v>
      </c>
      <c r="R140" s="37"/>
      <c r="S140" s="37">
        <v>0</v>
      </c>
      <c r="T140" s="37"/>
      <c r="U140" s="37">
        <v>0</v>
      </c>
      <c r="V140" s="37"/>
      <c r="W140" s="37">
        <v>0</v>
      </c>
      <c r="X140" s="37"/>
      <c r="Y140" s="37">
        <v>0</v>
      </c>
      <c r="Z140" s="37"/>
      <c r="AA140" s="37">
        <v>0</v>
      </c>
      <c r="AB140" s="37"/>
      <c r="AC140" s="37">
        <v>0</v>
      </c>
      <c r="AD140" s="37"/>
      <c r="AE140" s="37">
        <v>0</v>
      </c>
      <c r="AF140" s="37"/>
      <c r="AG140" s="37">
        <v>0</v>
      </c>
      <c r="AH140" s="37"/>
      <c r="AI140" s="37">
        <f t="shared" si="7"/>
        <v>0</v>
      </c>
      <c r="AJ140" s="37"/>
      <c r="AK140" s="37">
        <v>0</v>
      </c>
      <c r="AL140" s="37"/>
      <c r="AM140" s="37">
        <v>0</v>
      </c>
      <c r="AN140" s="37"/>
      <c r="AO140" s="37">
        <v>0</v>
      </c>
      <c r="AQ140" s="44">
        <f t="shared" si="8"/>
        <v>0</v>
      </c>
      <c r="AR140" s="44"/>
      <c r="AS140" s="44">
        <f t="shared" si="9"/>
        <v>0</v>
      </c>
      <c r="AT140" s="44"/>
      <c r="AU140" s="44">
        <f t="shared" si="10"/>
        <v>0</v>
      </c>
      <c r="AV140" s="44"/>
      <c r="AW140" s="44">
        <f t="shared" si="11"/>
        <v>0</v>
      </c>
    </row>
    <row r="141" spans="1:49" s="7" customFormat="1" ht="12" hidden="1">
      <c r="A141" s="7" t="s">
        <v>155</v>
      </c>
      <c r="C141" s="7" t="s">
        <v>797</v>
      </c>
      <c r="E141" s="37">
        <v>0</v>
      </c>
      <c r="F141" s="37"/>
      <c r="G141" s="37">
        <v>0</v>
      </c>
      <c r="H141" s="37"/>
      <c r="I141" s="37">
        <v>0</v>
      </c>
      <c r="J141" s="37"/>
      <c r="K141" s="37">
        <v>0</v>
      </c>
      <c r="L141" s="37"/>
      <c r="M141" s="37">
        <v>0</v>
      </c>
      <c r="N141" s="37"/>
      <c r="O141" s="39">
        <f t="shared" si="6"/>
        <v>0</v>
      </c>
      <c r="P141" s="37"/>
      <c r="Q141" s="37">
        <v>0</v>
      </c>
      <c r="R141" s="37"/>
      <c r="S141" s="37">
        <v>0</v>
      </c>
      <c r="T141" s="37"/>
      <c r="U141" s="37">
        <v>0</v>
      </c>
      <c r="V141" s="37"/>
      <c r="W141" s="37">
        <v>0</v>
      </c>
      <c r="X141" s="37"/>
      <c r="Y141" s="37">
        <v>0</v>
      </c>
      <c r="Z141" s="37"/>
      <c r="AA141" s="37">
        <v>0</v>
      </c>
      <c r="AB141" s="37"/>
      <c r="AC141" s="37">
        <v>0</v>
      </c>
      <c r="AD141" s="37"/>
      <c r="AE141" s="37">
        <v>0</v>
      </c>
      <c r="AF141" s="37"/>
      <c r="AG141" s="37">
        <v>0</v>
      </c>
      <c r="AH141" s="37"/>
      <c r="AI141" s="37">
        <f t="shared" si="7"/>
        <v>0</v>
      </c>
      <c r="AJ141" s="37"/>
      <c r="AK141" s="37">
        <v>0</v>
      </c>
      <c r="AL141" s="37"/>
      <c r="AM141" s="37">
        <v>0</v>
      </c>
      <c r="AN141" s="37"/>
      <c r="AO141" s="37">
        <v>0</v>
      </c>
      <c r="AQ141" s="44">
        <f t="shared" si="8"/>
        <v>0</v>
      </c>
      <c r="AR141" s="44"/>
      <c r="AS141" s="44">
        <f t="shared" si="9"/>
        <v>0</v>
      </c>
      <c r="AT141" s="44"/>
      <c r="AU141" s="44">
        <f t="shared" si="10"/>
        <v>0</v>
      </c>
      <c r="AV141" s="44"/>
      <c r="AW141" s="44">
        <f t="shared" si="11"/>
        <v>0</v>
      </c>
    </row>
    <row r="142" spans="1:49" s="7" customFormat="1" ht="12" hidden="1">
      <c r="A142" s="7" t="s">
        <v>263</v>
      </c>
      <c r="C142" s="7" t="s">
        <v>830</v>
      </c>
      <c r="E142" s="37">
        <v>0</v>
      </c>
      <c r="F142" s="37"/>
      <c r="G142" s="37">
        <v>0</v>
      </c>
      <c r="H142" s="37"/>
      <c r="I142" s="37">
        <v>0</v>
      </c>
      <c r="J142" s="37"/>
      <c r="K142" s="37">
        <v>0</v>
      </c>
      <c r="L142" s="37"/>
      <c r="M142" s="37">
        <v>0</v>
      </c>
      <c r="N142" s="37"/>
      <c r="O142" s="39">
        <f t="shared" si="6"/>
        <v>0</v>
      </c>
      <c r="P142" s="37"/>
      <c r="Q142" s="37">
        <v>0</v>
      </c>
      <c r="R142" s="37"/>
      <c r="S142" s="37">
        <v>0</v>
      </c>
      <c r="T142" s="37"/>
      <c r="U142" s="37">
        <v>0</v>
      </c>
      <c r="V142" s="37"/>
      <c r="W142" s="37">
        <v>0</v>
      </c>
      <c r="X142" s="37"/>
      <c r="Y142" s="37">
        <v>0</v>
      </c>
      <c r="Z142" s="37"/>
      <c r="AA142" s="37">
        <v>0</v>
      </c>
      <c r="AB142" s="37"/>
      <c r="AC142" s="37">
        <v>0</v>
      </c>
      <c r="AD142" s="37"/>
      <c r="AE142" s="37">
        <v>0</v>
      </c>
      <c r="AF142" s="37"/>
      <c r="AG142" s="37">
        <v>0</v>
      </c>
      <c r="AH142" s="37"/>
      <c r="AI142" s="37">
        <f t="shared" si="7"/>
        <v>0</v>
      </c>
      <c r="AJ142" s="37"/>
      <c r="AK142" s="37">
        <v>0</v>
      </c>
      <c r="AL142" s="37"/>
      <c r="AM142" s="37">
        <v>0</v>
      </c>
      <c r="AN142" s="37"/>
      <c r="AO142" s="37">
        <v>0</v>
      </c>
      <c r="AQ142" s="44">
        <f t="shared" si="8"/>
        <v>0</v>
      </c>
      <c r="AR142" s="44"/>
      <c r="AS142" s="44">
        <f t="shared" si="9"/>
        <v>0</v>
      </c>
      <c r="AT142" s="44"/>
      <c r="AU142" s="44">
        <f t="shared" si="10"/>
        <v>0</v>
      </c>
      <c r="AV142" s="44"/>
      <c r="AW142" s="44">
        <f t="shared" si="11"/>
        <v>0</v>
      </c>
    </row>
    <row r="143" spans="1:49" s="7" customFormat="1" ht="12" hidden="1">
      <c r="A143" s="7" t="s">
        <v>581</v>
      </c>
      <c r="C143" s="7" t="s">
        <v>577</v>
      </c>
      <c r="E143" s="37">
        <v>0</v>
      </c>
      <c r="F143" s="37"/>
      <c r="G143" s="37">
        <v>0</v>
      </c>
      <c r="H143" s="37"/>
      <c r="I143" s="37">
        <v>0</v>
      </c>
      <c r="J143" s="37"/>
      <c r="K143" s="37">
        <v>0</v>
      </c>
      <c r="L143" s="37"/>
      <c r="M143" s="37">
        <v>0</v>
      </c>
      <c r="N143" s="37"/>
      <c r="O143" s="39">
        <f t="shared" si="6"/>
        <v>0</v>
      </c>
      <c r="P143" s="37"/>
      <c r="Q143" s="37">
        <v>0</v>
      </c>
      <c r="R143" s="37"/>
      <c r="S143" s="37">
        <v>0</v>
      </c>
      <c r="T143" s="37"/>
      <c r="U143" s="37">
        <v>0</v>
      </c>
      <c r="V143" s="37"/>
      <c r="W143" s="37">
        <v>0</v>
      </c>
      <c r="X143" s="37"/>
      <c r="Y143" s="37">
        <v>0</v>
      </c>
      <c r="Z143" s="37"/>
      <c r="AA143" s="37">
        <v>0</v>
      </c>
      <c r="AB143" s="37"/>
      <c r="AC143" s="37">
        <v>0</v>
      </c>
      <c r="AD143" s="37"/>
      <c r="AE143" s="37">
        <v>0</v>
      </c>
      <c r="AF143" s="37"/>
      <c r="AG143" s="37">
        <v>0</v>
      </c>
      <c r="AH143" s="37"/>
      <c r="AI143" s="37">
        <f t="shared" si="7"/>
        <v>0</v>
      </c>
      <c r="AJ143" s="37"/>
      <c r="AK143" s="37">
        <v>0</v>
      </c>
      <c r="AL143" s="37"/>
      <c r="AM143" s="37">
        <v>0</v>
      </c>
      <c r="AN143" s="37"/>
      <c r="AO143" s="37">
        <v>0</v>
      </c>
      <c r="AQ143" s="44">
        <f t="shared" si="8"/>
        <v>0</v>
      </c>
      <c r="AR143" s="44"/>
      <c r="AS143" s="44">
        <f t="shared" si="9"/>
        <v>0</v>
      </c>
      <c r="AT143" s="44"/>
      <c r="AU143" s="44">
        <f t="shared" si="10"/>
        <v>0</v>
      </c>
      <c r="AV143" s="44"/>
      <c r="AW143" s="44">
        <f t="shared" si="11"/>
        <v>0</v>
      </c>
    </row>
    <row r="144" spans="1:49" s="7" customFormat="1" ht="12" hidden="1">
      <c r="A144" s="7" t="s">
        <v>197</v>
      </c>
      <c r="C144" s="7" t="s">
        <v>811</v>
      </c>
      <c r="E144" s="37">
        <v>0</v>
      </c>
      <c r="F144" s="37"/>
      <c r="G144" s="37">
        <v>0</v>
      </c>
      <c r="H144" s="37"/>
      <c r="I144" s="37">
        <v>0</v>
      </c>
      <c r="J144" s="37"/>
      <c r="K144" s="37">
        <v>0</v>
      </c>
      <c r="L144" s="37"/>
      <c r="M144" s="37">
        <v>0</v>
      </c>
      <c r="N144" s="37"/>
      <c r="O144" s="39">
        <f t="shared" si="6"/>
        <v>0</v>
      </c>
      <c r="P144" s="37"/>
      <c r="Q144" s="37">
        <v>0</v>
      </c>
      <c r="R144" s="37"/>
      <c r="S144" s="37">
        <v>0</v>
      </c>
      <c r="T144" s="37"/>
      <c r="U144" s="37">
        <v>0</v>
      </c>
      <c r="V144" s="37"/>
      <c r="W144" s="37">
        <v>0</v>
      </c>
      <c r="X144" s="37"/>
      <c r="Y144" s="37">
        <v>0</v>
      </c>
      <c r="Z144" s="37"/>
      <c r="AA144" s="37">
        <v>0</v>
      </c>
      <c r="AB144" s="37"/>
      <c r="AC144" s="37">
        <v>0</v>
      </c>
      <c r="AD144" s="37"/>
      <c r="AE144" s="37">
        <v>0</v>
      </c>
      <c r="AF144" s="37"/>
      <c r="AG144" s="37">
        <v>0</v>
      </c>
      <c r="AH144" s="37"/>
      <c r="AI144" s="37">
        <f t="shared" si="7"/>
        <v>0</v>
      </c>
      <c r="AJ144" s="37"/>
      <c r="AK144" s="37">
        <v>0</v>
      </c>
      <c r="AL144" s="37"/>
      <c r="AM144" s="37">
        <v>0</v>
      </c>
      <c r="AN144" s="37"/>
      <c r="AO144" s="37">
        <v>0</v>
      </c>
      <c r="AQ144" s="44">
        <f t="shared" si="8"/>
        <v>0</v>
      </c>
      <c r="AR144" s="44"/>
      <c r="AS144" s="44">
        <f t="shared" si="9"/>
        <v>0</v>
      </c>
      <c r="AT144" s="44"/>
      <c r="AU144" s="44">
        <f t="shared" si="10"/>
        <v>0</v>
      </c>
      <c r="AV144" s="44"/>
      <c r="AW144" s="44">
        <f t="shared" si="11"/>
        <v>0</v>
      </c>
    </row>
    <row r="145" spans="1:49" s="7" customFormat="1" ht="12">
      <c r="A145" s="7" t="s">
        <v>386</v>
      </c>
      <c r="C145" s="7" t="s">
        <v>378</v>
      </c>
      <c r="E145" s="37">
        <v>8708251</v>
      </c>
      <c r="F145" s="37"/>
      <c r="G145" s="37">
        <v>563387</v>
      </c>
      <c r="H145" s="37"/>
      <c r="I145" s="37">
        <v>213984</v>
      </c>
      <c r="J145" s="37"/>
      <c r="K145" s="37">
        <v>160019</v>
      </c>
      <c r="L145" s="37"/>
      <c r="M145" s="37">
        <v>-7770861</v>
      </c>
      <c r="N145" s="37"/>
      <c r="O145" s="39">
        <f>-E145+G145+I145+K145</f>
        <v>-7770861</v>
      </c>
      <c r="P145" s="37"/>
      <c r="Q145" s="37">
        <v>615228</v>
      </c>
      <c r="R145" s="37"/>
      <c r="S145" s="37">
        <v>5056188</v>
      </c>
      <c r="T145" s="37"/>
      <c r="U145" s="37">
        <v>0</v>
      </c>
      <c r="V145" s="37"/>
      <c r="W145" s="37">
        <v>48741</v>
      </c>
      <c r="X145" s="37"/>
      <c r="Y145" s="37">
        <v>0</v>
      </c>
      <c r="Z145" s="37"/>
      <c r="AA145" s="37">
        <v>105200</v>
      </c>
      <c r="AB145" s="37"/>
      <c r="AC145" s="37">
        <f>2010000+1214</f>
        <v>2011214</v>
      </c>
      <c r="AD145" s="37"/>
      <c r="AE145" s="37">
        <v>0</v>
      </c>
      <c r="AF145" s="37"/>
      <c r="AG145" s="37">
        <v>0</v>
      </c>
      <c r="AH145" s="37"/>
      <c r="AI145" s="37">
        <f>+Q145+S145+U145+W145+Y145+AA145+AC145+AE145+AG145</f>
        <v>7836571</v>
      </c>
      <c r="AJ145" s="37"/>
      <c r="AK145" s="37">
        <v>65710</v>
      </c>
      <c r="AL145" s="37"/>
      <c r="AM145" s="37">
        <v>2318383</v>
      </c>
      <c r="AN145" s="37"/>
      <c r="AO145" s="37">
        <v>2384093</v>
      </c>
      <c r="AQ145" s="44">
        <f>+M145-O145</f>
        <v>0</v>
      </c>
      <c r="AR145" s="44"/>
      <c r="AS145" s="44">
        <f>+Q145+S145+U145+W145+Y145+AA145+AC145+AE145+AG145-AI145</f>
        <v>0</v>
      </c>
      <c r="AT145" s="44"/>
      <c r="AU145" s="44">
        <f>+O145+AI145-AK145</f>
        <v>0</v>
      </c>
      <c r="AV145" s="44"/>
      <c r="AW145" s="44">
        <f>+O145+AI145+AM145-AO145</f>
        <v>0</v>
      </c>
    </row>
    <row r="146" spans="1:49" s="7" customFormat="1" ht="12" hidden="1">
      <c r="A146" s="7" t="s">
        <v>290</v>
      </c>
      <c r="C146" s="7" t="s">
        <v>287</v>
      </c>
      <c r="E146" s="37">
        <v>0</v>
      </c>
      <c r="F146" s="37"/>
      <c r="G146" s="37">
        <v>0</v>
      </c>
      <c r="H146" s="37"/>
      <c r="I146" s="37">
        <v>0</v>
      </c>
      <c r="J146" s="37"/>
      <c r="K146" s="37">
        <v>0</v>
      </c>
      <c r="L146" s="37"/>
      <c r="M146" s="37">
        <v>0</v>
      </c>
      <c r="N146" s="37"/>
      <c r="O146" s="39">
        <f>-E146+G146+I146+K146</f>
        <v>0</v>
      </c>
      <c r="P146" s="37"/>
      <c r="Q146" s="37">
        <v>0</v>
      </c>
      <c r="R146" s="37"/>
      <c r="S146" s="37">
        <v>0</v>
      </c>
      <c r="T146" s="37"/>
      <c r="U146" s="37">
        <v>0</v>
      </c>
      <c r="V146" s="37"/>
      <c r="W146" s="37">
        <v>0</v>
      </c>
      <c r="X146" s="37"/>
      <c r="Y146" s="37">
        <v>0</v>
      </c>
      <c r="Z146" s="37"/>
      <c r="AA146" s="37">
        <v>0</v>
      </c>
      <c r="AB146" s="37"/>
      <c r="AC146" s="37">
        <v>0</v>
      </c>
      <c r="AD146" s="37"/>
      <c r="AE146" s="37">
        <v>0</v>
      </c>
      <c r="AF146" s="37"/>
      <c r="AG146" s="37">
        <v>0</v>
      </c>
      <c r="AH146" s="37"/>
      <c r="AI146" s="37">
        <f>+Q146+S146+U146+W146+Y146+AA146+AC146+AE146+AG146</f>
        <v>0</v>
      </c>
      <c r="AJ146" s="37"/>
      <c r="AK146" s="37">
        <v>0</v>
      </c>
      <c r="AL146" s="37"/>
      <c r="AM146" s="37">
        <v>0</v>
      </c>
      <c r="AN146" s="37"/>
      <c r="AO146" s="37">
        <v>0</v>
      </c>
      <c r="AQ146" s="44">
        <f>+M146-O146</f>
        <v>0</v>
      </c>
      <c r="AR146" s="44"/>
      <c r="AS146" s="44">
        <f>+Q146+S146+U146+W146+Y146+AA146+AC146+AE146+AG146-AI146</f>
        <v>0</v>
      </c>
      <c r="AT146" s="44"/>
      <c r="AU146" s="44">
        <f>+O146+AI146-AK146</f>
        <v>0</v>
      </c>
      <c r="AV146" s="44"/>
      <c r="AW146" s="44">
        <f>+O146+AI146+AM146-AO146</f>
        <v>0</v>
      </c>
    </row>
    <row r="147" spans="1:49" s="7" customFormat="1" ht="12">
      <c r="A147" s="7" t="s">
        <v>583</v>
      </c>
      <c r="C147" s="7" t="s">
        <v>82</v>
      </c>
      <c r="E147" s="37">
        <v>89570</v>
      </c>
      <c r="F147" s="37"/>
      <c r="G147" s="37">
        <v>6900</v>
      </c>
      <c r="H147" s="37"/>
      <c r="I147" s="37">
        <v>31347</v>
      </c>
      <c r="J147" s="37"/>
      <c r="K147" s="37">
        <v>0</v>
      </c>
      <c r="L147" s="37"/>
      <c r="M147" s="37">
        <v>-51323</v>
      </c>
      <c r="N147" s="37"/>
      <c r="O147" s="39">
        <f t="shared" si="6"/>
        <v>-51323</v>
      </c>
      <c r="P147" s="37"/>
      <c r="Q147" s="37">
        <f>4939+21721</f>
        <v>26660</v>
      </c>
      <c r="R147" s="37"/>
      <c r="S147" s="37">
        <v>0</v>
      </c>
      <c r="T147" s="37"/>
      <c r="U147" s="37">
        <v>3842</v>
      </c>
      <c r="V147" s="37"/>
      <c r="W147" s="37">
        <v>584</v>
      </c>
      <c r="X147" s="37"/>
      <c r="Y147" s="37">
        <v>0</v>
      </c>
      <c r="Z147" s="37"/>
      <c r="AA147" s="37">
        <v>4629</v>
      </c>
      <c r="AB147" s="37"/>
      <c r="AC147" s="37">
        <v>0</v>
      </c>
      <c r="AD147" s="37"/>
      <c r="AE147" s="37">
        <v>0</v>
      </c>
      <c r="AF147" s="37"/>
      <c r="AG147" s="37">
        <v>0</v>
      </c>
      <c r="AH147" s="37"/>
      <c r="AI147" s="37">
        <f t="shared" si="7"/>
        <v>35715</v>
      </c>
      <c r="AJ147" s="37"/>
      <c r="AK147" s="37">
        <v>-15608</v>
      </c>
      <c r="AL147" s="37"/>
      <c r="AM147" s="37">
        <v>120657</v>
      </c>
      <c r="AN147" s="37"/>
      <c r="AO147" s="37">
        <v>105049</v>
      </c>
      <c r="AQ147" s="44">
        <f t="shared" si="8"/>
        <v>0</v>
      </c>
      <c r="AR147" s="44"/>
      <c r="AS147" s="44">
        <f t="shared" si="9"/>
        <v>0</v>
      </c>
      <c r="AT147" s="44"/>
      <c r="AU147" s="44">
        <f t="shared" si="10"/>
        <v>0</v>
      </c>
      <c r="AV147" s="44"/>
      <c r="AW147" s="44">
        <f t="shared" si="11"/>
        <v>0</v>
      </c>
    </row>
    <row r="148" spans="1:49" s="1" customFormat="1" ht="12">
      <c r="E148" s="43"/>
    </row>
    <row r="161" spans="39:40">
      <c r="AM161" s="42"/>
      <c r="AN161" s="42"/>
    </row>
  </sheetData>
  <mergeCells count="4">
    <mergeCell ref="G7:K7"/>
    <mergeCell ref="Q7:S7"/>
    <mergeCell ref="U7:AC7"/>
    <mergeCell ref="AQ7:AW7"/>
  </mergeCells>
  <phoneticPr fontId="1" type="noConversion"/>
  <pageMargins left="0.75" right="0.75" top="0.5" bottom="0.5" header="0" footer="0.3"/>
  <pageSetup scale="62" firstPageNumber="4" fitToWidth="2" fitToHeight="4" pageOrder="overThenDown" orientation="portrait" useFirstPageNumber="1" verticalDpi="300" r:id="rId1"/>
  <headerFooter alignWithMargins="0">
    <oddFooter>&amp;C&amp;11&amp;P</oddFooter>
  </headerFooter>
  <rowBreaks count="2" manualBreakCount="2">
    <brk id="28" max="16383" man="1"/>
    <brk id="91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896"/>
  <sheetViews>
    <sheetView zoomScaleNormal="100" zoomScaleSheetLayoutView="100" workbookViewId="0">
      <pane xSplit="3" ySplit="7" topLeftCell="D75" activePane="bottomRight" state="frozen"/>
      <selection pane="topRight" activeCell="D1" sqref="D1"/>
      <selection pane="bottomLeft" activeCell="A8" sqref="A8"/>
      <selection pane="bottomRight" activeCell="C115" sqref="C115"/>
    </sheetView>
  </sheetViews>
  <sheetFormatPr defaultColWidth="9.33203125" defaultRowHeight="12"/>
  <cols>
    <col min="1" max="1" width="20.83203125" style="1" customWidth="1"/>
    <col min="2" max="2" width="1.83203125" style="1" customWidth="1"/>
    <col min="3" max="3" width="14.33203125" style="1" customWidth="1"/>
    <col min="4" max="4" width="1.83203125" style="1" customWidth="1"/>
    <col min="5" max="5" width="11.83203125" style="10" customWidth="1"/>
    <col min="6" max="6" width="1.83203125" style="10" customWidth="1"/>
    <col min="7" max="7" width="11.83203125" style="10" customWidth="1"/>
    <col min="8" max="8" width="1.83203125" style="10" customWidth="1"/>
    <col min="9" max="9" width="11.83203125" style="10" customWidth="1"/>
    <col min="10" max="10" width="1.83203125" style="10" customWidth="1"/>
    <col min="11" max="11" width="11.83203125" style="10" customWidth="1"/>
    <col min="12" max="12" width="1.83203125" style="10" customWidth="1"/>
    <col min="13" max="13" width="11.83203125" style="10" customWidth="1"/>
    <col min="14" max="14" width="1.83203125" style="10" customWidth="1"/>
    <col min="15" max="15" width="11.83203125" style="10" customWidth="1"/>
    <col min="16" max="16" width="1.83203125" style="10" customWidth="1"/>
    <col min="17" max="17" width="11.83203125" style="10" customWidth="1"/>
    <col min="18" max="18" width="1.83203125" style="10" customWidth="1"/>
    <col min="19" max="19" width="13.33203125" style="10" customWidth="1"/>
    <col min="20" max="20" width="1.83203125" style="10" customWidth="1"/>
    <col min="21" max="21" width="11.83203125" style="10" customWidth="1"/>
    <col min="22" max="22" width="1.83203125" style="10" customWidth="1"/>
    <col min="23" max="23" width="11.83203125" style="10" customWidth="1"/>
    <col min="24" max="24" width="1.83203125" style="10" customWidth="1"/>
    <col min="25" max="25" width="11.5" style="10" bestFit="1" customWidth="1"/>
    <col min="26" max="26" width="1.83203125" style="10" customWidth="1"/>
    <col min="27" max="27" width="11.1640625" style="10" bestFit="1" customWidth="1"/>
    <col min="28" max="28" width="1.83203125" style="10" customWidth="1"/>
    <col min="29" max="29" width="11.33203125" style="10" bestFit="1" customWidth="1"/>
    <col min="30" max="30" width="1.83203125" style="10" customWidth="1"/>
    <col min="31" max="31" width="11.83203125" style="10" customWidth="1"/>
    <col min="32" max="32" width="1.83203125" style="10" customWidth="1"/>
    <col min="33" max="33" width="9.6640625" style="10" bestFit="1" customWidth="1"/>
    <col min="34" max="34" width="1.83203125" style="10" customWidth="1"/>
    <col min="35" max="35" width="11.33203125" style="1" customWidth="1"/>
    <col min="36" max="36" width="2.1640625" style="1" customWidth="1"/>
    <col min="37" max="16384" width="9.33203125" style="1"/>
  </cols>
  <sheetData>
    <row r="1" spans="1:39">
      <c r="A1" s="2" t="s">
        <v>620</v>
      </c>
      <c r="B1" s="2"/>
      <c r="C1" s="2"/>
      <c r="D1" s="2"/>
    </row>
    <row r="2" spans="1:39">
      <c r="A2" s="2" t="s">
        <v>867</v>
      </c>
      <c r="B2" s="2"/>
      <c r="C2" s="2"/>
      <c r="D2" s="2"/>
    </row>
    <row r="3" spans="1:39">
      <c r="A3" s="2" t="s">
        <v>878</v>
      </c>
      <c r="B3" s="2"/>
      <c r="C3" s="2"/>
      <c r="D3" s="2"/>
    </row>
    <row r="4" spans="1:39" s="9" customFormat="1" ht="12.6" customHeight="1">
      <c r="A4" s="2" t="s">
        <v>869</v>
      </c>
      <c r="B4" s="2"/>
      <c r="C4" s="2"/>
      <c r="D4" s="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8"/>
      <c r="AJ4" s="8"/>
      <c r="AK4" s="8"/>
      <c r="AL4" s="8"/>
      <c r="AM4" s="8"/>
    </row>
    <row r="5" spans="1:39" s="9" customFormat="1" ht="12.6" customHeight="1">
      <c r="A5" s="2"/>
      <c r="B5" s="2"/>
      <c r="C5" s="2"/>
      <c r="D5" s="2"/>
      <c r="E5" s="16" t="s">
        <v>622</v>
      </c>
      <c r="F5" s="16"/>
      <c r="G5" s="11"/>
      <c r="H5" s="11"/>
      <c r="I5" s="11"/>
      <c r="J5" s="11"/>
      <c r="K5" s="11"/>
      <c r="L5" s="11"/>
      <c r="M5" s="11"/>
      <c r="N5" s="11"/>
      <c r="O5" s="16" t="s">
        <v>633</v>
      </c>
      <c r="P5" s="16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6" t="s">
        <v>641</v>
      </c>
      <c r="AF5" s="16"/>
      <c r="AG5" s="16"/>
      <c r="AH5" s="16"/>
      <c r="AI5" s="8"/>
      <c r="AJ5" s="8"/>
      <c r="AK5" s="8"/>
      <c r="AL5" s="8"/>
      <c r="AM5" s="8"/>
    </row>
    <row r="6" spans="1:39" s="9" customFormat="1" ht="12.6" customHeight="1">
      <c r="A6" s="2"/>
      <c r="B6" s="2"/>
      <c r="C6" s="2"/>
      <c r="D6" s="2"/>
      <c r="E6" s="16" t="s">
        <v>623</v>
      </c>
      <c r="F6" s="16"/>
      <c r="G6" s="16" t="s">
        <v>625</v>
      </c>
      <c r="H6" s="16"/>
      <c r="I6" s="16" t="s">
        <v>627</v>
      </c>
      <c r="J6" s="16"/>
      <c r="K6" s="16" t="s">
        <v>629</v>
      </c>
      <c r="L6" s="16"/>
      <c r="M6" s="16" t="s">
        <v>631</v>
      </c>
      <c r="N6" s="16"/>
      <c r="O6" s="16" t="s">
        <v>634</v>
      </c>
      <c r="P6" s="16"/>
      <c r="Q6" s="16" t="s">
        <v>636</v>
      </c>
      <c r="R6" s="16"/>
      <c r="S6" s="11"/>
      <c r="T6" s="11"/>
      <c r="U6" s="12" t="s">
        <v>871</v>
      </c>
      <c r="V6" s="12"/>
      <c r="W6" s="12" t="s">
        <v>871</v>
      </c>
      <c r="X6" s="11"/>
      <c r="Y6" s="16" t="s">
        <v>638</v>
      </c>
      <c r="Z6" s="16"/>
      <c r="AA6" s="11"/>
      <c r="AB6" s="11"/>
      <c r="AC6" s="11"/>
      <c r="AD6" s="11"/>
      <c r="AE6" s="16" t="s">
        <v>642</v>
      </c>
      <c r="AF6" s="16"/>
      <c r="AG6" s="16" t="s">
        <v>629</v>
      </c>
      <c r="AH6" s="16"/>
      <c r="AI6" s="8"/>
      <c r="AJ6" s="8"/>
      <c r="AK6" s="8"/>
      <c r="AL6" s="8"/>
      <c r="AM6" s="8"/>
    </row>
    <row r="7" spans="1:39" s="6" customFormat="1" ht="12.6" customHeight="1">
      <c r="A7" s="5" t="s">
        <v>739</v>
      </c>
      <c r="C7" s="5" t="s">
        <v>740</v>
      </c>
      <c r="E7" s="17" t="s">
        <v>624</v>
      </c>
      <c r="F7" s="50"/>
      <c r="G7" s="17" t="s">
        <v>626</v>
      </c>
      <c r="H7" s="50"/>
      <c r="I7" s="18" t="s">
        <v>628</v>
      </c>
      <c r="J7" s="26"/>
      <c r="K7" s="18" t="s">
        <v>630</v>
      </c>
      <c r="L7" s="26"/>
      <c r="M7" s="18" t="s">
        <v>632</v>
      </c>
      <c r="N7" s="26"/>
      <c r="O7" s="18" t="s">
        <v>635</v>
      </c>
      <c r="P7" s="26"/>
      <c r="Q7" s="18" t="s">
        <v>637</v>
      </c>
      <c r="R7" s="26"/>
      <c r="S7" s="18" t="s">
        <v>616</v>
      </c>
      <c r="T7" s="51"/>
      <c r="U7" s="13" t="s">
        <v>872</v>
      </c>
      <c r="V7" s="14"/>
      <c r="W7" s="13" t="s">
        <v>873</v>
      </c>
      <c r="X7" s="14"/>
      <c r="Y7" s="18" t="s">
        <v>639</v>
      </c>
      <c r="Z7" s="26"/>
      <c r="AA7" s="18" t="s">
        <v>618</v>
      </c>
      <c r="AB7" s="26"/>
      <c r="AC7" s="18" t="s">
        <v>640</v>
      </c>
      <c r="AD7" s="51"/>
      <c r="AE7" s="18" t="s">
        <v>643</v>
      </c>
      <c r="AF7" s="26"/>
      <c r="AG7" s="18" t="s">
        <v>749</v>
      </c>
      <c r="AH7" s="26"/>
      <c r="AI7" s="5" t="s">
        <v>832</v>
      </c>
    </row>
    <row r="8" spans="1:39" s="21" customFormat="1" ht="12.6" hidden="1" customHeight="1">
      <c r="A8" s="1" t="s">
        <v>282</v>
      </c>
      <c r="B8" s="1"/>
      <c r="C8" s="1" t="s">
        <v>283</v>
      </c>
      <c r="D8" s="1"/>
      <c r="E8" s="44">
        <v>0</v>
      </c>
      <c r="F8" s="44"/>
      <c r="G8" s="44">
        <v>0</v>
      </c>
      <c r="H8" s="44"/>
      <c r="I8" s="44">
        <v>0</v>
      </c>
      <c r="J8" s="44"/>
      <c r="K8" s="44">
        <v>0</v>
      </c>
      <c r="L8" s="44"/>
      <c r="M8" s="44">
        <v>0</v>
      </c>
      <c r="N8" s="44"/>
      <c r="O8" s="44">
        <v>0</v>
      </c>
      <c r="P8" s="44"/>
      <c r="Q8" s="44">
        <v>0</v>
      </c>
      <c r="R8" s="44"/>
      <c r="S8" s="44">
        <v>0</v>
      </c>
      <c r="T8" s="44"/>
      <c r="U8" s="44">
        <v>0</v>
      </c>
      <c r="V8" s="45"/>
      <c r="W8" s="44">
        <v>0</v>
      </c>
      <c r="X8" s="45"/>
      <c r="Y8" s="44">
        <v>0</v>
      </c>
      <c r="Z8" s="44"/>
      <c r="AA8" s="44">
        <v>0</v>
      </c>
      <c r="AB8" s="44"/>
      <c r="AC8" s="44">
        <v>0</v>
      </c>
      <c r="AD8" s="44"/>
      <c r="AE8" s="44">
        <v>0</v>
      </c>
      <c r="AF8" s="44"/>
      <c r="AG8" s="44">
        <v>0</v>
      </c>
      <c r="AH8" s="44"/>
      <c r="AI8" s="40">
        <f t="shared" ref="AI8:AI39" si="0">SUM(E8:AG8)</f>
        <v>0</v>
      </c>
      <c r="AJ8" s="40"/>
      <c r="AK8" s="22"/>
      <c r="AL8" s="22"/>
      <c r="AM8" s="22"/>
    </row>
    <row r="9" spans="1:39" s="40" customFormat="1">
      <c r="A9" s="40" t="s">
        <v>395</v>
      </c>
      <c r="C9" s="40" t="s">
        <v>396</v>
      </c>
      <c r="E9" s="44">
        <v>41090</v>
      </c>
      <c r="F9" s="44"/>
      <c r="G9" s="44">
        <v>0</v>
      </c>
      <c r="H9" s="44"/>
      <c r="I9" s="44">
        <v>194074</v>
      </c>
      <c r="J9" s="44"/>
      <c r="K9" s="44">
        <v>0</v>
      </c>
      <c r="L9" s="44"/>
      <c r="M9" s="44">
        <v>0</v>
      </c>
      <c r="N9" s="44"/>
      <c r="O9" s="44">
        <v>51238</v>
      </c>
      <c r="P9" s="44"/>
      <c r="Q9" s="44">
        <v>107884</v>
      </c>
      <c r="R9" s="44"/>
      <c r="S9" s="44">
        <v>12536</v>
      </c>
      <c r="T9" s="44"/>
      <c r="U9" s="44">
        <v>0</v>
      </c>
      <c r="V9" s="44"/>
      <c r="W9" s="44">
        <v>0</v>
      </c>
      <c r="X9" s="44"/>
      <c r="Y9" s="44">
        <v>0</v>
      </c>
      <c r="Z9" s="44"/>
      <c r="AA9" s="44">
        <v>0</v>
      </c>
      <c r="AB9" s="44"/>
      <c r="AC9" s="44">
        <v>0</v>
      </c>
      <c r="AD9" s="44"/>
      <c r="AE9" s="44">
        <v>38955</v>
      </c>
      <c r="AF9" s="44"/>
      <c r="AG9" s="44">
        <v>0</v>
      </c>
      <c r="AH9" s="44"/>
      <c r="AI9" s="40">
        <f t="shared" si="0"/>
        <v>445777</v>
      </c>
    </row>
    <row r="10" spans="1:39" s="31" customFormat="1">
      <c r="A10" s="15" t="s">
        <v>487</v>
      </c>
      <c r="B10" s="15"/>
      <c r="C10" s="15" t="s">
        <v>488</v>
      </c>
      <c r="D10" s="15"/>
      <c r="E10" s="47">
        <v>2731</v>
      </c>
      <c r="F10" s="47"/>
      <c r="G10" s="47">
        <v>0</v>
      </c>
      <c r="H10" s="47"/>
      <c r="I10" s="47">
        <f>6767+3000</f>
        <v>9767</v>
      </c>
      <c r="J10" s="47"/>
      <c r="K10" s="47">
        <v>0</v>
      </c>
      <c r="L10" s="47"/>
      <c r="M10" s="47">
        <v>0</v>
      </c>
      <c r="N10" s="47"/>
      <c r="O10" s="47">
        <v>0</v>
      </c>
      <c r="P10" s="47"/>
      <c r="Q10" s="47">
        <v>474</v>
      </c>
      <c r="R10" s="47"/>
      <c r="S10" s="47">
        <v>0</v>
      </c>
      <c r="T10" s="47"/>
      <c r="U10" s="47">
        <v>0</v>
      </c>
      <c r="V10" s="47"/>
      <c r="W10" s="47">
        <v>0</v>
      </c>
      <c r="X10" s="47"/>
      <c r="Y10" s="47">
        <v>0</v>
      </c>
      <c r="Z10" s="47"/>
      <c r="AA10" s="47">
        <v>0</v>
      </c>
      <c r="AB10" s="47"/>
      <c r="AC10" s="47">
        <v>0</v>
      </c>
      <c r="AD10" s="47"/>
      <c r="AE10" s="47">
        <v>0</v>
      </c>
      <c r="AF10" s="47"/>
      <c r="AG10" s="47">
        <v>0</v>
      </c>
      <c r="AH10" s="47"/>
      <c r="AI10" s="24">
        <f t="shared" si="0"/>
        <v>12972</v>
      </c>
      <c r="AJ10" s="24"/>
    </row>
    <row r="11" spans="1:39" s="21" customFormat="1">
      <c r="A11" s="1" t="s">
        <v>898</v>
      </c>
      <c r="B11" s="1"/>
      <c r="C11" s="1" t="s">
        <v>420</v>
      </c>
      <c r="D11" s="1"/>
      <c r="E11" s="46">
        <v>27863</v>
      </c>
      <c r="F11" s="46"/>
      <c r="G11" s="46">
        <v>0</v>
      </c>
      <c r="H11" s="46"/>
      <c r="I11" s="46">
        <v>40649</v>
      </c>
      <c r="J11" s="46"/>
      <c r="K11" s="46">
        <v>0</v>
      </c>
      <c r="L11" s="46"/>
      <c r="M11" s="46">
        <v>280</v>
      </c>
      <c r="N11" s="46"/>
      <c r="O11" s="46">
        <v>3230</v>
      </c>
      <c r="P11" s="46"/>
      <c r="Q11" s="46">
        <v>1033</v>
      </c>
      <c r="R11" s="46"/>
      <c r="S11" s="46">
        <f>15365+18284+1798</f>
        <v>35447</v>
      </c>
      <c r="T11" s="46"/>
      <c r="U11" s="46">
        <v>0</v>
      </c>
      <c r="V11" s="47"/>
      <c r="W11" s="46">
        <v>0</v>
      </c>
      <c r="X11" s="47"/>
      <c r="Y11" s="46">
        <v>0</v>
      </c>
      <c r="Z11" s="46"/>
      <c r="AA11" s="46">
        <v>0</v>
      </c>
      <c r="AB11" s="46"/>
      <c r="AC11" s="46">
        <v>0</v>
      </c>
      <c r="AD11" s="46"/>
      <c r="AE11" s="46">
        <v>0</v>
      </c>
      <c r="AF11" s="46"/>
      <c r="AG11" s="46">
        <v>0</v>
      </c>
      <c r="AH11" s="46"/>
      <c r="AI11" s="10">
        <f t="shared" si="0"/>
        <v>108502</v>
      </c>
      <c r="AJ11" s="10"/>
    </row>
    <row r="12" spans="1:39" s="21" customFormat="1" hidden="1">
      <c r="A12" s="1" t="s">
        <v>91</v>
      </c>
      <c r="B12" s="1"/>
      <c r="C12" s="1" t="s">
        <v>778</v>
      </c>
      <c r="D12" s="1"/>
      <c r="E12" s="46">
        <v>0</v>
      </c>
      <c r="F12" s="46"/>
      <c r="G12" s="46">
        <v>0</v>
      </c>
      <c r="H12" s="46"/>
      <c r="I12" s="46">
        <v>0</v>
      </c>
      <c r="J12" s="46"/>
      <c r="K12" s="46">
        <v>0</v>
      </c>
      <c r="L12" s="46"/>
      <c r="M12" s="46">
        <v>0</v>
      </c>
      <c r="N12" s="46"/>
      <c r="O12" s="46">
        <v>0</v>
      </c>
      <c r="P12" s="46"/>
      <c r="Q12" s="46">
        <v>0</v>
      </c>
      <c r="R12" s="46"/>
      <c r="S12" s="46">
        <v>0</v>
      </c>
      <c r="T12" s="46"/>
      <c r="U12" s="46">
        <v>0</v>
      </c>
      <c r="V12" s="47"/>
      <c r="W12" s="46">
        <v>0</v>
      </c>
      <c r="X12" s="47"/>
      <c r="Y12" s="46">
        <v>0</v>
      </c>
      <c r="Z12" s="46"/>
      <c r="AA12" s="46">
        <v>0</v>
      </c>
      <c r="AB12" s="46"/>
      <c r="AC12" s="46">
        <v>0</v>
      </c>
      <c r="AD12" s="46"/>
      <c r="AE12" s="46">
        <v>0</v>
      </c>
      <c r="AF12" s="46"/>
      <c r="AG12" s="46">
        <v>0</v>
      </c>
      <c r="AH12" s="46"/>
      <c r="AI12" s="10">
        <f t="shared" si="0"/>
        <v>0</v>
      </c>
      <c r="AJ12" s="10"/>
    </row>
    <row r="13" spans="1:39" hidden="1">
      <c r="A13" s="1" t="s">
        <v>210</v>
      </c>
      <c r="C13" s="1" t="s">
        <v>815</v>
      </c>
      <c r="E13" s="46">
        <v>0</v>
      </c>
      <c r="F13" s="46"/>
      <c r="G13" s="46">
        <v>0</v>
      </c>
      <c r="H13" s="46"/>
      <c r="I13" s="46">
        <v>0</v>
      </c>
      <c r="J13" s="46"/>
      <c r="K13" s="46">
        <v>0</v>
      </c>
      <c r="L13" s="46"/>
      <c r="M13" s="46">
        <v>0</v>
      </c>
      <c r="N13" s="46"/>
      <c r="O13" s="46">
        <v>0</v>
      </c>
      <c r="P13" s="46"/>
      <c r="Q13" s="46">
        <v>0</v>
      </c>
      <c r="R13" s="46"/>
      <c r="S13" s="46">
        <v>0</v>
      </c>
      <c r="T13" s="46"/>
      <c r="U13" s="46">
        <v>0</v>
      </c>
      <c r="V13" s="47"/>
      <c r="W13" s="46">
        <v>0</v>
      </c>
      <c r="X13" s="47"/>
      <c r="Y13" s="46">
        <v>0</v>
      </c>
      <c r="Z13" s="46"/>
      <c r="AA13" s="46">
        <v>0</v>
      </c>
      <c r="AB13" s="46"/>
      <c r="AC13" s="46">
        <v>0</v>
      </c>
      <c r="AD13" s="46"/>
      <c r="AE13" s="46">
        <v>0</v>
      </c>
      <c r="AF13" s="46"/>
      <c r="AG13" s="46">
        <v>0</v>
      </c>
      <c r="AH13" s="46"/>
      <c r="AI13" s="10">
        <f t="shared" si="0"/>
        <v>0</v>
      </c>
      <c r="AJ13" s="10"/>
    </row>
    <row r="14" spans="1:39" s="21" customFormat="1" ht="12.6" hidden="1" customHeight="1">
      <c r="A14" s="1" t="s">
        <v>270</v>
      </c>
      <c r="B14" s="1"/>
      <c r="C14" s="1" t="s">
        <v>271</v>
      </c>
      <c r="D14" s="1"/>
      <c r="E14" s="46">
        <v>0</v>
      </c>
      <c r="F14" s="46"/>
      <c r="G14" s="46">
        <v>0</v>
      </c>
      <c r="H14" s="46"/>
      <c r="I14" s="46">
        <v>0</v>
      </c>
      <c r="J14" s="46"/>
      <c r="K14" s="46">
        <v>0</v>
      </c>
      <c r="L14" s="46"/>
      <c r="M14" s="46">
        <v>0</v>
      </c>
      <c r="N14" s="46"/>
      <c r="O14" s="46">
        <v>0</v>
      </c>
      <c r="P14" s="46"/>
      <c r="Q14" s="46">
        <v>0</v>
      </c>
      <c r="R14" s="46"/>
      <c r="S14" s="46">
        <v>0</v>
      </c>
      <c r="T14" s="46"/>
      <c r="U14" s="46">
        <v>0</v>
      </c>
      <c r="V14" s="46"/>
      <c r="W14" s="46">
        <v>0</v>
      </c>
      <c r="X14" s="46"/>
      <c r="Y14" s="46">
        <v>0</v>
      </c>
      <c r="Z14" s="46"/>
      <c r="AA14" s="46">
        <v>0</v>
      </c>
      <c r="AB14" s="46"/>
      <c r="AC14" s="46">
        <v>0</v>
      </c>
      <c r="AD14" s="46"/>
      <c r="AE14" s="46">
        <v>0</v>
      </c>
      <c r="AF14" s="46"/>
      <c r="AG14" s="46">
        <v>0</v>
      </c>
      <c r="AH14" s="46"/>
      <c r="AI14" s="10">
        <f t="shared" si="0"/>
        <v>0</v>
      </c>
      <c r="AJ14" s="10"/>
      <c r="AK14" s="22"/>
      <c r="AL14" s="22"/>
      <c r="AM14" s="22"/>
    </row>
    <row r="15" spans="1:39" hidden="1">
      <c r="A15" s="1" t="s">
        <v>129</v>
      </c>
      <c r="C15" s="1" t="s">
        <v>790</v>
      </c>
      <c r="E15" s="46">
        <v>0</v>
      </c>
      <c r="F15" s="46"/>
      <c r="G15" s="46">
        <v>0</v>
      </c>
      <c r="H15" s="46"/>
      <c r="I15" s="46">
        <v>0</v>
      </c>
      <c r="J15" s="46"/>
      <c r="K15" s="46">
        <v>0</v>
      </c>
      <c r="L15" s="46"/>
      <c r="M15" s="46">
        <v>0</v>
      </c>
      <c r="N15" s="46"/>
      <c r="O15" s="46">
        <v>0</v>
      </c>
      <c r="P15" s="46"/>
      <c r="Q15" s="46">
        <v>0</v>
      </c>
      <c r="R15" s="46"/>
      <c r="S15" s="46">
        <v>0</v>
      </c>
      <c r="T15" s="46"/>
      <c r="U15" s="46">
        <v>0</v>
      </c>
      <c r="V15" s="47"/>
      <c r="W15" s="46">
        <v>0</v>
      </c>
      <c r="X15" s="47"/>
      <c r="Y15" s="46">
        <v>0</v>
      </c>
      <c r="Z15" s="46"/>
      <c r="AA15" s="46">
        <v>0</v>
      </c>
      <c r="AB15" s="46"/>
      <c r="AC15" s="46">
        <v>0</v>
      </c>
      <c r="AD15" s="46"/>
      <c r="AE15" s="46">
        <v>0</v>
      </c>
      <c r="AF15" s="46"/>
      <c r="AG15" s="46">
        <v>0</v>
      </c>
      <c r="AH15" s="46"/>
      <c r="AI15" s="10">
        <f t="shared" si="0"/>
        <v>0</v>
      </c>
      <c r="AJ15" s="10"/>
    </row>
    <row r="16" spans="1:39" s="21" customFormat="1" hidden="1">
      <c r="A16" s="1" t="s">
        <v>715</v>
      </c>
      <c r="B16" s="1"/>
      <c r="C16" s="1" t="s">
        <v>396</v>
      </c>
      <c r="D16" s="1"/>
      <c r="E16" s="46">
        <v>0</v>
      </c>
      <c r="F16" s="46"/>
      <c r="G16" s="46">
        <v>0</v>
      </c>
      <c r="H16" s="46"/>
      <c r="I16" s="46">
        <v>0</v>
      </c>
      <c r="J16" s="46"/>
      <c r="K16" s="46">
        <v>0</v>
      </c>
      <c r="L16" s="46"/>
      <c r="M16" s="46">
        <v>0</v>
      </c>
      <c r="N16" s="46"/>
      <c r="O16" s="46">
        <v>0</v>
      </c>
      <c r="P16" s="46"/>
      <c r="Q16" s="46">
        <v>0</v>
      </c>
      <c r="R16" s="46"/>
      <c r="S16" s="46">
        <v>0</v>
      </c>
      <c r="T16" s="46"/>
      <c r="U16" s="46">
        <v>0</v>
      </c>
      <c r="V16" s="47"/>
      <c r="W16" s="46">
        <v>0</v>
      </c>
      <c r="X16" s="47"/>
      <c r="Y16" s="46">
        <v>0</v>
      </c>
      <c r="Z16" s="46"/>
      <c r="AA16" s="46">
        <v>0</v>
      </c>
      <c r="AB16" s="46"/>
      <c r="AC16" s="46">
        <v>0</v>
      </c>
      <c r="AD16" s="46"/>
      <c r="AE16" s="46">
        <v>0</v>
      </c>
      <c r="AF16" s="46"/>
      <c r="AG16" s="46">
        <v>0</v>
      </c>
      <c r="AH16" s="46"/>
      <c r="AI16" s="10">
        <f t="shared" si="0"/>
        <v>0</v>
      </c>
      <c r="AJ16" s="10"/>
    </row>
    <row r="17" spans="1:39" hidden="1">
      <c r="A17" s="1" t="s">
        <v>251</v>
      </c>
      <c r="C17" s="1" t="s">
        <v>829</v>
      </c>
      <c r="E17" s="46">
        <v>0</v>
      </c>
      <c r="F17" s="46"/>
      <c r="G17" s="46">
        <v>0</v>
      </c>
      <c r="H17" s="46"/>
      <c r="I17" s="46">
        <v>0</v>
      </c>
      <c r="J17" s="46"/>
      <c r="K17" s="46">
        <v>0</v>
      </c>
      <c r="L17" s="46"/>
      <c r="M17" s="46">
        <v>0</v>
      </c>
      <c r="N17" s="46"/>
      <c r="O17" s="46">
        <v>0</v>
      </c>
      <c r="P17" s="46"/>
      <c r="Q17" s="46">
        <v>0</v>
      </c>
      <c r="R17" s="46"/>
      <c r="S17" s="46">
        <v>0</v>
      </c>
      <c r="T17" s="46"/>
      <c r="U17" s="46">
        <v>0</v>
      </c>
      <c r="V17" s="47"/>
      <c r="W17" s="46">
        <v>0</v>
      </c>
      <c r="X17" s="47"/>
      <c r="Y17" s="46">
        <v>0</v>
      </c>
      <c r="Z17" s="46"/>
      <c r="AA17" s="46">
        <v>0</v>
      </c>
      <c r="AB17" s="46"/>
      <c r="AC17" s="46">
        <v>0</v>
      </c>
      <c r="AD17" s="46"/>
      <c r="AE17" s="46">
        <v>0</v>
      </c>
      <c r="AF17" s="46"/>
      <c r="AG17" s="46">
        <v>0</v>
      </c>
      <c r="AH17" s="46"/>
      <c r="AI17" s="10">
        <f t="shared" si="0"/>
        <v>0</v>
      </c>
      <c r="AJ17" s="10"/>
    </row>
    <row r="18" spans="1:39" s="21" customFormat="1" hidden="1">
      <c r="A18" s="1" t="s">
        <v>671</v>
      </c>
      <c r="B18" s="1"/>
      <c r="C18" s="1" t="s">
        <v>350</v>
      </c>
      <c r="D18" s="1"/>
      <c r="E18" s="46">
        <v>0</v>
      </c>
      <c r="F18" s="46"/>
      <c r="G18" s="46">
        <v>0</v>
      </c>
      <c r="H18" s="46"/>
      <c r="I18" s="46">
        <v>0</v>
      </c>
      <c r="J18" s="46"/>
      <c r="K18" s="46">
        <v>0</v>
      </c>
      <c r="L18" s="46"/>
      <c r="M18" s="46">
        <v>0</v>
      </c>
      <c r="N18" s="46"/>
      <c r="O18" s="46">
        <v>0</v>
      </c>
      <c r="P18" s="46"/>
      <c r="Q18" s="46">
        <v>0</v>
      </c>
      <c r="R18" s="46"/>
      <c r="S18" s="46">
        <v>0</v>
      </c>
      <c r="T18" s="46"/>
      <c r="U18" s="46">
        <v>0</v>
      </c>
      <c r="V18" s="47"/>
      <c r="W18" s="46">
        <v>0</v>
      </c>
      <c r="X18" s="47"/>
      <c r="Y18" s="46">
        <v>0</v>
      </c>
      <c r="Z18" s="46"/>
      <c r="AA18" s="46">
        <v>0</v>
      </c>
      <c r="AB18" s="46"/>
      <c r="AC18" s="46">
        <v>0</v>
      </c>
      <c r="AD18" s="46"/>
      <c r="AE18" s="46">
        <v>0</v>
      </c>
      <c r="AF18" s="46"/>
      <c r="AG18" s="46">
        <v>0</v>
      </c>
      <c r="AH18" s="46"/>
      <c r="AI18" s="10">
        <f t="shared" si="0"/>
        <v>0</v>
      </c>
      <c r="AJ18" s="10"/>
      <c r="AK18" s="22"/>
      <c r="AL18" s="22"/>
      <c r="AM18" s="22"/>
    </row>
    <row r="19" spans="1:39" hidden="1">
      <c r="A19" s="1" t="s">
        <v>671</v>
      </c>
      <c r="C19" s="1" t="s">
        <v>771</v>
      </c>
      <c r="E19" s="46">
        <v>0</v>
      </c>
      <c r="F19" s="46"/>
      <c r="G19" s="46">
        <v>0</v>
      </c>
      <c r="H19" s="46"/>
      <c r="I19" s="46">
        <v>0</v>
      </c>
      <c r="J19" s="46"/>
      <c r="K19" s="46">
        <v>0</v>
      </c>
      <c r="L19" s="46"/>
      <c r="M19" s="46">
        <v>0</v>
      </c>
      <c r="N19" s="46"/>
      <c r="O19" s="46">
        <v>0</v>
      </c>
      <c r="P19" s="46"/>
      <c r="Q19" s="46">
        <v>0</v>
      </c>
      <c r="R19" s="46"/>
      <c r="S19" s="46">
        <v>0</v>
      </c>
      <c r="T19" s="46"/>
      <c r="U19" s="46">
        <v>0</v>
      </c>
      <c r="V19" s="47"/>
      <c r="W19" s="46">
        <v>0</v>
      </c>
      <c r="X19" s="47"/>
      <c r="Y19" s="46">
        <v>0</v>
      </c>
      <c r="Z19" s="46"/>
      <c r="AA19" s="46">
        <v>0</v>
      </c>
      <c r="AB19" s="46"/>
      <c r="AC19" s="46">
        <v>0</v>
      </c>
      <c r="AD19" s="46"/>
      <c r="AE19" s="46">
        <v>0</v>
      </c>
      <c r="AF19" s="46"/>
      <c r="AG19" s="46">
        <v>0</v>
      </c>
      <c r="AH19" s="46"/>
      <c r="AI19" s="10">
        <f t="shared" si="0"/>
        <v>0</v>
      </c>
      <c r="AJ19" s="10"/>
      <c r="AK19" s="7"/>
      <c r="AL19" s="7"/>
      <c r="AM19" s="7"/>
    </row>
    <row r="20" spans="1:39" s="21" customFormat="1">
      <c r="A20" s="1" t="s">
        <v>377</v>
      </c>
      <c r="B20" s="1"/>
      <c r="C20" s="1" t="s">
        <v>378</v>
      </c>
      <c r="D20" s="1"/>
      <c r="E20" s="46">
        <v>1280092</v>
      </c>
      <c r="F20" s="46"/>
      <c r="G20" s="46">
        <v>2396271</v>
      </c>
      <c r="H20" s="46"/>
      <c r="I20" s="46">
        <v>348027</v>
      </c>
      <c r="J20" s="46"/>
      <c r="K20" s="46">
        <v>0</v>
      </c>
      <c r="L20" s="46"/>
      <c r="M20" s="46">
        <v>27834</v>
      </c>
      <c r="N20" s="46"/>
      <c r="O20" s="46">
        <v>194561</v>
      </c>
      <c r="P20" s="46"/>
      <c r="Q20" s="46">
        <v>352390</v>
      </c>
      <c r="R20" s="46"/>
      <c r="S20" s="46">
        <v>20282</v>
      </c>
      <c r="T20" s="46"/>
      <c r="U20" s="46">
        <v>0</v>
      </c>
      <c r="V20" s="46"/>
      <c r="W20" s="46">
        <v>0</v>
      </c>
      <c r="X20" s="46"/>
      <c r="Y20" s="46">
        <v>0</v>
      </c>
      <c r="Z20" s="46"/>
      <c r="AA20" s="46">
        <v>0</v>
      </c>
      <c r="AB20" s="46"/>
      <c r="AC20" s="46">
        <v>0</v>
      </c>
      <c r="AD20" s="46"/>
      <c r="AE20" s="46">
        <v>0</v>
      </c>
      <c r="AF20" s="46"/>
      <c r="AG20" s="46">
        <v>0</v>
      </c>
      <c r="AH20" s="46"/>
      <c r="AI20" s="10">
        <f t="shared" si="0"/>
        <v>4619457</v>
      </c>
      <c r="AJ20" s="10"/>
    </row>
    <row r="21" spans="1:39" s="21" customFormat="1" ht="12.6" hidden="1" customHeight="1">
      <c r="A21" s="1" t="s">
        <v>36</v>
      </c>
      <c r="B21" s="1"/>
      <c r="C21" s="1" t="s">
        <v>761</v>
      </c>
      <c r="D21" s="1"/>
      <c r="E21" s="46">
        <v>0</v>
      </c>
      <c r="F21" s="46"/>
      <c r="G21" s="46">
        <v>0</v>
      </c>
      <c r="H21" s="46"/>
      <c r="I21" s="46">
        <v>0</v>
      </c>
      <c r="J21" s="46"/>
      <c r="K21" s="46">
        <v>0</v>
      </c>
      <c r="L21" s="46"/>
      <c r="M21" s="46">
        <v>0</v>
      </c>
      <c r="N21" s="46"/>
      <c r="O21" s="46">
        <v>0</v>
      </c>
      <c r="P21" s="46"/>
      <c r="Q21" s="46">
        <v>0</v>
      </c>
      <c r="R21" s="46"/>
      <c r="S21" s="46">
        <v>0</v>
      </c>
      <c r="T21" s="46"/>
      <c r="U21" s="46">
        <v>0</v>
      </c>
      <c r="V21" s="47"/>
      <c r="W21" s="46">
        <v>0</v>
      </c>
      <c r="X21" s="47"/>
      <c r="Y21" s="46">
        <v>0</v>
      </c>
      <c r="Z21" s="46"/>
      <c r="AA21" s="46">
        <v>0</v>
      </c>
      <c r="AB21" s="46"/>
      <c r="AC21" s="46">
        <v>0</v>
      </c>
      <c r="AD21" s="46"/>
      <c r="AE21" s="46">
        <v>0</v>
      </c>
      <c r="AF21" s="46"/>
      <c r="AG21" s="46">
        <v>0</v>
      </c>
      <c r="AH21" s="46"/>
      <c r="AI21" s="10">
        <f t="shared" si="0"/>
        <v>0</v>
      </c>
      <c r="AJ21" s="10"/>
      <c r="AK21" s="22"/>
      <c r="AL21" s="22"/>
      <c r="AM21" s="22"/>
    </row>
    <row r="22" spans="1:39" s="21" customFormat="1" hidden="1">
      <c r="A22" s="1" t="s">
        <v>9</v>
      </c>
      <c r="B22" s="1"/>
      <c r="C22" s="1" t="s">
        <v>753</v>
      </c>
      <c r="D22" s="1"/>
      <c r="E22" s="46">
        <v>0</v>
      </c>
      <c r="F22" s="46"/>
      <c r="G22" s="46">
        <v>0</v>
      </c>
      <c r="H22" s="46"/>
      <c r="I22" s="46">
        <v>0</v>
      </c>
      <c r="J22" s="46"/>
      <c r="K22" s="46">
        <v>0</v>
      </c>
      <c r="L22" s="46"/>
      <c r="M22" s="46">
        <v>0</v>
      </c>
      <c r="N22" s="46"/>
      <c r="O22" s="46">
        <v>0</v>
      </c>
      <c r="P22" s="46"/>
      <c r="Q22" s="46">
        <v>0</v>
      </c>
      <c r="R22" s="46"/>
      <c r="S22" s="46">
        <v>0</v>
      </c>
      <c r="T22" s="46"/>
      <c r="U22" s="46">
        <v>0</v>
      </c>
      <c r="V22" s="47"/>
      <c r="W22" s="46">
        <v>0</v>
      </c>
      <c r="X22" s="47"/>
      <c r="Y22" s="46">
        <v>0</v>
      </c>
      <c r="Z22" s="46"/>
      <c r="AA22" s="46">
        <v>0</v>
      </c>
      <c r="AB22" s="46"/>
      <c r="AC22" s="46">
        <v>0</v>
      </c>
      <c r="AD22" s="46"/>
      <c r="AE22" s="46">
        <v>0</v>
      </c>
      <c r="AF22" s="46"/>
      <c r="AG22" s="46">
        <v>0</v>
      </c>
      <c r="AH22" s="46"/>
      <c r="AI22" s="10">
        <f t="shared" si="0"/>
        <v>0</v>
      </c>
      <c r="AJ22" s="10"/>
      <c r="AK22" s="22"/>
      <c r="AL22" s="22"/>
      <c r="AM22" s="22"/>
    </row>
    <row r="23" spans="1:39">
      <c r="A23" s="1" t="s">
        <v>421</v>
      </c>
      <c r="C23" s="1" t="s">
        <v>420</v>
      </c>
      <c r="E23" s="46">
        <v>18528</v>
      </c>
      <c r="F23" s="46"/>
      <c r="G23" s="46">
        <v>0</v>
      </c>
      <c r="H23" s="46"/>
      <c r="I23" s="46">
        <v>61847</v>
      </c>
      <c r="J23" s="46"/>
      <c r="K23" s="46">
        <v>0</v>
      </c>
      <c r="L23" s="46"/>
      <c r="M23" s="46">
        <v>0</v>
      </c>
      <c r="N23" s="46"/>
      <c r="O23" s="46">
        <v>21902</v>
      </c>
      <c r="P23" s="46"/>
      <c r="Q23" s="46">
        <v>1190</v>
      </c>
      <c r="R23" s="46"/>
      <c r="S23" s="46">
        <v>7662</v>
      </c>
      <c r="T23" s="46"/>
      <c r="U23" s="46">
        <v>0</v>
      </c>
      <c r="V23" s="46"/>
      <c r="W23" s="46">
        <v>0</v>
      </c>
      <c r="X23" s="46"/>
      <c r="Y23" s="46">
        <v>0</v>
      </c>
      <c r="Z23" s="46"/>
      <c r="AA23" s="46">
        <v>0</v>
      </c>
      <c r="AB23" s="46"/>
      <c r="AC23" s="46">
        <v>0</v>
      </c>
      <c r="AD23" s="46"/>
      <c r="AE23" s="46">
        <v>0</v>
      </c>
      <c r="AF23" s="46"/>
      <c r="AG23" s="46">
        <v>0</v>
      </c>
      <c r="AH23" s="46"/>
      <c r="AI23" s="10">
        <f t="shared" si="0"/>
        <v>111129</v>
      </c>
      <c r="AJ23" s="10"/>
    </row>
    <row r="24" spans="1:39" hidden="1">
      <c r="A24" s="1" t="s">
        <v>221</v>
      </c>
      <c r="C24" s="1" t="s">
        <v>819</v>
      </c>
      <c r="E24" s="46">
        <v>0</v>
      </c>
      <c r="F24" s="46"/>
      <c r="G24" s="46">
        <v>0</v>
      </c>
      <c r="H24" s="46"/>
      <c r="I24" s="46">
        <v>0</v>
      </c>
      <c r="J24" s="46"/>
      <c r="K24" s="46">
        <v>0</v>
      </c>
      <c r="L24" s="46"/>
      <c r="M24" s="46">
        <v>0</v>
      </c>
      <c r="N24" s="46"/>
      <c r="O24" s="46">
        <v>0</v>
      </c>
      <c r="P24" s="46"/>
      <c r="Q24" s="46">
        <v>0</v>
      </c>
      <c r="R24" s="46"/>
      <c r="S24" s="46">
        <v>0</v>
      </c>
      <c r="T24" s="46"/>
      <c r="U24" s="46">
        <v>0</v>
      </c>
      <c r="V24" s="47"/>
      <c r="W24" s="46">
        <v>0</v>
      </c>
      <c r="X24" s="47"/>
      <c r="Y24" s="46">
        <v>0</v>
      </c>
      <c r="Z24" s="46"/>
      <c r="AA24" s="46">
        <v>0</v>
      </c>
      <c r="AB24" s="46"/>
      <c r="AC24" s="46">
        <v>0</v>
      </c>
      <c r="AD24" s="46"/>
      <c r="AE24" s="46">
        <v>0</v>
      </c>
      <c r="AF24" s="46"/>
      <c r="AG24" s="46">
        <v>0</v>
      </c>
      <c r="AH24" s="46"/>
      <c r="AI24" s="10">
        <f t="shared" si="0"/>
        <v>0</v>
      </c>
      <c r="AJ24" s="10"/>
    </row>
    <row r="25" spans="1:39">
      <c r="A25" s="1" t="s">
        <v>328</v>
      </c>
      <c r="C25" s="1" t="s">
        <v>329</v>
      </c>
      <c r="E25" s="46">
        <v>85824</v>
      </c>
      <c r="F25" s="46"/>
      <c r="G25" s="46">
        <v>151013</v>
      </c>
      <c r="H25" s="46"/>
      <c r="I25" s="46">
        <v>159871</v>
      </c>
      <c r="J25" s="46"/>
      <c r="K25" s="46">
        <v>86504</v>
      </c>
      <c r="L25" s="46"/>
      <c r="M25" s="46">
        <v>8476</v>
      </c>
      <c r="N25" s="46"/>
      <c r="O25" s="46">
        <v>220</v>
      </c>
      <c r="P25" s="46"/>
      <c r="Q25" s="46">
        <v>3205</v>
      </c>
      <c r="R25" s="46"/>
      <c r="S25" s="46">
        <v>28351</v>
      </c>
      <c r="T25" s="46"/>
      <c r="U25" s="46">
        <v>150000</v>
      </c>
      <c r="V25" s="46"/>
      <c r="W25" s="46">
        <v>0</v>
      </c>
      <c r="X25" s="46"/>
      <c r="Y25" s="46">
        <v>0</v>
      </c>
      <c r="Z25" s="46"/>
      <c r="AA25" s="46">
        <v>0</v>
      </c>
      <c r="AB25" s="46"/>
      <c r="AC25" s="46">
        <v>0</v>
      </c>
      <c r="AD25" s="46"/>
      <c r="AE25" s="46">
        <v>0</v>
      </c>
      <c r="AF25" s="46"/>
      <c r="AG25" s="46">
        <v>0</v>
      </c>
      <c r="AH25" s="46"/>
      <c r="AI25" s="10">
        <f t="shared" si="0"/>
        <v>673464</v>
      </c>
      <c r="AJ25" s="10"/>
      <c r="AK25" s="7"/>
      <c r="AL25" s="7"/>
      <c r="AM25" s="7"/>
    </row>
    <row r="26" spans="1:39" s="21" customFormat="1">
      <c r="A26" s="1" t="s">
        <v>476</v>
      </c>
      <c r="B26" s="1"/>
      <c r="C26" s="1" t="s">
        <v>477</v>
      </c>
      <c r="D26" s="1"/>
      <c r="E26" s="46">
        <v>4326</v>
      </c>
      <c r="F26" s="46"/>
      <c r="G26" s="46">
        <v>0</v>
      </c>
      <c r="H26" s="46"/>
      <c r="I26" s="46">
        <v>4552</v>
      </c>
      <c r="J26" s="46"/>
      <c r="K26" s="46">
        <v>0</v>
      </c>
      <c r="L26" s="46"/>
      <c r="M26" s="46">
        <v>0</v>
      </c>
      <c r="N26" s="46"/>
      <c r="O26" s="46">
        <v>0</v>
      </c>
      <c r="P26" s="46"/>
      <c r="Q26" s="46">
        <v>0</v>
      </c>
      <c r="R26" s="46"/>
      <c r="S26" s="46">
        <v>0</v>
      </c>
      <c r="T26" s="46"/>
      <c r="U26" s="46">
        <v>0</v>
      </c>
      <c r="V26" s="46"/>
      <c r="W26" s="46">
        <v>0</v>
      </c>
      <c r="X26" s="46"/>
      <c r="Y26" s="46">
        <v>0</v>
      </c>
      <c r="Z26" s="46"/>
      <c r="AA26" s="46">
        <v>0</v>
      </c>
      <c r="AB26" s="46"/>
      <c r="AC26" s="46">
        <v>0</v>
      </c>
      <c r="AD26" s="46"/>
      <c r="AE26" s="46">
        <v>0</v>
      </c>
      <c r="AF26" s="46"/>
      <c r="AG26" s="46">
        <v>0</v>
      </c>
      <c r="AH26" s="46"/>
      <c r="AI26" s="10">
        <f t="shared" si="0"/>
        <v>8878</v>
      </c>
      <c r="AJ26" s="10"/>
    </row>
    <row r="27" spans="1:39">
      <c r="A27" s="1" t="s">
        <v>499</v>
      </c>
      <c r="C27" s="1" t="s">
        <v>500</v>
      </c>
      <c r="E27" s="46">
        <v>46898</v>
      </c>
      <c r="F27" s="46"/>
      <c r="G27" s="46">
        <v>256692</v>
      </c>
      <c r="H27" s="46"/>
      <c r="I27" s="46">
        <v>58047</v>
      </c>
      <c r="J27" s="46"/>
      <c r="K27" s="46">
        <v>0</v>
      </c>
      <c r="L27" s="46"/>
      <c r="M27" s="46">
        <v>0</v>
      </c>
      <c r="N27" s="46"/>
      <c r="O27" s="46">
        <v>77146</v>
      </c>
      <c r="P27" s="46"/>
      <c r="Q27" s="46">
        <v>2069</v>
      </c>
      <c r="R27" s="46"/>
      <c r="S27" s="46">
        <v>2402</v>
      </c>
      <c r="T27" s="46"/>
      <c r="U27" s="46">
        <v>0</v>
      </c>
      <c r="V27" s="46"/>
      <c r="W27" s="46">
        <v>0</v>
      </c>
      <c r="X27" s="46"/>
      <c r="Y27" s="46">
        <v>0</v>
      </c>
      <c r="Z27" s="46"/>
      <c r="AA27" s="46">
        <v>0</v>
      </c>
      <c r="AB27" s="46"/>
      <c r="AC27" s="46">
        <v>0</v>
      </c>
      <c r="AD27" s="46"/>
      <c r="AE27" s="46">
        <v>0</v>
      </c>
      <c r="AF27" s="46"/>
      <c r="AG27" s="46">
        <v>0</v>
      </c>
      <c r="AH27" s="46"/>
      <c r="AI27" s="10">
        <f t="shared" si="0"/>
        <v>443254</v>
      </c>
      <c r="AJ27" s="10"/>
    </row>
    <row r="28" spans="1:39" s="21" customFormat="1">
      <c r="A28" s="1" t="s">
        <v>592</v>
      </c>
      <c r="B28" s="1"/>
      <c r="C28" s="1" t="s">
        <v>593</v>
      </c>
      <c r="D28" s="1"/>
      <c r="E28" s="46">
        <v>47105</v>
      </c>
      <c r="F28" s="46"/>
      <c r="G28" s="46">
        <v>193574</v>
      </c>
      <c r="H28" s="46"/>
      <c r="I28" s="46">
        <v>34854</v>
      </c>
      <c r="J28" s="46"/>
      <c r="K28" s="46">
        <v>0</v>
      </c>
      <c r="L28" s="46"/>
      <c r="M28" s="46">
        <v>0</v>
      </c>
      <c r="N28" s="46"/>
      <c r="O28" s="46">
        <v>2828</v>
      </c>
      <c r="P28" s="46"/>
      <c r="Q28" s="46">
        <v>17900</v>
      </c>
      <c r="R28" s="46"/>
      <c r="S28" s="46">
        <v>8186</v>
      </c>
      <c r="T28" s="46"/>
      <c r="U28" s="46">
        <v>0</v>
      </c>
      <c r="V28" s="46"/>
      <c r="W28" s="46">
        <v>0</v>
      </c>
      <c r="X28" s="46"/>
      <c r="Y28" s="46">
        <v>0</v>
      </c>
      <c r="Z28" s="46"/>
      <c r="AA28" s="46">
        <v>0</v>
      </c>
      <c r="AB28" s="46"/>
      <c r="AC28" s="46">
        <v>50000</v>
      </c>
      <c r="AD28" s="46"/>
      <c r="AE28" s="46">
        <v>0</v>
      </c>
      <c r="AF28" s="46"/>
      <c r="AG28" s="46">
        <v>0</v>
      </c>
      <c r="AH28" s="46"/>
      <c r="AI28" s="10">
        <f t="shared" si="0"/>
        <v>354447</v>
      </c>
      <c r="AJ28" s="10"/>
    </row>
    <row r="29" spans="1:39" s="21" customFormat="1" hidden="1">
      <c r="A29" s="1" t="s">
        <v>716</v>
      </c>
      <c r="B29" s="1"/>
      <c r="C29" s="1" t="s">
        <v>368</v>
      </c>
      <c r="D29" s="1"/>
      <c r="E29" s="46">
        <v>0</v>
      </c>
      <c r="F29" s="46"/>
      <c r="G29" s="46">
        <v>0</v>
      </c>
      <c r="H29" s="46"/>
      <c r="I29" s="46">
        <v>0</v>
      </c>
      <c r="J29" s="46"/>
      <c r="K29" s="46">
        <v>0</v>
      </c>
      <c r="L29" s="46"/>
      <c r="M29" s="46">
        <v>0</v>
      </c>
      <c r="N29" s="46"/>
      <c r="O29" s="46">
        <v>0</v>
      </c>
      <c r="P29" s="46"/>
      <c r="Q29" s="46">
        <v>0</v>
      </c>
      <c r="R29" s="46"/>
      <c r="S29" s="46">
        <v>0</v>
      </c>
      <c r="T29" s="47"/>
      <c r="U29" s="46">
        <v>0</v>
      </c>
      <c r="V29" s="47"/>
      <c r="W29" s="46">
        <v>0</v>
      </c>
      <c r="X29" s="46"/>
      <c r="Y29" s="46">
        <v>0</v>
      </c>
      <c r="Z29" s="46"/>
      <c r="AA29" s="46">
        <v>0</v>
      </c>
      <c r="AB29" s="46"/>
      <c r="AC29" s="46">
        <v>0</v>
      </c>
      <c r="AD29" s="46"/>
      <c r="AE29" s="46">
        <v>0</v>
      </c>
      <c r="AF29" s="46"/>
      <c r="AG29" s="46">
        <v>0</v>
      </c>
      <c r="AH29" s="46"/>
      <c r="AI29" s="10">
        <f t="shared" si="0"/>
        <v>0</v>
      </c>
      <c r="AJ29" s="10"/>
    </row>
    <row r="30" spans="1:39" s="21" customFormat="1" hidden="1">
      <c r="A30" s="1" t="s">
        <v>387</v>
      </c>
      <c r="B30" s="1"/>
      <c r="C30" s="1" t="s">
        <v>388</v>
      </c>
      <c r="D30" s="1"/>
      <c r="E30" s="46">
        <v>0</v>
      </c>
      <c r="F30" s="46"/>
      <c r="G30" s="46">
        <v>0</v>
      </c>
      <c r="H30" s="46"/>
      <c r="I30" s="46">
        <v>0</v>
      </c>
      <c r="J30" s="46"/>
      <c r="K30" s="46">
        <v>0</v>
      </c>
      <c r="L30" s="46"/>
      <c r="M30" s="46">
        <v>0</v>
      </c>
      <c r="N30" s="46"/>
      <c r="O30" s="46">
        <v>0</v>
      </c>
      <c r="P30" s="46"/>
      <c r="Q30" s="46">
        <v>0</v>
      </c>
      <c r="R30" s="46"/>
      <c r="S30" s="46">
        <v>0</v>
      </c>
      <c r="T30" s="46"/>
      <c r="U30" s="46">
        <v>0</v>
      </c>
      <c r="V30" s="47"/>
      <c r="W30" s="46">
        <v>0</v>
      </c>
      <c r="X30" s="47"/>
      <c r="Y30" s="46">
        <v>0</v>
      </c>
      <c r="Z30" s="46"/>
      <c r="AA30" s="46">
        <v>0</v>
      </c>
      <c r="AB30" s="46"/>
      <c r="AC30" s="46">
        <v>0</v>
      </c>
      <c r="AD30" s="46"/>
      <c r="AE30" s="46">
        <v>0</v>
      </c>
      <c r="AF30" s="46"/>
      <c r="AG30" s="46">
        <v>0</v>
      </c>
      <c r="AH30" s="46"/>
      <c r="AI30" s="10">
        <f t="shared" si="0"/>
        <v>0</v>
      </c>
      <c r="AJ30" s="10"/>
    </row>
    <row r="31" spans="1:39" s="21" customFormat="1">
      <c r="A31" s="1" t="s">
        <v>330</v>
      </c>
      <c r="B31" s="1"/>
      <c r="C31" s="1" t="s">
        <v>329</v>
      </c>
      <c r="D31" s="1"/>
      <c r="E31" s="46">
        <v>67130</v>
      </c>
      <c r="F31" s="46"/>
      <c r="G31" s="46">
        <v>276543</v>
      </c>
      <c r="H31" s="46"/>
      <c r="I31" s="46">
        <v>178916</v>
      </c>
      <c r="J31" s="46"/>
      <c r="K31" s="46">
        <v>0</v>
      </c>
      <c r="L31" s="46"/>
      <c r="M31" s="46">
        <v>1215</v>
      </c>
      <c r="N31" s="46"/>
      <c r="O31" s="46">
        <v>1498</v>
      </c>
      <c r="P31" s="46"/>
      <c r="Q31" s="46">
        <v>81400</v>
      </c>
      <c r="R31" s="46"/>
      <c r="S31" s="46">
        <v>15762</v>
      </c>
      <c r="T31" s="46"/>
      <c r="U31" s="46">
        <v>0</v>
      </c>
      <c r="V31" s="46"/>
      <c r="W31" s="46">
        <v>0</v>
      </c>
      <c r="X31" s="46"/>
      <c r="Y31" s="46">
        <v>0</v>
      </c>
      <c r="Z31" s="46"/>
      <c r="AA31" s="46">
        <v>67961</v>
      </c>
      <c r="AB31" s="46"/>
      <c r="AC31" s="46">
        <v>0</v>
      </c>
      <c r="AD31" s="46"/>
      <c r="AE31" s="46">
        <v>24257</v>
      </c>
      <c r="AF31" s="46"/>
      <c r="AG31" s="46">
        <v>0</v>
      </c>
      <c r="AH31" s="46"/>
      <c r="AI31" s="10">
        <f t="shared" si="0"/>
        <v>714682</v>
      </c>
      <c r="AJ31" s="10"/>
      <c r="AK31" s="22"/>
      <c r="AL31" s="22"/>
      <c r="AM31" s="22"/>
    </row>
    <row r="32" spans="1:39" s="21" customFormat="1">
      <c r="A32" s="1" t="s">
        <v>357</v>
      </c>
      <c r="B32" s="1"/>
      <c r="C32" s="1" t="s">
        <v>358</v>
      </c>
      <c r="D32" s="1"/>
      <c r="E32" s="46">
        <v>1007215</v>
      </c>
      <c r="F32" s="46"/>
      <c r="G32" s="46">
        <v>3485256</v>
      </c>
      <c r="H32" s="46"/>
      <c r="I32" s="46">
        <v>403075</v>
      </c>
      <c r="J32" s="46"/>
      <c r="K32" s="46">
        <v>0</v>
      </c>
      <c r="L32" s="46"/>
      <c r="M32" s="46">
        <v>522857</v>
      </c>
      <c r="N32" s="46"/>
      <c r="O32" s="46">
        <v>15105</v>
      </c>
      <c r="P32" s="46"/>
      <c r="Q32" s="46">
        <v>80099</v>
      </c>
      <c r="R32" s="46"/>
      <c r="S32" s="46">
        <v>86437</v>
      </c>
      <c r="T32" s="46"/>
      <c r="U32" s="46">
        <v>0</v>
      </c>
      <c r="V32" s="46"/>
      <c r="W32" s="46">
        <v>0</v>
      </c>
      <c r="X32" s="46"/>
      <c r="Y32" s="46">
        <v>0</v>
      </c>
      <c r="Z32" s="46"/>
      <c r="AA32" s="46">
        <v>0</v>
      </c>
      <c r="AB32" s="46"/>
      <c r="AC32" s="46">
        <v>0</v>
      </c>
      <c r="AD32" s="46"/>
      <c r="AE32" s="46">
        <v>310494</v>
      </c>
      <c r="AF32" s="46"/>
      <c r="AG32" s="46">
        <v>0</v>
      </c>
      <c r="AH32" s="46"/>
      <c r="AI32" s="10">
        <f t="shared" si="0"/>
        <v>5910538</v>
      </c>
      <c r="AJ32" s="10"/>
    </row>
    <row r="33" spans="1:39">
      <c r="A33" s="1" t="s">
        <v>98</v>
      </c>
      <c r="C33" s="1" t="s">
        <v>779</v>
      </c>
      <c r="E33" s="46">
        <v>50121</v>
      </c>
      <c r="F33" s="46"/>
      <c r="G33" s="46">
        <v>161369</v>
      </c>
      <c r="H33" s="46"/>
      <c r="I33" s="46">
        <v>56222</v>
      </c>
      <c r="J33" s="46"/>
      <c r="K33" s="46">
        <v>0</v>
      </c>
      <c r="L33" s="46"/>
      <c r="M33" s="46">
        <v>250</v>
      </c>
      <c r="N33" s="46"/>
      <c r="O33" s="46">
        <v>958</v>
      </c>
      <c r="P33" s="46"/>
      <c r="Q33" s="46">
        <v>27230</v>
      </c>
      <c r="R33" s="46"/>
      <c r="S33" s="46">
        <v>0</v>
      </c>
      <c r="T33" s="46"/>
      <c r="U33" s="46">
        <v>0</v>
      </c>
      <c r="V33" s="46"/>
      <c r="W33" s="46">
        <v>0</v>
      </c>
      <c r="X33" s="46"/>
      <c r="Y33" s="46">
        <v>0</v>
      </c>
      <c r="Z33" s="46"/>
      <c r="AA33" s="46">
        <v>0</v>
      </c>
      <c r="AB33" s="46"/>
      <c r="AC33" s="46">
        <v>5500</v>
      </c>
      <c r="AD33" s="46"/>
      <c r="AE33" s="46">
        <v>7843</v>
      </c>
      <c r="AF33" s="46"/>
      <c r="AG33" s="46">
        <v>0</v>
      </c>
      <c r="AH33" s="46"/>
      <c r="AI33" s="10">
        <f t="shared" si="0"/>
        <v>309493</v>
      </c>
      <c r="AJ33" s="10"/>
    </row>
    <row r="34" spans="1:39" s="21" customFormat="1">
      <c r="A34" s="1" t="s">
        <v>379</v>
      </c>
      <c r="B34" s="1"/>
      <c r="C34" s="1" t="s">
        <v>378</v>
      </c>
      <c r="D34" s="1"/>
      <c r="E34" s="46">
        <v>528123</v>
      </c>
      <c r="F34" s="46"/>
      <c r="G34" s="46">
        <v>0</v>
      </c>
      <c r="H34" s="48"/>
      <c r="I34" s="46">
        <v>25214</v>
      </c>
      <c r="J34" s="46"/>
      <c r="K34" s="46">
        <v>0</v>
      </c>
      <c r="L34" s="46"/>
      <c r="M34" s="46">
        <v>0</v>
      </c>
      <c r="N34" s="46"/>
      <c r="O34" s="46">
        <v>197537</v>
      </c>
      <c r="P34" s="46"/>
      <c r="Q34" s="46">
        <v>0</v>
      </c>
      <c r="R34" s="46"/>
      <c r="S34" s="46">
        <v>10021</v>
      </c>
      <c r="T34" s="46"/>
      <c r="U34" s="46">
        <v>0</v>
      </c>
      <c r="V34" s="46"/>
      <c r="W34" s="46">
        <v>0</v>
      </c>
      <c r="X34" s="46"/>
      <c r="Y34" s="46">
        <v>990</v>
      </c>
      <c r="Z34" s="46"/>
      <c r="AA34" s="46">
        <v>0</v>
      </c>
      <c r="AB34" s="46"/>
      <c r="AC34" s="46">
        <v>0</v>
      </c>
      <c r="AD34" s="46"/>
      <c r="AE34" s="46">
        <v>0</v>
      </c>
      <c r="AF34" s="46"/>
      <c r="AG34" s="46">
        <v>0</v>
      </c>
      <c r="AH34" s="46"/>
      <c r="AI34" s="10">
        <f t="shared" si="0"/>
        <v>761885</v>
      </c>
      <c r="AJ34" s="10"/>
    </row>
    <row r="35" spans="1:39" hidden="1">
      <c r="A35" s="1" t="s">
        <v>854</v>
      </c>
      <c r="C35" s="1" t="s">
        <v>809</v>
      </c>
      <c r="E35" s="46">
        <v>0</v>
      </c>
      <c r="F35" s="46"/>
      <c r="G35" s="46">
        <v>0</v>
      </c>
      <c r="H35" s="46"/>
      <c r="I35" s="46">
        <v>0</v>
      </c>
      <c r="J35" s="46"/>
      <c r="K35" s="46">
        <v>0</v>
      </c>
      <c r="L35" s="46"/>
      <c r="M35" s="46">
        <v>0</v>
      </c>
      <c r="N35" s="46"/>
      <c r="O35" s="46">
        <v>0</v>
      </c>
      <c r="P35" s="46"/>
      <c r="Q35" s="46">
        <v>0</v>
      </c>
      <c r="R35" s="46"/>
      <c r="S35" s="46">
        <v>0</v>
      </c>
      <c r="T35" s="46"/>
      <c r="U35" s="46">
        <v>0</v>
      </c>
      <c r="V35" s="47"/>
      <c r="W35" s="46">
        <v>0</v>
      </c>
      <c r="X35" s="47"/>
      <c r="Y35" s="46">
        <v>0</v>
      </c>
      <c r="Z35" s="46"/>
      <c r="AA35" s="46">
        <v>0</v>
      </c>
      <c r="AB35" s="46"/>
      <c r="AC35" s="46">
        <v>0</v>
      </c>
      <c r="AD35" s="46"/>
      <c r="AE35" s="46">
        <v>0</v>
      </c>
      <c r="AF35" s="46"/>
      <c r="AG35" s="46">
        <v>0</v>
      </c>
      <c r="AH35" s="46"/>
      <c r="AI35" s="10">
        <f t="shared" si="0"/>
        <v>0</v>
      </c>
      <c r="AJ35" s="10"/>
    </row>
    <row r="36" spans="1:39" s="15" customFormat="1">
      <c r="A36" s="15" t="s">
        <v>899</v>
      </c>
      <c r="C36" s="15" t="s">
        <v>437</v>
      </c>
      <c r="E36" s="47">
        <v>3921</v>
      </c>
      <c r="F36" s="47"/>
      <c r="G36" s="47">
        <v>0</v>
      </c>
      <c r="H36" s="47"/>
      <c r="I36" s="47">
        <v>18117</v>
      </c>
      <c r="J36" s="47"/>
      <c r="K36" s="47">
        <v>0</v>
      </c>
      <c r="L36" s="47"/>
      <c r="M36" s="47">
        <v>0</v>
      </c>
      <c r="N36" s="47"/>
      <c r="O36" s="47">
        <v>0</v>
      </c>
      <c r="P36" s="47"/>
      <c r="Q36" s="47">
        <v>3</v>
      </c>
      <c r="R36" s="47"/>
      <c r="S36" s="47">
        <v>3619</v>
      </c>
      <c r="T36" s="47"/>
      <c r="U36" s="47">
        <v>0</v>
      </c>
      <c r="V36" s="47"/>
      <c r="W36" s="47">
        <v>0</v>
      </c>
      <c r="X36" s="47"/>
      <c r="Y36" s="47">
        <v>0</v>
      </c>
      <c r="Z36" s="47"/>
      <c r="AA36" s="47">
        <v>0</v>
      </c>
      <c r="AB36" s="47"/>
      <c r="AC36" s="47">
        <v>0</v>
      </c>
      <c r="AD36" s="47"/>
      <c r="AE36" s="47">
        <v>0</v>
      </c>
      <c r="AF36" s="47"/>
      <c r="AG36" s="47">
        <v>0</v>
      </c>
      <c r="AH36" s="47"/>
      <c r="AI36" s="24">
        <f t="shared" si="0"/>
        <v>25660</v>
      </c>
      <c r="AJ36" s="24"/>
    </row>
    <row r="37" spans="1:39" hidden="1">
      <c r="A37" s="1" t="s">
        <v>218</v>
      </c>
      <c r="C37" s="1" t="s">
        <v>818</v>
      </c>
      <c r="E37" s="46">
        <v>0</v>
      </c>
      <c r="F37" s="46"/>
      <c r="G37" s="46">
        <v>0</v>
      </c>
      <c r="H37" s="46"/>
      <c r="I37" s="46">
        <v>0</v>
      </c>
      <c r="J37" s="46"/>
      <c r="K37" s="46">
        <v>0</v>
      </c>
      <c r="L37" s="46"/>
      <c r="M37" s="46">
        <v>0</v>
      </c>
      <c r="N37" s="46"/>
      <c r="O37" s="46">
        <v>0</v>
      </c>
      <c r="P37" s="46"/>
      <c r="Q37" s="46">
        <v>0</v>
      </c>
      <c r="R37" s="46"/>
      <c r="S37" s="46">
        <v>0</v>
      </c>
      <c r="T37" s="46"/>
      <c r="U37" s="46">
        <v>0</v>
      </c>
      <c r="V37" s="47"/>
      <c r="W37" s="46">
        <v>0</v>
      </c>
      <c r="X37" s="47"/>
      <c r="Y37" s="46">
        <v>0</v>
      </c>
      <c r="Z37" s="46"/>
      <c r="AA37" s="46">
        <v>0</v>
      </c>
      <c r="AB37" s="46"/>
      <c r="AC37" s="46">
        <v>0</v>
      </c>
      <c r="AD37" s="46"/>
      <c r="AE37" s="46">
        <v>0</v>
      </c>
      <c r="AF37" s="46"/>
      <c r="AG37" s="46">
        <v>0</v>
      </c>
      <c r="AH37" s="46"/>
      <c r="AI37" s="10">
        <f t="shared" si="0"/>
        <v>0</v>
      </c>
      <c r="AJ37" s="10"/>
    </row>
    <row r="38" spans="1:39" s="21" customFormat="1">
      <c r="A38" s="1" t="s">
        <v>673</v>
      </c>
      <c r="B38" s="1"/>
      <c r="C38" s="1" t="s">
        <v>672</v>
      </c>
      <c r="D38" s="1"/>
      <c r="E38" s="46">
        <v>5360</v>
      </c>
      <c r="F38" s="46"/>
      <c r="G38" s="46">
        <v>0</v>
      </c>
      <c r="H38" s="46"/>
      <c r="I38" s="46">
        <v>49718</v>
      </c>
      <c r="J38" s="46"/>
      <c r="K38" s="46">
        <v>0</v>
      </c>
      <c r="L38" s="46"/>
      <c r="M38" s="46">
        <v>3000</v>
      </c>
      <c r="N38" s="46"/>
      <c r="O38" s="46">
        <v>2258</v>
      </c>
      <c r="P38" s="46"/>
      <c r="Q38" s="46">
        <v>196</v>
      </c>
      <c r="R38" s="46"/>
      <c r="S38" s="46">
        <v>122</v>
      </c>
      <c r="T38" s="46"/>
      <c r="U38" s="46">
        <v>0</v>
      </c>
      <c r="V38" s="46"/>
      <c r="W38" s="46">
        <v>0</v>
      </c>
      <c r="X38" s="46"/>
      <c r="Y38" s="46">
        <v>0</v>
      </c>
      <c r="Z38" s="46"/>
      <c r="AA38" s="46">
        <v>0</v>
      </c>
      <c r="AB38" s="46"/>
      <c r="AC38" s="46">
        <v>0</v>
      </c>
      <c r="AD38" s="46"/>
      <c r="AE38" s="46">
        <v>0</v>
      </c>
      <c r="AF38" s="46"/>
      <c r="AG38" s="46">
        <v>0</v>
      </c>
      <c r="AH38" s="46"/>
      <c r="AI38" s="10">
        <f t="shared" si="0"/>
        <v>60654</v>
      </c>
      <c r="AJ38" s="10"/>
      <c r="AK38" s="22"/>
      <c r="AL38" s="22"/>
      <c r="AM38" s="22"/>
    </row>
    <row r="39" spans="1:39" s="21" customFormat="1" hidden="1">
      <c r="A39" s="1" t="s">
        <v>855</v>
      </c>
      <c r="B39" s="1"/>
      <c r="C39" s="1" t="s">
        <v>815</v>
      </c>
      <c r="D39" s="1"/>
      <c r="E39" s="46">
        <v>0</v>
      </c>
      <c r="F39" s="46"/>
      <c r="G39" s="46">
        <v>0</v>
      </c>
      <c r="H39" s="46"/>
      <c r="I39" s="46">
        <v>0</v>
      </c>
      <c r="J39" s="46"/>
      <c r="K39" s="46">
        <v>0</v>
      </c>
      <c r="L39" s="46"/>
      <c r="M39" s="46">
        <v>0</v>
      </c>
      <c r="N39" s="46"/>
      <c r="O39" s="46">
        <v>0</v>
      </c>
      <c r="P39" s="46"/>
      <c r="Q39" s="46">
        <v>0</v>
      </c>
      <c r="R39" s="46"/>
      <c r="S39" s="46">
        <v>0</v>
      </c>
      <c r="T39" s="46"/>
      <c r="U39" s="46">
        <v>0</v>
      </c>
      <c r="V39" s="47"/>
      <c r="W39" s="46">
        <v>0</v>
      </c>
      <c r="X39" s="47"/>
      <c r="Y39" s="46">
        <v>0</v>
      </c>
      <c r="Z39" s="46"/>
      <c r="AA39" s="46">
        <v>0</v>
      </c>
      <c r="AB39" s="46"/>
      <c r="AC39" s="46">
        <v>0</v>
      </c>
      <c r="AD39" s="46"/>
      <c r="AE39" s="46">
        <v>0</v>
      </c>
      <c r="AF39" s="46"/>
      <c r="AG39" s="46">
        <v>0</v>
      </c>
      <c r="AH39" s="46"/>
      <c r="AI39" s="10">
        <f t="shared" si="0"/>
        <v>0</v>
      </c>
      <c r="AJ39" s="10"/>
    </row>
    <row r="40" spans="1:39" s="21" customFormat="1" hidden="1">
      <c r="A40" s="1" t="s">
        <v>605</v>
      </c>
      <c r="B40" s="1"/>
      <c r="C40" s="1" t="s">
        <v>606</v>
      </c>
      <c r="D40" s="1"/>
      <c r="E40" s="46">
        <v>0</v>
      </c>
      <c r="F40" s="46"/>
      <c r="G40" s="46">
        <v>0</v>
      </c>
      <c r="H40" s="46"/>
      <c r="I40" s="46">
        <v>0</v>
      </c>
      <c r="J40" s="46"/>
      <c r="K40" s="46">
        <v>0</v>
      </c>
      <c r="L40" s="46"/>
      <c r="M40" s="46">
        <v>0</v>
      </c>
      <c r="N40" s="46"/>
      <c r="O40" s="46">
        <v>0</v>
      </c>
      <c r="P40" s="46"/>
      <c r="Q40" s="46">
        <v>0</v>
      </c>
      <c r="R40" s="46"/>
      <c r="S40" s="46">
        <v>0</v>
      </c>
      <c r="T40" s="46"/>
      <c r="U40" s="46">
        <v>0</v>
      </c>
      <c r="V40" s="46"/>
      <c r="W40" s="46">
        <v>0</v>
      </c>
      <c r="X40" s="46"/>
      <c r="Y40" s="46">
        <v>0</v>
      </c>
      <c r="Z40" s="46"/>
      <c r="AA40" s="46">
        <v>0</v>
      </c>
      <c r="AB40" s="46"/>
      <c r="AC40" s="46">
        <v>0</v>
      </c>
      <c r="AD40" s="46"/>
      <c r="AE40" s="46">
        <v>0</v>
      </c>
      <c r="AF40" s="46"/>
      <c r="AG40" s="46">
        <v>0</v>
      </c>
      <c r="AH40" s="46"/>
      <c r="AI40" s="10">
        <f t="shared" ref="AI40:AI71" si="1">SUM(E40:AG40)</f>
        <v>0</v>
      </c>
      <c r="AJ40" s="10"/>
    </row>
    <row r="41" spans="1:39">
      <c r="A41" s="1" t="s">
        <v>564</v>
      </c>
      <c r="C41" s="1" t="s">
        <v>565</v>
      </c>
      <c r="E41" s="46">
        <v>49100</v>
      </c>
      <c r="F41" s="46"/>
      <c r="G41" s="46">
        <v>62901</v>
      </c>
      <c r="H41" s="46"/>
      <c r="I41" s="46">
        <v>31016</v>
      </c>
      <c r="J41" s="46"/>
      <c r="K41" s="46">
        <v>0</v>
      </c>
      <c r="L41" s="46"/>
      <c r="M41" s="46">
        <v>4495</v>
      </c>
      <c r="N41" s="46"/>
      <c r="O41" s="46">
        <v>1455</v>
      </c>
      <c r="P41" s="46"/>
      <c r="Q41" s="46">
        <v>2277</v>
      </c>
      <c r="R41" s="46"/>
      <c r="S41" s="46">
        <v>3091</v>
      </c>
      <c r="T41" s="46"/>
      <c r="U41" s="46">
        <v>0</v>
      </c>
      <c r="V41" s="46"/>
      <c r="W41" s="46">
        <v>0</v>
      </c>
      <c r="X41" s="46"/>
      <c r="Y41" s="46">
        <v>0</v>
      </c>
      <c r="Z41" s="46"/>
      <c r="AA41" s="46">
        <v>0</v>
      </c>
      <c r="AB41" s="46"/>
      <c r="AC41" s="46">
        <v>0</v>
      </c>
      <c r="AD41" s="46"/>
      <c r="AE41" s="46">
        <v>1009</v>
      </c>
      <c r="AF41" s="46"/>
      <c r="AG41" s="46">
        <v>0</v>
      </c>
      <c r="AH41" s="46"/>
      <c r="AI41" s="10">
        <f t="shared" si="1"/>
        <v>155344</v>
      </c>
      <c r="AJ41" s="10"/>
    </row>
    <row r="42" spans="1:39" s="21" customFormat="1">
      <c r="A42" s="1" t="s">
        <v>349</v>
      </c>
      <c r="B42" s="1"/>
      <c r="C42" s="1" t="s">
        <v>350</v>
      </c>
      <c r="D42" s="1"/>
      <c r="E42" s="46">
        <v>88081</v>
      </c>
      <c r="F42" s="46"/>
      <c r="G42" s="46">
        <v>244034</v>
      </c>
      <c r="H42" s="46"/>
      <c r="I42" s="46">
        <v>65258</v>
      </c>
      <c r="J42" s="46"/>
      <c r="K42" s="46">
        <v>0</v>
      </c>
      <c r="L42" s="46"/>
      <c r="M42" s="46">
        <v>15940</v>
      </c>
      <c r="N42" s="46"/>
      <c r="O42" s="46">
        <v>37604</v>
      </c>
      <c r="P42" s="46"/>
      <c r="Q42" s="46">
        <v>33624</v>
      </c>
      <c r="R42" s="46"/>
      <c r="S42" s="46">
        <v>8958</v>
      </c>
      <c r="T42" s="46"/>
      <c r="U42" s="46">
        <v>0</v>
      </c>
      <c r="V42" s="46"/>
      <c r="W42" s="46">
        <v>0</v>
      </c>
      <c r="X42" s="46"/>
      <c r="Y42" s="46">
        <v>0</v>
      </c>
      <c r="Z42" s="46"/>
      <c r="AA42" s="46">
        <v>0</v>
      </c>
      <c r="AB42" s="46"/>
      <c r="AC42" s="46">
        <v>0</v>
      </c>
      <c r="AD42" s="46"/>
      <c r="AE42" s="46">
        <v>0</v>
      </c>
      <c r="AF42" s="46"/>
      <c r="AG42" s="46">
        <v>0</v>
      </c>
      <c r="AH42" s="46"/>
      <c r="AI42" s="10">
        <f t="shared" si="1"/>
        <v>493499</v>
      </c>
      <c r="AJ42" s="10"/>
    </row>
    <row r="43" spans="1:39" s="21" customFormat="1">
      <c r="A43" s="1" t="s">
        <v>278</v>
      </c>
      <c r="B43" s="1"/>
      <c r="C43" s="1" t="s">
        <v>279</v>
      </c>
      <c r="D43" s="1"/>
      <c r="E43" s="46">
        <v>131654</v>
      </c>
      <c r="F43" s="46"/>
      <c r="G43" s="46">
        <v>0</v>
      </c>
      <c r="H43" s="46"/>
      <c r="I43" s="46">
        <v>424706</v>
      </c>
      <c r="J43" s="46"/>
      <c r="K43" s="46">
        <v>0</v>
      </c>
      <c r="L43" s="46"/>
      <c r="M43" s="46">
        <v>727</v>
      </c>
      <c r="N43" s="46"/>
      <c r="O43" s="46">
        <v>31703</v>
      </c>
      <c r="P43" s="46"/>
      <c r="Q43" s="46">
        <v>130630</v>
      </c>
      <c r="R43" s="46"/>
      <c r="S43" s="46">
        <v>5270</v>
      </c>
      <c r="T43" s="46"/>
      <c r="U43" s="46">
        <v>0</v>
      </c>
      <c r="V43" s="46"/>
      <c r="W43" s="46">
        <v>0</v>
      </c>
      <c r="X43" s="46"/>
      <c r="Y43" s="46">
        <v>0</v>
      </c>
      <c r="Z43" s="46"/>
      <c r="AA43" s="46">
        <v>31400</v>
      </c>
      <c r="AB43" s="46"/>
      <c r="AC43" s="46">
        <v>0</v>
      </c>
      <c r="AD43" s="46"/>
      <c r="AE43" s="46">
        <v>873</v>
      </c>
      <c r="AF43" s="46"/>
      <c r="AG43" s="46">
        <v>0</v>
      </c>
      <c r="AH43" s="46"/>
      <c r="AI43" s="10">
        <f t="shared" si="1"/>
        <v>756963</v>
      </c>
      <c r="AJ43" s="10"/>
      <c r="AK43" s="22"/>
      <c r="AL43" s="22"/>
      <c r="AM43" s="22"/>
    </row>
    <row r="44" spans="1:39" s="21" customFormat="1" hidden="1">
      <c r="A44" s="1" t="s">
        <v>566</v>
      </c>
      <c r="B44" s="1"/>
      <c r="C44" s="1" t="s">
        <v>565</v>
      </c>
      <c r="D44" s="1"/>
      <c r="E44" s="46">
        <v>0</v>
      </c>
      <c r="F44" s="46"/>
      <c r="G44" s="46">
        <v>0</v>
      </c>
      <c r="H44" s="46"/>
      <c r="I44" s="46">
        <v>0</v>
      </c>
      <c r="J44" s="46"/>
      <c r="K44" s="46">
        <v>0</v>
      </c>
      <c r="L44" s="46"/>
      <c r="M44" s="46">
        <v>0</v>
      </c>
      <c r="N44" s="46"/>
      <c r="O44" s="46">
        <v>0</v>
      </c>
      <c r="P44" s="46"/>
      <c r="Q44" s="46">
        <v>0</v>
      </c>
      <c r="R44" s="46"/>
      <c r="S44" s="46">
        <v>0</v>
      </c>
      <c r="T44" s="46"/>
      <c r="U44" s="46">
        <v>0</v>
      </c>
      <c r="V44" s="47"/>
      <c r="W44" s="46">
        <v>0</v>
      </c>
      <c r="X44" s="47"/>
      <c r="Y44" s="46">
        <v>0</v>
      </c>
      <c r="Z44" s="46"/>
      <c r="AA44" s="46">
        <v>0</v>
      </c>
      <c r="AB44" s="46"/>
      <c r="AC44" s="46">
        <v>0</v>
      </c>
      <c r="AD44" s="46"/>
      <c r="AE44" s="46">
        <v>0</v>
      </c>
      <c r="AF44" s="46"/>
      <c r="AG44" s="46">
        <v>0</v>
      </c>
      <c r="AH44" s="46"/>
      <c r="AI44" s="10">
        <f t="shared" si="1"/>
        <v>0</v>
      </c>
      <c r="AJ44" s="10"/>
    </row>
    <row r="45" spans="1:39" hidden="1">
      <c r="A45" s="1" t="s">
        <v>294</v>
      </c>
      <c r="C45" s="1" t="s">
        <v>295</v>
      </c>
      <c r="E45" s="46">
        <v>0</v>
      </c>
      <c r="F45" s="46"/>
      <c r="G45" s="46">
        <v>0</v>
      </c>
      <c r="H45" s="46"/>
      <c r="I45" s="46">
        <v>0</v>
      </c>
      <c r="J45" s="46"/>
      <c r="K45" s="46">
        <v>0</v>
      </c>
      <c r="L45" s="46"/>
      <c r="M45" s="46">
        <v>0</v>
      </c>
      <c r="N45" s="46"/>
      <c r="O45" s="46">
        <v>0</v>
      </c>
      <c r="P45" s="46"/>
      <c r="Q45" s="46">
        <v>0</v>
      </c>
      <c r="R45" s="46"/>
      <c r="S45" s="46">
        <v>0</v>
      </c>
      <c r="T45" s="46"/>
      <c r="U45" s="46">
        <v>0</v>
      </c>
      <c r="V45" s="47"/>
      <c r="W45" s="46">
        <v>0</v>
      </c>
      <c r="X45" s="47"/>
      <c r="Y45" s="46">
        <v>0</v>
      </c>
      <c r="Z45" s="46"/>
      <c r="AA45" s="46">
        <v>0</v>
      </c>
      <c r="AB45" s="46"/>
      <c r="AC45" s="46">
        <v>0</v>
      </c>
      <c r="AD45" s="46"/>
      <c r="AE45" s="46">
        <v>0</v>
      </c>
      <c r="AF45" s="46"/>
      <c r="AG45" s="46">
        <v>0</v>
      </c>
      <c r="AH45" s="46"/>
      <c r="AI45" s="10">
        <f t="shared" si="1"/>
        <v>0</v>
      </c>
      <c r="AJ45" s="10"/>
      <c r="AK45" s="7"/>
      <c r="AL45" s="7"/>
      <c r="AM45" s="7"/>
    </row>
    <row r="46" spans="1:39">
      <c r="A46" s="1" t="s">
        <v>493</v>
      </c>
      <c r="C46" s="1" t="s">
        <v>494</v>
      </c>
      <c r="E46" s="46">
        <v>2666</v>
      </c>
      <c r="F46" s="46"/>
      <c r="G46" s="46">
        <v>0</v>
      </c>
      <c r="H46" s="46"/>
      <c r="I46" s="46">
        <v>0</v>
      </c>
      <c r="J46" s="46"/>
      <c r="K46" s="46">
        <v>0</v>
      </c>
      <c r="L46" s="46"/>
      <c r="M46" s="46">
        <v>0</v>
      </c>
      <c r="N46" s="46"/>
      <c r="O46" s="46">
        <v>12630</v>
      </c>
      <c r="P46" s="46"/>
      <c r="Q46" s="46">
        <v>0</v>
      </c>
      <c r="R46" s="46"/>
      <c r="S46" s="46">
        <v>2378</v>
      </c>
      <c r="T46" s="46"/>
      <c r="U46" s="46">
        <v>0</v>
      </c>
      <c r="V46" s="46"/>
      <c r="W46" s="46">
        <v>0</v>
      </c>
      <c r="X46" s="46"/>
      <c r="Y46" s="46">
        <v>0</v>
      </c>
      <c r="Z46" s="46"/>
      <c r="AA46" s="46">
        <v>0</v>
      </c>
      <c r="AB46" s="46"/>
      <c r="AC46" s="46">
        <v>0</v>
      </c>
      <c r="AD46" s="46"/>
      <c r="AE46" s="46">
        <v>0</v>
      </c>
      <c r="AF46" s="46"/>
      <c r="AG46" s="46">
        <v>0</v>
      </c>
      <c r="AH46" s="46"/>
      <c r="AI46" s="10">
        <f t="shared" si="1"/>
        <v>17674</v>
      </c>
      <c r="AJ46" s="10"/>
    </row>
    <row r="47" spans="1:39" s="21" customFormat="1" hidden="1">
      <c r="A47" s="1" t="s">
        <v>58</v>
      </c>
      <c r="B47" s="1"/>
      <c r="C47" s="1" t="s">
        <v>770</v>
      </c>
      <c r="D47" s="1"/>
      <c r="E47" s="46">
        <v>0</v>
      </c>
      <c r="F47" s="46"/>
      <c r="G47" s="46">
        <v>0</v>
      </c>
      <c r="H47" s="46"/>
      <c r="I47" s="46">
        <v>0</v>
      </c>
      <c r="J47" s="46"/>
      <c r="K47" s="46">
        <v>0</v>
      </c>
      <c r="L47" s="46"/>
      <c r="M47" s="46">
        <v>0</v>
      </c>
      <c r="N47" s="46"/>
      <c r="O47" s="46">
        <v>0</v>
      </c>
      <c r="P47" s="46"/>
      <c r="Q47" s="46">
        <v>0</v>
      </c>
      <c r="R47" s="46"/>
      <c r="S47" s="46">
        <v>0</v>
      </c>
      <c r="T47" s="46"/>
      <c r="U47" s="46">
        <v>0</v>
      </c>
      <c r="V47" s="47"/>
      <c r="W47" s="46">
        <v>0</v>
      </c>
      <c r="X47" s="47"/>
      <c r="Y47" s="46">
        <v>0</v>
      </c>
      <c r="Z47" s="46"/>
      <c r="AA47" s="46">
        <v>0</v>
      </c>
      <c r="AB47" s="46"/>
      <c r="AC47" s="46">
        <v>0</v>
      </c>
      <c r="AD47" s="46"/>
      <c r="AE47" s="46">
        <v>0</v>
      </c>
      <c r="AF47" s="46"/>
      <c r="AG47" s="46">
        <v>0</v>
      </c>
      <c r="AH47" s="46"/>
      <c r="AI47" s="10">
        <f t="shared" si="1"/>
        <v>0</v>
      </c>
      <c r="AJ47" s="10"/>
      <c r="AK47" s="22"/>
      <c r="AL47" s="22"/>
      <c r="AM47" s="22"/>
    </row>
    <row r="48" spans="1:39" s="21" customFormat="1">
      <c r="A48" s="1" t="s">
        <v>544</v>
      </c>
      <c r="B48" s="1"/>
      <c r="C48" s="1" t="s">
        <v>545</v>
      </c>
      <c r="D48" s="1"/>
      <c r="E48" s="46">
        <v>53964</v>
      </c>
      <c r="F48" s="46"/>
      <c r="G48" s="46">
        <v>42180</v>
      </c>
      <c r="H48" s="46"/>
      <c r="I48" s="46">
        <v>65992</v>
      </c>
      <c r="J48" s="46"/>
      <c r="K48" s="46">
        <v>0</v>
      </c>
      <c r="L48" s="46"/>
      <c r="M48" s="46">
        <v>5</v>
      </c>
      <c r="N48" s="46"/>
      <c r="O48" s="46">
        <v>34</v>
      </c>
      <c r="P48" s="46"/>
      <c r="Q48" s="46">
        <v>23951</v>
      </c>
      <c r="R48" s="46"/>
      <c r="S48" s="46">
        <v>31155</v>
      </c>
      <c r="T48" s="46"/>
      <c r="U48" s="46">
        <v>0</v>
      </c>
      <c r="V48" s="46"/>
      <c r="W48" s="46">
        <v>0</v>
      </c>
      <c r="X48" s="46"/>
      <c r="Y48" s="46">
        <v>0</v>
      </c>
      <c r="Z48" s="46"/>
      <c r="AA48" s="46">
        <v>0</v>
      </c>
      <c r="AB48" s="46"/>
      <c r="AC48" s="46">
        <v>0</v>
      </c>
      <c r="AD48" s="46"/>
      <c r="AE48" s="46">
        <v>0</v>
      </c>
      <c r="AF48" s="46"/>
      <c r="AG48" s="46">
        <v>0</v>
      </c>
      <c r="AH48" s="46"/>
      <c r="AI48" s="10">
        <f t="shared" si="1"/>
        <v>217281</v>
      </c>
      <c r="AJ48" s="10"/>
    </row>
    <row r="49" spans="1:39" hidden="1">
      <c r="A49" s="1" t="s">
        <v>164</v>
      </c>
      <c r="C49" s="1" t="s">
        <v>801</v>
      </c>
      <c r="E49" s="46">
        <v>0</v>
      </c>
      <c r="F49" s="46"/>
      <c r="G49" s="46">
        <v>0</v>
      </c>
      <c r="H49" s="46"/>
      <c r="I49" s="46">
        <v>0</v>
      </c>
      <c r="J49" s="46"/>
      <c r="K49" s="46">
        <v>0</v>
      </c>
      <c r="L49" s="46"/>
      <c r="M49" s="46">
        <v>0</v>
      </c>
      <c r="N49" s="46"/>
      <c r="O49" s="46">
        <v>0</v>
      </c>
      <c r="P49" s="46"/>
      <c r="Q49" s="46">
        <v>0</v>
      </c>
      <c r="R49" s="46"/>
      <c r="S49" s="46">
        <v>0</v>
      </c>
      <c r="T49" s="46"/>
      <c r="U49" s="46">
        <v>0</v>
      </c>
      <c r="V49" s="47"/>
      <c r="W49" s="46">
        <v>0</v>
      </c>
      <c r="X49" s="47"/>
      <c r="Y49" s="46">
        <v>0</v>
      </c>
      <c r="Z49" s="46"/>
      <c r="AA49" s="46">
        <v>0</v>
      </c>
      <c r="AB49" s="46"/>
      <c r="AC49" s="46">
        <v>0</v>
      </c>
      <c r="AD49" s="46"/>
      <c r="AE49" s="46">
        <v>0</v>
      </c>
      <c r="AF49" s="46"/>
      <c r="AG49" s="46">
        <v>0</v>
      </c>
      <c r="AH49" s="46"/>
      <c r="AI49" s="10">
        <f t="shared" si="1"/>
        <v>0</v>
      </c>
      <c r="AJ49" s="10"/>
    </row>
    <row r="50" spans="1:39" s="21" customFormat="1" hidden="1">
      <c r="A50" s="1" t="s">
        <v>193</v>
      </c>
      <c r="B50" s="1"/>
      <c r="C50" s="1" t="s">
        <v>810</v>
      </c>
      <c r="D50" s="1"/>
      <c r="E50" s="46">
        <v>0</v>
      </c>
      <c r="F50" s="46"/>
      <c r="G50" s="46">
        <v>0</v>
      </c>
      <c r="H50" s="46"/>
      <c r="I50" s="46">
        <v>0</v>
      </c>
      <c r="J50" s="46"/>
      <c r="K50" s="46">
        <v>0</v>
      </c>
      <c r="L50" s="46"/>
      <c r="M50" s="46">
        <v>0</v>
      </c>
      <c r="N50" s="46"/>
      <c r="O50" s="46">
        <v>0</v>
      </c>
      <c r="P50" s="46"/>
      <c r="Q50" s="46">
        <v>0</v>
      </c>
      <c r="R50" s="46"/>
      <c r="S50" s="46">
        <v>0</v>
      </c>
      <c r="T50" s="46"/>
      <c r="U50" s="46">
        <v>0</v>
      </c>
      <c r="V50" s="47"/>
      <c r="W50" s="46">
        <v>0</v>
      </c>
      <c r="X50" s="47"/>
      <c r="Y50" s="46">
        <v>0</v>
      </c>
      <c r="Z50" s="46"/>
      <c r="AA50" s="46">
        <v>0</v>
      </c>
      <c r="AB50" s="46"/>
      <c r="AC50" s="46">
        <v>0</v>
      </c>
      <c r="AD50" s="46"/>
      <c r="AE50" s="46">
        <v>0</v>
      </c>
      <c r="AF50" s="46"/>
      <c r="AG50" s="46">
        <v>0</v>
      </c>
      <c r="AH50" s="46"/>
      <c r="AI50" s="10">
        <f t="shared" si="1"/>
        <v>0</v>
      </c>
      <c r="AJ50" s="10"/>
    </row>
    <row r="51" spans="1:39" s="21" customFormat="1" hidden="1">
      <c r="A51" s="1" t="s">
        <v>2</v>
      </c>
      <c r="B51" s="1"/>
      <c r="C51" s="1" t="s">
        <v>751</v>
      </c>
      <c r="D51" s="1"/>
      <c r="E51" s="46">
        <v>0</v>
      </c>
      <c r="F51" s="46"/>
      <c r="G51" s="46">
        <v>0</v>
      </c>
      <c r="H51" s="46"/>
      <c r="I51" s="46">
        <v>0</v>
      </c>
      <c r="J51" s="46"/>
      <c r="K51" s="46">
        <v>0</v>
      </c>
      <c r="L51" s="46"/>
      <c r="M51" s="46">
        <v>0</v>
      </c>
      <c r="N51" s="46"/>
      <c r="O51" s="46">
        <v>0</v>
      </c>
      <c r="P51" s="46"/>
      <c r="Q51" s="46">
        <v>0</v>
      </c>
      <c r="R51" s="46"/>
      <c r="S51" s="46">
        <v>0</v>
      </c>
      <c r="T51" s="46"/>
      <c r="U51" s="46">
        <v>0</v>
      </c>
      <c r="V51" s="47"/>
      <c r="W51" s="46">
        <v>0</v>
      </c>
      <c r="X51" s="47"/>
      <c r="Y51" s="46">
        <v>0</v>
      </c>
      <c r="Z51" s="46"/>
      <c r="AA51" s="46">
        <v>0</v>
      </c>
      <c r="AB51" s="46"/>
      <c r="AC51" s="46">
        <v>0</v>
      </c>
      <c r="AD51" s="46"/>
      <c r="AE51" s="46">
        <v>0</v>
      </c>
      <c r="AF51" s="46"/>
      <c r="AG51" s="46">
        <v>0</v>
      </c>
      <c r="AH51" s="46"/>
      <c r="AI51" s="10">
        <f t="shared" si="1"/>
        <v>0</v>
      </c>
      <c r="AJ51" s="10"/>
      <c r="AK51" s="22"/>
      <c r="AL51" s="22"/>
      <c r="AM51" s="22"/>
    </row>
    <row r="52" spans="1:39">
      <c r="A52" s="1" t="s">
        <v>280</v>
      </c>
      <c r="C52" s="1" t="s">
        <v>279</v>
      </c>
      <c r="E52" s="10">
        <v>101011</v>
      </c>
      <c r="G52" s="10">
        <v>674595</v>
      </c>
      <c r="I52" s="10">
        <v>566315</v>
      </c>
      <c r="K52" s="10">
        <v>0</v>
      </c>
      <c r="M52" s="10">
        <v>30728</v>
      </c>
      <c r="O52" s="10">
        <v>72171</v>
      </c>
      <c r="Q52" s="10">
        <v>27739</v>
      </c>
      <c r="S52" s="10">
        <v>35093</v>
      </c>
      <c r="U52" s="10">
        <v>0</v>
      </c>
      <c r="W52" s="10">
        <v>51578</v>
      </c>
      <c r="Y52" s="10">
        <v>0</v>
      </c>
      <c r="AA52" s="10">
        <v>76475</v>
      </c>
      <c r="AC52" s="10">
        <v>0</v>
      </c>
      <c r="AE52" s="10">
        <v>278736</v>
      </c>
      <c r="AG52" s="10">
        <v>0</v>
      </c>
      <c r="AI52" s="10">
        <f t="shared" si="1"/>
        <v>1914441</v>
      </c>
      <c r="AJ52" s="40"/>
      <c r="AK52" s="7"/>
      <c r="AL52" s="7"/>
      <c r="AM52" s="7"/>
    </row>
    <row r="53" spans="1:39" hidden="1">
      <c r="A53" s="1" t="s">
        <v>132</v>
      </c>
      <c r="C53" s="1" t="s">
        <v>791</v>
      </c>
      <c r="E53" s="10">
        <v>0</v>
      </c>
      <c r="G53" s="10">
        <v>0</v>
      </c>
      <c r="I53" s="10">
        <v>0</v>
      </c>
      <c r="K53" s="10">
        <v>0</v>
      </c>
      <c r="M53" s="10">
        <v>0</v>
      </c>
      <c r="O53" s="10">
        <v>0</v>
      </c>
      <c r="Q53" s="10">
        <v>0</v>
      </c>
      <c r="S53" s="10">
        <v>0</v>
      </c>
      <c r="U53" s="10">
        <v>0</v>
      </c>
      <c r="V53" s="24"/>
      <c r="W53" s="10">
        <v>0</v>
      </c>
      <c r="X53" s="24"/>
      <c r="Y53" s="10">
        <v>0</v>
      </c>
      <c r="AA53" s="10">
        <v>0</v>
      </c>
      <c r="AC53" s="10">
        <v>0</v>
      </c>
      <c r="AE53" s="10">
        <v>0</v>
      </c>
      <c r="AG53" s="10">
        <v>0</v>
      </c>
      <c r="AI53" s="10">
        <f t="shared" si="1"/>
        <v>0</v>
      </c>
      <c r="AJ53" s="10"/>
    </row>
    <row r="54" spans="1:39" s="21" customFormat="1">
      <c r="A54" s="1" t="s">
        <v>495</v>
      </c>
      <c r="B54" s="1"/>
      <c r="C54" s="1" t="s">
        <v>494</v>
      </c>
      <c r="D54" s="1"/>
      <c r="E54" s="10">
        <v>9035</v>
      </c>
      <c r="F54" s="10"/>
      <c r="G54" s="10">
        <v>0</v>
      </c>
      <c r="H54" s="10"/>
      <c r="I54" s="10">
        <f>16681-720</f>
        <v>15961</v>
      </c>
      <c r="J54" s="10"/>
      <c r="K54" s="10">
        <v>0</v>
      </c>
      <c r="L54" s="10"/>
      <c r="M54" s="10">
        <v>35</v>
      </c>
      <c r="N54" s="10"/>
      <c r="O54" s="10">
        <v>0</v>
      </c>
      <c r="P54" s="10"/>
      <c r="Q54" s="10">
        <v>22</v>
      </c>
      <c r="R54" s="10"/>
      <c r="S54" s="10">
        <v>4857</v>
      </c>
      <c r="T54" s="10"/>
      <c r="U54" s="10">
        <v>0</v>
      </c>
      <c r="V54" s="10"/>
      <c r="W54" s="10">
        <v>0</v>
      </c>
      <c r="X54" s="10"/>
      <c r="Y54" s="10">
        <v>0</v>
      </c>
      <c r="Z54" s="10"/>
      <c r="AA54" s="10">
        <v>0</v>
      </c>
      <c r="AB54" s="10"/>
      <c r="AC54" s="10">
        <v>0</v>
      </c>
      <c r="AD54" s="10"/>
      <c r="AE54" s="10">
        <v>0</v>
      </c>
      <c r="AF54" s="10"/>
      <c r="AG54" s="10">
        <v>0</v>
      </c>
      <c r="AH54" s="10"/>
      <c r="AI54" s="10">
        <f t="shared" si="1"/>
        <v>29910</v>
      </c>
      <c r="AJ54" s="10"/>
    </row>
    <row r="55" spans="1:39" hidden="1">
      <c r="A55" s="1" t="s">
        <v>208</v>
      </c>
      <c r="C55" s="1" t="s">
        <v>814</v>
      </c>
      <c r="E55" s="10">
        <v>0</v>
      </c>
      <c r="G55" s="10">
        <v>0</v>
      </c>
      <c r="I55" s="10">
        <v>0</v>
      </c>
      <c r="K55" s="10">
        <v>0</v>
      </c>
      <c r="M55" s="10">
        <v>0</v>
      </c>
      <c r="O55" s="10">
        <v>0</v>
      </c>
      <c r="Q55" s="10">
        <v>0</v>
      </c>
      <c r="S55" s="10">
        <v>0</v>
      </c>
      <c r="U55" s="10">
        <v>0</v>
      </c>
      <c r="V55" s="24"/>
      <c r="W55" s="10">
        <v>0</v>
      </c>
      <c r="X55" s="24"/>
      <c r="Y55" s="10">
        <v>0</v>
      </c>
      <c r="AA55" s="10">
        <v>0</v>
      </c>
      <c r="AC55" s="10">
        <v>0</v>
      </c>
      <c r="AE55" s="10">
        <v>0</v>
      </c>
      <c r="AG55" s="10">
        <v>0</v>
      </c>
      <c r="AI55" s="10">
        <f t="shared" si="1"/>
        <v>0</v>
      </c>
      <c r="AJ55" s="10"/>
    </row>
    <row r="56" spans="1:39" hidden="1">
      <c r="A56" s="1" t="s">
        <v>279</v>
      </c>
      <c r="C56" s="1" t="s">
        <v>279</v>
      </c>
      <c r="E56" s="10">
        <v>0</v>
      </c>
      <c r="G56" s="10">
        <v>0</v>
      </c>
      <c r="I56" s="10">
        <v>0</v>
      </c>
      <c r="K56" s="10">
        <v>0</v>
      </c>
      <c r="M56" s="10">
        <v>0</v>
      </c>
      <c r="O56" s="10">
        <v>0</v>
      </c>
      <c r="Q56" s="10">
        <v>0</v>
      </c>
      <c r="S56" s="10">
        <v>0</v>
      </c>
      <c r="U56" s="10">
        <v>0</v>
      </c>
      <c r="V56" s="24"/>
      <c r="W56" s="10">
        <v>0</v>
      </c>
      <c r="X56" s="24"/>
      <c r="Y56" s="10">
        <v>0</v>
      </c>
      <c r="AA56" s="10">
        <v>0</v>
      </c>
      <c r="AC56" s="10">
        <v>0</v>
      </c>
      <c r="AE56" s="10">
        <v>0</v>
      </c>
      <c r="AG56" s="10">
        <v>0</v>
      </c>
      <c r="AI56" s="10">
        <f t="shared" si="1"/>
        <v>0</v>
      </c>
      <c r="AJ56" s="10"/>
      <c r="AK56" s="7"/>
      <c r="AL56" s="7"/>
      <c r="AM56" s="7"/>
    </row>
    <row r="57" spans="1:39" hidden="1">
      <c r="A57" s="1" t="s">
        <v>143</v>
      </c>
      <c r="C57" s="1" t="s">
        <v>795</v>
      </c>
      <c r="E57" s="10">
        <v>0</v>
      </c>
      <c r="G57" s="10">
        <v>0</v>
      </c>
      <c r="I57" s="10">
        <v>0</v>
      </c>
      <c r="K57" s="10">
        <v>0</v>
      </c>
      <c r="M57" s="10">
        <v>0</v>
      </c>
      <c r="O57" s="10">
        <v>0</v>
      </c>
      <c r="Q57" s="10">
        <v>0</v>
      </c>
      <c r="S57" s="10">
        <v>0</v>
      </c>
      <c r="U57" s="10">
        <v>0</v>
      </c>
      <c r="V57" s="24"/>
      <c r="W57" s="10">
        <v>0</v>
      </c>
      <c r="X57" s="24"/>
      <c r="Y57" s="10">
        <v>0</v>
      </c>
      <c r="AA57" s="10">
        <v>0</v>
      </c>
      <c r="AC57" s="10">
        <v>0</v>
      </c>
      <c r="AE57" s="10">
        <v>0</v>
      </c>
      <c r="AG57" s="10">
        <v>0</v>
      </c>
      <c r="AI57" s="10">
        <f t="shared" si="1"/>
        <v>0</v>
      </c>
      <c r="AJ57" s="10"/>
    </row>
    <row r="58" spans="1:39">
      <c r="A58" s="1" t="s">
        <v>315</v>
      </c>
      <c r="C58" s="1" t="s">
        <v>316</v>
      </c>
      <c r="E58" s="10">
        <f>374488+13184</f>
        <v>387672</v>
      </c>
      <c r="G58" s="10">
        <v>1146578</v>
      </c>
      <c r="I58" s="10">
        <v>94976</v>
      </c>
      <c r="K58" s="10">
        <v>0</v>
      </c>
      <c r="M58" s="10">
        <v>3593</v>
      </c>
      <c r="O58" s="10">
        <v>35876</v>
      </c>
      <c r="Q58" s="10">
        <v>55575</v>
      </c>
      <c r="S58" s="10">
        <v>17371</v>
      </c>
      <c r="U58" s="10">
        <v>0</v>
      </c>
      <c r="W58" s="10">
        <v>0</v>
      </c>
      <c r="Y58" s="10">
        <v>0</v>
      </c>
      <c r="AA58" s="10">
        <v>0</v>
      </c>
      <c r="AC58" s="10">
        <v>0</v>
      </c>
      <c r="AE58" s="10">
        <v>46464</v>
      </c>
      <c r="AG58" s="10">
        <v>0</v>
      </c>
      <c r="AI58" s="10">
        <f t="shared" si="1"/>
        <v>1788105</v>
      </c>
      <c r="AJ58" s="10"/>
      <c r="AK58" s="7"/>
      <c r="AL58" s="7"/>
      <c r="AM58" s="7"/>
    </row>
    <row r="59" spans="1:39" s="21" customFormat="1">
      <c r="A59" s="1" t="s">
        <v>900</v>
      </c>
      <c r="B59" s="1"/>
      <c r="C59" s="1" t="s">
        <v>388</v>
      </c>
      <c r="D59" s="1"/>
      <c r="E59" s="10">
        <v>5730</v>
      </c>
      <c r="F59" s="10"/>
      <c r="G59" s="10">
        <v>0</v>
      </c>
      <c r="H59" s="10"/>
      <c r="I59" s="10">
        <v>43751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2946</v>
      </c>
      <c r="R59" s="10"/>
      <c r="S59" s="10">
        <v>3522</v>
      </c>
      <c r="T59" s="10"/>
      <c r="U59" s="10">
        <v>0</v>
      </c>
      <c r="V59" s="10"/>
      <c r="W59" s="10">
        <v>0</v>
      </c>
      <c r="X59" s="10"/>
      <c r="Y59" s="10">
        <v>0</v>
      </c>
      <c r="Z59" s="10"/>
      <c r="AA59" s="10">
        <v>0</v>
      </c>
      <c r="AB59" s="10"/>
      <c r="AC59" s="10">
        <v>0</v>
      </c>
      <c r="AD59" s="10"/>
      <c r="AE59" s="10">
        <v>0</v>
      </c>
      <c r="AF59" s="10"/>
      <c r="AG59" s="10">
        <v>0</v>
      </c>
      <c r="AH59" s="10"/>
      <c r="AI59" s="10">
        <f t="shared" si="1"/>
        <v>55949</v>
      </c>
      <c r="AJ59" s="10"/>
    </row>
    <row r="60" spans="1:39" s="21" customFormat="1" hidden="1">
      <c r="A60" s="1" t="s">
        <v>422</v>
      </c>
      <c r="B60" s="1"/>
      <c r="C60" s="1" t="s">
        <v>420</v>
      </c>
      <c r="D60" s="1"/>
      <c r="E60" s="10">
        <v>0</v>
      </c>
      <c r="F60" s="10"/>
      <c r="G60" s="10">
        <v>0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0</v>
      </c>
      <c r="R60" s="10"/>
      <c r="S60" s="10">
        <v>0</v>
      </c>
      <c r="T60" s="10"/>
      <c r="U60" s="10">
        <v>0</v>
      </c>
      <c r="V60" s="10"/>
      <c r="W60" s="10">
        <v>0</v>
      </c>
      <c r="X60" s="10"/>
      <c r="Y60" s="10">
        <v>0</v>
      </c>
      <c r="Z60" s="10"/>
      <c r="AA60" s="10">
        <v>0</v>
      </c>
      <c r="AB60" s="10"/>
      <c r="AC60" s="10">
        <v>0</v>
      </c>
      <c r="AD60" s="10"/>
      <c r="AE60" s="10">
        <v>0</v>
      </c>
      <c r="AF60" s="10"/>
      <c r="AG60" s="10">
        <v>0</v>
      </c>
      <c r="AH60" s="10"/>
      <c r="AI60" s="10">
        <f t="shared" si="1"/>
        <v>0</v>
      </c>
      <c r="AJ60" s="10"/>
    </row>
    <row r="61" spans="1:39" s="21" customFormat="1" hidden="1">
      <c r="A61" s="1" t="s">
        <v>139</v>
      </c>
      <c r="B61" s="1"/>
      <c r="C61" s="1" t="s">
        <v>793</v>
      </c>
      <c r="D61" s="1"/>
      <c r="E61" s="10">
        <v>0</v>
      </c>
      <c r="F61" s="10"/>
      <c r="G61" s="10">
        <v>0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0</v>
      </c>
      <c r="R61" s="10"/>
      <c r="S61" s="10">
        <v>0</v>
      </c>
      <c r="T61" s="10"/>
      <c r="U61" s="10">
        <v>0</v>
      </c>
      <c r="V61" s="24"/>
      <c r="W61" s="10">
        <v>0</v>
      </c>
      <c r="X61" s="24"/>
      <c r="Y61" s="10">
        <v>0</v>
      </c>
      <c r="Z61" s="10"/>
      <c r="AA61" s="10">
        <v>0</v>
      </c>
      <c r="AB61" s="10"/>
      <c r="AC61" s="10">
        <v>0</v>
      </c>
      <c r="AD61" s="10"/>
      <c r="AE61" s="10">
        <v>0</v>
      </c>
      <c r="AF61" s="10"/>
      <c r="AG61" s="10">
        <v>0</v>
      </c>
      <c r="AH61" s="10"/>
      <c r="AI61" s="10">
        <f t="shared" si="1"/>
        <v>0</v>
      </c>
      <c r="AJ61" s="10"/>
    </row>
    <row r="62" spans="1:39" hidden="1">
      <c r="A62" s="1" t="s">
        <v>59</v>
      </c>
      <c r="C62" s="1" t="s">
        <v>770</v>
      </c>
      <c r="E62" s="10">
        <v>0</v>
      </c>
      <c r="G62" s="10">
        <v>0</v>
      </c>
      <c r="I62" s="10">
        <v>0</v>
      </c>
      <c r="K62" s="10">
        <v>0</v>
      </c>
      <c r="M62" s="10">
        <v>0</v>
      </c>
      <c r="O62" s="10">
        <v>0</v>
      </c>
      <c r="Q62" s="10">
        <v>0</v>
      </c>
      <c r="S62" s="10">
        <v>0</v>
      </c>
      <c r="U62" s="10">
        <v>0</v>
      </c>
      <c r="V62" s="24"/>
      <c r="W62" s="10">
        <v>0</v>
      </c>
      <c r="X62" s="24"/>
      <c r="Y62" s="10">
        <v>0</v>
      </c>
      <c r="AA62" s="10">
        <v>0</v>
      </c>
      <c r="AC62" s="10">
        <v>0</v>
      </c>
      <c r="AE62" s="10">
        <v>0</v>
      </c>
      <c r="AG62" s="10">
        <v>0</v>
      </c>
      <c r="AI62" s="10">
        <f t="shared" si="1"/>
        <v>0</v>
      </c>
      <c r="AJ62" s="10"/>
      <c r="AK62" s="7"/>
      <c r="AL62" s="7"/>
      <c r="AM62" s="7"/>
    </row>
    <row r="63" spans="1:39" s="21" customFormat="1">
      <c r="A63" s="1" t="s">
        <v>296</v>
      </c>
      <c r="B63" s="1"/>
      <c r="C63" s="1" t="s">
        <v>295</v>
      </c>
      <c r="D63" s="1"/>
      <c r="E63" s="10">
        <v>66804</v>
      </c>
      <c r="F63" s="10"/>
      <c r="G63" s="10">
        <v>0</v>
      </c>
      <c r="H63" s="10"/>
      <c r="I63" s="10">
        <v>317549</v>
      </c>
      <c r="J63" s="10"/>
      <c r="K63" s="10">
        <v>0</v>
      </c>
      <c r="L63" s="10"/>
      <c r="M63" s="10">
        <v>7808</v>
      </c>
      <c r="N63" s="10"/>
      <c r="O63" s="10">
        <v>88613</v>
      </c>
      <c r="P63" s="10"/>
      <c r="Q63" s="10">
        <v>0</v>
      </c>
      <c r="R63" s="10"/>
      <c r="S63" s="10">
        <v>119000</v>
      </c>
      <c r="T63" s="10"/>
      <c r="U63" s="10">
        <v>125000</v>
      </c>
      <c r="V63" s="10"/>
      <c r="W63" s="10">
        <v>0</v>
      </c>
      <c r="X63" s="10"/>
      <c r="Y63" s="10">
        <v>1372</v>
      </c>
      <c r="Z63" s="10"/>
      <c r="AA63" s="10">
        <v>0</v>
      </c>
      <c r="AB63" s="10"/>
      <c r="AC63" s="10">
        <v>644</v>
      </c>
      <c r="AD63" s="10"/>
      <c r="AE63" s="10">
        <v>0</v>
      </c>
      <c r="AF63" s="10"/>
      <c r="AG63" s="10">
        <v>0</v>
      </c>
      <c r="AH63" s="10"/>
      <c r="AI63" s="10">
        <f t="shared" si="1"/>
        <v>726790</v>
      </c>
      <c r="AJ63" s="10"/>
      <c r="AK63" s="22"/>
      <c r="AL63" s="22"/>
      <c r="AM63" s="22"/>
    </row>
    <row r="64" spans="1:39" s="21" customFormat="1" hidden="1">
      <c r="A64" s="1" t="s">
        <v>15</v>
      </c>
      <c r="B64" s="1"/>
      <c r="C64" s="1" t="s">
        <v>755</v>
      </c>
      <c r="D64" s="1"/>
      <c r="E64" s="10">
        <v>0</v>
      </c>
      <c r="F64" s="10"/>
      <c r="G64" s="10">
        <v>0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0</v>
      </c>
      <c r="R64" s="10"/>
      <c r="S64" s="10">
        <v>0</v>
      </c>
      <c r="T64" s="10"/>
      <c r="U64" s="10">
        <v>0</v>
      </c>
      <c r="V64" s="24"/>
      <c r="W64" s="10">
        <v>0</v>
      </c>
      <c r="X64" s="24"/>
      <c r="Y64" s="10">
        <v>0</v>
      </c>
      <c r="Z64" s="10"/>
      <c r="AA64" s="10">
        <v>0</v>
      </c>
      <c r="AB64" s="10"/>
      <c r="AC64" s="10">
        <v>0</v>
      </c>
      <c r="AD64" s="10"/>
      <c r="AE64" s="10">
        <v>0</v>
      </c>
      <c r="AF64" s="10"/>
      <c r="AG64" s="10">
        <v>0</v>
      </c>
      <c r="AH64" s="10"/>
      <c r="AI64" s="10">
        <f t="shared" si="1"/>
        <v>0</v>
      </c>
      <c r="AJ64" s="10"/>
      <c r="AK64" s="22"/>
      <c r="AL64" s="22"/>
      <c r="AM64" s="22"/>
    </row>
    <row r="65" spans="1:39" s="21" customFormat="1" hidden="1">
      <c r="A65" s="1" t="s">
        <v>536</v>
      </c>
      <c r="B65" s="1"/>
      <c r="C65" s="1" t="s">
        <v>537</v>
      </c>
      <c r="D65" s="1"/>
      <c r="E65" s="10">
        <v>0</v>
      </c>
      <c r="F65" s="10"/>
      <c r="G65" s="10">
        <v>0</v>
      </c>
      <c r="H65" s="10"/>
      <c r="I65" s="10">
        <v>0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0</v>
      </c>
      <c r="R65" s="10"/>
      <c r="S65" s="10">
        <v>0</v>
      </c>
      <c r="T65" s="10"/>
      <c r="U65" s="10">
        <v>0</v>
      </c>
      <c r="V65" s="24"/>
      <c r="W65" s="10">
        <v>0</v>
      </c>
      <c r="X65" s="24"/>
      <c r="Y65" s="10">
        <v>0</v>
      </c>
      <c r="Z65" s="10"/>
      <c r="AA65" s="10">
        <v>0</v>
      </c>
      <c r="AB65" s="10"/>
      <c r="AC65" s="10">
        <v>0</v>
      </c>
      <c r="AD65" s="10"/>
      <c r="AE65" s="10">
        <v>0</v>
      </c>
      <c r="AF65" s="10"/>
      <c r="AG65" s="10">
        <v>0</v>
      </c>
      <c r="AH65" s="10"/>
      <c r="AI65" s="10">
        <f t="shared" si="1"/>
        <v>0</v>
      </c>
      <c r="AJ65" s="10"/>
    </row>
    <row r="66" spans="1:39">
      <c r="A66" s="1" t="s">
        <v>589</v>
      </c>
      <c r="C66" s="1" t="s">
        <v>590</v>
      </c>
      <c r="E66" s="10">
        <v>51545</v>
      </c>
      <c r="G66" s="10">
        <v>272980</v>
      </c>
      <c r="I66" s="10">
        <v>106514</v>
      </c>
      <c r="K66" s="10">
        <v>0</v>
      </c>
      <c r="M66" s="10">
        <v>146374</v>
      </c>
      <c r="O66" s="10">
        <v>12528</v>
      </c>
      <c r="Q66" s="10">
        <v>7111</v>
      </c>
      <c r="S66" s="10">
        <v>10373</v>
      </c>
      <c r="U66" s="10">
        <v>0</v>
      </c>
      <c r="W66" s="10">
        <v>0</v>
      </c>
      <c r="Y66" s="10">
        <v>0</v>
      </c>
      <c r="AA66" s="10">
        <v>5100</v>
      </c>
      <c r="AC66" s="10">
        <v>0</v>
      </c>
      <c r="AE66" s="10">
        <v>0</v>
      </c>
      <c r="AG66" s="10">
        <v>0</v>
      </c>
      <c r="AI66" s="10">
        <f t="shared" si="1"/>
        <v>612525</v>
      </c>
      <c r="AJ66" s="10"/>
    </row>
    <row r="67" spans="1:39" hidden="1">
      <c r="A67" s="1" t="s">
        <v>252</v>
      </c>
      <c r="C67" s="1" t="s">
        <v>829</v>
      </c>
      <c r="E67" s="10">
        <v>0</v>
      </c>
      <c r="G67" s="10">
        <v>0</v>
      </c>
      <c r="I67" s="10">
        <v>0</v>
      </c>
      <c r="K67" s="10">
        <v>0</v>
      </c>
      <c r="M67" s="10">
        <v>0</v>
      </c>
      <c r="O67" s="10">
        <v>0</v>
      </c>
      <c r="Q67" s="10">
        <v>0</v>
      </c>
      <c r="S67" s="10">
        <v>0</v>
      </c>
      <c r="U67" s="10">
        <v>0</v>
      </c>
      <c r="V67" s="24"/>
      <c r="W67" s="10">
        <v>0</v>
      </c>
      <c r="X67" s="24"/>
      <c r="Y67" s="10">
        <v>0</v>
      </c>
      <c r="AA67" s="10">
        <v>0</v>
      </c>
      <c r="AC67" s="10">
        <v>0</v>
      </c>
      <c r="AE67" s="10">
        <v>0</v>
      </c>
      <c r="AG67" s="10">
        <v>0</v>
      </c>
      <c r="AI67" s="10">
        <f t="shared" si="1"/>
        <v>0</v>
      </c>
      <c r="AJ67" s="10"/>
    </row>
    <row r="68" spans="1:39" s="21" customFormat="1">
      <c r="A68" s="1" t="s">
        <v>607</v>
      </c>
      <c r="B68" s="1"/>
      <c r="C68" s="1" t="s">
        <v>606</v>
      </c>
      <c r="D68" s="1"/>
      <c r="E68" s="10">
        <v>31395</v>
      </c>
      <c r="F68" s="10"/>
      <c r="G68" s="10">
        <v>74812</v>
      </c>
      <c r="H68" s="10"/>
      <c r="I68" s="10">
        <v>31941</v>
      </c>
      <c r="J68" s="10"/>
      <c r="K68" s="10">
        <v>0</v>
      </c>
      <c r="L68" s="10"/>
      <c r="M68" s="10">
        <v>35913</v>
      </c>
      <c r="N68" s="10"/>
      <c r="O68" s="10">
        <v>3864</v>
      </c>
      <c r="P68" s="10"/>
      <c r="Q68" s="10">
        <v>9425</v>
      </c>
      <c r="R68" s="10"/>
      <c r="S68" s="10">
        <v>6639</v>
      </c>
      <c r="T68" s="10"/>
      <c r="U68" s="10">
        <v>0</v>
      </c>
      <c r="V68" s="10"/>
      <c r="W68" s="10">
        <v>0</v>
      </c>
      <c r="X68" s="10"/>
      <c r="Y68" s="10">
        <v>0</v>
      </c>
      <c r="Z68" s="10"/>
      <c r="AA68" s="10">
        <v>0</v>
      </c>
      <c r="AB68" s="10"/>
      <c r="AC68" s="10">
        <v>0</v>
      </c>
      <c r="AD68" s="10"/>
      <c r="AE68" s="10">
        <v>0</v>
      </c>
      <c r="AF68" s="10"/>
      <c r="AG68" s="10">
        <v>0</v>
      </c>
      <c r="AH68" s="10"/>
      <c r="AI68" s="10">
        <f t="shared" si="1"/>
        <v>193989</v>
      </c>
      <c r="AJ68" s="10"/>
    </row>
    <row r="69" spans="1:39" s="21" customFormat="1" hidden="1">
      <c r="A69" s="1" t="s">
        <v>68</v>
      </c>
      <c r="B69" s="1"/>
      <c r="C69" s="1" t="s">
        <v>772</v>
      </c>
      <c r="D69" s="1"/>
      <c r="E69" s="10">
        <v>0</v>
      </c>
      <c r="F69" s="10"/>
      <c r="G69" s="10">
        <v>0</v>
      </c>
      <c r="H69" s="10"/>
      <c r="I69" s="10">
        <v>0</v>
      </c>
      <c r="J69" s="10"/>
      <c r="K69" s="10">
        <v>0</v>
      </c>
      <c r="L69" s="10"/>
      <c r="M69" s="10">
        <v>0</v>
      </c>
      <c r="N69" s="10"/>
      <c r="O69" s="10">
        <v>0</v>
      </c>
      <c r="P69" s="10"/>
      <c r="Q69" s="10">
        <v>0</v>
      </c>
      <c r="R69" s="10"/>
      <c r="S69" s="10">
        <v>0</v>
      </c>
      <c r="T69" s="10"/>
      <c r="U69" s="10">
        <v>0</v>
      </c>
      <c r="V69" s="24"/>
      <c r="W69" s="10">
        <v>0</v>
      </c>
      <c r="X69" s="24"/>
      <c r="Y69" s="10">
        <v>0</v>
      </c>
      <c r="Z69" s="10"/>
      <c r="AA69" s="10">
        <v>0</v>
      </c>
      <c r="AB69" s="10"/>
      <c r="AC69" s="10">
        <v>0</v>
      </c>
      <c r="AD69" s="10"/>
      <c r="AE69" s="10">
        <v>0</v>
      </c>
      <c r="AF69" s="10"/>
      <c r="AG69" s="10">
        <v>0</v>
      </c>
      <c r="AH69" s="10"/>
      <c r="AI69" s="10">
        <f t="shared" si="1"/>
        <v>0</v>
      </c>
      <c r="AJ69" s="10"/>
      <c r="AK69" s="22"/>
      <c r="AL69" s="22"/>
      <c r="AM69" s="22"/>
    </row>
    <row r="70" spans="1:39" s="21" customFormat="1" hidden="1">
      <c r="A70" s="1" t="s">
        <v>115</v>
      </c>
      <c r="B70" s="1"/>
      <c r="C70" s="1" t="s">
        <v>786</v>
      </c>
      <c r="D70" s="1"/>
      <c r="E70" s="10">
        <v>0</v>
      </c>
      <c r="F70" s="10"/>
      <c r="G70" s="10">
        <v>0</v>
      </c>
      <c r="H70" s="10"/>
      <c r="I70" s="10">
        <v>0</v>
      </c>
      <c r="J70" s="10"/>
      <c r="K70" s="10">
        <v>0</v>
      </c>
      <c r="L70" s="10"/>
      <c r="M70" s="10">
        <v>0</v>
      </c>
      <c r="N70" s="10"/>
      <c r="O70" s="10">
        <v>0</v>
      </c>
      <c r="P70" s="10"/>
      <c r="Q70" s="10">
        <v>0</v>
      </c>
      <c r="R70" s="10"/>
      <c r="S70" s="10">
        <v>0</v>
      </c>
      <c r="T70" s="10"/>
      <c r="U70" s="10">
        <v>0</v>
      </c>
      <c r="V70" s="24"/>
      <c r="W70" s="10">
        <v>0</v>
      </c>
      <c r="X70" s="24"/>
      <c r="Y70" s="10">
        <v>0</v>
      </c>
      <c r="Z70" s="10"/>
      <c r="AA70" s="10">
        <v>0</v>
      </c>
      <c r="AB70" s="10"/>
      <c r="AC70" s="10">
        <v>0</v>
      </c>
      <c r="AD70" s="10"/>
      <c r="AE70" s="10">
        <v>0</v>
      </c>
      <c r="AF70" s="10"/>
      <c r="AG70" s="10">
        <v>0</v>
      </c>
      <c r="AH70" s="10"/>
      <c r="AI70" s="10">
        <f t="shared" si="1"/>
        <v>0</v>
      </c>
      <c r="AJ70" s="10"/>
    </row>
    <row r="71" spans="1:39">
      <c r="A71" s="1" t="s">
        <v>538</v>
      </c>
      <c r="C71" s="1" t="s">
        <v>537</v>
      </c>
      <c r="E71" s="10">
        <v>26650</v>
      </c>
      <c r="G71" s="10">
        <v>0</v>
      </c>
      <c r="I71" s="10">
        <v>85763</v>
      </c>
      <c r="K71" s="10">
        <v>0</v>
      </c>
      <c r="M71" s="10">
        <v>67</v>
      </c>
      <c r="O71" s="10">
        <v>6792</v>
      </c>
      <c r="Q71" s="10">
        <v>5648</v>
      </c>
      <c r="S71" s="10">
        <v>26697</v>
      </c>
      <c r="U71" s="10">
        <v>0</v>
      </c>
      <c r="W71" s="10">
        <v>0</v>
      </c>
      <c r="Y71" s="10">
        <v>0</v>
      </c>
      <c r="AA71" s="10">
        <v>0</v>
      </c>
      <c r="AC71" s="10">
        <v>0</v>
      </c>
      <c r="AE71" s="10">
        <v>0</v>
      </c>
      <c r="AG71" s="10">
        <v>0</v>
      </c>
      <c r="AI71" s="10">
        <f t="shared" si="1"/>
        <v>151617</v>
      </c>
      <c r="AJ71" s="10"/>
    </row>
    <row r="72" spans="1:39" s="19" customFormat="1">
      <c r="A72" s="10" t="s">
        <v>688</v>
      </c>
      <c r="B72" s="10"/>
      <c r="C72" s="10" t="s">
        <v>689</v>
      </c>
      <c r="D72" s="10"/>
      <c r="E72" s="10">
        <v>262658</v>
      </c>
      <c r="F72" s="10"/>
      <c r="G72" s="10">
        <v>1492000</v>
      </c>
      <c r="H72" s="10"/>
      <c r="I72" s="10">
        <v>230093</v>
      </c>
      <c r="J72" s="10"/>
      <c r="K72" s="10">
        <v>0</v>
      </c>
      <c r="L72" s="10"/>
      <c r="M72" s="10">
        <v>209675</v>
      </c>
      <c r="N72" s="10"/>
      <c r="O72" s="10">
        <v>19079</v>
      </c>
      <c r="P72" s="10"/>
      <c r="Q72" s="10">
        <v>63408</v>
      </c>
      <c r="R72" s="10"/>
      <c r="S72" s="10">
        <f>20514+32251</f>
        <v>52765</v>
      </c>
      <c r="T72" s="10"/>
      <c r="U72" s="10">
        <v>0</v>
      </c>
      <c r="V72" s="10"/>
      <c r="W72" s="10">
        <v>0</v>
      </c>
      <c r="X72" s="10"/>
      <c r="Y72" s="10">
        <v>0</v>
      </c>
      <c r="Z72" s="10"/>
      <c r="AA72" s="10">
        <v>0</v>
      </c>
      <c r="AB72" s="10"/>
      <c r="AC72" s="10">
        <v>12750</v>
      </c>
      <c r="AD72" s="10"/>
      <c r="AE72" s="10">
        <v>0</v>
      </c>
      <c r="AF72" s="10"/>
      <c r="AG72" s="10">
        <v>0</v>
      </c>
      <c r="AH72" s="10"/>
      <c r="AI72" s="10">
        <f t="shared" ref="AI72:AI87" si="2">SUM(E72:AG72)</f>
        <v>2342428</v>
      </c>
      <c r="AJ72" s="10"/>
    </row>
    <row r="73" spans="1:39" s="21" customFormat="1">
      <c r="A73" s="1" t="s">
        <v>567</v>
      </c>
      <c r="B73" s="1"/>
      <c r="C73" s="1" t="s">
        <v>565</v>
      </c>
      <c r="D73" s="1"/>
      <c r="E73" s="10">
        <v>45641</v>
      </c>
      <c r="F73" s="10"/>
      <c r="G73" s="10">
        <v>0</v>
      </c>
      <c r="H73" s="10"/>
      <c r="I73" s="10">
        <v>51468</v>
      </c>
      <c r="J73" s="10"/>
      <c r="K73" s="10">
        <v>0</v>
      </c>
      <c r="L73" s="10"/>
      <c r="M73" s="10">
        <v>47902</v>
      </c>
      <c r="N73" s="10"/>
      <c r="O73" s="10">
        <v>6163</v>
      </c>
      <c r="P73" s="10"/>
      <c r="Q73" s="10">
        <v>1856</v>
      </c>
      <c r="R73" s="10"/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Z73" s="10"/>
      <c r="AA73" s="10">
        <v>55850</v>
      </c>
      <c r="AB73" s="10"/>
      <c r="AC73" s="10">
        <v>0</v>
      </c>
      <c r="AD73" s="10"/>
      <c r="AE73" s="10">
        <v>0</v>
      </c>
      <c r="AF73" s="10"/>
      <c r="AG73" s="10">
        <v>0</v>
      </c>
      <c r="AH73" s="10"/>
      <c r="AI73" s="10">
        <f t="shared" si="2"/>
        <v>208880</v>
      </c>
      <c r="AJ73" s="10"/>
    </row>
    <row r="74" spans="1:39">
      <c r="A74" s="1" t="s">
        <v>553</v>
      </c>
      <c r="C74" s="1" t="s">
        <v>554</v>
      </c>
      <c r="E74" s="10">
        <f>122831+106390</f>
        <v>229221</v>
      </c>
      <c r="G74" s="10">
        <v>573515</v>
      </c>
      <c r="I74" s="10">
        <f>120669+1200</f>
        <v>121869</v>
      </c>
      <c r="K74" s="10">
        <v>0</v>
      </c>
      <c r="M74" s="10">
        <v>0</v>
      </c>
      <c r="O74" s="10">
        <f>4884+351088</f>
        <v>355972</v>
      </c>
      <c r="Q74" s="10">
        <v>18358</v>
      </c>
      <c r="S74" s="10">
        <v>71446</v>
      </c>
      <c r="U74" s="10">
        <v>0</v>
      </c>
      <c r="W74" s="10">
        <v>0</v>
      </c>
      <c r="Y74" s="10">
        <v>0</v>
      </c>
      <c r="AA74" s="10">
        <v>0</v>
      </c>
      <c r="AC74" s="10">
        <v>0</v>
      </c>
      <c r="AE74" s="10">
        <v>0</v>
      </c>
      <c r="AG74" s="10">
        <v>0</v>
      </c>
      <c r="AI74" s="10">
        <f t="shared" si="2"/>
        <v>1370381</v>
      </c>
      <c r="AJ74" s="10"/>
    </row>
    <row r="75" spans="1:39" s="21" customFormat="1">
      <c r="A75" s="1" t="s">
        <v>540</v>
      </c>
      <c r="B75" s="1"/>
      <c r="C75" s="1" t="s">
        <v>541</v>
      </c>
      <c r="D75" s="1"/>
      <c r="E75" s="10">
        <v>60311</v>
      </c>
      <c r="F75" s="10"/>
      <c r="G75" s="10">
        <v>347462</v>
      </c>
      <c r="H75" s="10"/>
      <c r="I75" s="10">
        <v>72600</v>
      </c>
      <c r="J75" s="10"/>
      <c r="K75" s="10">
        <v>0</v>
      </c>
      <c r="L75" s="10"/>
      <c r="M75" s="10">
        <v>36468</v>
      </c>
      <c r="N75" s="10"/>
      <c r="O75" s="10">
        <v>2044</v>
      </c>
      <c r="P75" s="10"/>
      <c r="Q75" s="10">
        <v>38994</v>
      </c>
      <c r="R75" s="10"/>
      <c r="S75" s="10">
        <v>32489</v>
      </c>
      <c r="T75" s="10"/>
      <c r="U75" s="10">
        <v>0</v>
      </c>
      <c r="V75" s="10"/>
      <c r="W75" s="10">
        <v>0</v>
      </c>
      <c r="X75" s="10"/>
      <c r="Y75" s="10">
        <v>0</v>
      </c>
      <c r="Z75" s="10"/>
      <c r="AA75" s="10">
        <v>0</v>
      </c>
      <c r="AB75" s="10"/>
      <c r="AC75" s="10">
        <v>0</v>
      </c>
      <c r="AD75" s="10"/>
      <c r="AE75" s="10">
        <v>0</v>
      </c>
      <c r="AF75" s="10"/>
      <c r="AG75" s="10">
        <v>0</v>
      </c>
      <c r="AH75" s="10"/>
      <c r="AI75" s="10">
        <f t="shared" si="2"/>
        <v>590368</v>
      </c>
      <c r="AJ75" s="10"/>
    </row>
    <row r="76" spans="1:39" s="21" customFormat="1" hidden="1">
      <c r="A76" s="1" t="s">
        <v>402</v>
      </c>
      <c r="B76" s="1"/>
      <c r="C76" s="1" t="s">
        <v>403</v>
      </c>
      <c r="D76" s="1"/>
      <c r="E76" s="10">
        <v>0</v>
      </c>
      <c r="F76" s="10"/>
      <c r="G76" s="10">
        <v>0</v>
      </c>
      <c r="H76" s="10"/>
      <c r="I76" s="10">
        <v>0</v>
      </c>
      <c r="J76" s="10"/>
      <c r="K76" s="10">
        <v>0</v>
      </c>
      <c r="L76" s="10"/>
      <c r="M76" s="10">
        <v>0</v>
      </c>
      <c r="N76" s="10"/>
      <c r="O76" s="10">
        <v>0</v>
      </c>
      <c r="P76" s="10"/>
      <c r="Q76" s="10">
        <v>0</v>
      </c>
      <c r="R76" s="10"/>
      <c r="S76" s="10">
        <v>0</v>
      </c>
      <c r="T76" s="10"/>
      <c r="U76" s="10">
        <v>0</v>
      </c>
      <c r="V76" s="24"/>
      <c r="W76" s="10">
        <v>0</v>
      </c>
      <c r="X76" s="24"/>
      <c r="Y76" s="10">
        <v>0</v>
      </c>
      <c r="Z76" s="10"/>
      <c r="AA76" s="10">
        <v>0</v>
      </c>
      <c r="AB76" s="10"/>
      <c r="AC76" s="10">
        <v>0</v>
      </c>
      <c r="AD76" s="10"/>
      <c r="AE76" s="10">
        <v>0</v>
      </c>
      <c r="AF76" s="10"/>
      <c r="AG76" s="10">
        <v>0</v>
      </c>
      <c r="AH76" s="10"/>
      <c r="AI76" s="10">
        <f t="shared" si="2"/>
        <v>0</v>
      </c>
      <c r="AJ76" s="10"/>
    </row>
    <row r="77" spans="1:39" s="21" customFormat="1" hidden="1">
      <c r="A77" s="1" t="s">
        <v>83</v>
      </c>
      <c r="B77" s="1"/>
      <c r="C77" s="1" t="s">
        <v>776</v>
      </c>
      <c r="D77" s="1"/>
      <c r="E77" s="10">
        <v>0</v>
      </c>
      <c r="F77" s="10"/>
      <c r="G77" s="10">
        <v>0</v>
      </c>
      <c r="H77" s="10"/>
      <c r="I77" s="10">
        <v>0</v>
      </c>
      <c r="J77" s="10"/>
      <c r="K77" s="10">
        <v>0</v>
      </c>
      <c r="L77" s="10"/>
      <c r="M77" s="10">
        <v>0</v>
      </c>
      <c r="N77" s="10"/>
      <c r="O77" s="10">
        <v>0</v>
      </c>
      <c r="P77" s="10"/>
      <c r="Q77" s="10">
        <v>0</v>
      </c>
      <c r="R77" s="10"/>
      <c r="S77" s="10">
        <v>0</v>
      </c>
      <c r="T77" s="24"/>
      <c r="U77" s="10">
        <v>0</v>
      </c>
      <c r="V77" s="24"/>
      <c r="W77" s="10">
        <v>0</v>
      </c>
      <c r="X77" s="10"/>
      <c r="Y77" s="10">
        <v>0</v>
      </c>
      <c r="Z77" s="10"/>
      <c r="AA77" s="10">
        <v>0</v>
      </c>
      <c r="AB77" s="10"/>
      <c r="AC77" s="10">
        <v>0</v>
      </c>
      <c r="AD77" s="10"/>
      <c r="AE77" s="10">
        <v>0</v>
      </c>
      <c r="AF77" s="10"/>
      <c r="AG77" s="10">
        <v>0</v>
      </c>
      <c r="AH77" s="10"/>
      <c r="AI77" s="10">
        <f t="shared" si="2"/>
        <v>0</v>
      </c>
      <c r="AJ77" s="10"/>
    </row>
    <row r="78" spans="1:39">
      <c r="A78" s="1" t="s">
        <v>472</v>
      </c>
      <c r="C78" s="1" t="s">
        <v>931</v>
      </c>
      <c r="E78" s="10">
        <v>24352</v>
      </c>
      <c r="G78" s="10">
        <v>261383</v>
      </c>
      <c r="I78" s="10">
        <v>113717</v>
      </c>
      <c r="K78" s="10">
        <v>0</v>
      </c>
      <c r="M78" s="10">
        <v>0</v>
      </c>
      <c r="O78" s="10">
        <v>4353</v>
      </c>
      <c r="Q78" s="10">
        <v>0</v>
      </c>
      <c r="S78" s="10">
        <v>15344</v>
      </c>
      <c r="U78" s="10">
        <v>0</v>
      </c>
      <c r="W78" s="10">
        <v>0</v>
      </c>
      <c r="Y78" s="10">
        <v>0</v>
      </c>
      <c r="AA78" s="10">
        <v>0</v>
      </c>
      <c r="AC78" s="10">
        <v>0</v>
      </c>
      <c r="AE78" s="10">
        <v>32369</v>
      </c>
      <c r="AG78" s="10">
        <v>0</v>
      </c>
      <c r="AI78" s="10">
        <f t="shared" si="2"/>
        <v>451518</v>
      </c>
      <c r="AJ78" s="10"/>
    </row>
    <row r="79" spans="1:39" s="21" customFormat="1">
      <c r="A79" s="1" t="s">
        <v>608</v>
      </c>
      <c r="B79" s="1"/>
      <c r="C79" s="1" t="s">
        <v>606</v>
      </c>
      <c r="D79" s="1"/>
      <c r="E79" s="10">
        <v>20727</v>
      </c>
      <c r="F79" s="10"/>
      <c r="G79" s="10">
        <v>86320</v>
      </c>
      <c r="H79" s="10"/>
      <c r="I79" s="10">
        <v>95814</v>
      </c>
      <c r="J79" s="10"/>
      <c r="K79" s="10">
        <v>0</v>
      </c>
      <c r="L79" s="10"/>
      <c r="M79" s="10">
        <v>28449</v>
      </c>
      <c r="N79" s="10"/>
      <c r="O79" s="10">
        <v>11902</v>
      </c>
      <c r="P79" s="10"/>
      <c r="Q79" s="10">
        <v>60837</v>
      </c>
      <c r="R79" s="10"/>
      <c r="S79" s="10">
        <v>12224</v>
      </c>
      <c r="T79" s="10"/>
      <c r="U79" s="10">
        <v>0</v>
      </c>
      <c r="V79" s="10"/>
      <c r="W79" s="10">
        <v>0</v>
      </c>
      <c r="X79" s="10"/>
      <c r="Y79" s="10">
        <v>0</v>
      </c>
      <c r="Z79" s="10"/>
      <c r="AA79" s="10">
        <v>0</v>
      </c>
      <c r="AB79" s="10"/>
      <c r="AC79" s="10">
        <v>0</v>
      </c>
      <c r="AD79" s="10"/>
      <c r="AE79" s="10">
        <v>0</v>
      </c>
      <c r="AF79" s="10"/>
      <c r="AG79" s="10">
        <v>0</v>
      </c>
      <c r="AH79" s="10"/>
      <c r="AI79" s="10">
        <f t="shared" si="2"/>
        <v>316273</v>
      </c>
      <c r="AJ79" s="10"/>
    </row>
    <row r="80" spans="1:39" s="21" customFormat="1">
      <c r="A80" s="1" t="s">
        <v>903</v>
      </c>
      <c r="B80" s="1"/>
      <c r="C80" s="1" t="s">
        <v>259</v>
      </c>
      <c r="D80" s="1"/>
      <c r="E80" s="10">
        <v>42423</v>
      </c>
      <c r="F80" s="10"/>
      <c r="G80" s="10">
        <v>56456</v>
      </c>
      <c r="H80" s="10"/>
      <c r="I80" s="10">
        <v>113492</v>
      </c>
      <c r="J80" s="10"/>
      <c r="K80" s="10">
        <v>0</v>
      </c>
      <c r="L80" s="10"/>
      <c r="M80" s="10">
        <v>0</v>
      </c>
      <c r="N80" s="10"/>
      <c r="O80" s="10">
        <f>14936+13959</f>
        <v>28895</v>
      </c>
      <c r="P80" s="10"/>
      <c r="Q80" s="10">
        <v>947</v>
      </c>
      <c r="R80" s="10"/>
      <c r="S80" s="10">
        <f>88+6665</f>
        <v>6753</v>
      </c>
      <c r="T80" s="10"/>
      <c r="U80" s="10">
        <v>0</v>
      </c>
      <c r="V80" s="24"/>
      <c r="W80" s="10">
        <v>0</v>
      </c>
      <c r="X80" s="24"/>
      <c r="Y80" s="10">
        <v>0</v>
      </c>
      <c r="Z80" s="10"/>
      <c r="AA80" s="10">
        <v>0</v>
      </c>
      <c r="AB80" s="10"/>
      <c r="AC80" s="10">
        <v>0</v>
      </c>
      <c r="AD80" s="10"/>
      <c r="AE80" s="10">
        <v>0</v>
      </c>
      <c r="AF80" s="10"/>
      <c r="AG80" s="10">
        <v>0</v>
      </c>
      <c r="AH80" s="10"/>
      <c r="AI80" s="10">
        <f t="shared" si="2"/>
        <v>248966</v>
      </c>
      <c r="AJ80" s="10"/>
      <c r="AK80" s="22"/>
      <c r="AL80" s="22"/>
      <c r="AM80" s="22"/>
    </row>
    <row r="81" spans="1:39" s="21" customFormat="1" hidden="1">
      <c r="A81" s="1" t="s">
        <v>317</v>
      </c>
      <c r="B81" s="1"/>
      <c r="C81" s="1" t="s">
        <v>316</v>
      </c>
      <c r="D81" s="1"/>
      <c r="E81" s="10">
        <v>0</v>
      </c>
      <c r="F81" s="10"/>
      <c r="G81" s="10">
        <v>0</v>
      </c>
      <c r="H81" s="10"/>
      <c r="I81" s="10">
        <v>0</v>
      </c>
      <c r="J81" s="10"/>
      <c r="K81" s="10">
        <v>0</v>
      </c>
      <c r="L81" s="10"/>
      <c r="M81" s="10">
        <v>0</v>
      </c>
      <c r="N81" s="10"/>
      <c r="O81" s="10">
        <v>0</v>
      </c>
      <c r="P81" s="10"/>
      <c r="Q81" s="10">
        <v>0</v>
      </c>
      <c r="R81" s="10"/>
      <c r="S81" s="10">
        <v>0</v>
      </c>
      <c r="T81" s="10"/>
      <c r="U81" s="10">
        <v>0</v>
      </c>
      <c r="V81" s="24"/>
      <c r="W81" s="10">
        <v>0</v>
      </c>
      <c r="X81" s="24"/>
      <c r="Y81" s="10">
        <v>0</v>
      </c>
      <c r="Z81" s="10"/>
      <c r="AA81" s="10">
        <v>0</v>
      </c>
      <c r="AB81" s="10"/>
      <c r="AC81" s="10">
        <v>0</v>
      </c>
      <c r="AD81" s="10"/>
      <c r="AE81" s="10">
        <v>0</v>
      </c>
      <c r="AF81" s="10"/>
      <c r="AG81" s="10">
        <v>0</v>
      </c>
      <c r="AH81" s="10"/>
      <c r="AI81" s="10">
        <f t="shared" si="2"/>
        <v>0</v>
      </c>
      <c r="AJ81" s="10"/>
      <c r="AK81" s="22"/>
      <c r="AL81" s="22"/>
      <c r="AM81" s="22"/>
    </row>
    <row r="82" spans="1:39" s="21" customFormat="1" hidden="1">
      <c r="A82" s="1" t="s">
        <v>317</v>
      </c>
      <c r="B82" s="1"/>
      <c r="C82" s="1" t="s">
        <v>766</v>
      </c>
      <c r="D82" s="1"/>
      <c r="E82" s="10">
        <v>0</v>
      </c>
      <c r="F82" s="10"/>
      <c r="G82" s="10">
        <v>0</v>
      </c>
      <c r="H82" s="10"/>
      <c r="I82" s="10">
        <v>0</v>
      </c>
      <c r="J82" s="10"/>
      <c r="K82" s="10">
        <v>0</v>
      </c>
      <c r="L82" s="10"/>
      <c r="M82" s="10">
        <v>0</v>
      </c>
      <c r="N82" s="10"/>
      <c r="O82" s="10">
        <v>0</v>
      </c>
      <c r="P82" s="10"/>
      <c r="Q82" s="10">
        <v>0</v>
      </c>
      <c r="R82" s="10"/>
      <c r="S82" s="10">
        <v>0</v>
      </c>
      <c r="T82" s="10"/>
      <c r="U82" s="10">
        <v>0</v>
      </c>
      <c r="V82" s="24"/>
      <c r="W82" s="10">
        <v>0</v>
      </c>
      <c r="X82" s="24"/>
      <c r="Y82" s="10">
        <v>0</v>
      </c>
      <c r="Z82" s="10"/>
      <c r="AA82" s="10">
        <v>0</v>
      </c>
      <c r="AB82" s="10"/>
      <c r="AC82" s="10">
        <v>0</v>
      </c>
      <c r="AD82" s="10"/>
      <c r="AE82" s="10">
        <v>0</v>
      </c>
      <c r="AF82" s="10"/>
      <c r="AG82" s="10">
        <v>0</v>
      </c>
      <c r="AH82" s="10"/>
      <c r="AI82" s="10">
        <f t="shared" si="2"/>
        <v>0</v>
      </c>
      <c r="AJ82" s="10"/>
      <c r="AK82" s="22"/>
      <c r="AL82" s="22"/>
      <c r="AM82" s="22"/>
    </row>
    <row r="83" spans="1:39" hidden="1">
      <c r="A83" s="1" t="s">
        <v>61</v>
      </c>
      <c r="C83" s="1" t="s">
        <v>771</v>
      </c>
      <c r="E83" s="10">
        <v>0</v>
      </c>
      <c r="G83" s="10">
        <v>0</v>
      </c>
      <c r="I83" s="10">
        <v>0</v>
      </c>
      <c r="K83" s="10">
        <v>0</v>
      </c>
      <c r="M83" s="10">
        <v>0</v>
      </c>
      <c r="O83" s="10">
        <v>0</v>
      </c>
      <c r="Q83" s="10">
        <v>0</v>
      </c>
      <c r="S83" s="10">
        <v>0</v>
      </c>
      <c r="U83" s="10">
        <v>0</v>
      </c>
      <c r="V83" s="24"/>
      <c r="W83" s="10">
        <v>0</v>
      </c>
      <c r="X83" s="24"/>
      <c r="Y83" s="10">
        <v>0</v>
      </c>
      <c r="AA83" s="10">
        <v>0</v>
      </c>
      <c r="AC83" s="10">
        <v>0</v>
      </c>
      <c r="AE83" s="10">
        <v>0</v>
      </c>
      <c r="AG83" s="10">
        <v>0</v>
      </c>
      <c r="AI83" s="10">
        <f t="shared" si="2"/>
        <v>0</v>
      </c>
      <c r="AJ83" s="10"/>
      <c r="AK83" s="7"/>
      <c r="AL83" s="7"/>
      <c r="AM83" s="7"/>
    </row>
    <row r="84" spans="1:39" s="21" customFormat="1">
      <c r="A84" s="1" t="s">
        <v>546</v>
      </c>
      <c r="B84" s="1"/>
      <c r="C84" s="1" t="s">
        <v>545</v>
      </c>
      <c r="D84" s="1"/>
      <c r="E84" s="10">
        <v>81963</v>
      </c>
      <c r="F84" s="10"/>
      <c r="G84" s="10">
        <v>0</v>
      </c>
      <c r="H84" s="10"/>
      <c r="I84" s="10">
        <v>149270</v>
      </c>
      <c r="J84" s="10"/>
      <c r="K84" s="10">
        <v>1135</v>
      </c>
      <c r="L84" s="10"/>
      <c r="M84" s="10">
        <v>0</v>
      </c>
      <c r="N84" s="10"/>
      <c r="O84" s="10">
        <v>4605</v>
      </c>
      <c r="P84" s="10"/>
      <c r="Q84" s="10">
        <v>37326</v>
      </c>
      <c r="R84" s="10"/>
      <c r="S84" s="10">
        <v>2274</v>
      </c>
      <c r="T84" s="10"/>
      <c r="U84" s="10">
        <v>0</v>
      </c>
      <c r="V84" s="10"/>
      <c r="W84" s="10">
        <v>0</v>
      </c>
      <c r="X84" s="10"/>
      <c r="Y84" s="10">
        <v>150</v>
      </c>
      <c r="Z84" s="10"/>
      <c r="AA84" s="10">
        <v>551655</v>
      </c>
      <c r="AB84" s="10"/>
      <c r="AC84" s="10">
        <v>0</v>
      </c>
      <c r="AD84" s="10"/>
      <c r="AE84" s="10">
        <v>0</v>
      </c>
      <c r="AF84" s="10"/>
      <c r="AG84" s="10">
        <v>0</v>
      </c>
      <c r="AH84" s="10"/>
      <c r="AI84" s="10">
        <f t="shared" si="2"/>
        <v>828378</v>
      </c>
      <c r="AJ84" s="10"/>
    </row>
    <row r="85" spans="1:39" s="15" customFormat="1" hidden="1">
      <c r="A85" s="15" t="s">
        <v>72</v>
      </c>
      <c r="C85" s="15" t="s">
        <v>773</v>
      </c>
      <c r="E85" s="24">
        <v>0</v>
      </c>
      <c r="F85" s="24"/>
      <c r="G85" s="24">
        <v>0</v>
      </c>
      <c r="H85" s="24"/>
      <c r="I85" s="24">
        <v>0</v>
      </c>
      <c r="J85" s="24"/>
      <c r="K85" s="24">
        <v>0</v>
      </c>
      <c r="L85" s="24"/>
      <c r="M85" s="24">
        <v>0</v>
      </c>
      <c r="N85" s="24"/>
      <c r="O85" s="24">
        <v>0</v>
      </c>
      <c r="P85" s="24"/>
      <c r="Q85" s="24">
        <v>0</v>
      </c>
      <c r="R85" s="24"/>
      <c r="S85" s="24">
        <v>0</v>
      </c>
      <c r="T85" s="24"/>
      <c r="U85" s="24">
        <v>0</v>
      </c>
      <c r="V85" s="24"/>
      <c r="W85" s="24">
        <v>0</v>
      </c>
      <c r="X85" s="24"/>
      <c r="Y85" s="24">
        <v>0</v>
      </c>
      <c r="Z85" s="24"/>
      <c r="AA85" s="24">
        <v>0</v>
      </c>
      <c r="AB85" s="24"/>
      <c r="AC85" s="24">
        <v>0</v>
      </c>
      <c r="AD85" s="24"/>
      <c r="AE85" s="24">
        <v>0</v>
      </c>
      <c r="AF85" s="24"/>
      <c r="AG85" s="24">
        <v>0</v>
      </c>
      <c r="AH85" s="24"/>
      <c r="AI85" s="24">
        <f t="shared" si="2"/>
        <v>0</v>
      </c>
      <c r="AJ85" s="24"/>
      <c r="AK85" s="30"/>
      <c r="AL85" s="30"/>
      <c r="AM85" s="30"/>
    </row>
    <row r="86" spans="1:39" s="21" customFormat="1" ht="12.6" hidden="1" customHeight="1">
      <c r="A86" s="1" t="s">
        <v>281</v>
      </c>
      <c r="B86" s="1"/>
      <c r="C86" s="1" t="s">
        <v>279</v>
      </c>
      <c r="D86" s="1"/>
      <c r="E86" s="10">
        <v>0</v>
      </c>
      <c r="F86" s="10"/>
      <c r="G86" s="10">
        <v>0</v>
      </c>
      <c r="H86" s="10"/>
      <c r="I86" s="10">
        <v>0</v>
      </c>
      <c r="J86" s="10"/>
      <c r="K86" s="10">
        <v>0</v>
      </c>
      <c r="L86" s="10"/>
      <c r="M86" s="10">
        <v>0</v>
      </c>
      <c r="N86" s="10"/>
      <c r="O86" s="10">
        <v>0</v>
      </c>
      <c r="P86" s="10"/>
      <c r="Q86" s="10">
        <v>0</v>
      </c>
      <c r="R86" s="10"/>
      <c r="S86" s="10">
        <v>0</v>
      </c>
      <c r="T86" s="10"/>
      <c r="U86" s="10">
        <v>0</v>
      </c>
      <c r="V86" s="24"/>
      <c r="W86" s="10">
        <v>0</v>
      </c>
      <c r="X86" s="24"/>
      <c r="Y86" s="10">
        <v>0</v>
      </c>
      <c r="Z86" s="10"/>
      <c r="AA86" s="10">
        <v>0</v>
      </c>
      <c r="AB86" s="10"/>
      <c r="AC86" s="10">
        <v>0</v>
      </c>
      <c r="AD86" s="10"/>
      <c r="AE86" s="10">
        <v>0</v>
      </c>
      <c r="AF86" s="10"/>
      <c r="AG86" s="10">
        <v>0</v>
      </c>
      <c r="AH86" s="10"/>
      <c r="AI86" s="10">
        <f t="shared" si="2"/>
        <v>0</v>
      </c>
      <c r="AJ86" s="10"/>
      <c r="AK86" s="22"/>
      <c r="AL86" s="22"/>
      <c r="AM86" s="22"/>
    </row>
    <row r="87" spans="1:39">
      <c r="A87" s="1" t="s">
        <v>318</v>
      </c>
      <c r="C87" s="1" t="s">
        <v>316</v>
      </c>
      <c r="E87" s="10">
        <v>355879</v>
      </c>
      <c r="G87" s="10">
        <v>4950228</v>
      </c>
      <c r="I87" s="10">
        <v>271198</v>
      </c>
      <c r="K87" s="10">
        <v>0</v>
      </c>
      <c r="M87" s="10">
        <v>79159</v>
      </c>
      <c r="O87" s="10">
        <v>126323</v>
      </c>
      <c r="Q87" s="10">
        <v>123147</v>
      </c>
      <c r="S87" s="10">
        <v>10854</v>
      </c>
      <c r="U87" s="10">
        <v>0</v>
      </c>
      <c r="W87" s="10">
        <v>0</v>
      </c>
      <c r="Y87" s="10">
        <v>12271</v>
      </c>
      <c r="AA87" s="10">
        <v>150</v>
      </c>
      <c r="AC87" s="10">
        <v>0</v>
      </c>
      <c r="AE87" s="10">
        <v>39008</v>
      </c>
      <c r="AG87" s="10">
        <v>0</v>
      </c>
      <c r="AI87" s="10">
        <f t="shared" si="2"/>
        <v>5968217</v>
      </c>
      <c r="AJ87" s="10"/>
      <c r="AK87" s="7"/>
      <c r="AL87" s="7"/>
      <c r="AM87" s="7"/>
    </row>
    <row r="88" spans="1:39" hidden="1">
      <c r="AI88" s="10" t="s">
        <v>869</v>
      </c>
      <c r="AJ88" s="10"/>
      <c r="AK88" s="7"/>
      <c r="AL88" s="7"/>
      <c r="AM88" s="7"/>
    </row>
    <row r="89" spans="1:39" s="21" customFormat="1" ht="12.6" hidden="1" customHeight="1">
      <c r="A89" s="1" t="s">
        <v>16</v>
      </c>
      <c r="B89" s="1"/>
      <c r="C89" s="1" t="s">
        <v>755</v>
      </c>
      <c r="D89" s="1"/>
      <c r="E89" s="40">
        <v>0</v>
      </c>
      <c r="F89" s="40"/>
      <c r="G89" s="40">
        <v>0</v>
      </c>
      <c r="H89" s="40"/>
      <c r="I89" s="40">
        <v>0</v>
      </c>
      <c r="J89" s="40"/>
      <c r="K89" s="40">
        <v>0</v>
      </c>
      <c r="L89" s="40"/>
      <c r="M89" s="40">
        <v>0</v>
      </c>
      <c r="N89" s="40"/>
      <c r="O89" s="40">
        <v>0</v>
      </c>
      <c r="P89" s="40"/>
      <c r="Q89" s="40">
        <v>0</v>
      </c>
      <c r="R89" s="40"/>
      <c r="S89" s="40">
        <v>0</v>
      </c>
      <c r="T89" s="40"/>
      <c r="U89" s="40">
        <v>0</v>
      </c>
      <c r="V89" s="41"/>
      <c r="W89" s="40">
        <v>0</v>
      </c>
      <c r="X89" s="41"/>
      <c r="Y89" s="40">
        <v>0</v>
      </c>
      <c r="Z89" s="40"/>
      <c r="AA89" s="40">
        <v>0</v>
      </c>
      <c r="AB89" s="40"/>
      <c r="AC89" s="40">
        <v>0</v>
      </c>
      <c r="AD89" s="40"/>
      <c r="AE89" s="40">
        <v>0</v>
      </c>
      <c r="AF89" s="40"/>
      <c r="AG89" s="40">
        <v>0</v>
      </c>
      <c r="AH89" s="40"/>
      <c r="AI89" s="40">
        <f t="shared" ref="AI89:AI120" si="3">SUM(E89:AG89)</f>
        <v>0</v>
      </c>
      <c r="AJ89" s="10"/>
      <c r="AK89" s="22"/>
      <c r="AL89" s="22"/>
      <c r="AM89" s="22"/>
    </row>
    <row r="90" spans="1:39" hidden="1">
      <c r="A90" s="1" t="s">
        <v>501</v>
      </c>
      <c r="C90" s="1" t="s">
        <v>500</v>
      </c>
      <c r="E90" s="10">
        <v>0</v>
      </c>
      <c r="G90" s="10">
        <v>0</v>
      </c>
      <c r="I90" s="10">
        <v>0</v>
      </c>
      <c r="K90" s="10">
        <v>0</v>
      </c>
      <c r="M90" s="10">
        <v>0</v>
      </c>
      <c r="O90" s="10">
        <v>0</v>
      </c>
      <c r="Q90" s="10">
        <v>0</v>
      </c>
      <c r="S90" s="10">
        <v>0</v>
      </c>
      <c r="U90" s="10">
        <v>0</v>
      </c>
      <c r="V90" s="24"/>
      <c r="W90" s="10">
        <v>0</v>
      </c>
      <c r="X90" s="24"/>
      <c r="Y90" s="10">
        <v>0</v>
      </c>
      <c r="AA90" s="10">
        <v>0</v>
      </c>
      <c r="AC90" s="10">
        <v>0</v>
      </c>
      <c r="AE90" s="10">
        <v>0</v>
      </c>
      <c r="AG90" s="10">
        <v>0</v>
      </c>
      <c r="AI90" s="10">
        <f t="shared" si="3"/>
        <v>0</v>
      </c>
      <c r="AJ90" s="10"/>
    </row>
    <row r="91" spans="1:39" s="21" customFormat="1">
      <c r="A91" s="1" t="s">
        <v>272</v>
      </c>
      <c r="B91" s="1"/>
      <c r="C91" s="1" t="s">
        <v>271</v>
      </c>
      <c r="D91" s="1"/>
      <c r="E91" s="10">
        <v>74600</v>
      </c>
      <c r="F91" s="10"/>
      <c r="G91" s="10">
        <v>0</v>
      </c>
      <c r="H91" s="10"/>
      <c r="I91" s="10">
        <v>11559</v>
      </c>
      <c r="J91" s="10"/>
      <c r="K91" s="10">
        <v>0</v>
      </c>
      <c r="L91" s="10"/>
      <c r="M91" s="10">
        <v>0</v>
      </c>
      <c r="N91" s="10"/>
      <c r="O91" s="10">
        <v>22522</v>
      </c>
      <c r="P91" s="10"/>
      <c r="Q91" s="10">
        <v>1090</v>
      </c>
      <c r="R91" s="10"/>
      <c r="S91" s="10">
        <v>12998</v>
      </c>
      <c r="T91" s="10"/>
      <c r="U91" s="10">
        <v>0</v>
      </c>
      <c r="V91" s="10"/>
      <c r="W91" s="10">
        <v>0</v>
      </c>
      <c r="X91" s="10"/>
      <c r="Y91" s="10">
        <v>0</v>
      </c>
      <c r="Z91" s="10"/>
      <c r="AA91" s="10">
        <v>0</v>
      </c>
      <c r="AB91" s="10"/>
      <c r="AC91" s="10">
        <v>0</v>
      </c>
      <c r="AD91" s="10"/>
      <c r="AE91" s="10">
        <v>0</v>
      </c>
      <c r="AF91" s="10"/>
      <c r="AG91" s="10">
        <v>0</v>
      </c>
      <c r="AH91" s="10"/>
      <c r="AI91" s="10">
        <f t="shared" si="3"/>
        <v>122769</v>
      </c>
      <c r="AJ91" s="10"/>
      <c r="AK91" s="22"/>
      <c r="AL91" s="22"/>
      <c r="AM91" s="22"/>
    </row>
    <row r="92" spans="1:39" hidden="1">
      <c r="A92" s="1" t="s">
        <v>130</v>
      </c>
      <c r="C92" s="1" t="s">
        <v>790</v>
      </c>
      <c r="E92" s="10">
        <v>0</v>
      </c>
      <c r="G92" s="10">
        <v>0</v>
      </c>
      <c r="I92" s="10">
        <v>0</v>
      </c>
      <c r="K92" s="10">
        <v>0</v>
      </c>
      <c r="M92" s="10">
        <v>0</v>
      </c>
      <c r="O92" s="10">
        <v>0</v>
      </c>
      <c r="Q92" s="10">
        <v>0</v>
      </c>
      <c r="S92" s="10">
        <v>0</v>
      </c>
      <c r="U92" s="10">
        <v>0</v>
      </c>
      <c r="V92" s="24"/>
      <c r="W92" s="10">
        <v>0</v>
      </c>
      <c r="X92" s="24"/>
      <c r="Y92" s="10">
        <v>0</v>
      </c>
      <c r="AA92" s="10">
        <v>0</v>
      </c>
      <c r="AC92" s="10">
        <v>0</v>
      </c>
      <c r="AE92" s="10">
        <v>0</v>
      </c>
      <c r="AG92" s="10">
        <v>0</v>
      </c>
      <c r="AI92" s="10">
        <f t="shared" si="3"/>
        <v>0</v>
      </c>
      <c r="AJ92" s="10"/>
    </row>
    <row r="93" spans="1:39" s="21" customFormat="1" hidden="1">
      <c r="A93" s="1" t="s">
        <v>11</v>
      </c>
      <c r="B93" s="1"/>
      <c r="C93" s="1" t="s">
        <v>754</v>
      </c>
      <c r="D93" s="1"/>
      <c r="E93" s="10">
        <v>0</v>
      </c>
      <c r="F93" s="10"/>
      <c r="G93" s="10">
        <v>0</v>
      </c>
      <c r="H93" s="10"/>
      <c r="I93" s="10">
        <v>0</v>
      </c>
      <c r="J93" s="10"/>
      <c r="K93" s="10">
        <v>0</v>
      </c>
      <c r="L93" s="10"/>
      <c r="M93" s="10">
        <v>0</v>
      </c>
      <c r="N93" s="10"/>
      <c r="O93" s="10">
        <v>0</v>
      </c>
      <c r="P93" s="10"/>
      <c r="Q93" s="10">
        <v>0</v>
      </c>
      <c r="R93" s="10"/>
      <c r="S93" s="10">
        <v>0</v>
      </c>
      <c r="T93" s="10"/>
      <c r="U93" s="10">
        <v>0</v>
      </c>
      <c r="V93" s="24"/>
      <c r="W93" s="10">
        <v>0</v>
      </c>
      <c r="X93" s="24"/>
      <c r="Y93" s="10">
        <v>0</v>
      </c>
      <c r="Z93" s="10"/>
      <c r="AA93" s="10">
        <v>0</v>
      </c>
      <c r="AB93" s="10"/>
      <c r="AC93" s="10">
        <v>0</v>
      </c>
      <c r="AD93" s="10"/>
      <c r="AE93" s="10">
        <v>0</v>
      </c>
      <c r="AF93" s="10"/>
      <c r="AG93" s="10">
        <v>0</v>
      </c>
      <c r="AH93" s="10"/>
      <c r="AI93" s="10">
        <f t="shared" si="3"/>
        <v>0</v>
      </c>
      <c r="AJ93" s="10"/>
      <c r="AK93" s="22"/>
      <c r="AL93" s="22"/>
      <c r="AM93" s="22"/>
    </row>
    <row r="94" spans="1:39" hidden="1">
      <c r="A94" s="1" t="s">
        <v>248</v>
      </c>
      <c r="C94" s="1" t="s">
        <v>828</v>
      </c>
      <c r="E94" s="10">
        <v>0</v>
      </c>
      <c r="G94" s="10">
        <v>0</v>
      </c>
      <c r="I94" s="10">
        <v>0</v>
      </c>
      <c r="K94" s="10">
        <v>0</v>
      </c>
      <c r="M94" s="10">
        <v>0</v>
      </c>
      <c r="O94" s="10">
        <v>0</v>
      </c>
      <c r="Q94" s="10">
        <v>0</v>
      </c>
      <c r="S94" s="10">
        <v>0</v>
      </c>
      <c r="U94" s="10">
        <v>0</v>
      </c>
      <c r="V94" s="24"/>
      <c r="W94" s="10">
        <v>0</v>
      </c>
      <c r="X94" s="24"/>
      <c r="Y94" s="10">
        <v>0</v>
      </c>
      <c r="AA94" s="10">
        <v>0</v>
      </c>
      <c r="AC94" s="10">
        <v>0</v>
      </c>
      <c r="AE94" s="10">
        <v>0</v>
      </c>
      <c r="AG94" s="10">
        <v>0</v>
      </c>
      <c r="AI94" s="10">
        <f t="shared" si="3"/>
        <v>0</v>
      </c>
      <c r="AJ94" s="10"/>
    </row>
    <row r="95" spans="1:39" s="15" customFormat="1">
      <c r="A95" s="15" t="s">
        <v>529</v>
      </c>
      <c r="C95" s="15" t="s">
        <v>530</v>
      </c>
      <c r="E95" s="24">
        <v>18949</v>
      </c>
      <c r="F95" s="24"/>
      <c r="G95" s="24">
        <v>0</v>
      </c>
      <c r="H95" s="24"/>
      <c r="I95" s="24">
        <v>14962</v>
      </c>
      <c r="J95" s="24"/>
      <c r="K95" s="24">
        <v>0</v>
      </c>
      <c r="L95" s="24"/>
      <c r="M95" s="24">
        <v>0</v>
      </c>
      <c r="N95" s="24"/>
      <c r="O95" s="24">
        <v>0</v>
      </c>
      <c r="P95" s="24"/>
      <c r="Q95" s="24">
        <v>114</v>
      </c>
      <c r="R95" s="24"/>
      <c r="S95" s="24">
        <v>0</v>
      </c>
      <c r="T95" s="24"/>
      <c r="U95" s="24">
        <v>0</v>
      </c>
      <c r="V95" s="24"/>
      <c r="W95" s="24">
        <v>0</v>
      </c>
      <c r="X95" s="24"/>
      <c r="Y95" s="24">
        <v>0</v>
      </c>
      <c r="Z95" s="24"/>
      <c r="AA95" s="24">
        <v>0</v>
      </c>
      <c r="AB95" s="24"/>
      <c r="AC95" s="24">
        <v>0</v>
      </c>
      <c r="AD95" s="24"/>
      <c r="AE95" s="24">
        <v>0</v>
      </c>
      <c r="AF95" s="24"/>
      <c r="AG95" s="24">
        <v>0</v>
      </c>
      <c r="AH95" s="24"/>
      <c r="AI95" s="24">
        <f t="shared" si="3"/>
        <v>34025</v>
      </c>
      <c r="AJ95" s="24"/>
    </row>
    <row r="96" spans="1:39">
      <c r="A96" s="1" t="s">
        <v>468</v>
      </c>
      <c r="C96" s="1" t="s">
        <v>710</v>
      </c>
      <c r="E96" s="10">
        <v>5064</v>
      </c>
      <c r="G96" s="10">
        <v>0</v>
      </c>
      <c r="I96" s="10">
        <v>26290</v>
      </c>
      <c r="K96" s="10">
        <v>0</v>
      </c>
      <c r="M96" s="10">
        <v>0</v>
      </c>
      <c r="O96" s="10">
        <v>0</v>
      </c>
      <c r="Q96" s="10">
        <v>0</v>
      </c>
      <c r="S96" s="10">
        <v>28954</v>
      </c>
      <c r="U96" s="10">
        <v>0</v>
      </c>
      <c r="W96" s="10">
        <v>0</v>
      </c>
      <c r="Y96" s="10">
        <v>0</v>
      </c>
      <c r="AA96" s="10">
        <v>0</v>
      </c>
      <c r="AC96" s="10">
        <v>0</v>
      </c>
      <c r="AE96" s="10">
        <v>0</v>
      </c>
      <c r="AG96" s="10">
        <v>0</v>
      </c>
      <c r="AI96" s="10">
        <f t="shared" si="3"/>
        <v>60308</v>
      </c>
      <c r="AJ96" s="10"/>
    </row>
    <row r="97" spans="1:39">
      <c r="A97" s="1" t="s">
        <v>690</v>
      </c>
      <c r="C97" s="1" t="s">
        <v>368</v>
      </c>
      <c r="E97" s="10">
        <v>70910</v>
      </c>
      <c r="G97" s="10">
        <v>501919</v>
      </c>
      <c r="I97" s="10">
        <v>67462</v>
      </c>
      <c r="K97" s="10">
        <v>0</v>
      </c>
      <c r="M97" s="10">
        <v>12821</v>
      </c>
      <c r="O97" s="10">
        <v>620</v>
      </c>
      <c r="Q97" s="10">
        <v>0</v>
      </c>
      <c r="S97" s="10">
        <v>23989</v>
      </c>
      <c r="U97" s="10">
        <v>0</v>
      </c>
      <c r="W97" s="10">
        <v>0</v>
      </c>
      <c r="Y97" s="10">
        <v>1225</v>
      </c>
      <c r="AA97" s="10">
        <v>0</v>
      </c>
      <c r="AC97" s="10">
        <v>48704</v>
      </c>
      <c r="AE97" s="10">
        <v>0</v>
      </c>
      <c r="AG97" s="10">
        <v>0</v>
      </c>
      <c r="AI97" s="10">
        <f t="shared" si="3"/>
        <v>727650</v>
      </c>
      <c r="AJ97" s="40"/>
    </row>
    <row r="98" spans="1:39" s="59" customFormat="1" hidden="1">
      <c r="A98" s="59" t="s">
        <v>522</v>
      </c>
      <c r="C98" s="59" t="s">
        <v>523</v>
      </c>
      <c r="E98" s="60">
        <v>0</v>
      </c>
      <c r="F98" s="60"/>
      <c r="G98" s="60">
        <v>0</v>
      </c>
      <c r="H98" s="60"/>
      <c r="I98" s="60">
        <v>0</v>
      </c>
      <c r="J98" s="60"/>
      <c r="K98" s="60">
        <v>0</v>
      </c>
      <c r="L98" s="60"/>
      <c r="M98" s="60">
        <v>0</v>
      </c>
      <c r="N98" s="60"/>
      <c r="O98" s="60">
        <v>0</v>
      </c>
      <c r="P98" s="60"/>
      <c r="Q98" s="60">
        <v>0</v>
      </c>
      <c r="R98" s="60"/>
      <c r="S98" s="60">
        <v>0</v>
      </c>
      <c r="T98" s="60"/>
      <c r="U98" s="60">
        <v>0</v>
      </c>
      <c r="V98" s="60"/>
      <c r="W98" s="60">
        <v>0</v>
      </c>
      <c r="X98" s="60"/>
      <c r="Y98" s="60">
        <v>0</v>
      </c>
      <c r="Z98" s="60"/>
      <c r="AA98" s="60">
        <v>0</v>
      </c>
      <c r="AB98" s="60"/>
      <c r="AC98" s="60">
        <v>0</v>
      </c>
      <c r="AD98" s="60"/>
      <c r="AE98" s="60">
        <v>0</v>
      </c>
      <c r="AF98" s="60"/>
      <c r="AG98" s="60">
        <v>0</v>
      </c>
      <c r="AH98" s="60"/>
      <c r="AI98" s="60">
        <f t="shared" si="3"/>
        <v>0</v>
      </c>
      <c r="AJ98" s="60"/>
    </row>
    <row r="99" spans="1:39" hidden="1">
      <c r="A99" s="1" t="s">
        <v>241</v>
      </c>
      <c r="C99" s="1" t="s">
        <v>826</v>
      </c>
      <c r="E99" s="10">
        <v>0</v>
      </c>
      <c r="G99" s="10">
        <v>0</v>
      </c>
      <c r="I99" s="10">
        <v>0</v>
      </c>
      <c r="K99" s="10">
        <v>0</v>
      </c>
      <c r="M99" s="10">
        <v>0</v>
      </c>
      <c r="O99" s="10">
        <v>0</v>
      </c>
      <c r="Q99" s="10">
        <v>0</v>
      </c>
      <c r="S99" s="10">
        <v>0</v>
      </c>
      <c r="U99" s="10">
        <v>0</v>
      </c>
      <c r="V99" s="24"/>
      <c r="W99" s="10">
        <v>0</v>
      </c>
      <c r="X99" s="24"/>
      <c r="Y99" s="10">
        <v>0</v>
      </c>
      <c r="AA99" s="10">
        <v>0</v>
      </c>
      <c r="AC99" s="10">
        <v>0</v>
      </c>
      <c r="AE99" s="10">
        <v>0</v>
      </c>
      <c r="AG99" s="10">
        <v>0</v>
      </c>
      <c r="AI99" s="10">
        <f t="shared" si="3"/>
        <v>0</v>
      </c>
      <c r="AJ99" s="10"/>
    </row>
    <row r="100" spans="1:39" s="21" customFormat="1" hidden="1">
      <c r="A100" s="1" t="s">
        <v>86</v>
      </c>
      <c r="B100" s="1"/>
      <c r="C100" s="1" t="s">
        <v>777</v>
      </c>
      <c r="D100" s="1"/>
      <c r="E100" s="10">
        <v>0</v>
      </c>
      <c r="F100" s="10"/>
      <c r="G100" s="10">
        <v>0</v>
      </c>
      <c r="H100" s="10"/>
      <c r="I100" s="10">
        <v>0</v>
      </c>
      <c r="J100" s="10"/>
      <c r="K100" s="10">
        <v>0</v>
      </c>
      <c r="L100" s="10"/>
      <c r="M100" s="10">
        <v>0</v>
      </c>
      <c r="N100" s="10"/>
      <c r="O100" s="10">
        <v>0</v>
      </c>
      <c r="P100" s="10"/>
      <c r="Q100" s="10">
        <v>0</v>
      </c>
      <c r="R100" s="10"/>
      <c r="S100" s="10">
        <v>0</v>
      </c>
      <c r="T100" s="10"/>
      <c r="U100" s="10">
        <v>0</v>
      </c>
      <c r="V100" s="24"/>
      <c r="W100" s="10">
        <v>0</v>
      </c>
      <c r="X100" s="24"/>
      <c r="Y100" s="10">
        <v>0</v>
      </c>
      <c r="Z100" s="10"/>
      <c r="AA100" s="10">
        <v>0</v>
      </c>
      <c r="AB100" s="10"/>
      <c r="AC100" s="10">
        <v>0</v>
      </c>
      <c r="AD100" s="10"/>
      <c r="AE100" s="10">
        <v>0</v>
      </c>
      <c r="AF100" s="10"/>
      <c r="AG100" s="10">
        <v>0</v>
      </c>
      <c r="AH100" s="10"/>
      <c r="AI100" s="10">
        <f t="shared" si="3"/>
        <v>0</v>
      </c>
      <c r="AJ100" s="10"/>
    </row>
    <row r="101" spans="1:39" s="21" customFormat="1" hidden="1">
      <c r="A101" s="1" t="s">
        <v>100</v>
      </c>
      <c r="B101" s="1"/>
      <c r="C101" s="1" t="s">
        <v>403</v>
      </c>
      <c r="D101" s="1"/>
      <c r="E101" s="10">
        <v>0</v>
      </c>
      <c r="F101" s="10"/>
      <c r="G101" s="10">
        <v>0</v>
      </c>
      <c r="H101" s="10"/>
      <c r="I101" s="10">
        <v>0</v>
      </c>
      <c r="J101" s="10"/>
      <c r="K101" s="10">
        <v>0</v>
      </c>
      <c r="L101" s="10"/>
      <c r="M101" s="10">
        <v>0</v>
      </c>
      <c r="N101" s="10"/>
      <c r="O101" s="10">
        <v>0</v>
      </c>
      <c r="P101" s="10"/>
      <c r="Q101" s="10">
        <v>0</v>
      </c>
      <c r="R101" s="10"/>
      <c r="S101" s="10">
        <v>0</v>
      </c>
      <c r="T101" s="10"/>
      <c r="U101" s="10">
        <v>0</v>
      </c>
      <c r="V101" s="24"/>
      <c r="W101" s="10">
        <v>0</v>
      </c>
      <c r="X101" s="24"/>
      <c r="Y101" s="10">
        <v>0</v>
      </c>
      <c r="Z101" s="10"/>
      <c r="AA101" s="10">
        <v>0</v>
      </c>
      <c r="AB101" s="10"/>
      <c r="AC101" s="10">
        <v>0</v>
      </c>
      <c r="AD101" s="10"/>
      <c r="AE101" s="10">
        <v>0</v>
      </c>
      <c r="AF101" s="10"/>
      <c r="AG101" s="10">
        <v>0</v>
      </c>
      <c r="AH101" s="10"/>
      <c r="AI101" s="10">
        <f t="shared" si="3"/>
        <v>0</v>
      </c>
      <c r="AJ101" s="10"/>
    </row>
    <row r="102" spans="1:39" s="21" customFormat="1" hidden="1">
      <c r="A102" s="1" t="s">
        <v>713</v>
      </c>
      <c r="B102" s="1"/>
      <c r="C102" s="1" t="s">
        <v>714</v>
      </c>
      <c r="D102" s="1"/>
      <c r="E102" s="10">
        <v>0</v>
      </c>
      <c r="F102" s="10"/>
      <c r="G102" s="10">
        <v>0</v>
      </c>
      <c r="H102" s="10"/>
      <c r="I102" s="10">
        <v>0</v>
      </c>
      <c r="J102" s="10"/>
      <c r="K102" s="10">
        <v>0</v>
      </c>
      <c r="L102" s="10"/>
      <c r="M102" s="10">
        <v>0</v>
      </c>
      <c r="N102" s="10"/>
      <c r="O102" s="10">
        <v>0</v>
      </c>
      <c r="P102" s="10"/>
      <c r="Q102" s="10">
        <v>0</v>
      </c>
      <c r="R102" s="10"/>
      <c r="S102" s="10">
        <v>0</v>
      </c>
      <c r="T102" s="10"/>
      <c r="U102" s="10">
        <v>0</v>
      </c>
      <c r="V102" s="24"/>
      <c r="W102" s="10">
        <v>0</v>
      </c>
      <c r="X102" s="24"/>
      <c r="Y102" s="10">
        <v>0</v>
      </c>
      <c r="Z102" s="10"/>
      <c r="AA102" s="10">
        <v>0</v>
      </c>
      <c r="AB102" s="10"/>
      <c r="AC102" s="10">
        <v>0</v>
      </c>
      <c r="AD102" s="10"/>
      <c r="AE102" s="10">
        <v>0</v>
      </c>
      <c r="AF102" s="10"/>
      <c r="AG102" s="10">
        <v>0</v>
      </c>
      <c r="AH102" s="10"/>
      <c r="AI102" s="10">
        <f t="shared" si="3"/>
        <v>0</v>
      </c>
      <c r="AJ102" s="10"/>
      <c r="AK102" s="10"/>
    </row>
    <row r="103" spans="1:39" hidden="1">
      <c r="A103" s="1" t="s">
        <v>177</v>
      </c>
      <c r="C103" s="1" t="s">
        <v>806</v>
      </c>
      <c r="E103" s="10">
        <v>0</v>
      </c>
      <c r="G103" s="10">
        <v>0</v>
      </c>
      <c r="I103" s="10">
        <v>0</v>
      </c>
      <c r="K103" s="10">
        <v>0</v>
      </c>
      <c r="M103" s="10">
        <v>0</v>
      </c>
      <c r="O103" s="10">
        <v>0</v>
      </c>
      <c r="Q103" s="10">
        <v>0</v>
      </c>
      <c r="S103" s="10">
        <v>0</v>
      </c>
      <c r="U103" s="10">
        <v>0</v>
      </c>
      <c r="V103" s="24"/>
      <c r="W103" s="10">
        <v>0</v>
      </c>
      <c r="X103" s="24"/>
      <c r="Y103" s="10">
        <v>0</v>
      </c>
      <c r="AA103" s="10">
        <v>0</v>
      </c>
      <c r="AC103" s="10">
        <v>0</v>
      </c>
      <c r="AE103" s="10">
        <v>0</v>
      </c>
      <c r="AG103" s="10">
        <v>0</v>
      </c>
      <c r="AI103" s="10">
        <f t="shared" si="3"/>
        <v>0</v>
      </c>
      <c r="AJ103" s="10"/>
    </row>
    <row r="104" spans="1:39" hidden="1">
      <c r="A104" s="1" t="s">
        <v>147</v>
      </c>
      <c r="C104" s="1" t="s">
        <v>796</v>
      </c>
      <c r="E104" s="10">
        <v>0</v>
      </c>
      <c r="G104" s="10">
        <v>0</v>
      </c>
      <c r="I104" s="10">
        <v>0</v>
      </c>
      <c r="K104" s="10">
        <v>0</v>
      </c>
      <c r="M104" s="10">
        <v>0</v>
      </c>
      <c r="O104" s="10">
        <v>0</v>
      </c>
      <c r="Q104" s="10">
        <v>0</v>
      </c>
      <c r="S104" s="10">
        <v>0</v>
      </c>
      <c r="U104" s="10">
        <v>0</v>
      </c>
      <c r="V104" s="24"/>
      <c r="W104" s="10">
        <v>0</v>
      </c>
      <c r="X104" s="24"/>
      <c r="Y104" s="10">
        <v>0</v>
      </c>
      <c r="AA104" s="10">
        <v>0</v>
      </c>
      <c r="AC104" s="10">
        <v>0</v>
      </c>
      <c r="AE104" s="10">
        <v>0</v>
      </c>
      <c r="AG104" s="10">
        <v>0</v>
      </c>
      <c r="AI104" s="10">
        <f t="shared" si="3"/>
        <v>0</v>
      </c>
      <c r="AJ104" s="10"/>
    </row>
    <row r="105" spans="1:39" hidden="1">
      <c r="A105" s="1" t="s">
        <v>198</v>
      </c>
      <c r="C105" s="1" t="s">
        <v>812</v>
      </c>
      <c r="E105" s="10">
        <v>0</v>
      </c>
      <c r="G105" s="10">
        <v>0</v>
      </c>
      <c r="I105" s="10">
        <v>0</v>
      </c>
      <c r="K105" s="10">
        <v>0</v>
      </c>
      <c r="M105" s="10">
        <v>0</v>
      </c>
      <c r="O105" s="10">
        <v>0</v>
      </c>
      <c r="Q105" s="10">
        <v>0</v>
      </c>
      <c r="S105" s="10">
        <v>0</v>
      </c>
      <c r="U105" s="10">
        <v>0</v>
      </c>
      <c r="V105" s="24"/>
      <c r="W105" s="10">
        <v>0</v>
      </c>
      <c r="X105" s="24"/>
      <c r="Y105" s="10">
        <v>0</v>
      </c>
      <c r="AA105" s="10">
        <v>0</v>
      </c>
      <c r="AC105" s="10">
        <v>0</v>
      </c>
      <c r="AE105" s="10">
        <v>0</v>
      </c>
      <c r="AG105" s="10">
        <v>0</v>
      </c>
      <c r="AI105" s="10">
        <f t="shared" si="3"/>
        <v>0</v>
      </c>
      <c r="AJ105" s="10"/>
    </row>
    <row r="106" spans="1:39" s="21" customFormat="1">
      <c r="A106" s="1" t="s">
        <v>352</v>
      </c>
      <c r="B106" s="1"/>
      <c r="C106" s="1" t="s">
        <v>353</v>
      </c>
      <c r="D106" s="1"/>
      <c r="E106" s="10">
        <v>4605310</v>
      </c>
      <c r="F106" s="10"/>
      <c r="G106" s="10">
        <v>0</v>
      </c>
      <c r="H106" s="10"/>
      <c r="I106" s="10">
        <v>350897</v>
      </c>
      <c r="J106" s="10"/>
      <c r="K106" s="10">
        <v>76747</v>
      </c>
      <c r="L106" s="10"/>
      <c r="M106" s="10">
        <v>126277</v>
      </c>
      <c r="N106" s="10"/>
      <c r="O106" s="10">
        <v>479037</v>
      </c>
      <c r="P106" s="10"/>
      <c r="Q106" s="10">
        <v>377468</v>
      </c>
      <c r="R106" s="10"/>
      <c r="S106" s="10">
        <v>60260</v>
      </c>
      <c r="T106" s="10"/>
      <c r="U106" s="10">
        <v>2200000</v>
      </c>
      <c r="V106" s="10"/>
      <c r="W106" s="10">
        <v>0</v>
      </c>
      <c r="X106" s="10"/>
      <c r="Y106" s="10">
        <v>0</v>
      </c>
      <c r="Z106" s="10"/>
      <c r="AA106" s="10">
        <v>0</v>
      </c>
      <c r="AB106" s="10"/>
      <c r="AC106" s="10">
        <v>0</v>
      </c>
      <c r="AD106" s="10"/>
      <c r="AE106" s="10">
        <v>0</v>
      </c>
      <c r="AF106" s="10"/>
      <c r="AG106" s="10">
        <v>0</v>
      </c>
      <c r="AH106" s="10"/>
      <c r="AI106" s="10">
        <f t="shared" si="3"/>
        <v>8275996</v>
      </c>
      <c r="AJ106" s="10"/>
      <c r="AK106" s="22"/>
      <c r="AL106" s="22"/>
      <c r="AM106" s="22"/>
    </row>
    <row r="107" spans="1:39" hidden="1">
      <c r="A107" s="1" t="s">
        <v>170</v>
      </c>
      <c r="C107" s="1" t="s">
        <v>804</v>
      </c>
      <c r="E107" s="10">
        <v>0</v>
      </c>
      <c r="G107" s="10">
        <v>0</v>
      </c>
      <c r="I107" s="10">
        <v>0</v>
      </c>
      <c r="K107" s="10">
        <v>0</v>
      </c>
      <c r="M107" s="10">
        <v>0</v>
      </c>
      <c r="O107" s="10">
        <v>0</v>
      </c>
      <c r="Q107" s="10">
        <v>0</v>
      </c>
      <c r="S107" s="10">
        <v>0</v>
      </c>
      <c r="U107" s="10">
        <v>0</v>
      </c>
      <c r="V107" s="24"/>
      <c r="W107" s="10">
        <v>0</v>
      </c>
      <c r="X107" s="24"/>
      <c r="Y107" s="10">
        <v>0</v>
      </c>
      <c r="AA107" s="10">
        <v>0</v>
      </c>
      <c r="AC107" s="10">
        <v>0</v>
      </c>
      <c r="AE107" s="10">
        <v>0</v>
      </c>
      <c r="AG107" s="10">
        <v>0</v>
      </c>
      <c r="AI107" s="10">
        <f t="shared" si="3"/>
        <v>0</v>
      </c>
      <c r="AJ107" s="10"/>
    </row>
    <row r="108" spans="1:39">
      <c r="A108" s="1" t="s">
        <v>613</v>
      </c>
      <c r="C108" s="1" t="s">
        <v>614</v>
      </c>
      <c r="E108" s="10">
        <f>90321+244917</f>
        <v>335238</v>
      </c>
      <c r="G108" s="10">
        <v>432837</v>
      </c>
      <c r="I108" s="10">
        <v>140469</v>
      </c>
      <c r="K108" s="10">
        <v>1666</v>
      </c>
      <c r="M108" s="10">
        <v>17350</v>
      </c>
      <c r="O108" s="10">
        <f>1193+9645</f>
        <v>10838</v>
      </c>
      <c r="Q108" s="10">
        <v>241218</v>
      </c>
      <c r="S108" s="10">
        <f>11120+32679</f>
        <v>43799</v>
      </c>
      <c r="U108" s="10">
        <v>0</v>
      </c>
      <c r="W108" s="10">
        <v>0</v>
      </c>
      <c r="Y108" s="10">
        <v>2179</v>
      </c>
      <c r="AA108" s="10">
        <v>533582</v>
      </c>
      <c r="AC108" s="10">
        <v>0</v>
      </c>
      <c r="AE108" s="10">
        <v>0</v>
      </c>
      <c r="AG108" s="10">
        <v>0</v>
      </c>
      <c r="AI108" s="10">
        <f t="shared" si="3"/>
        <v>1759176</v>
      </c>
      <c r="AJ108" s="10"/>
    </row>
    <row r="109" spans="1:39" hidden="1">
      <c r="A109" s="1" t="s">
        <v>62</v>
      </c>
      <c r="C109" s="1" t="s">
        <v>771</v>
      </c>
      <c r="E109" s="10">
        <v>0</v>
      </c>
      <c r="G109" s="10">
        <v>0</v>
      </c>
      <c r="I109" s="10">
        <v>0</v>
      </c>
      <c r="K109" s="10">
        <v>0</v>
      </c>
      <c r="M109" s="10">
        <v>0</v>
      </c>
      <c r="O109" s="10">
        <v>0</v>
      </c>
      <c r="Q109" s="10">
        <v>0</v>
      </c>
      <c r="S109" s="10">
        <v>0</v>
      </c>
      <c r="U109" s="10">
        <v>0</v>
      </c>
      <c r="V109" s="24"/>
      <c r="W109" s="10">
        <v>0</v>
      </c>
      <c r="X109" s="24"/>
      <c r="Y109" s="10">
        <v>0</v>
      </c>
      <c r="AA109" s="10">
        <v>0</v>
      </c>
      <c r="AC109" s="10">
        <v>0</v>
      </c>
      <c r="AE109" s="10">
        <v>0</v>
      </c>
      <c r="AG109" s="10">
        <v>0</v>
      </c>
      <c r="AI109" s="10">
        <f t="shared" si="3"/>
        <v>0</v>
      </c>
      <c r="AJ109" s="10"/>
      <c r="AK109" s="7"/>
      <c r="AL109" s="7"/>
      <c r="AM109" s="7"/>
    </row>
    <row r="110" spans="1:39" s="21" customFormat="1">
      <c r="A110" s="1" t="s">
        <v>285</v>
      </c>
      <c r="B110" s="1"/>
      <c r="C110" s="1" t="s">
        <v>62</v>
      </c>
      <c r="D110" s="1"/>
      <c r="E110" s="10">
        <v>188980</v>
      </c>
      <c r="F110" s="10"/>
      <c r="G110" s="10">
        <v>0</v>
      </c>
      <c r="H110" s="10"/>
      <c r="I110" s="10">
        <v>114655</v>
      </c>
      <c r="J110" s="10"/>
      <c r="K110" s="10">
        <v>0</v>
      </c>
      <c r="L110" s="10"/>
      <c r="M110" s="10">
        <v>9547</v>
      </c>
      <c r="N110" s="10"/>
      <c r="O110" s="10">
        <v>72314</v>
      </c>
      <c r="P110" s="10"/>
      <c r="Q110" s="10">
        <v>20613</v>
      </c>
      <c r="R110" s="10"/>
      <c r="S110" s="10">
        <v>40842</v>
      </c>
      <c r="T110" s="10"/>
      <c r="U110" s="10">
        <v>0</v>
      </c>
      <c r="V110" s="10"/>
      <c r="W110" s="10">
        <v>0</v>
      </c>
      <c r="X110" s="10"/>
      <c r="Y110" s="10">
        <v>7500</v>
      </c>
      <c r="Z110" s="10"/>
      <c r="AA110" s="10">
        <v>800000</v>
      </c>
      <c r="AB110" s="10"/>
      <c r="AC110" s="10">
        <v>0</v>
      </c>
      <c r="AD110" s="10"/>
      <c r="AE110" s="10">
        <v>0</v>
      </c>
      <c r="AF110" s="10"/>
      <c r="AG110" s="10">
        <v>0</v>
      </c>
      <c r="AH110" s="10"/>
      <c r="AI110" s="10">
        <f t="shared" si="3"/>
        <v>1254451</v>
      </c>
      <c r="AJ110" s="10"/>
      <c r="AK110" s="22"/>
      <c r="AL110" s="22"/>
      <c r="AM110" s="22"/>
    </row>
    <row r="111" spans="1:39" s="21" customFormat="1" hidden="1">
      <c r="A111" s="1" t="s">
        <v>60</v>
      </c>
      <c r="B111" s="1"/>
      <c r="C111" s="1" t="s">
        <v>770</v>
      </c>
      <c r="D111" s="1"/>
      <c r="E111" s="10">
        <v>0</v>
      </c>
      <c r="F111" s="10"/>
      <c r="G111" s="10">
        <v>0</v>
      </c>
      <c r="H111" s="10"/>
      <c r="I111" s="10">
        <v>0</v>
      </c>
      <c r="J111" s="10"/>
      <c r="K111" s="10">
        <v>0</v>
      </c>
      <c r="L111" s="10"/>
      <c r="M111" s="10">
        <v>0</v>
      </c>
      <c r="N111" s="10"/>
      <c r="O111" s="10">
        <v>0</v>
      </c>
      <c r="P111" s="10"/>
      <c r="Q111" s="10">
        <v>0</v>
      </c>
      <c r="R111" s="10"/>
      <c r="S111" s="10">
        <v>0</v>
      </c>
      <c r="T111" s="10"/>
      <c r="U111" s="10">
        <v>0</v>
      </c>
      <c r="V111" s="24"/>
      <c r="W111" s="10">
        <v>0</v>
      </c>
      <c r="X111" s="24"/>
      <c r="Y111" s="10">
        <v>0</v>
      </c>
      <c r="Z111" s="10"/>
      <c r="AA111" s="10">
        <v>0</v>
      </c>
      <c r="AB111" s="10"/>
      <c r="AC111" s="10">
        <v>0</v>
      </c>
      <c r="AD111" s="10"/>
      <c r="AE111" s="10">
        <v>0</v>
      </c>
      <c r="AF111" s="10"/>
      <c r="AG111" s="10">
        <v>0</v>
      </c>
      <c r="AH111" s="10"/>
      <c r="AI111" s="10">
        <f t="shared" si="3"/>
        <v>0</v>
      </c>
      <c r="AJ111" s="10"/>
      <c r="AK111" s="22"/>
      <c r="AL111" s="22"/>
      <c r="AM111" s="22"/>
    </row>
    <row r="112" spans="1:39" s="21" customFormat="1" hidden="1">
      <c r="A112" s="1" t="s">
        <v>51</v>
      </c>
      <c r="B112" s="1"/>
      <c r="C112" s="1" t="s">
        <v>767</v>
      </c>
      <c r="D112" s="1"/>
      <c r="E112" s="10">
        <v>0</v>
      </c>
      <c r="F112" s="10"/>
      <c r="G112" s="10">
        <v>0</v>
      </c>
      <c r="H112" s="10"/>
      <c r="I112" s="10">
        <v>0</v>
      </c>
      <c r="J112" s="10"/>
      <c r="K112" s="10">
        <v>0</v>
      </c>
      <c r="L112" s="10"/>
      <c r="M112" s="10">
        <v>0</v>
      </c>
      <c r="N112" s="10"/>
      <c r="O112" s="10">
        <v>0</v>
      </c>
      <c r="P112" s="10"/>
      <c r="Q112" s="10">
        <v>0</v>
      </c>
      <c r="R112" s="10"/>
      <c r="S112" s="10">
        <v>0</v>
      </c>
      <c r="T112" s="10"/>
      <c r="U112" s="10">
        <v>0</v>
      </c>
      <c r="V112" s="24"/>
      <c r="W112" s="10">
        <v>0</v>
      </c>
      <c r="X112" s="24"/>
      <c r="Y112" s="10">
        <v>0</v>
      </c>
      <c r="Z112" s="10"/>
      <c r="AA112" s="10">
        <v>0</v>
      </c>
      <c r="AB112" s="10"/>
      <c r="AC112" s="10">
        <v>0</v>
      </c>
      <c r="AD112" s="10"/>
      <c r="AE112" s="10">
        <v>0</v>
      </c>
      <c r="AF112" s="10"/>
      <c r="AG112" s="10">
        <v>0</v>
      </c>
      <c r="AH112" s="10"/>
      <c r="AI112" s="10">
        <f t="shared" si="3"/>
        <v>0</v>
      </c>
      <c r="AJ112" s="10"/>
      <c r="AK112" s="22"/>
      <c r="AL112" s="22"/>
      <c r="AM112" s="22"/>
    </row>
    <row r="113" spans="1:39" hidden="1">
      <c r="A113" s="1" t="s">
        <v>34</v>
      </c>
      <c r="C113" s="1" t="s">
        <v>760</v>
      </c>
      <c r="E113" s="10">
        <v>0</v>
      </c>
      <c r="G113" s="10">
        <v>0</v>
      </c>
      <c r="I113" s="10">
        <v>0</v>
      </c>
      <c r="K113" s="10">
        <v>0</v>
      </c>
      <c r="M113" s="10">
        <v>0</v>
      </c>
      <c r="O113" s="10">
        <v>0</v>
      </c>
      <c r="Q113" s="10">
        <v>0</v>
      </c>
      <c r="S113" s="10">
        <v>0</v>
      </c>
      <c r="U113" s="10">
        <v>0</v>
      </c>
      <c r="V113" s="24"/>
      <c r="W113" s="10">
        <v>0</v>
      </c>
      <c r="X113" s="24"/>
      <c r="Y113" s="10">
        <v>0</v>
      </c>
      <c r="AA113" s="10">
        <v>0</v>
      </c>
      <c r="AC113" s="10">
        <v>0</v>
      </c>
      <c r="AE113" s="10">
        <v>0</v>
      </c>
      <c r="AG113" s="10">
        <v>0</v>
      </c>
      <c r="AI113" s="10">
        <f t="shared" si="3"/>
        <v>0</v>
      </c>
      <c r="AJ113" s="10"/>
      <c r="AK113" s="7"/>
      <c r="AL113" s="7"/>
      <c r="AM113" s="7"/>
    </row>
    <row r="114" spans="1:39" hidden="1">
      <c r="A114" s="1" t="s">
        <v>182</v>
      </c>
      <c r="C114" s="1" t="s">
        <v>808</v>
      </c>
      <c r="E114" s="10">
        <v>0</v>
      </c>
      <c r="G114" s="10">
        <v>0</v>
      </c>
      <c r="I114" s="10">
        <v>0</v>
      </c>
      <c r="K114" s="10">
        <v>0</v>
      </c>
      <c r="M114" s="10">
        <v>0</v>
      </c>
      <c r="O114" s="10">
        <v>0</v>
      </c>
      <c r="Q114" s="10">
        <v>0</v>
      </c>
      <c r="S114" s="10">
        <v>0</v>
      </c>
      <c r="U114" s="10">
        <v>0</v>
      </c>
      <c r="V114" s="24"/>
      <c r="W114" s="10">
        <v>0</v>
      </c>
      <c r="X114" s="24"/>
      <c r="Y114" s="10">
        <v>0</v>
      </c>
      <c r="AA114" s="10">
        <v>0</v>
      </c>
      <c r="AC114" s="10">
        <v>0</v>
      </c>
      <c r="AE114" s="10">
        <v>0</v>
      </c>
      <c r="AG114" s="10">
        <v>0</v>
      </c>
      <c r="AI114" s="10">
        <f t="shared" si="3"/>
        <v>0</v>
      </c>
      <c r="AJ114" s="10"/>
    </row>
    <row r="115" spans="1:39" s="21" customFormat="1">
      <c r="A115" s="1" t="s">
        <v>370</v>
      </c>
      <c r="B115" s="1"/>
      <c r="C115" s="1" t="s">
        <v>371</v>
      </c>
      <c r="D115" s="1"/>
      <c r="E115" s="10">
        <v>59445</v>
      </c>
      <c r="F115" s="10"/>
      <c r="G115" s="10">
        <v>512793</v>
      </c>
      <c r="H115" s="10"/>
      <c r="I115" s="10">
        <v>176368</v>
      </c>
      <c r="J115" s="10"/>
      <c r="K115" s="10">
        <v>0</v>
      </c>
      <c r="L115" s="10"/>
      <c r="M115" s="10">
        <v>0</v>
      </c>
      <c r="N115" s="10"/>
      <c r="O115" s="10">
        <v>235</v>
      </c>
      <c r="P115" s="10"/>
      <c r="Q115" s="10">
        <v>8463</v>
      </c>
      <c r="R115" s="10"/>
      <c r="S115" s="10">
        <v>58117</v>
      </c>
      <c r="T115" s="10"/>
      <c r="U115" s="10">
        <v>0</v>
      </c>
      <c r="V115" s="10"/>
      <c r="W115" s="10">
        <v>0</v>
      </c>
      <c r="X115" s="10"/>
      <c r="Y115" s="10">
        <v>0</v>
      </c>
      <c r="Z115" s="10"/>
      <c r="AA115" s="10">
        <v>3718</v>
      </c>
      <c r="AB115" s="10"/>
      <c r="AC115" s="10">
        <v>0</v>
      </c>
      <c r="AD115" s="10"/>
      <c r="AE115" s="10">
        <v>0</v>
      </c>
      <c r="AF115" s="10"/>
      <c r="AG115" s="10">
        <v>0</v>
      </c>
      <c r="AH115" s="10"/>
      <c r="AI115" s="10">
        <f t="shared" si="3"/>
        <v>819139</v>
      </c>
      <c r="AJ115" s="10"/>
    </row>
    <row r="116" spans="1:39" hidden="1">
      <c r="A116" s="1" t="s">
        <v>121</v>
      </c>
      <c r="C116" s="1" t="s">
        <v>787</v>
      </c>
      <c r="E116" s="10">
        <v>0</v>
      </c>
      <c r="G116" s="10">
        <v>0</v>
      </c>
      <c r="I116" s="10">
        <v>0</v>
      </c>
      <c r="K116" s="10">
        <v>0</v>
      </c>
      <c r="M116" s="10">
        <v>0</v>
      </c>
      <c r="O116" s="10">
        <v>0</v>
      </c>
      <c r="Q116" s="10">
        <v>0</v>
      </c>
      <c r="S116" s="10">
        <v>0</v>
      </c>
      <c r="U116" s="10">
        <v>0</v>
      </c>
      <c r="V116" s="24"/>
      <c r="W116" s="10">
        <v>0</v>
      </c>
      <c r="X116" s="24"/>
      <c r="Y116" s="10">
        <v>0</v>
      </c>
      <c r="AA116" s="10">
        <v>0</v>
      </c>
      <c r="AC116" s="10">
        <v>0</v>
      </c>
      <c r="AE116" s="10">
        <v>0</v>
      </c>
      <c r="AG116" s="10">
        <v>0</v>
      </c>
      <c r="AI116" s="10">
        <f t="shared" si="3"/>
        <v>0</v>
      </c>
      <c r="AJ116" s="10"/>
    </row>
    <row r="117" spans="1:39" hidden="1">
      <c r="A117" s="1" t="s">
        <v>844</v>
      </c>
      <c r="C117" s="1" t="s">
        <v>775</v>
      </c>
      <c r="E117" s="10">
        <v>0</v>
      </c>
      <c r="G117" s="10">
        <v>0</v>
      </c>
      <c r="I117" s="10">
        <v>0</v>
      </c>
      <c r="K117" s="10">
        <v>0</v>
      </c>
      <c r="M117" s="10">
        <v>0</v>
      </c>
      <c r="O117" s="10">
        <v>0</v>
      </c>
      <c r="Q117" s="10">
        <v>0</v>
      </c>
      <c r="S117" s="10">
        <v>0</v>
      </c>
      <c r="U117" s="10">
        <v>0</v>
      </c>
      <c r="V117" s="24"/>
      <c r="W117" s="10">
        <v>0</v>
      </c>
      <c r="X117" s="24"/>
      <c r="Y117" s="10">
        <v>0</v>
      </c>
      <c r="AA117" s="10">
        <v>0</v>
      </c>
      <c r="AC117" s="10">
        <v>0</v>
      </c>
      <c r="AE117" s="10">
        <v>0</v>
      </c>
      <c r="AG117" s="10">
        <v>0</v>
      </c>
      <c r="AI117" s="10">
        <f t="shared" si="3"/>
        <v>0</v>
      </c>
      <c r="AJ117" s="10"/>
    </row>
    <row r="118" spans="1:39" s="21" customFormat="1">
      <c r="A118" s="1" t="s">
        <v>319</v>
      </c>
      <c r="B118" s="1"/>
      <c r="C118" s="1" t="s">
        <v>316</v>
      </c>
      <c r="D118" s="1"/>
      <c r="E118" s="10">
        <v>921497</v>
      </c>
      <c r="F118" s="10"/>
      <c r="G118" s="10">
        <v>2262610</v>
      </c>
      <c r="H118" s="10"/>
      <c r="I118" s="10">
        <v>605256</v>
      </c>
      <c r="J118" s="10"/>
      <c r="K118" s="10">
        <v>0</v>
      </c>
      <c r="L118" s="10"/>
      <c r="M118" s="10">
        <v>736149</v>
      </c>
      <c r="N118" s="10"/>
      <c r="O118" s="10">
        <v>99643</v>
      </c>
      <c r="P118" s="10"/>
      <c r="Q118" s="10">
        <v>116851</v>
      </c>
      <c r="R118" s="10"/>
      <c r="S118" s="10">
        <v>74006</v>
      </c>
      <c r="T118" s="10"/>
      <c r="U118" s="10">
        <v>0</v>
      </c>
      <c r="V118" s="10"/>
      <c r="W118" s="10">
        <v>0</v>
      </c>
      <c r="X118" s="10"/>
      <c r="Y118" s="10">
        <v>0</v>
      </c>
      <c r="Z118" s="10"/>
      <c r="AA118" s="10">
        <v>0</v>
      </c>
      <c r="AB118" s="10"/>
      <c r="AC118" s="10">
        <v>0</v>
      </c>
      <c r="AD118" s="10"/>
      <c r="AE118" s="10">
        <v>0</v>
      </c>
      <c r="AF118" s="10"/>
      <c r="AG118" s="10">
        <v>0</v>
      </c>
      <c r="AH118" s="10"/>
      <c r="AI118" s="10">
        <f t="shared" si="3"/>
        <v>4816012</v>
      </c>
      <c r="AJ118" s="10"/>
      <c r="AK118" s="22"/>
      <c r="AL118" s="22"/>
      <c r="AM118" s="22"/>
    </row>
    <row r="119" spans="1:39" s="21" customFormat="1">
      <c r="A119" s="1" t="s">
        <v>311</v>
      </c>
      <c r="B119" s="1"/>
      <c r="C119" s="1" t="s">
        <v>312</v>
      </c>
      <c r="D119" s="1"/>
      <c r="E119" s="10">
        <v>2673</v>
      </c>
      <c r="F119" s="10"/>
      <c r="G119" s="10">
        <v>0</v>
      </c>
      <c r="H119" s="10"/>
      <c r="I119" s="10">
        <v>12105</v>
      </c>
      <c r="J119" s="10"/>
      <c r="K119" s="10">
        <v>0</v>
      </c>
      <c r="L119" s="10"/>
      <c r="M119" s="10">
        <v>0</v>
      </c>
      <c r="N119" s="10"/>
      <c r="O119" s="10">
        <v>10</v>
      </c>
      <c r="P119" s="10"/>
      <c r="Q119" s="10">
        <v>362</v>
      </c>
      <c r="R119" s="10"/>
      <c r="S119" s="10">
        <v>334</v>
      </c>
      <c r="T119" s="10"/>
      <c r="U119" s="10">
        <v>0</v>
      </c>
      <c r="V119" s="10"/>
      <c r="W119" s="10">
        <v>0</v>
      </c>
      <c r="X119" s="10"/>
      <c r="Y119" s="10">
        <v>0</v>
      </c>
      <c r="Z119" s="10"/>
      <c r="AA119" s="10">
        <v>0</v>
      </c>
      <c r="AB119" s="10"/>
      <c r="AC119" s="10">
        <v>0</v>
      </c>
      <c r="AD119" s="10"/>
      <c r="AE119" s="10">
        <v>0</v>
      </c>
      <c r="AF119" s="10"/>
      <c r="AG119" s="10">
        <v>0</v>
      </c>
      <c r="AH119" s="10"/>
      <c r="AI119" s="10">
        <f t="shared" si="3"/>
        <v>15484</v>
      </c>
      <c r="AJ119" s="10"/>
    </row>
    <row r="120" spans="1:39" s="21" customFormat="1" hidden="1">
      <c r="A120" s="1" t="s">
        <v>273</v>
      </c>
      <c r="B120" s="1"/>
      <c r="C120" s="1" t="s">
        <v>271</v>
      </c>
      <c r="D120" s="1"/>
      <c r="E120" s="10">
        <v>0</v>
      </c>
      <c r="F120" s="10"/>
      <c r="G120" s="10">
        <v>0</v>
      </c>
      <c r="H120" s="10"/>
      <c r="I120" s="10">
        <v>0</v>
      </c>
      <c r="J120" s="10"/>
      <c r="K120" s="10">
        <v>0</v>
      </c>
      <c r="L120" s="10"/>
      <c r="M120" s="10">
        <v>0</v>
      </c>
      <c r="N120" s="10"/>
      <c r="O120" s="10">
        <v>0</v>
      </c>
      <c r="P120" s="10"/>
      <c r="Q120" s="10">
        <v>0</v>
      </c>
      <c r="R120" s="10"/>
      <c r="S120" s="10">
        <v>0</v>
      </c>
      <c r="T120" s="10"/>
      <c r="U120" s="10">
        <v>0</v>
      </c>
      <c r="V120" s="24"/>
      <c r="W120" s="10">
        <v>0</v>
      </c>
      <c r="X120" s="24"/>
      <c r="Y120" s="10">
        <v>0</v>
      </c>
      <c r="Z120" s="10"/>
      <c r="AA120" s="10">
        <v>0</v>
      </c>
      <c r="AB120" s="10"/>
      <c r="AC120" s="10">
        <v>0</v>
      </c>
      <c r="AD120" s="10"/>
      <c r="AE120" s="10">
        <v>0</v>
      </c>
      <c r="AF120" s="10"/>
      <c r="AG120" s="10">
        <v>0</v>
      </c>
      <c r="AH120" s="10"/>
      <c r="AI120" s="10">
        <f t="shared" si="3"/>
        <v>0</v>
      </c>
      <c r="AJ120" s="10"/>
      <c r="AK120" s="22"/>
      <c r="AL120" s="22"/>
      <c r="AM120" s="22"/>
    </row>
    <row r="121" spans="1:39" s="63" customFormat="1" hidden="1">
      <c r="A121" s="59" t="s">
        <v>666</v>
      </c>
      <c r="B121" s="59"/>
      <c r="C121" s="59" t="s">
        <v>667</v>
      </c>
      <c r="D121" s="59"/>
      <c r="E121" s="60">
        <v>0</v>
      </c>
      <c r="F121" s="60"/>
      <c r="G121" s="60">
        <v>0</v>
      </c>
      <c r="H121" s="60"/>
      <c r="I121" s="60">
        <v>0</v>
      </c>
      <c r="J121" s="60"/>
      <c r="K121" s="60">
        <v>0</v>
      </c>
      <c r="L121" s="60"/>
      <c r="M121" s="60">
        <v>0</v>
      </c>
      <c r="N121" s="60"/>
      <c r="O121" s="60">
        <v>0</v>
      </c>
      <c r="P121" s="60"/>
      <c r="Q121" s="60">
        <v>0</v>
      </c>
      <c r="R121" s="60"/>
      <c r="S121" s="60">
        <v>0</v>
      </c>
      <c r="T121" s="60"/>
      <c r="U121" s="60">
        <v>0</v>
      </c>
      <c r="V121" s="60"/>
      <c r="W121" s="60">
        <v>0</v>
      </c>
      <c r="X121" s="60"/>
      <c r="Y121" s="60">
        <v>0</v>
      </c>
      <c r="Z121" s="60"/>
      <c r="AA121" s="60">
        <v>0</v>
      </c>
      <c r="AB121" s="60"/>
      <c r="AC121" s="60">
        <v>0</v>
      </c>
      <c r="AD121" s="60"/>
      <c r="AE121" s="60">
        <v>0</v>
      </c>
      <c r="AF121" s="60"/>
      <c r="AG121" s="60">
        <v>0</v>
      </c>
      <c r="AH121" s="60"/>
      <c r="AI121" s="60">
        <f t="shared" ref="AI121:AI152" si="4">SUM(E121:AG121)</f>
        <v>0</v>
      </c>
      <c r="AJ121" s="60"/>
    </row>
    <row r="122" spans="1:39" hidden="1">
      <c r="A122" s="1" t="s">
        <v>436</v>
      </c>
      <c r="C122" s="1" t="s">
        <v>437</v>
      </c>
      <c r="E122" s="10">
        <v>0</v>
      </c>
      <c r="G122" s="10">
        <v>0</v>
      </c>
      <c r="I122" s="10">
        <v>0</v>
      </c>
      <c r="K122" s="10">
        <v>0</v>
      </c>
      <c r="M122" s="10">
        <v>0</v>
      </c>
      <c r="O122" s="10">
        <v>0</v>
      </c>
      <c r="Q122" s="10">
        <v>0</v>
      </c>
      <c r="S122" s="10">
        <v>0</v>
      </c>
      <c r="U122" s="10">
        <v>0</v>
      </c>
      <c r="W122" s="10">
        <v>0</v>
      </c>
      <c r="Y122" s="10">
        <v>0</v>
      </c>
      <c r="AA122" s="10">
        <v>0</v>
      </c>
      <c r="AC122" s="10">
        <v>0</v>
      </c>
      <c r="AE122" s="10">
        <v>0</v>
      </c>
      <c r="AG122" s="10">
        <v>0</v>
      </c>
      <c r="AI122" s="10">
        <f t="shared" si="4"/>
        <v>0</v>
      </c>
      <c r="AJ122" s="10"/>
    </row>
    <row r="123" spans="1:39" s="21" customFormat="1" hidden="1">
      <c r="A123" s="1" t="s">
        <v>79</v>
      </c>
      <c r="B123" s="1"/>
      <c r="C123" s="1" t="s">
        <v>775</v>
      </c>
      <c r="D123" s="1"/>
      <c r="E123" s="10">
        <v>0</v>
      </c>
      <c r="F123" s="10"/>
      <c r="G123" s="10">
        <v>0</v>
      </c>
      <c r="H123" s="10"/>
      <c r="I123" s="10">
        <v>0</v>
      </c>
      <c r="J123" s="10"/>
      <c r="K123" s="10">
        <v>0</v>
      </c>
      <c r="L123" s="10"/>
      <c r="M123" s="10">
        <v>0</v>
      </c>
      <c r="N123" s="10"/>
      <c r="O123" s="10">
        <v>0</v>
      </c>
      <c r="P123" s="10"/>
      <c r="Q123" s="10">
        <v>0</v>
      </c>
      <c r="R123" s="10"/>
      <c r="S123" s="10">
        <v>0</v>
      </c>
      <c r="T123" s="24"/>
      <c r="U123" s="10">
        <v>0</v>
      </c>
      <c r="V123" s="24"/>
      <c r="W123" s="10">
        <v>0</v>
      </c>
      <c r="X123" s="10"/>
      <c r="Y123" s="10">
        <v>0</v>
      </c>
      <c r="Z123" s="10"/>
      <c r="AA123" s="10">
        <v>0</v>
      </c>
      <c r="AB123" s="10"/>
      <c r="AC123" s="10">
        <v>0</v>
      </c>
      <c r="AD123" s="10"/>
      <c r="AE123" s="10">
        <v>0</v>
      </c>
      <c r="AF123" s="10"/>
      <c r="AG123" s="10">
        <v>0</v>
      </c>
      <c r="AH123" s="10"/>
      <c r="AI123" s="10">
        <f t="shared" si="4"/>
        <v>0</v>
      </c>
      <c r="AJ123" s="10"/>
    </row>
    <row r="124" spans="1:39" s="15" customFormat="1">
      <c r="A124" s="15" t="s">
        <v>904</v>
      </c>
      <c r="C124" s="15" t="s">
        <v>905</v>
      </c>
      <c r="E124" s="24">
        <v>1157</v>
      </c>
      <c r="F124" s="24"/>
      <c r="G124" s="24">
        <v>0</v>
      </c>
      <c r="H124" s="24"/>
      <c r="I124" s="24">
        <f>9187+845+3600+32705+220</f>
        <v>46557</v>
      </c>
      <c r="J124" s="24"/>
      <c r="K124" s="24">
        <v>0</v>
      </c>
      <c r="L124" s="24"/>
      <c r="M124" s="24">
        <v>938</v>
      </c>
      <c r="N124" s="24"/>
      <c r="O124" s="24">
        <v>75</v>
      </c>
      <c r="P124" s="24"/>
      <c r="Q124" s="24">
        <v>1890</v>
      </c>
      <c r="R124" s="24"/>
      <c r="S124" s="24">
        <v>0</v>
      </c>
      <c r="T124" s="24"/>
      <c r="U124" s="24">
        <v>0</v>
      </c>
      <c r="V124" s="24"/>
      <c r="W124" s="24">
        <v>0</v>
      </c>
      <c r="X124" s="24"/>
      <c r="Y124" s="24">
        <v>0</v>
      </c>
      <c r="Z124" s="24"/>
      <c r="AA124" s="24">
        <v>0</v>
      </c>
      <c r="AB124" s="24"/>
      <c r="AC124" s="24">
        <v>0</v>
      </c>
      <c r="AD124" s="24"/>
      <c r="AE124" s="24">
        <v>0</v>
      </c>
      <c r="AF124" s="24"/>
      <c r="AG124" s="24">
        <v>0</v>
      </c>
      <c r="AH124" s="24"/>
      <c r="AI124" s="24">
        <f t="shared" si="4"/>
        <v>50617</v>
      </c>
      <c r="AJ124" s="24"/>
    </row>
    <row r="125" spans="1:39" hidden="1">
      <c r="A125" s="1" t="s">
        <v>171</v>
      </c>
      <c r="C125" s="1" t="s">
        <v>804</v>
      </c>
      <c r="E125" s="10">
        <v>0</v>
      </c>
      <c r="G125" s="10">
        <v>0</v>
      </c>
      <c r="I125" s="10">
        <v>0</v>
      </c>
      <c r="K125" s="10">
        <v>0</v>
      </c>
      <c r="M125" s="10">
        <v>0</v>
      </c>
      <c r="O125" s="10">
        <v>0</v>
      </c>
      <c r="Q125" s="10">
        <v>0</v>
      </c>
      <c r="S125" s="10">
        <v>0</v>
      </c>
      <c r="U125" s="10">
        <v>0</v>
      </c>
      <c r="V125" s="24"/>
      <c r="W125" s="10">
        <v>0</v>
      </c>
      <c r="X125" s="24"/>
      <c r="Y125" s="10">
        <v>0</v>
      </c>
      <c r="AA125" s="10">
        <v>0</v>
      </c>
      <c r="AC125" s="10">
        <v>0</v>
      </c>
      <c r="AE125" s="10">
        <v>0</v>
      </c>
      <c r="AG125" s="10">
        <v>0</v>
      </c>
      <c r="AI125" s="10">
        <f t="shared" si="4"/>
        <v>0</v>
      </c>
      <c r="AJ125" s="10"/>
    </row>
    <row r="126" spans="1:39" hidden="1">
      <c r="A126" s="1" t="s">
        <v>856</v>
      </c>
      <c r="C126" s="1" t="s">
        <v>799</v>
      </c>
      <c r="E126" s="10">
        <v>0</v>
      </c>
      <c r="G126" s="10">
        <v>0</v>
      </c>
      <c r="I126" s="10">
        <v>0</v>
      </c>
      <c r="K126" s="10">
        <v>0</v>
      </c>
      <c r="M126" s="10">
        <v>0</v>
      </c>
      <c r="O126" s="10">
        <v>0</v>
      </c>
      <c r="Q126" s="10">
        <v>0</v>
      </c>
      <c r="S126" s="10">
        <v>0</v>
      </c>
      <c r="U126" s="10">
        <v>0</v>
      </c>
      <c r="V126" s="24"/>
      <c r="W126" s="10">
        <v>0</v>
      </c>
      <c r="X126" s="24"/>
      <c r="Y126" s="10">
        <v>0</v>
      </c>
      <c r="AA126" s="10">
        <v>0</v>
      </c>
      <c r="AC126" s="10">
        <v>0</v>
      </c>
      <c r="AE126" s="10">
        <v>0</v>
      </c>
      <c r="AG126" s="10">
        <v>0</v>
      </c>
      <c r="AI126" s="10">
        <f t="shared" si="4"/>
        <v>0</v>
      </c>
      <c r="AJ126" s="10"/>
    </row>
    <row r="127" spans="1:39">
      <c r="A127" s="1" t="s">
        <v>906</v>
      </c>
      <c r="C127" s="1" t="s">
        <v>295</v>
      </c>
      <c r="E127" s="10">
        <v>1915</v>
      </c>
      <c r="G127" s="10">
        <v>0</v>
      </c>
      <c r="I127" s="10">
        <v>18848</v>
      </c>
      <c r="K127" s="10">
        <v>0</v>
      </c>
      <c r="M127" s="10">
        <v>0</v>
      </c>
      <c r="O127" s="10">
        <v>0</v>
      </c>
      <c r="Q127" s="10">
        <v>401</v>
      </c>
      <c r="S127" s="10">
        <v>2275</v>
      </c>
      <c r="U127" s="10">
        <v>0</v>
      </c>
      <c r="V127" s="24"/>
      <c r="W127" s="10">
        <v>0</v>
      </c>
      <c r="X127" s="24"/>
      <c r="Y127" s="10">
        <v>0</v>
      </c>
      <c r="AA127" s="10">
        <v>0</v>
      </c>
      <c r="AC127" s="10">
        <v>0</v>
      </c>
      <c r="AE127" s="10">
        <v>0</v>
      </c>
      <c r="AG127" s="10">
        <v>0</v>
      </c>
      <c r="AI127" s="10">
        <f t="shared" si="4"/>
        <v>23439</v>
      </c>
      <c r="AJ127" s="10"/>
    </row>
    <row r="128" spans="1:39" hidden="1">
      <c r="A128" s="1" t="s">
        <v>152</v>
      </c>
      <c r="C128" s="1" t="s">
        <v>797</v>
      </c>
      <c r="E128" s="10">
        <v>0</v>
      </c>
      <c r="G128" s="10">
        <v>0</v>
      </c>
      <c r="I128" s="10">
        <v>0</v>
      </c>
      <c r="K128" s="10">
        <v>0</v>
      </c>
      <c r="M128" s="10">
        <v>0</v>
      </c>
      <c r="O128" s="10">
        <v>0</v>
      </c>
      <c r="Q128" s="10">
        <v>0</v>
      </c>
      <c r="S128" s="10">
        <v>0</v>
      </c>
      <c r="U128" s="10">
        <v>0</v>
      </c>
      <c r="V128" s="24"/>
      <c r="W128" s="10">
        <v>0</v>
      </c>
      <c r="X128" s="24"/>
      <c r="Y128" s="10">
        <v>0</v>
      </c>
      <c r="AA128" s="10">
        <v>0</v>
      </c>
      <c r="AC128" s="10">
        <v>0</v>
      </c>
      <c r="AE128" s="10">
        <v>0</v>
      </c>
      <c r="AG128" s="10">
        <v>0</v>
      </c>
      <c r="AI128" s="10">
        <f t="shared" si="4"/>
        <v>0</v>
      </c>
      <c r="AJ128" s="10"/>
    </row>
    <row r="129" spans="1:39" s="21" customFormat="1" hidden="1">
      <c r="A129" s="1" t="s">
        <v>32</v>
      </c>
      <c r="B129" s="1"/>
      <c r="C129" s="1" t="s">
        <v>759</v>
      </c>
      <c r="D129" s="1"/>
      <c r="E129" s="10">
        <v>0</v>
      </c>
      <c r="F129" s="10"/>
      <c r="G129" s="10">
        <v>0</v>
      </c>
      <c r="H129" s="10"/>
      <c r="I129" s="10">
        <v>0</v>
      </c>
      <c r="J129" s="10"/>
      <c r="K129" s="10">
        <v>0</v>
      </c>
      <c r="L129" s="10"/>
      <c r="M129" s="10">
        <v>0</v>
      </c>
      <c r="N129" s="10"/>
      <c r="O129" s="10">
        <v>0</v>
      </c>
      <c r="P129" s="10"/>
      <c r="Q129" s="10">
        <v>0</v>
      </c>
      <c r="R129" s="10"/>
      <c r="S129" s="10">
        <v>0</v>
      </c>
      <c r="T129" s="10"/>
      <c r="U129" s="10">
        <v>0</v>
      </c>
      <c r="V129" s="24"/>
      <c r="W129" s="10">
        <v>0</v>
      </c>
      <c r="X129" s="24"/>
      <c r="Y129" s="10">
        <v>0</v>
      </c>
      <c r="Z129" s="10"/>
      <c r="AA129" s="10">
        <v>0</v>
      </c>
      <c r="AB129" s="10"/>
      <c r="AC129" s="10">
        <v>0</v>
      </c>
      <c r="AD129" s="10"/>
      <c r="AE129" s="10">
        <v>0</v>
      </c>
      <c r="AF129" s="10"/>
      <c r="AG129" s="10">
        <v>0</v>
      </c>
      <c r="AH129" s="10"/>
      <c r="AI129" s="10">
        <f t="shared" si="4"/>
        <v>0</v>
      </c>
      <c r="AJ129" s="10"/>
      <c r="AK129" s="22"/>
      <c r="AL129" s="22"/>
      <c r="AM129" s="22"/>
    </row>
    <row r="130" spans="1:39" hidden="1">
      <c r="A130" s="1" t="s">
        <v>211</v>
      </c>
      <c r="C130" s="1" t="s">
        <v>815</v>
      </c>
      <c r="E130" s="10">
        <v>0</v>
      </c>
      <c r="G130" s="10">
        <v>0</v>
      </c>
      <c r="I130" s="10">
        <v>0</v>
      </c>
      <c r="K130" s="10">
        <v>0</v>
      </c>
      <c r="M130" s="10">
        <v>0</v>
      </c>
      <c r="O130" s="10">
        <v>0</v>
      </c>
      <c r="Q130" s="10">
        <v>0</v>
      </c>
      <c r="S130" s="10">
        <v>0</v>
      </c>
      <c r="U130" s="10">
        <v>0</v>
      </c>
      <c r="V130" s="24"/>
      <c r="W130" s="10">
        <v>0</v>
      </c>
      <c r="X130" s="24"/>
      <c r="Y130" s="10">
        <v>0</v>
      </c>
      <c r="AA130" s="10">
        <v>0</v>
      </c>
      <c r="AC130" s="10">
        <v>0</v>
      </c>
      <c r="AE130" s="10">
        <v>0</v>
      </c>
      <c r="AG130" s="10">
        <v>0</v>
      </c>
      <c r="AI130" s="10">
        <f t="shared" si="4"/>
        <v>0</v>
      </c>
      <c r="AJ130" s="10"/>
    </row>
    <row r="131" spans="1:39" s="21" customFormat="1" hidden="1">
      <c r="A131" s="1" t="s">
        <v>300</v>
      </c>
      <c r="B131" s="1"/>
      <c r="C131" s="1" t="s">
        <v>299</v>
      </c>
      <c r="D131" s="1"/>
      <c r="E131" s="10">
        <v>0</v>
      </c>
      <c r="F131" s="10"/>
      <c r="G131" s="10">
        <v>0</v>
      </c>
      <c r="H131" s="10"/>
      <c r="I131" s="10">
        <v>0</v>
      </c>
      <c r="J131" s="10"/>
      <c r="K131" s="10">
        <v>0</v>
      </c>
      <c r="L131" s="10"/>
      <c r="M131" s="10">
        <v>0</v>
      </c>
      <c r="N131" s="10"/>
      <c r="O131" s="10">
        <v>0</v>
      </c>
      <c r="P131" s="10"/>
      <c r="Q131" s="10">
        <v>0</v>
      </c>
      <c r="R131" s="10"/>
      <c r="S131" s="10">
        <v>0</v>
      </c>
      <c r="T131" s="10"/>
      <c r="U131" s="10">
        <v>0</v>
      </c>
      <c r="V131" s="24"/>
      <c r="W131" s="10">
        <v>0</v>
      </c>
      <c r="X131" s="24"/>
      <c r="Y131" s="10">
        <v>0</v>
      </c>
      <c r="Z131" s="10"/>
      <c r="AA131" s="10">
        <v>0</v>
      </c>
      <c r="AB131" s="10"/>
      <c r="AC131" s="10">
        <v>0</v>
      </c>
      <c r="AD131" s="10"/>
      <c r="AE131" s="10">
        <v>0</v>
      </c>
      <c r="AF131" s="10"/>
      <c r="AG131" s="10">
        <v>0</v>
      </c>
      <c r="AH131" s="10"/>
      <c r="AI131" s="10">
        <f t="shared" si="4"/>
        <v>0</v>
      </c>
      <c r="AJ131" s="10"/>
      <c r="AK131" s="22"/>
      <c r="AL131" s="22"/>
      <c r="AM131" s="22"/>
    </row>
    <row r="132" spans="1:39" hidden="1">
      <c r="A132" s="1" t="s">
        <v>179</v>
      </c>
      <c r="C132" s="1" t="s">
        <v>807</v>
      </c>
      <c r="E132" s="10">
        <v>0</v>
      </c>
      <c r="G132" s="10">
        <v>0</v>
      </c>
      <c r="I132" s="10">
        <v>0</v>
      </c>
      <c r="K132" s="10">
        <v>0</v>
      </c>
      <c r="M132" s="10">
        <v>0</v>
      </c>
      <c r="O132" s="10">
        <v>0</v>
      </c>
      <c r="Q132" s="10">
        <v>0</v>
      </c>
      <c r="S132" s="10">
        <v>0</v>
      </c>
      <c r="U132" s="10">
        <v>0</v>
      </c>
      <c r="V132" s="24"/>
      <c r="W132" s="10">
        <v>0</v>
      </c>
      <c r="X132" s="24"/>
      <c r="Y132" s="10">
        <v>0</v>
      </c>
      <c r="AA132" s="10">
        <v>0</v>
      </c>
      <c r="AC132" s="10">
        <v>0</v>
      </c>
      <c r="AE132" s="10">
        <v>0</v>
      </c>
      <c r="AG132" s="10">
        <v>0</v>
      </c>
      <c r="AI132" s="10">
        <f t="shared" si="4"/>
        <v>0</v>
      </c>
      <c r="AJ132" s="10"/>
    </row>
    <row r="133" spans="1:39" hidden="1">
      <c r="A133" s="1" t="s">
        <v>857</v>
      </c>
      <c r="C133" s="1" t="s">
        <v>778</v>
      </c>
      <c r="E133" s="10">
        <v>0</v>
      </c>
      <c r="G133" s="10">
        <v>0</v>
      </c>
      <c r="I133" s="10">
        <v>0</v>
      </c>
      <c r="K133" s="10">
        <v>0</v>
      </c>
      <c r="M133" s="10">
        <v>0</v>
      </c>
      <c r="O133" s="10">
        <v>0</v>
      </c>
      <c r="Q133" s="10">
        <v>0</v>
      </c>
      <c r="S133" s="10">
        <v>0</v>
      </c>
      <c r="U133" s="10">
        <v>0</v>
      </c>
      <c r="V133" s="24"/>
      <c r="W133" s="10">
        <v>0</v>
      </c>
      <c r="X133" s="24"/>
      <c r="Y133" s="10">
        <v>0</v>
      </c>
      <c r="AA133" s="10">
        <v>0</v>
      </c>
      <c r="AC133" s="10">
        <v>0</v>
      </c>
      <c r="AE133" s="10">
        <v>0</v>
      </c>
      <c r="AG133" s="10">
        <v>0</v>
      </c>
      <c r="AI133" s="10">
        <f t="shared" si="4"/>
        <v>0</v>
      </c>
      <c r="AJ133" s="10"/>
    </row>
    <row r="134" spans="1:39" s="21" customFormat="1">
      <c r="A134" s="1" t="s">
        <v>372</v>
      </c>
      <c r="B134" s="1"/>
      <c r="C134" s="1" t="s">
        <v>373</v>
      </c>
      <c r="D134" s="1"/>
      <c r="E134" s="10">
        <v>13570</v>
      </c>
      <c r="F134" s="10"/>
      <c r="G134" s="10">
        <v>0</v>
      </c>
      <c r="H134" s="10"/>
      <c r="I134" s="10">
        <v>9604</v>
      </c>
      <c r="J134" s="10"/>
      <c r="K134" s="10">
        <v>0</v>
      </c>
      <c r="L134" s="10"/>
      <c r="M134" s="10">
        <v>0</v>
      </c>
      <c r="N134" s="10"/>
      <c r="O134" s="10">
        <v>50</v>
      </c>
      <c r="P134" s="10"/>
      <c r="Q134" s="10">
        <v>14</v>
      </c>
      <c r="R134" s="10"/>
      <c r="S134" s="10">
        <v>4075</v>
      </c>
      <c r="T134" s="10"/>
      <c r="U134" s="10">
        <v>0</v>
      </c>
      <c r="V134" s="10"/>
      <c r="W134" s="10">
        <v>0</v>
      </c>
      <c r="X134" s="10"/>
      <c r="Y134" s="10">
        <v>0</v>
      </c>
      <c r="Z134" s="10"/>
      <c r="AA134" s="10">
        <v>0</v>
      </c>
      <c r="AB134" s="10"/>
      <c r="AC134" s="10">
        <v>0</v>
      </c>
      <c r="AD134" s="10"/>
      <c r="AE134" s="10">
        <v>0</v>
      </c>
      <c r="AF134" s="10"/>
      <c r="AG134" s="10">
        <v>0</v>
      </c>
      <c r="AH134" s="10"/>
      <c r="AI134" s="10">
        <f t="shared" si="4"/>
        <v>27313</v>
      </c>
      <c r="AJ134" s="10"/>
    </row>
    <row r="135" spans="1:39" s="21" customFormat="1" hidden="1">
      <c r="A135" s="1" t="s">
        <v>299</v>
      </c>
      <c r="B135" s="1"/>
      <c r="C135" s="1" t="s">
        <v>554</v>
      </c>
      <c r="D135" s="1"/>
      <c r="E135" s="10">
        <v>0</v>
      </c>
      <c r="F135" s="10"/>
      <c r="G135" s="10">
        <v>0</v>
      </c>
      <c r="H135" s="10"/>
      <c r="I135" s="10">
        <v>0</v>
      </c>
      <c r="J135" s="10"/>
      <c r="K135" s="10">
        <v>0</v>
      </c>
      <c r="L135" s="10"/>
      <c r="M135" s="10">
        <v>0</v>
      </c>
      <c r="N135" s="10"/>
      <c r="O135" s="10">
        <v>0</v>
      </c>
      <c r="P135" s="10"/>
      <c r="Q135" s="10">
        <v>0</v>
      </c>
      <c r="R135" s="10"/>
      <c r="S135" s="10">
        <v>0</v>
      </c>
      <c r="T135" s="10"/>
      <c r="U135" s="10">
        <v>0</v>
      </c>
      <c r="V135" s="24"/>
      <c r="W135" s="10">
        <v>0</v>
      </c>
      <c r="X135" s="24"/>
      <c r="Y135" s="10">
        <v>0</v>
      </c>
      <c r="Z135" s="10"/>
      <c r="AA135" s="10">
        <v>0</v>
      </c>
      <c r="AB135" s="10"/>
      <c r="AC135" s="10">
        <v>0</v>
      </c>
      <c r="AD135" s="10"/>
      <c r="AE135" s="10">
        <v>0</v>
      </c>
      <c r="AF135" s="10"/>
      <c r="AG135" s="10">
        <v>0</v>
      </c>
      <c r="AH135" s="10"/>
      <c r="AI135" s="10">
        <f t="shared" si="4"/>
        <v>0</v>
      </c>
      <c r="AJ135" s="10"/>
    </row>
    <row r="136" spans="1:39" s="59" customFormat="1" hidden="1">
      <c r="A136" s="59" t="s">
        <v>668</v>
      </c>
      <c r="C136" s="59" t="s">
        <v>517</v>
      </c>
      <c r="E136" s="60">
        <v>5314</v>
      </c>
      <c r="F136" s="60"/>
      <c r="G136" s="60">
        <v>0</v>
      </c>
      <c r="H136" s="60"/>
      <c r="I136" s="60">
        <v>44812</v>
      </c>
      <c r="J136" s="60"/>
      <c r="K136" s="60">
        <v>0</v>
      </c>
      <c r="L136" s="60"/>
      <c r="M136" s="60">
        <v>0</v>
      </c>
      <c r="N136" s="60"/>
      <c r="O136" s="60">
        <v>10</v>
      </c>
      <c r="P136" s="60"/>
      <c r="Q136" s="60">
        <v>3173</v>
      </c>
      <c r="R136" s="60"/>
      <c r="S136" s="60">
        <v>533</v>
      </c>
      <c r="T136" s="60"/>
      <c r="U136" s="60">
        <v>0</v>
      </c>
      <c r="V136" s="60"/>
      <c r="W136" s="60">
        <v>0</v>
      </c>
      <c r="X136" s="60"/>
      <c r="Y136" s="60">
        <v>0</v>
      </c>
      <c r="Z136" s="60"/>
      <c r="AA136" s="60">
        <v>0</v>
      </c>
      <c r="AB136" s="60"/>
      <c r="AC136" s="60">
        <v>0</v>
      </c>
      <c r="AD136" s="60"/>
      <c r="AE136" s="60">
        <v>0</v>
      </c>
      <c r="AF136" s="62"/>
      <c r="AG136" s="60">
        <v>0</v>
      </c>
      <c r="AH136" s="62"/>
      <c r="AI136" s="60">
        <f t="shared" si="4"/>
        <v>53842</v>
      </c>
      <c r="AJ136" s="60"/>
    </row>
    <row r="137" spans="1:39" s="21" customFormat="1" hidden="1">
      <c r="A137" s="1" t="s">
        <v>125</v>
      </c>
      <c r="B137" s="1"/>
      <c r="C137" s="1" t="s">
        <v>789</v>
      </c>
      <c r="D137" s="1"/>
      <c r="E137" s="10">
        <v>0</v>
      </c>
      <c r="F137" s="10"/>
      <c r="G137" s="10">
        <v>0</v>
      </c>
      <c r="H137" s="10"/>
      <c r="I137" s="10">
        <v>0</v>
      </c>
      <c r="J137" s="10"/>
      <c r="K137" s="10">
        <v>0</v>
      </c>
      <c r="L137" s="10"/>
      <c r="M137" s="10">
        <v>0</v>
      </c>
      <c r="N137" s="10"/>
      <c r="O137" s="10">
        <v>0</v>
      </c>
      <c r="P137" s="10"/>
      <c r="Q137" s="10">
        <v>0</v>
      </c>
      <c r="R137" s="10"/>
      <c r="S137" s="10">
        <v>0</v>
      </c>
      <c r="T137" s="10"/>
      <c r="U137" s="10">
        <v>0</v>
      </c>
      <c r="V137" s="24"/>
      <c r="W137" s="10">
        <v>0</v>
      </c>
      <c r="X137" s="24"/>
      <c r="Y137" s="10">
        <v>0</v>
      </c>
      <c r="Z137" s="10"/>
      <c r="AA137" s="10">
        <v>0</v>
      </c>
      <c r="AB137" s="10"/>
      <c r="AC137" s="10">
        <v>0</v>
      </c>
      <c r="AD137" s="10"/>
      <c r="AE137" s="10">
        <v>0</v>
      </c>
      <c r="AF137" s="10"/>
      <c r="AG137" s="10">
        <v>0</v>
      </c>
      <c r="AH137" s="10"/>
      <c r="AI137" s="10">
        <f t="shared" si="4"/>
        <v>0</v>
      </c>
      <c r="AJ137" s="10"/>
    </row>
    <row r="138" spans="1:39" s="21" customFormat="1" hidden="1">
      <c r="A138" s="1" t="s">
        <v>670</v>
      </c>
      <c r="B138" s="1"/>
      <c r="C138" s="1" t="s">
        <v>669</v>
      </c>
      <c r="D138" s="1"/>
      <c r="E138" s="10">
        <v>0</v>
      </c>
      <c r="F138" s="10"/>
      <c r="G138" s="10">
        <v>0</v>
      </c>
      <c r="H138" s="10"/>
      <c r="I138" s="10">
        <v>0</v>
      </c>
      <c r="J138" s="10"/>
      <c r="K138" s="10">
        <v>0</v>
      </c>
      <c r="L138" s="10"/>
      <c r="M138" s="10">
        <v>0</v>
      </c>
      <c r="N138" s="10"/>
      <c r="O138" s="10">
        <v>0</v>
      </c>
      <c r="P138" s="10"/>
      <c r="Q138" s="10">
        <v>0</v>
      </c>
      <c r="R138" s="10"/>
      <c r="S138" s="10">
        <v>0</v>
      </c>
      <c r="T138" s="10"/>
      <c r="U138" s="10">
        <v>0</v>
      </c>
      <c r="V138" s="24"/>
      <c r="W138" s="10">
        <v>0</v>
      </c>
      <c r="X138" s="24"/>
      <c r="Y138" s="10">
        <v>0</v>
      </c>
      <c r="Z138" s="10"/>
      <c r="AA138" s="10">
        <v>0</v>
      </c>
      <c r="AB138" s="10"/>
      <c r="AC138" s="10">
        <v>0</v>
      </c>
      <c r="AD138" s="10"/>
      <c r="AE138" s="10">
        <v>0</v>
      </c>
      <c r="AF138" s="10"/>
      <c r="AG138" s="10">
        <v>0</v>
      </c>
      <c r="AH138" s="10"/>
      <c r="AI138" s="10">
        <f t="shared" si="4"/>
        <v>0</v>
      </c>
      <c r="AJ138" s="10"/>
    </row>
    <row r="139" spans="1:39">
      <c r="A139" s="1" t="s">
        <v>907</v>
      </c>
      <c r="C139" s="1" t="s">
        <v>469</v>
      </c>
      <c r="E139" s="10">
        <v>1431643</v>
      </c>
      <c r="G139" s="10">
        <v>0</v>
      </c>
      <c r="I139" s="10">
        <f>326926+388</f>
        <v>327314</v>
      </c>
      <c r="K139" s="10">
        <v>0</v>
      </c>
      <c r="M139" s="10">
        <v>58512</v>
      </c>
      <c r="O139" s="10">
        <v>8199</v>
      </c>
      <c r="Q139" s="10">
        <v>5560</v>
      </c>
      <c r="S139" s="10">
        <v>24555</v>
      </c>
      <c r="U139" s="10">
        <v>0</v>
      </c>
      <c r="V139" s="24"/>
      <c r="W139" s="10">
        <v>0</v>
      </c>
      <c r="X139" s="24"/>
      <c r="Y139" s="10">
        <v>0</v>
      </c>
      <c r="AA139" s="10">
        <v>0</v>
      </c>
      <c r="AC139" s="10">
        <v>0</v>
      </c>
      <c r="AE139" s="10">
        <v>12855</v>
      </c>
      <c r="AG139" s="10">
        <v>0</v>
      </c>
      <c r="AI139" s="10">
        <f t="shared" si="4"/>
        <v>1868638</v>
      </c>
      <c r="AJ139" s="10"/>
    </row>
    <row r="140" spans="1:39" hidden="1">
      <c r="A140" s="1" t="s">
        <v>199</v>
      </c>
      <c r="C140" s="1" t="s">
        <v>812</v>
      </c>
      <c r="E140" s="10">
        <v>0</v>
      </c>
      <c r="G140" s="10">
        <v>0</v>
      </c>
      <c r="I140" s="10">
        <v>0</v>
      </c>
      <c r="K140" s="10">
        <v>0</v>
      </c>
      <c r="M140" s="10">
        <v>0</v>
      </c>
      <c r="O140" s="10">
        <v>0</v>
      </c>
      <c r="Q140" s="10">
        <v>0</v>
      </c>
      <c r="S140" s="10">
        <v>0</v>
      </c>
      <c r="U140" s="10">
        <v>0</v>
      </c>
      <c r="V140" s="24"/>
      <c r="W140" s="10">
        <v>0</v>
      </c>
      <c r="X140" s="24"/>
      <c r="Y140" s="10">
        <v>0</v>
      </c>
      <c r="AA140" s="10">
        <v>0</v>
      </c>
      <c r="AC140" s="10">
        <v>0</v>
      </c>
      <c r="AE140" s="10">
        <v>0</v>
      </c>
      <c r="AG140" s="10">
        <v>0</v>
      </c>
      <c r="AI140" s="10">
        <f t="shared" si="4"/>
        <v>0</v>
      </c>
      <c r="AJ140" s="10"/>
    </row>
    <row r="141" spans="1:39">
      <c r="A141" s="1" t="s">
        <v>518</v>
      </c>
      <c r="C141" s="1" t="s">
        <v>517</v>
      </c>
      <c r="E141" s="10">
        <v>72824</v>
      </c>
      <c r="G141" s="10">
        <v>408390</v>
      </c>
      <c r="I141" s="10">
        <v>106215</v>
      </c>
      <c r="K141" s="10">
        <v>0</v>
      </c>
      <c r="M141" s="10">
        <v>80741</v>
      </c>
      <c r="O141" s="10">
        <v>955</v>
      </c>
      <c r="Q141" s="10">
        <v>20813</v>
      </c>
      <c r="S141" s="10">
        <v>40724</v>
      </c>
      <c r="U141" s="10">
        <v>0</v>
      </c>
      <c r="W141" s="10">
        <v>0</v>
      </c>
      <c r="Y141" s="10">
        <v>0</v>
      </c>
      <c r="AA141" s="10">
        <v>0</v>
      </c>
      <c r="AC141" s="10">
        <v>0</v>
      </c>
      <c r="AE141" s="10">
        <v>501</v>
      </c>
      <c r="AG141" s="10">
        <v>0</v>
      </c>
      <c r="AI141" s="10">
        <f t="shared" si="4"/>
        <v>731163</v>
      </c>
      <c r="AJ141" s="10"/>
    </row>
    <row r="142" spans="1:39" hidden="1">
      <c r="A142" s="1" t="s">
        <v>188</v>
      </c>
      <c r="C142" s="1" t="s">
        <v>809</v>
      </c>
      <c r="E142" s="10">
        <v>0</v>
      </c>
      <c r="G142" s="10">
        <v>0</v>
      </c>
      <c r="I142" s="10">
        <v>0</v>
      </c>
      <c r="K142" s="10">
        <v>0</v>
      </c>
      <c r="M142" s="10">
        <v>0</v>
      </c>
      <c r="O142" s="10">
        <v>0</v>
      </c>
      <c r="Q142" s="10">
        <v>0</v>
      </c>
      <c r="S142" s="10">
        <v>0</v>
      </c>
      <c r="U142" s="10">
        <v>0</v>
      </c>
      <c r="V142" s="24"/>
      <c r="W142" s="10">
        <v>0</v>
      </c>
      <c r="X142" s="24"/>
      <c r="Y142" s="10">
        <v>0</v>
      </c>
      <c r="AA142" s="10">
        <v>0</v>
      </c>
      <c r="AC142" s="10">
        <v>0</v>
      </c>
      <c r="AE142" s="10">
        <v>0</v>
      </c>
      <c r="AG142" s="10">
        <v>0</v>
      </c>
      <c r="AI142" s="10">
        <f t="shared" si="4"/>
        <v>0</v>
      </c>
      <c r="AJ142" s="40"/>
    </row>
    <row r="143" spans="1:39" s="21" customFormat="1" hidden="1">
      <c r="A143" s="1" t="s">
        <v>307</v>
      </c>
      <c r="B143" s="1"/>
      <c r="C143" s="1" t="s">
        <v>308</v>
      </c>
      <c r="D143" s="1"/>
      <c r="E143" s="10">
        <v>0</v>
      </c>
      <c r="F143" s="10"/>
      <c r="G143" s="10">
        <v>0</v>
      </c>
      <c r="H143" s="10"/>
      <c r="I143" s="10">
        <v>0</v>
      </c>
      <c r="J143" s="10"/>
      <c r="K143" s="10">
        <v>0</v>
      </c>
      <c r="L143" s="10"/>
      <c r="M143" s="10">
        <v>0</v>
      </c>
      <c r="N143" s="10"/>
      <c r="O143" s="10">
        <v>0</v>
      </c>
      <c r="P143" s="10"/>
      <c r="Q143" s="10">
        <v>0</v>
      </c>
      <c r="R143" s="10"/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Z143" s="10"/>
      <c r="AA143" s="10">
        <v>0</v>
      </c>
      <c r="AB143" s="10"/>
      <c r="AC143" s="10">
        <v>0</v>
      </c>
      <c r="AD143" s="10"/>
      <c r="AE143" s="10">
        <v>0</v>
      </c>
      <c r="AF143" s="10"/>
      <c r="AG143" s="10">
        <v>0</v>
      </c>
      <c r="AH143" s="10"/>
      <c r="AI143" s="10">
        <f t="shared" si="4"/>
        <v>0</v>
      </c>
      <c r="AJ143" s="10"/>
      <c r="AK143" s="22"/>
      <c r="AL143" s="22"/>
      <c r="AM143" s="22"/>
    </row>
    <row r="144" spans="1:39" s="10" customFormat="1" hidden="1">
      <c r="A144" s="10" t="s">
        <v>202</v>
      </c>
      <c r="C144" s="10" t="s">
        <v>813</v>
      </c>
      <c r="E144" s="10">
        <v>0</v>
      </c>
      <c r="G144" s="10">
        <v>0</v>
      </c>
      <c r="I144" s="10">
        <v>0</v>
      </c>
      <c r="K144" s="10">
        <v>0</v>
      </c>
      <c r="M144" s="10">
        <v>0</v>
      </c>
      <c r="O144" s="10">
        <v>0</v>
      </c>
      <c r="Q144" s="10">
        <v>0</v>
      </c>
      <c r="S144" s="10">
        <v>0</v>
      </c>
      <c r="U144" s="10">
        <v>0</v>
      </c>
      <c r="V144" s="24"/>
      <c r="W144" s="10">
        <v>0</v>
      </c>
      <c r="X144" s="24"/>
      <c r="Y144" s="10">
        <v>0</v>
      </c>
      <c r="AA144" s="10">
        <v>0</v>
      </c>
      <c r="AC144" s="10">
        <v>0</v>
      </c>
      <c r="AE144" s="10">
        <v>0</v>
      </c>
      <c r="AG144" s="10">
        <v>0</v>
      </c>
      <c r="AI144" s="10">
        <f t="shared" si="4"/>
        <v>0</v>
      </c>
    </row>
    <row r="145" spans="1:39" hidden="1">
      <c r="A145" s="1" t="s">
        <v>239</v>
      </c>
      <c r="C145" s="1" t="s">
        <v>825</v>
      </c>
      <c r="E145" s="10">
        <v>0</v>
      </c>
      <c r="G145" s="10">
        <v>0</v>
      </c>
      <c r="I145" s="10">
        <v>0</v>
      </c>
      <c r="K145" s="10">
        <v>0</v>
      </c>
      <c r="M145" s="10">
        <v>0</v>
      </c>
      <c r="O145" s="10">
        <v>0</v>
      </c>
      <c r="Q145" s="10">
        <v>0</v>
      </c>
      <c r="S145" s="10">
        <v>0</v>
      </c>
      <c r="U145" s="10">
        <v>0</v>
      </c>
      <c r="V145" s="24"/>
      <c r="W145" s="10">
        <v>0</v>
      </c>
      <c r="X145" s="24"/>
      <c r="Y145" s="10">
        <v>0</v>
      </c>
      <c r="AA145" s="10">
        <v>0</v>
      </c>
      <c r="AC145" s="10">
        <v>0</v>
      </c>
      <c r="AE145" s="10">
        <v>0</v>
      </c>
      <c r="AG145" s="10">
        <v>0</v>
      </c>
      <c r="AI145" s="10">
        <f t="shared" si="4"/>
        <v>0</v>
      </c>
      <c r="AJ145" s="10"/>
    </row>
    <row r="146" spans="1:39" hidden="1">
      <c r="A146" s="1" t="s">
        <v>186</v>
      </c>
      <c r="C146" s="1" t="s">
        <v>433</v>
      </c>
      <c r="E146" s="10">
        <v>0</v>
      </c>
      <c r="G146" s="10">
        <v>0</v>
      </c>
      <c r="I146" s="10">
        <v>0</v>
      </c>
      <c r="K146" s="10">
        <v>0</v>
      </c>
      <c r="M146" s="10">
        <v>0</v>
      </c>
      <c r="O146" s="10">
        <v>0</v>
      </c>
      <c r="Q146" s="10">
        <v>0</v>
      </c>
      <c r="S146" s="10">
        <v>0</v>
      </c>
      <c r="U146" s="10">
        <v>0</v>
      </c>
      <c r="V146" s="24"/>
      <c r="W146" s="10">
        <v>0</v>
      </c>
      <c r="X146" s="24"/>
      <c r="Y146" s="10">
        <v>0</v>
      </c>
      <c r="AA146" s="10">
        <v>0</v>
      </c>
      <c r="AC146" s="10">
        <v>0</v>
      </c>
      <c r="AE146" s="10">
        <v>0</v>
      </c>
      <c r="AG146" s="10">
        <v>0</v>
      </c>
      <c r="AI146" s="10">
        <f t="shared" si="4"/>
        <v>0</v>
      </c>
      <c r="AJ146" s="10"/>
    </row>
    <row r="147" spans="1:39" s="21" customFormat="1">
      <c r="A147" s="1" t="s">
        <v>584</v>
      </c>
      <c r="B147" s="1"/>
      <c r="C147" s="1" t="s">
        <v>586</v>
      </c>
      <c r="D147" s="1"/>
      <c r="E147" s="10">
        <v>17449</v>
      </c>
      <c r="F147" s="10"/>
      <c r="G147" s="10">
        <v>23952</v>
      </c>
      <c r="H147" s="10"/>
      <c r="I147" s="10">
        <v>7575</v>
      </c>
      <c r="J147" s="10"/>
      <c r="K147" s="10">
        <v>0</v>
      </c>
      <c r="L147" s="10"/>
      <c r="M147" s="10">
        <v>0</v>
      </c>
      <c r="N147" s="10"/>
      <c r="O147" s="10">
        <v>2597</v>
      </c>
      <c r="P147" s="10"/>
      <c r="Q147" s="10">
        <v>3885</v>
      </c>
      <c r="R147" s="10"/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Z147" s="10"/>
      <c r="AA147" s="10">
        <v>0</v>
      </c>
      <c r="AB147" s="10"/>
      <c r="AC147" s="10">
        <v>0</v>
      </c>
      <c r="AD147" s="10"/>
      <c r="AE147" s="10">
        <v>0</v>
      </c>
      <c r="AF147" s="35"/>
      <c r="AG147" s="10">
        <v>0</v>
      </c>
      <c r="AH147" s="35"/>
      <c r="AI147" s="10">
        <f t="shared" si="4"/>
        <v>55458</v>
      </c>
      <c r="AJ147" s="10"/>
    </row>
    <row r="148" spans="1:39">
      <c r="A148" s="1" t="s">
        <v>908</v>
      </c>
      <c r="C148" s="1" t="s">
        <v>473</v>
      </c>
      <c r="E148" s="10">
        <v>303434</v>
      </c>
      <c r="G148" s="10">
        <v>0</v>
      </c>
      <c r="I148" s="10">
        <v>198960</v>
      </c>
      <c r="K148" s="10">
        <v>4544</v>
      </c>
      <c r="M148" s="10">
        <v>1052</v>
      </c>
      <c r="O148" s="10">
        <v>22844</v>
      </c>
      <c r="Q148" s="10">
        <v>0</v>
      </c>
      <c r="S148" s="10">
        <v>20049</v>
      </c>
      <c r="U148" s="10">
        <v>0</v>
      </c>
      <c r="V148" s="24"/>
      <c r="W148" s="10">
        <v>0</v>
      </c>
      <c r="X148" s="24"/>
      <c r="Y148" s="10">
        <v>0</v>
      </c>
      <c r="AA148" s="10">
        <v>600000</v>
      </c>
      <c r="AC148" s="10">
        <v>0</v>
      </c>
      <c r="AE148" s="10">
        <v>0</v>
      </c>
      <c r="AG148" s="10">
        <v>0</v>
      </c>
      <c r="AI148" s="10">
        <f t="shared" si="4"/>
        <v>1150883</v>
      </c>
      <c r="AJ148" s="10"/>
    </row>
    <row r="149" spans="1:39" hidden="1">
      <c r="A149" s="1" t="s">
        <v>144</v>
      </c>
      <c r="C149" s="1" t="s">
        <v>795</v>
      </c>
      <c r="E149" s="10">
        <v>0</v>
      </c>
      <c r="G149" s="10">
        <v>0</v>
      </c>
      <c r="I149" s="10">
        <v>0</v>
      </c>
      <c r="K149" s="10">
        <v>0</v>
      </c>
      <c r="M149" s="10">
        <v>0</v>
      </c>
      <c r="O149" s="10">
        <v>0</v>
      </c>
      <c r="Q149" s="10">
        <v>0</v>
      </c>
      <c r="S149" s="10">
        <v>0</v>
      </c>
      <c r="U149" s="10">
        <v>0</v>
      </c>
      <c r="V149" s="24"/>
      <c r="W149" s="10">
        <v>0</v>
      </c>
      <c r="X149" s="24"/>
      <c r="Y149" s="10">
        <v>0</v>
      </c>
      <c r="AA149" s="10">
        <v>0</v>
      </c>
      <c r="AC149" s="10">
        <v>0</v>
      </c>
      <c r="AE149" s="10">
        <v>0</v>
      </c>
      <c r="AG149" s="10">
        <v>0</v>
      </c>
      <c r="AI149" s="10">
        <f t="shared" si="4"/>
        <v>0</v>
      </c>
      <c r="AJ149" s="10"/>
    </row>
    <row r="150" spans="1:39" s="21" customFormat="1">
      <c r="A150" s="1" t="s">
        <v>594</v>
      </c>
      <c r="B150" s="1"/>
      <c r="C150" s="1" t="s">
        <v>595</v>
      </c>
      <c r="D150" s="1"/>
      <c r="E150" s="10">
        <f>75566+83611</f>
        <v>159177</v>
      </c>
      <c r="F150" s="10"/>
      <c r="G150" s="10">
        <v>153328</v>
      </c>
      <c r="H150" s="10"/>
      <c r="I150" s="10">
        <v>86266</v>
      </c>
      <c r="J150" s="10"/>
      <c r="K150" s="10">
        <v>0</v>
      </c>
      <c r="L150" s="10"/>
      <c r="M150" s="10">
        <v>0</v>
      </c>
      <c r="N150" s="10"/>
      <c r="O150" s="10">
        <v>8520</v>
      </c>
      <c r="P150" s="10"/>
      <c r="Q150" s="10">
        <v>9964</v>
      </c>
      <c r="R150" s="10"/>
      <c r="S150" s="10">
        <v>22935</v>
      </c>
      <c r="T150" s="10"/>
      <c r="U150" s="10">
        <v>0</v>
      </c>
      <c r="V150" s="10"/>
      <c r="W150" s="10">
        <v>0</v>
      </c>
      <c r="X150" s="10"/>
      <c r="Y150" s="10">
        <v>0</v>
      </c>
      <c r="Z150" s="10"/>
      <c r="AA150" s="10">
        <v>0</v>
      </c>
      <c r="AB150" s="10"/>
      <c r="AC150" s="10">
        <v>0</v>
      </c>
      <c r="AD150" s="10"/>
      <c r="AE150" s="10">
        <v>0</v>
      </c>
      <c r="AF150" s="10"/>
      <c r="AG150" s="10">
        <v>0</v>
      </c>
      <c r="AH150" s="10"/>
      <c r="AI150" s="10">
        <f t="shared" si="4"/>
        <v>440190</v>
      </c>
      <c r="AJ150" s="10"/>
    </row>
    <row r="151" spans="1:39" s="21" customFormat="1">
      <c r="A151" s="1" t="s">
        <v>274</v>
      </c>
      <c r="B151" s="1"/>
      <c r="C151" s="1" t="s">
        <v>275</v>
      </c>
      <c r="D151" s="1"/>
      <c r="E151" s="10">
        <v>92915</v>
      </c>
      <c r="F151" s="10"/>
      <c r="G151" s="10">
        <v>274387</v>
      </c>
      <c r="H151" s="10"/>
      <c r="I151" s="10">
        <v>223226</v>
      </c>
      <c r="J151" s="10"/>
      <c r="K151" s="10">
        <v>0</v>
      </c>
      <c r="L151" s="10"/>
      <c r="M151" s="10">
        <v>0</v>
      </c>
      <c r="N151" s="10"/>
      <c r="O151" s="10">
        <v>24183</v>
      </c>
      <c r="P151" s="10"/>
      <c r="Q151" s="10">
        <v>17890</v>
      </c>
      <c r="R151" s="10"/>
      <c r="S151" s="10">
        <v>16453</v>
      </c>
      <c r="T151" s="10"/>
      <c r="U151" s="10">
        <v>0</v>
      </c>
      <c r="V151" s="10"/>
      <c r="W151" s="10">
        <v>0</v>
      </c>
      <c r="X151" s="10"/>
      <c r="Y151" s="10">
        <v>0</v>
      </c>
      <c r="Z151" s="10"/>
      <c r="AA151" s="10">
        <v>3828</v>
      </c>
      <c r="AB151" s="10"/>
      <c r="AC151" s="10">
        <v>0</v>
      </c>
      <c r="AD151" s="10"/>
      <c r="AE151" s="10">
        <v>0</v>
      </c>
      <c r="AF151" s="10"/>
      <c r="AG151" s="10">
        <v>0</v>
      </c>
      <c r="AH151" s="10"/>
      <c r="AI151" s="10">
        <f t="shared" si="4"/>
        <v>652882</v>
      </c>
      <c r="AJ151" s="10"/>
      <c r="AK151" s="22"/>
      <c r="AL151" s="22"/>
      <c r="AM151" s="22"/>
    </row>
    <row r="152" spans="1:39" s="21" customFormat="1">
      <c r="A152" s="1" t="s">
        <v>503</v>
      </c>
      <c r="B152" s="1"/>
      <c r="C152" s="1" t="s">
        <v>504</v>
      </c>
      <c r="D152" s="1"/>
      <c r="E152" s="10">
        <v>27989</v>
      </c>
      <c r="F152" s="10"/>
      <c r="G152" s="10">
        <v>0</v>
      </c>
      <c r="H152" s="10"/>
      <c r="I152" s="10">
        <v>76677</v>
      </c>
      <c r="J152" s="10"/>
      <c r="K152" s="10">
        <v>0</v>
      </c>
      <c r="L152" s="10"/>
      <c r="M152" s="10">
        <v>46792</v>
      </c>
      <c r="N152" s="10"/>
      <c r="O152" s="10">
        <v>52551</v>
      </c>
      <c r="P152" s="10"/>
      <c r="Q152" s="10">
        <v>9770</v>
      </c>
      <c r="R152" s="10"/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Z152" s="10"/>
      <c r="AA152" s="10">
        <v>0</v>
      </c>
      <c r="AB152" s="10"/>
      <c r="AC152" s="10">
        <v>0</v>
      </c>
      <c r="AD152" s="10"/>
      <c r="AE152" s="10">
        <v>416350</v>
      </c>
      <c r="AF152" s="10"/>
      <c r="AG152" s="10">
        <v>0</v>
      </c>
      <c r="AH152" s="10"/>
      <c r="AI152" s="10">
        <f t="shared" si="4"/>
        <v>630129</v>
      </c>
      <c r="AJ152" s="10"/>
    </row>
    <row r="153" spans="1:39" hidden="1">
      <c r="A153" s="1" t="s">
        <v>80</v>
      </c>
      <c r="C153" s="1" t="s">
        <v>775</v>
      </c>
      <c r="E153" s="10">
        <v>0</v>
      </c>
      <c r="G153" s="10">
        <v>0</v>
      </c>
      <c r="I153" s="10">
        <v>0</v>
      </c>
      <c r="K153" s="10">
        <v>0</v>
      </c>
      <c r="M153" s="10">
        <v>0</v>
      </c>
      <c r="O153" s="10">
        <v>0</v>
      </c>
      <c r="Q153" s="10">
        <v>0</v>
      </c>
      <c r="S153" s="10">
        <v>0</v>
      </c>
      <c r="T153" s="24"/>
      <c r="U153" s="10">
        <v>0</v>
      </c>
      <c r="V153" s="24"/>
      <c r="W153" s="10">
        <v>0</v>
      </c>
      <c r="Y153" s="10">
        <v>0</v>
      </c>
      <c r="AA153" s="10">
        <v>0</v>
      </c>
      <c r="AC153" s="10">
        <v>0</v>
      </c>
      <c r="AE153" s="10">
        <v>0</v>
      </c>
      <c r="AG153" s="10">
        <v>0</v>
      </c>
      <c r="AI153" s="10">
        <f t="shared" ref="AI153:AI168" si="5">SUM(E153:AG153)</f>
        <v>0</v>
      </c>
      <c r="AJ153" s="10"/>
    </row>
    <row r="154" spans="1:39" s="21" customFormat="1" hidden="1">
      <c r="A154" s="1" t="s">
        <v>87</v>
      </c>
      <c r="B154" s="1"/>
      <c r="C154" s="1" t="s">
        <v>777</v>
      </c>
      <c r="D154" s="1"/>
      <c r="E154" s="10">
        <v>0</v>
      </c>
      <c r="F154" s="10"/>
      <c r="G154" s="10">
        <v>0</v>
      </c>
      <c r="H154" s="10"/>
      <c r="I154" s="10">
        <v>0</v>
      </c>
      <c r="J154" s="10"/>
      <c r="K154" s="10">
        <v>0</v>
      </c>
      <c r="L154" s="10"/>
      <c r="M154" s="10">
        <v>0</v>
      </c>
      <c r="N154" s="10"/>
      <c r="O154" s="10">
        <v>0</v>
      </c>
      <c r="P154" s="10"/>
      <c r="Q154" s="10">
        <v>0</v>
      </c>
      <c r="R154" s="10"/>
      <c r="S154" s="10">
        <v>0</v>
      </c>
      <c r="T154" s="10"/>
      <c r="U154" s="10">
        <v>0</v>
      </c>
      <c r="V154" s="24"/>
      <c r="W154" s="10">
        <v>0</v>
      </c>
      <c r="X154" s="24"/>
      <c r="Y154" s="10">
        <v>0</v>
      </c>
      <c r="Z154" s="10"/>
      <c r="AA154" s="10">
        <v>0</v>
      </c>
      <c r="AB154" s="10"/>
      <c r="AC154" s="10">
        <v>0</v>
      </c>
      <c r="AD154" s="10"/>
      <c r="AE154" s="10">
        <v>0</v>
      </c>
      <c r="AF154" s="10"/>
      <c r="AG154" s="10">
        <v>0</v>
      </c>
      <c r="AH154" s="10"/>
      <c r="AI154" s="10">
        <f t="shared" si="5"/>
        <v>0</v>
      </c>
      <c r="AJ154" s="10"/>
    </row>
    <row r="155" spans="1:39" hidden="1">
      <c r="A155" s="1" t="s">
        <v>254</v>
      </c>
      <c r="C155" s="1" t="s">
        <v>830</v>
      </c>
      <c r="E155" s="10">
        <v>0</v>
      </c>
      <c r="G155" s="10">
        <v>0</v>
      </c>
      <c r="I155" s="10">
        <v>0</v>
      </c>
      <c r="K155" s="10">
        <v>0</v>
      </c>
      <c r="M155" s="10">
        <v>0</v>
      </c>
      <c r="O155" s="10">
        <v>0</v>
      </c>
      <c r="Q155" s="10">
        <v>0</v>
      </c>
      <c r="S155" s="10">
        <v>0</v>
      </c>
      <c r="U155" s="10">
        <v>0</v>
      </c>
      <c r="V155" s="24"/>
      <c r="W155" s="10">
        <v>0</v>
      </c>
      <c r="X155" s="24"/>
      <c r="Y155" s="10">
        <v>0</v>
      </c>
      <c r="AA155" s="10">
        <v>0</v>
      </c>
      <c r="AC155" s="10">
        <v>0</v>
      </c>
      <c r="AE155" s="10">
        <v>0</v>
      </c>
      <c r="AG155" s="10">
        <v>0</v>
      </c>
      <c r="AI155" s="10">
        <f t="shared" si="5"/>
        <v>0</v>
      </c>
      <c r="AJ155" s="10"/>
    </row>
    <row r="156" spans="1:39" hidden="1">
      <c r="A156" s="1" t="s">
        <v>848</v>
      </c>
      <c r="C156" s="1" t="s">
        <v>830</v>
      </c>
      <c r="E156" s="10">
        <v>0</v>
      </c>
      <c r="G156" s="10">
        <v>0</v>
      </c>
      <c r="I156" s="10">
        <v>0</v>
      </c>
      <c r="K156" s="10">
        <v>0</v>
      </c>
      <c r="M156" s="10">
        <v>0</v>
      </c>
      <c r="O156" s="10">
        <v>0</v>
      </c>
      <c r="Q156" s="10">
        <v>0</v>
      </c>
      <c r="S156" s="10">
        <v>0</v>
      </c>
      <c r="U156" s="10">
        <v>0</v>
      </c>
      <c r="V156" s="24"/>
      <c r="W156" s="10">
        <v>0</v>
      </c>
      <c r="X156" s="24"/>
      <c r="Y156" s="10">
        <v>0</v>
      </c>
      <c r="AA156" s="10">
        <v>0</v>
      </c>
      <c r="AC156" s="10">
        <v>0</v>
      </c>
      <c r="AE156" s="10">
        <v>0</v>
      </c>
      <c r="AG156" s="10">
        <v>0</v>
      </c>
      <c r="AI156" s="10">
        <f t="shared" si="5"/>
        <v>0</v>
      </c>
      <c r="AJ156" s="10"/>
    </row>
    <row r="157" spans="1:39" s="21" customFormat="1">
      <c r="A157" s="1" t="s">
        <v>596</v>
      </c>
      <c r="B157" s="1"/>
      <c r="C157" s="1" t="s">
        <v>593</v>
      </c>
      <c r="D157" s="1"/>
      <c r="E157" s="10">
        <v>113251</v>
      </c>
      <c r="F157" s="10"/>
      <c r="G157" s="10">
        <v>399064</v>
      </c>
      <c r="H157" s="10"/>
      <c r="I157" s="10">
        <v>147387</v>
      </c>
      <c r="J157" s="10"/>
      <c r="K157" s="10">
        <v>0</v>
      </c>
      <c r="L157" s="10"/>
      <c r="M157" s="10">
        <v>903</v>
      </c>
      <c r="N157" s="10"/>
      <c r="O157" s="10">
        <v>48058</v>
      </c>
      <c r="P157" s="10"/>
      <c r="Q157" s="10">
        <v>5571</v>
      </c>
      <c r="R157" s="10"/>
      <c r="S157" s="10">
        <v>2530</v>
      </c>
      <c r="T157" s="10"/>
      <c r="U157" s="10">
        <v>0</v>
      </c>
      <c r="V157" s="10"/>
      <c r="W157" s="10">
        <v>0</v>
      </c>
      <c r="X157" s="10"/>
      <c r="Y157" s="10">
        <v>0</v>
      </c>
      <c r="Z157" s="10"/>
      <c r="AA157" s="10">
        <v>0</v>
      </c>
      <c r="AB157" s="10"/>
      <c r="AC157" s="10">
        <v>0</v>
      </c>
      <c r="AD157" s="10"/>
      <c r="AE157" s="10">
        <v>0</v>
      </c>
      <c r="AF157" s="10"/>
      <c r="AG157" s="10">
        <v>0</v>
      </c>
      <c r="AH157" s="10"/>
      <c r="AI157" s="10">
        <f t="shared" si="5"/>
        <v>716764</v>
      </c>
      <c r="AJ157" s="10"/>
    </row>
    <row r="158" spans="1:39" s="21" customFormat="1" hidden="1">
      <c r="A158" s="1" t="s">
        <v>426</v>
      </c>
      <c r="B158" s="1"/>
      <c r="C158" s="1" t="s">
        <v>427</v>
      </c>
      <c r="D158" s="1"/>
      <c r="E158" s="10">
        <v>0</v>
      </c>
      <c r="F158" s="10"/>
      <c r="G158" s="10">
        <v>0</v>
      </c>
      <c r="H158" s="10"/>
      <c r="I158" s="10">
        <v>0</v>
      </c>
      <c r="J158" s="10"/>
      <c r="K158" s="10">
        <v>0</v>
      </c>
      <c r="L158" s="10"/>
      <c r="M158" s="10">
        <v>0</v>
      </c>
      <c r="N158" s="10"/>
      <c r="O158" s="10">
        <v>0</v>
      </c>
      <c r="P158" s="10"/>
      <c r="Q158" s="10">
        <v>0</v>
      </c>
      <c r="R158" s="10"/>
      <c r="S158" s="10">
        <v>0</v>
      </c>
      <c r="T158" s="10"/>
      <c r="U158" s="10">
        <v>0</v>
      </c>
      <c r="V158" s="24"/>
      <c r="W158" s="10">
        <v>0</v>
      </c>
      <c r="X158" s="24"/>
      <c r="Y158" s="10">
        <v>0</v>
      </c>
      <c r="Z158" s="10"/>
      <c r="AA158" s="10">
        <v>0</v>
      </c>
      <c r="AB158" s="10"/>
      <c r="AC158" s="10">
        <v>0</v>
      </c>
      <c r="AD158" s="10"/>
      <c r="AE158" s="10">
        <v>0</v>
      </c>
      <c r="AF158" s="10"/>
      <c r="AG158" s="10">
        <v>0</v>
      </c>
      <c r="AH158" s="10"/>
      <c r="AI158" s="10">
        <f t="shared" si="5"/>
        <v>0</v>
      </c>
      <c r="AJ158" s="10"/>
    </row>
    <row r="159" spans="1:39" s="31" customFormat="1">
      <c r="A159" s="15" t="s">
        <v>404</v>
      </c>
      <c r="B159" s="15"/>
      <c r="C159" s="15" t="s">
        <v>403</v>
      </c>
      <c r="D159" s="15"/>
      <c r="E159" s="24">
        <v>1389</v>
      </c>
      <c r="F159" s="24"/>
      <c r="G159" s="24">
        <v>0</v>
      </c>
      <c r="H159" s="24"/>
      <c r="I159" s="24">
        <v>12934</v>
      </c>
      <c r="J159" s="24"/>
      <c r="K159" s="24">
        <v>0</v>
      </c>
      <c r="L159" s="24"/>
      <c r="M159" s="24">
        <v>0</v>
      </c>
      <c r="N159" s="24"/>
      <c r="O159" s="24">
        <v>0</v>
      </c>
      <c r="P159" s="24"/>
      <c r="Q159" s="24">
        <v>1054</v>
      </c>
      <c r="R159" s="24"/>
      <c r="S159" s="24">
        <v>34</v>
      </c>
      <c r="T159" s="24"/>
      <c r="U159" s="24">
        <v>0</v>
      </c>
      <c r="V159" s="24"/>
      <c r="W159" s="24">
        <v>0</v>
      </c>
      <c r="X159" s="24"/>
      <c r="Y159" s="24">
        <v>0</v>
      </c>
      <c r="Z159" s="24"/>
      <c r="AA159" s="24">
        <v>0</v>
      </c>
      <c r="AB159" s="24"/>
      <c r="AC159" s="24">
        <v>0</v>
      </c>
      <c r="AD159" s="24"/>
      <c r="AE159" s="24">
        <v>0</v>
      </c>
      <c r="AF159" s="24"/>
      <c r="AG159" s="24">
        <v>0</v>
      </c>
      <c r="AH159" s="24"/>
      <c r="AI159" s="24">
        <f t="shared" si="5"/>
        <v>15411</v>
      </c>
      <c r="AJ159" s="24"/>
    </row>
    <row r="160" spans="1:39" s="21" customFormat="1" hidden="1">
      <c r="A160" s="1" t="s">
        <v>446</v>
      </c>
      <c r="B160" s="1"/>
      <c r="C160" s="1" t="s">
        <v>447</v>
      </c>
      <c r="D160" s="1"/>
      <c r="E160" s="10">
        <v>0</v>
      </c>
      <c r="F160" s="10"/>
      <c r="G160" s="10">
        <v>0</v>
      </c>
      <c r="H160" s="10"/>
      <c r="I160" s="10">
        <v>0</v>
      </c>
      <c r="J160" s="10"/>
      <c r="K160" s="10">
        <v>0</v>
      </c>
      <c r="L160" s="10"/>
      <c r="M160" s="10">
        <v>0</v>
      </c>
      <c r="N160" s="10"/>
      <c r="O160" s="10">
        <v>0</v>
      </c>
      <c r="P160" s="10"/>
      <c r="Q160" s="10">
        <v>0</v>
      </c>
      <c r="R160" s="10"/>
      <c r="S160" s="10">
        <v>0</v>
      </c>
      <c r="T160" s="10"/>
      <c r="U160" s="10">
        <v>0</v>
      </c>
      <c r="V160" s="24"/>
      <c r="W160" s="10">
        <v>0</v>
      </c>
      <c r="X160" s="24"/>
      <c r="Y160" s="10">
        <v>0</v>
      </c>
      <c r="Z160" s="10"/>
      <c r="AA160" s="10">
        <v>0</v>
      </c>
      <c r="AB160" s="10"/>
      <c r="AC160" s="10">
        <v>0</v>
      </c>
      <c r="AD160" s="10"/>
      <c r="AE160" s="10">
        <v>0</v>
      </c>
      <c r="AF160" s="10"/>
      <c r="AG160" s="10">
        <v>0</v>
      </c>
      <c r="AH160" s="10"/>
      <c r="AI160" s="10">
        <f t="shared" si="5"/>
        <v>0</v>
      </c>
      <c r="AJ160" s="10"/>
    </row>
    <row r="161" spans="1:39" hidden="1">
      <c r="A161" s="1" t="s">
        <v>28</v>
      </c>
      <c r="C161" s="1" t="s">
        <v>758</v>
      </c>
      <c r="E161" s="10">
        <v>0</v>
      </c>
      <c r="G161" s="10">
        <v>0</v>
      </c>
      <c r="I161" s="10">
        <v>0</v>
      </c>
      <c r="K161" s="10">
        <v>0</v>
      </c>
      <c r="M161" s="10">
        <v>0</v>
      </c>
      <c r="O161" s="10">
        <v>0</v>
      </c>
      <c r="Q161" s="10">
        <v>0</v>
      </c>
      <c r="S161" s="10">
        <v>0</v>
      </c>
      <c r="U161" s="10">
        <v>0</v>
      </c>
      <c r="V161" s="24"/>
      <c r="W161" s="10">
        <v>0</v>
      </c>
      <c r="X161" s="24"/>
      <c r="Y161" s="10">
        <v>0</v>
      </c>
      <c r="AA161" s="10">
        <v>0</v>
      </c>
      <c r="AC161" s="10">
        <v>0</v>
      </c>
      <c r="AE161" s="10">
        <v>0</v>
      </c>
      <c r="AG161" s="10">
        <v>0</v>
      </c>
      <c r="AI161" s="10">
        <f t="shared" si="5"/>
        <v>0</v>
      </c>
      <c r="AJ161" s="10"/>
      <c r="AK161" s="7"/>
      <c r="AL161" s="7"/>
      <c r="AM161" s="7"/>
    </row>
    <row r="162" spans="1:39" s="63" customFormat="1" hidden="1">
      <c r="A162" s="59" t="s">
        <v>359</v>
      </c>
      <c r="B162" s="59"/>
      <c r="C162" s="59" t="s">
        <v>358</v>
      </c>
      <c r="D162" s="59"/>
      <c r="E162" s="60">
        <v>68278</v>
      </c>
      <c r="F162" s="60"/>
      <c r="G162" s="60">
        <v>424342</v>
      </c>
      <c r="H162" s="60"/>
      <c r="I162" s="60">
        <v>372196</v>
      </c>
      <c r="J162" s="60"/>
      <c r="K162" s="60">
        <v>0</v>
      </c>
      <c r="L162" s="60"/>
      <c r="M162" s="60">
        <v>96222</v>
      </c>
      <c r="N162" s="60"/>
      <c r="O162" s="60">
        <v>22400</v>
      </c>
      <c r="P162" s="60"/>
      <c r="Q162" s="60">
        <v>48275</v>
      </c>
      <c r="R162" s="60"/>
      <c r="S162" s="60">
        <v>59767</v>
      </c>
      <c r="T162" s="60"/>
      <c r="U162" s="60">
        <v>0</v>
      </c>
      <c r="V162" s="60"/>
      <c r="W162" s="60">
        <v>0</v>
      </c>
      <c r="X162" s="60"/>
      <c r="Y162" s="60">
        <v>0</v>
      </c>
      <c r="Z162" s="60"/>
      <c r="AA162" s="60">
        <v>45428</v>
      </c>
      <c r="AB162" s="60"/>
      <c r="AC162" s="60">
        <v>0</v>
      </c>
      <c r="AD162" s="60"/>
      <c r="AE162" s="60">
        <v>0</v>
      </c>
      <c r="AF162" s="60"/>
      <c r="AG162" s="60">
        <v>0</v>
      </c>
      <c r="AH162" s="60"/>
      <c r="AI162" s="60">
        <f t="shared" si="5"/>
        <v>1136908</v>
      </c>
      <c r="AJ162" s="60"/>
    </row>
    <row r="163" spans="1:39" hidden="1">
      <c r="A163" s="1" t="s">
        <v>232</v>
      </c>
      <c r="C163" s="1" t="s">
        <v>823</v>
      </c>
      <c r="E163" s="10">
        <v>0</v>
      </c>
      <c r="G163" s="10">
        <v>0</v>
      </c>
      <c r="I163" s="10">
        <v>0</v>
      </c>
      <c r="K163" s="10">
        <v>0</v>
      </c>
      <c r="M163" s="10">
        <v>0</v>
      </c>
      <c r="O163" s="10">
        <v>0</v>
      </c>
      <c r="Q163" s="10">
        <v>0</v>
      </c>
      <c r="S163" s="10">
        <v>0</v>
      </c>
      <c r="U163" s="10">
        <v>0</v>
      </c>
      <c r="V163" s="24"/>
      <c r="W163" s="10">
        <v>0</v>
      </c>
      <c r="X163" s="24"/>
      <c r="Y163" s="10">
        <v>0</v>
      </c>
      <c r="AA163" s="10">
        <v>0</v>
      </c>
      <c r="AC163" s="10">
        <v>0</v>
      </c>
      <c r="AE163" s="10">
        <v>0</v>
      </c>
      <c r="AG163" s="10">
        <v>0</v>
      </c>
      <c r="AI163" s="10">
        <f t="shared" si="5"/>
        <v>0</v>
      </c>
      <c r="AJ163" s="10"/>
    </row>
    <row r="164" spans="1:39" hidden="1">
      <c r="A164" s="1" t="s">
        <v>104</v>
      </c>
      <c r="C164" s="1" t="s">
        <v>782</v>
      </c>
      <c r="E164" s="10">
        <v>0</v>
      </c>
      <c r="G164" s="10">
        <v>0</v>
      </c>
      <c r="I164" s="10">
        <v>0</v>
      </c>
      <c r="K164" s="10">
        <v>0</v>
      </c>
      <c r="M164" s="10">
        <v>0</v>
      </c>
      <c r="O164" s="10">
        <v>0</v>
      </c>
      <c r="Q164" s="10">
        <v>0</v>
      </c>
      <c r="S164" s="10">
        <v>0</v>
      </c>
      <c r="U164" s="10">
        <v>0</v>
      </c>
      <c r="V164" s="24"/>
      <c r="W164" s="10">
        <v>0</v>
      </c>
      <c r="X164" s="24"/>
      <c r="Y164" s="10">
        <v>0</v>
      </c>
      <c r="AA164" s="10">
        <v>0</v>
      </c>
      <c r="AC164" s="10">
        <v>0</v>
      </c>
      <c r="AE164" s="10">
        <v>0</v>
      </c>
      <c r="AG164" s="10">
        <v>0</v>
      </c>
      <c r="AI164" s="10">
        <f t="shared" si="5"/>
        <v>0</v>
      </c>
      <c r="AJ164" s="10"/>
    </row>
    <row r="165" spans="1:39">
      <c r="A165" s="1" t="s">
        <v>496</v>
      </c>
      <c r="C165" s="1" t="s">
        <v>494</v>
      </c>
      <c r="E165" s="10">
        <v>2508</v>
      </c>
      <c r="G165" s="10">
        <v>0</v>
      </c>
      <c r="I165" s="10">
        <v>12611</v>
      </c>
      <c r="K165" s="10">
        <v>0</v>
      </c>
      <c r="M165" s="10">
        <v>310</v>
      </c>
      <c r="O165" s="10">
        <v>0</v>
      </c>
      <c r="Q165" s="10">
        <v>42</v>
      </c>
      <c r="S165" s="10">
        <v>10000</v>
      </c>
      <c r="U165" s="10">
        <v>0</v>
      </c>
      <c r="W165" s="10">
        <v>0</v>
      </c>
      <c r="Y165" s="10">
        <v>0</v>
      </c>
      <c r="AA165" s="10">
        <v>0</v>
      </c>
      <c r="AC165" s="10">
        <v>0</v>
      </c>
      <c r="AE165" s="10">
        <v>0</v>
      </c>
      <c r="AG165" s="10">
        <v>0</v>
      </c>
      <c r="AI165" s="10">
        <f t="shared" si="5"/>
        <v>25471</v>
      </c>
      <c r="AJ165" s="10"/>
    </row>
    <row r="166" spans="1:39" s="21" customFormat="1" hidden="1">
      <c r="A166" s="1" t="s">
        <v>116</v>
      </c>
      <c r="B166" s="1"/>
      <c r="C166" s="1" t="s">
        <v>786</v>
      </c>
      <c r="D166" s="1"/>
      <c r="E166" s="10">
        <v>0</v>
      </c>
      <c r="F166" s="10"/>
      <c r="G166" s="10">
        <v>0</v>
      </c>
      <c r="H166" s="10"/>
      <c r="I166" s="10">
        <v>0</v>
      </c>
      <c r="J166" s="10"/>
      <c r="K166" s="10">
        <v>0</v>
      </c>
      <c r="L166" s="10"/>
      <c r="M166" s="10">
        <v>0</v>
      </c>
      <c r="N166" s="10"/>
      <c r="O166" s="10">
        <v>0</v>
      </c>
      <c r="P166" s="10"/>
      <c r="Q166" s="10">
        <v>0</v>
      </c>
      <c r="R166" s="10"/>
      <c r="S166" s="10">
        <v>0</v>
      </c>
      <c r="T166" s="10"/>
      <c r="U166" s="10">
        <v>0</v>
      </c>
      <c r="V166" s="24"/>
      <c r="W166" s="10">
        <v>0</v>
      </c>
      <c r="X166" s="24"/>
      <c r="Y166" s="10">
        <v>0</v>
      </c>
      <c r="Z166" s="10"/>
      <c r="AA166" s="10">
        <v>0</v>
      </c>
      <c r="AB166" s="10"/>
      <c r="AC166" s="10">
        <v>0</v>
      </c>
      <c r="AD166" s="10"/>
      <c r="AE166" s="10">
        <v>0</v>
      </c>
      <c r="AF166" s="10"/>
      <c r="AG166" s="10">
        <v>0</v>
      </c>
      <c r="AH166" s="10"/>
      <c r="AI166" s="10">
        <f t="shared" si="5"/>
        <v>0</v>
      </c>
      <c r="AJ166" s="10"/>
    </row>
    <row r="167" spans="1:39" s="21" customFormat="1" hidden="1">
      <c r="A167" s="1" t="s">
        <v>834</v>
      </c>
      <c r="B167" s="1"/>
      <c r="C167" s="1" t="s">
        <v>292</v>
      </c>
      <c r="D167" s="1"/>
      <c r="E167" s="10">
        <v>0</v>
      </c>
      <c r="F167" s="10"/>
      <c r="G167" s="10">
        <v>0</v>
      </c>
      <c r="H167" s="10"/>
      <c r="I167" s="10">
        <v>0</v>
      </c>
      <c r="J167" s="10"/>
      <c r="K167" s="10">
        <v>0</v>
      </c>
      <c r="L167" s="10"/>
      <c r="M167" s="10">
        <v>0</v>
      </c>
      <c r="N167" s="10"/>
      <c r="O167" s="10">
        <v>0</v>
      </c>
      <c r="P167" s="10"/>
      <c r="Q167" s="10">
        <v>0</v>
      </c>
      <c r="R167" s="10"/>
      <c r="S167" s="10">
        <v>0</v>
      </c>
      <c r="T167" s="10"/>
      <c r="U167" s="10">
        <v>0</v>
      </c>
      <c r="V167" s="10"/>
      <c r="W167" s="10">
        <v>0</v>
      </c>
      <c r="X167" s="10"/>
      <c r="Y167" s="10">
        <v>0</v>
      </c>
      <c r="Z167" s="10"/>
      <c r="AA167" s="10">
        <v>0</v>
      </c>
      <c r="AB167" s="10"/>
      <c r="AC167" s="10">
        <v>0</v>
      </c>
      <c r="AD167" s="10"/>
      <c r="AE167" s="10">
        <v>0</v>
      </c>
      <c r="AF167" s="10"/>
      <c r="AG167" s="10">
        <v>0</v>
      </c>
      <c r="AH167" s="10"/>
      <c r="AI167" s="10">
        <f t="shared" si="5"/>
        <v>0</v>
      </c>
      <c r="AJ167" s="10"/>
      <c r="AK167" s="22"/>
      <c r="AL167" s="22"/>
      <c r="AM167" s="22"/>
    </row>
    <row r="168" spans="1:39" s="21" customFormat="1" hidden="1">
      <c r="A168" s="1" t="s">
        <v>597</v>
      </c>
      <c r="B168" s="1"/>
      <c r="C168" s="1" t="s">
        <v>593</v>
      </c>
      <c r="D168" s="1"/>
      <c r="E168" s="10">
        <v>0</v>
      </c>
      <c r="F168" s="10"/>
      <c r="G168" s="10">
        <v>0</v>
      </c>
      <c r="H168" s="10"/>
      <c r="I168" s="10">
        <v>0</v>
      </c>
      <c r="J168" s="10"/>
      <c r="K168" s="10">
        <v>0</v>
      </c>
      <c r="L168" s="10"/>
      <c r="M168" s="10">
        <v>0</v>
      </c>
      <c r="N168" s="10"/>
      <c r="O168" s="10">
        <v>0</v>
      </c>
      <c r="P168" s="10"/>
      <c r="Q168" s="10">
        <v>0</v>
      </c>
      <c r="R168" s="10"/>
      <c r="S168" s="10">
        <v>0</v>
      </c>
      <c r="T168" s="10"/>
      <c r="U168" s="10">
        <v>0</v>
      </c>
      <c r="V168" s="24"/>
      <c r="W168" s="10">
        <v>0</v>
      </c>
      <c r="X168" s="24"/>
      <c r="Y168" s="10">
        <v>0</v>
      </c>
      <c r="Z168" s="10"/>
      <c r="AA168" s="10">
        <v>0</v>
      </c>
      <c r="AB168" s="10"/>
      <c r="AC168" s="10">
        <v>0</v>
      </c>
      <c r="AD168" s="10"/>
      <c r="AE168" s="10">
        <v>0</v>
      </c>
      <c r="AF168" s="10"/>
      <c r="AG168" s="10">
        <v>0</v>
      </c>
      <c r="AH168" s="10"/>
      <c r="AI168" s="10">
        <f t="shared" si="5"/>
        <v>0</v>
      </c>
      <c r="AJ168" s="10"/>
    </row>
    <row r="169" spans="1:39" hidden="1">
      <c r="A169" s="1" t="s">
        <v>174</v>
      </c>
      <c r="C169" s="1" t="s">
        <v>805</v>
      </c>
      <c r="E169" s="40">
        <v>0</v>
      </c>
      <c r="F169" s="40"/>
      <c r="G169" s="40">
        <v>0</v>
      </c>
      <c r="H169" s="40"/>
      <c r="I169" s="40">
        <v>0</v>
      </c>
      <c r="J169" s="40"/>
      <c r="K169" s="40">
        <v>0</v>
      </c>
      <c r="L169" s="40"/>
      <c r="M169" s="40">
        <v>0</v>
      </c>
      <c r="N169" s="40"/>
      <c r="O169" s="40">
        <v>0</v>
      </c>
      <c r="P169" s="40"/>
      <c r="Q169" s="40">
        <v>0</v>
      </c>
      <c r="R169" s="40"/>
      <c r="S169" s="40">
        <v>0</v>
      </c>
      <c r="T169" s="40"/>
      <c r="U169" s="40">
        <v>0</v>
      </c>
      <c r="V169" s="41"/>
      <c r="W169" s="40">
        <v>0</v>
      </c>
      <c r="X169" s="41"/>
      <c r="Y169" s="40">
        <v>0</v>
      </c>
      <c r="Z169" s="40"/>
      <c r="AA169" s="40">
        <v>0</v>
      </c>
      <c r="AB169" s="40"/>
      <c r="AC169" s="40">
        <v>0</v>
      </c>
      <c r="AD169" s="40"/>
      <c r="AE169" s="40">
        <v>0</v>
      </c>
      <c r="AF169" s="40"/>
      <c r="AG169" s="40">
        <v>0</v>
      </c>
      <c r="AH169" s="40"/>
      <c r="AI169" s="40">
        <f t="shared" ref="AI169:AI200" si="6">SUM(E169:AG169)</f>
        <v>0</v>
      </c>
      <c r="AJ169" s="10"/>
    </row>
    <row r="170" spans="1:39" s="21" customFormat="1" hidden="1">
      <c r="A170" s="1" t="s">
        <v>397</v>
      </c>
      <c r="B170" s="1"/>
      <c r="C170" s="1" t="s">
        <v>396</v>
      </c>
      <c r="D170" s="1"/>
      <c r="E170" s="10">
        <v>0</v>
      </c>
      <c r="F170" s="10"/>
      <c r="G170" s="10">
        <v>0</v>
      </c>
      <c r="H170" s="10"/>
      <c r="I170" s="10">
        <v>0</v>
      </c>
      <c r="J170" s="10"/>
      <c r="K170" s="10">
        <v>0</v>
      </c>
      <c r="L170" s="10"/>
      <c r="M170" s="10">
        <v>0</v>
      </c>
      <c r="N170" s="10"/>
      <c r="O170" s="10">
        <v>0</v>
      </c>
      <c r="P170" s="10"/>
      <c r="Q170" s="10">
        <v>0</v>
      </c>
      <c r="R170" s="10"/>
      <c r="S170" s="10">
        <v>0</v>
      </c>
      <c r="T170" s="10"/>
      <c r="U170" s="10">
        <v>0</v>
      </c>
      <c r="V170" s="24"/>
      <c r="W170" s="10">
        <v>0</v>
      </c>
      <c r="X170" s="24"/>
      <c r="Y170" s="10">
        <v>0</v>
      </c>
      <c r="Z170" s="10"/>
      <c r="AA170" s="10">
        <v>0</v>
      </c>
      <c r="AB170" s="10"/>
      <c r="AC170" s="10">
        <v>0</v>
      </c>
      <c r="AD170" s="10"/>
      <c r="AE170" s="10">
        <v>0</v>
      </c>
      <c r="AF170" s="10"/>
      <c r="AG170" s="10">
        <v>0</v>
      </c>
      <c r="AH170" s="10"/>
      <c r="AI170" s="10">
        <f t="shared" si="6"/>
        <v>0</v>
      </c>
      <c r="AJ170" s="10"/>
    </row>
    <row r="171" spans="1:39" hidden="1">
      <c r="A171" s="1" t="s">
        <v>203</v>
      </c>
      <c r="C171" s="1" t="s">
        <v>813</v>
      </c>
      <c r="E171" s="10">
        <v>0</v>
      </c>
      <c r="G171" s="10">
        <v>0</v>
      </c>
      <c r="I171" s="10">
        <v>0</v>
      </c>
      <c r="K171" s="10">
        <v>0</v>
      </c>
      <c r="M171" s="10">
        <v>0</v>
      </c>
      <c r="O171" s="10">
        <v>0</v>
      </c>
      <c r="Q171" s="10">
        <v>0</v>
      </c>
      <c r="S171" s="10">
        <v>0</v>
      </c>
      <c r="U171" s="10">
        <v>0</v>
      </c>
      <c r="V171" s="24"/>
      <c r="W171" s="10">
        <v>0</v>
      </c>
      <c r="X171" s="24"/>
      <c r="Y171" s="10">
        <v>0</v>
      </c>
      <c r="AA171" s="10">
        <v>0</v>
      </c>
      <c r="AC171" s="10">
        <v>0</v>
      </c>
      <c r="AE171" s="10">
        <v>0</v>
      </c>
      <c r="AG171" s="10">
        <v>0</v>
      </c>
      <c r="AI171" s="10">
        <f t="shared" si="6"/>
        <v>0</v>
      </c>
      <c r="AJ171" s="10"/>
    </row>
    <row r="172" spans="1:39" s="21" customFormat="1" hidden="1">
      <c r="A172" s="1" t="s">
        <v>547</v>
      </c>
      <c r="B172" s="1"/>
      <c r="C172" s="1" t="s">
        <v>545</v>
      </c>
      <c r="D172" s="1"/>
      <c r="E172" s="10">
        <v>0</v>
      </c>
      <c r="F172" s="10"/>
      <c r="G172" s="10">
        <v>0</v>
      </c>
      <c r="H172" s="10"/>
      <c r="I172" s="10">
        <v>0</v>
      </c>
      <c r="J172" s="10"/>
      <c r="K172" s="10">
        <v>0</v>
      </c>
      <c r="L172" s="10"/>
      <c r="M172" s="10">
        <v>0</v>
      </c>
      <c r="N172" s="10"/>
      <c r="O172" s="10">
        <v>0</v>
      </c>
      <c r="P172" s="10"/>
      <c r="Q172" s="10">
        <v>0</v>
      </c>
      <c r="R172" s="10"/>
      <c r="S172" s="10">
        <v>0</v>
      </c>
      <c r="T172" s="10"/>
      <c r="U172" s="10">
        <v>0</v>
      </c>
      <c r="V172" s="24"/>
      <c r="W172" s="10">
        <v>0</v>
      </c>
      <c r="X172" s="24"/>
      <c r="Y172" s="10">
        <v>0</v>
      </c>
      <c r="Z172" s="10"/>
      <c r="AA172" s="10">
        <v>0</v>
      </c>
      <c r="AB172" s="10"/>
      <c r="AC172" s="10">
        <v>0</v>
      </c>
      <c r="AD172" s="10"/>
      <c r="AE172" s="10">
        <v>0</v>
      </c>
      <c r="AF172" s="10"/>
      <c r="AG172" s="10">
        <v>0</v>
      </c>
      <c r="AH172" s="10"/>
      <c r="AI172" s="10">
        <f t="shared" si="6"/>
        <v>0</v>
      </c>
      <c r="AJ172" s="10"/>
    </row>
    <row r="173" spans="1:39" hidden="1">
      <c r="A173" s="1" t="s">
        <v>224</v>
      </c>
      <c r="C173" s="1" t="s">
        <v>820</v>
      </c>
      <c r="E173" s="10">
        <v>0</v>
      </c>
      <c r="G173" s="10">
        <v>0</v>
      </c>
      <c r="I173" s="10">
        <v>0</v>
      </c>
      <c r="K173" s="10">
        <v>0</v>
      </c>
      <c r="M173" s="10">
        <v>0</v>
      </c>
      <c r="O173" s="10">
        <v>0</v>
      </c>
      <c r="Q173" s="10">
        <v>0</v>
      </c>
      <c r="S173" s="10">
        <v>0</v>
      </c>
      <c r="U173" s="10">
        <v>0</v>
      </c>
      <c r="V173" s="24"/>
      <c r="W173" s="10">
        <v>0</v>
      </c>
      <c r="X173" s="24"/>
      <c r="Y173" s="10">
        <v>0</v>
      </c>
      <c r="AA173" s="10">
        <v>0</v>
      </c>
      <c r="AC173" s="10">
        <v>0</v>
      </c>
      <c r="AE173" s="10">
        <v>0</v>
      </c>
      <c r="AG173" s="10">
        <v>0</v>
      </c>
      <c r="AI173" s="10">
        <f t="shared" si="6"/>
        <v>0</v>
      </c>
      <c r="AJ173" s="10"/>
    </row>
    <row r="174" spans="1:39" s="21" customFormat="1" hidden="1">
      <c r="A174" s="1" t="s">
        <v>600</v>
      </c>
      <c r="B174" s="1"/>
      <c r="C174" s="1" t="s">
        <v>601</v>
      </c>
      <c r="D174" s="1"/>
      <c r="E174" s="10">
        <v>0</v>
      </c>
      <c r="F174" s="10"/>
      <c r="G174" s="10">
        <v>0</v>
      </c>
      <c r="H174" s="10"/>
      <c r="I174" s="10">
        <v>0</v>
      </c>
      <c r="J174" s="10"/>
      <c r="K174" s="10">
        <v>0</v>
      </c>
      <c r="L174" s="10"/>
      <c r="M174" s="10">
        <v>0</v>
      </c>
      <c r="N174" s="10"/>
      <c r="O174" s="10">
        <v>0</v>
      </c>
      <c r="P174" s="10"/>
      <c r="Q174" s="10">
        <v>0</v>
      </c>
      <c r="R174" s="10"/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Z174" s="10"/>
      <c r="AA174" s="10">
        <v>0</v>
      </c>
      <c r="AB174" s="10"/>
      <c r="AC174" s="10">
        <v>0</v>
      </c>
      <c r="AD174" s="10"/>
      <c r="AE174" s="10">
        <v>0</v>
      </c>
      <c r="AF174" s="10"/>
      <c r="AG174" s="10">
        <v>0</v>
      </c>
      <c r="AH174" s="10"/>
      <c r="AI174" s="10">
        <f t="shared" si="6"/>
        <v>0</v>
      </c>
      <c r="AJ174" s="10"/>
    </row>
    <row r="175" spans="1:39" hidden="1">
      <c r="A175" s="1" t="s">
        <v>172</v>
      </c>
      <c r="C175" s="1" t="s">
        <v>804</v>
      </c>
      <c r="E175" s="10">
        <v>0</v>
      </c>
      <c r="G175" s="10">
        <v>0</v>
      </c>
      <c r="I175" s="10">
        <v>0</v>
      </c>
      <c r="K175" s="10">
        <v>0</v>
      </c>
      <c r="M175" s="10">
        <v>0</v>
      </c>
      <c r="O175" s="10">
        <v>0</v>
      </c>
      <c r="Q175" s="10">
        <v>0</v>
      </c>
      <c r="S175" s="10">
        <v>0</v>
      </c>
      <c r="U175" s="10">
        <v>0</v>
      </c>
      <c r="V175" s="24"/>
      <c r="W175" s="10">
        <v>0</v>
      </c>
      <c r="X175" s="24"/>
      <c r="Y175" s="10">
        <v>0</v>
      </c>
      <c r="AA175" s="10">
        <v>0</v>
      </c>
      <c r="AC175" s="10">
        <v>0</v>
      </c>
      <c r="AE175" s="10">
        <v>0</v>
      </c>
      <c r="AG175" s="10">
        <v>0</v>
      </c>
      <c r="AI175" s="10">
        <f t="shared" si="6"/>
        <v>0</v>
      </c>
      <c r="AJ175" s="10"/>
    </row>
    <row r="176" spans="1:39" hidden="1">
      <c r="A176" s="1" t="s">
        <v>253</v>
      </c>
      <c r="C176" s="1" t="s">
        <v>829</v>
      </c>
      <c r="E176" s="10">
        <v>0</v>
      </c>
      <c r="G176" s="10">
        <v>0</v>
      </c>
      <c r="I176" s="10">
        <v>0</v>
      </c>
      <c r="K176" s="10">
        <v>0</v>
      </c>
      <c r="M176" s="10">
        <v>0</v>
      </c>
      <c r="O176" s="10">
        <v>0</v>
      </c>
      <c r="Q176" s="10">
        <v>0</v>
      </c>
      <c r="S176" s="10">
        <v>0</v>
      </c>
      <c r="U176" s="10">
        <v>0</v>
      </c>
      <c r="V176" s="24"/>
      <c r="W176" s="10">
        <v>0</v>
      </c>
      <c r="X176" s="24"/>
      <c r="Y176" s="10">
        <v>0</v>
      </c>
      <c r="AA176" s="10">
        <v>0</v>
      </c>
      <c r="AC176" s="10">
        <v>0</v>
      </c>
      <c r="AE176" s="10">
        <v>0</v>
      </c>
      <c r="AG176" s="10">
        <v>0</v>
      </c>
      <c r="AI176" s="10">
        <f t="shared" si="6"/>
        <v>0</v>
      </c>
      <c r="AJ176" s="10"/>
    </row>
    <row r="177" spans="1:39" hidden="1">
      <c r="A177" s="1" t="s">
        <v>200</v>
      </c>
      <c r="C177" s="1" t="s">
        <v>812</v>
      </c>
      <c r="E177" s="10">
        <v>0</v>
      </c>
      <c r="G177" s="10">
        <v>0</v>
      </c>
      <c r="I177" s="10">
        <v>0</v>
      </c>
      <c r="K177" s="10">
        <v>0</v>
      </c>
      <c r="M177" s="10">
        <v>0</v>
      </c>
      <c r="O177" s="10">
        <v>0</v>
      </c>
      <c r="Q177" s="10">
        <v>0</v>
      </c>
      <c r="S177" s="10">
        <v>0</v>
      </c>
      <c r="U177" s="10">
        <v>0</v>
      </c>
      <c r="V177" s="24"/>
      <c r="W177" s="10">
        <v>0</v>
      </c>
      <c r="X177" s="24"/>
      <c r="Y177" s="10">
        <v>0</v>
      </c>
      <c r="AA177" s="10">
        <v>0</v>
      </c>
      <c r="AC177" s="10">
        <v>0</v>
      </c>
      <c r="AE177" s="10">
        <v>0</v>
      </c>
      <c r="AG177" s="10">
        <v>0</v>
      </c>
      <c r="AI177" s="10">
        <f t="shared" si="6"/>
        <v>0</v>
      </c>
      <c r="AJ177" s="10"/>
    </row>
    <row r="178" spans="1:39" s="59" customFormat="1" hidden="1">
      <c r="A178" s="59" t="s">
        <v>576</v>
      </c>
      <c r="C178" s="59" t="s">
        <v>577</v>
      </c>
      <c r="E178" s="60">
        <v>0</v>
      </c>
      <c r="F178" s="60"/>
      <c r="G178" s="60">
        <v>17201</v>
      </c>
      <c r="H178" s="60"/>
      <c r="I178" s="60">
        <v>0</v>
      </c>
      <c r="J178" s="60"/>
      <c r="K178" s="60">
        <v>0</v>
      </c>
      <c r="L178" s="60"/>
      <c r="M178" s="60">
        <v>0</v>
      </c>
      <c r="N178" s="60"/>
      <c r="O178" s="60">
        <v>0</v>
      </c>
      <c r="P178" s="60"/>
      <c r="Q178" s="60">
        <v>0</v>
      </c>
      <c r="R178" s="60"/>
      <c r="S178" s="60">
        <v>1738</v>
      </c>
      <c r="T178" s="60"/>
      <c r="U178" s="60">
        <v>0</v>
      </c>
      <c r="V178" s="60"/>
      <c r="W178" s="60">
        <v>0</v>
      </c>
      <c r="X178" s="60"/>
      <c r="Y178" s="60">
        <v>0</v>
      </c>
      <c r="Z178" s="60"/>
      <c r="AA178" s="60">
        <v>5000</v>
      </c>
      <c r="AB178" s="60"/>
      <c r="AC178" s="60">
        <v>0</v>
      </c>
      <c r="AD178" s="60"/>
      <c r="AE178" s="60">
        <v>0</v>
      </c>
      <c r="AF178" s="60"/>
      <c r="AG178" s="60">
        <v>0</v>
      </c>
      <c r="AH178" s="60"/>
      <c r="AI178" s="60">
        <f t="shared" si="6"/>
        <v>23939</v>
      </c>
      <c r="AJ178" s="60"/>
    </row>
    <row r="179" spans="1:39" s="21" customFormat="1" hidden="1">
      <c r="A179" s="1" t="s">
        <v>3</v>
      </c>
      <c r="B179" s="1"/>
      <c r="C179" s="1" t="s">
        <v>751</v>
      </c>
      <c r="D179" s="1"/>
      <c r="E179" s="10">
        <v>0</v>
      </c>
      <c r="F179" s="10"/>
      <c r="G179" s="10">
        <v>0</v>
      </c>
      <c r="H179" s="10"/>
      <c r="I179" s="10">
        <v>0</v>
      </c>
      <c r="J179" s="10"/>
      <c r="K179" s="10">
        <v>0</v>
      </c>
      <c r="L179" s="10"/>
      <c r="M179" s="10">
        <v>0</v>
      </c>
      <c r="N179" s="10"/>
      <c r="O179" s="10">
        <v>0</v>
      </c>
      <c r="P179" s="10"/>
      <c r="Q179" s="10">
        <v>0</v>
      </c>
      <c r="R179" s="10"/>
      <c r="S179" s="10">
        <v>0</v>
      </c>
      <c r="T179" s="10"/>
      <c r="U179" s="10">
        <v>0</v>
      </c>
      <c r="V179" s="24"/>
      <c r="W179" s="10">
        <v>0</v>
      </c>
      <c r="X179" s="24"/>
      <c r="Y179" s="10">
        <v>0</v>
      </c>
      <c r="Z179" s="10"/>
      <c r="AA179" s="10">
        <v>0</v>
      </c>
      <c r="AB179" s="10"/>
      <c r="AC179" s="10">
        <v>0</v>
      </c>
      <c r="AD179" s="10"/>
      <c r="AE179" s="10">
        <v>0</v>
      </c>
      <c r="AF179" s="10"/>
      <c r="AG179" s="10">
        <v>0</v>
      </c>
      <c r="AH179" s="10"/>
      <c r="AI179" s="10">
        <f t="shared" si="6"/>
        <v>0</v>
      </c>
      <c r="AJ179" s="10"/>
    </row>
    <row r="180" spans="1:39" hidden="1">
      <c r="A180" s="1" t="s">
        <v>180</v>
      </c>
      <c r="C180" s="1" t="s">
        <v>807</v>
      </c>
      <c r="E180" s="10">
        <v>0</v>
      </c>
      <c r="G180" s="10">
        <v>0</v>
      </c>
      <c r="I180" s="10">
        <v>0</v>
      </c>
      <c r="K180" s="10">
        <v>0</v>
      </c>
      <c r="M180" s="10">
        <v>0</v>
      </c>
      <c r="O180" s="10">
        <v>0</v>
      </c>
      <c r="Q180" s="10">
        <v>0</v>
      </c>
      <c r="S180" s="10">
        <v>0</v>
      </c>
      <c r="U180" s="10">
        <v>0</v>
      </c>
      <c r="V180" s="24"/>
      <c r="W180" s="10">
        <v>0</v>
      </c>
      <c r="X180" s="24"/>
      <c r="Y180" s="10">
        <v>0</v>
      </c>
      <c r="AA180" s="10">
        <v>0</v>
      </c>
      <c r="AC180" s="10">
        <v>0</v>
      </c>
      <c r="AE180" s="10">
        <v>0</v>
      </c>
      <c r="AG180" s="10">
        <v>0</v>
      </c>
      <c r="AI180" s="10">
        <f t="shared" si="6"/>
        <v>0</v>
      </c>
      <c r="AJ180" s="10"/>
    </row>
    <row r="181" spans="1:39" s="21" customFormat="1" hidden="1">
      <c r="A181" s="1" t="s">
        <v>92</v>
      </c>
      <c r="B181" s="1"/>
      <c r="C181" s="1" t="s">
        <v>378</v>
      </c>
      <c r="D181" s="1"/>
      <c r="E181" s="10">
        <v>0</v>
      </c>
      <c r="F181" s="10"/>
      <c r="G181" s="10">
        <v>0</v>
      </c>
      <c r="H181" s="10"/>
      <c r="I181" s="10">
        <v>0</v>
      </c>
      <c r="J181" s="10"/>
      <c r="K181" s="10">
        <v>0</v>
      </c>
      <c r="L181" s="10"/>
      <c r="M181" s="10">
        <v>0</v>
      </c>
      <c r="N181" s="10"/>
      <c r="O181" s="10">
        <v>0</v>
      </c>
      <c r="P181" s="10"/>
      <c r="Q181" s="10">
        <v>0</v>
      </c>
      <c r="R181" s="10"/>
      <c r="S181" s="10">
        <v>0</v>
      </c>
      <c r="T181" s="10"/>
      <c r="U181" s="10">
        <v>0</v>
      </c>
      <c r="V181" s="24"/>
      <c r="W181" s="10">
        <v>0</v>
      </c>
      <c r="X181" s="24"/>
      <c r="Y181" s="10">
        <v>0</v>
      </c>
      <c r="Z181" s="10"/>
      <c r="AA181" s="10">
        <v>0</v>
      </c>
      <c r="AB181" s="10"/>
      <c r="AC181" s="10">
        <v>0</v>
      </c>
      <c r="AD181" s="10"/>
      <c r="AE181" s="10">
        <v>0</v>
      </c>
      <c r="AF181" s="10"/>
      <c r="AG181" s="10">
        <v>0</v>
      </c>
      <c r="AH181" s="10"/>
      <c r="AI181" s="10">
        <f t="shared" si="6"/>
        <v>0</v>
      </c>
      <c r="AJ181" s="10"/>
    </row>
    <row r="182" spans="1:39" hidden="1">
      <c r="A182" s="1" t="s">
        <v>117</v>
      </c>
      <c r="C182" s="1" t="s">
        <v>786</v>
      </c>
      <c r="E182" s="10">
        <v>0</v>
      </c>
      <c r="G182" s="10">
        <v>0</v>
      </c>
      <c r="I182" s="10">
        <v>0</v>
      </c>
      <c r="K182" s="10">
        <v>0</v>
      </c>
      <c r="M182" s="10">
        <v>0</v>
      </c>
      <c r="O182" s="10">
        <v>0</v>
      </c>
      <c r="Q182" s="10">
        <v>0</v>
      </c>
      <c r="S182" s="10">
        <v>0</v>
      </c>
      <c r="U182" s="10">
        <v>0</v>
      </c>
      <c r="V182" s="24"/>
      <c r="W182" s="10">
        <v>0</v>
      </c>
      <c r="X182" s="24"/>
      <c r="Y182" s="10">
        <v>0</v>
      </c>
      <c r="AA182" s="10">
        <v>0</v>
      </c>
      <c r="AC182" s="10">
        <v>0</v>
      </c>
      <c r="AE182" s="10">
        <v>0</v>
      </c>
      <c r="AG182" s="10">
        <v>0</v>
      </c>
      <c r="AI182" s="10">
        <f t="shared" si="6"/>
        <v>0</v>
      </c>
      <c r="AJ182" s="10"/>
    </row>
    <row r="183" spans="1:39" s="21" customFormat="1">
      <c r="A183" s="1" t="s">
        <v>291</v>
      </c>
      <c r="B183" s="1"/>
      <c r="C183" s="1" t="s">
        <v>292</v>
      </c>
      <c r="D183" s="1"/>
      <c r="E183" s="10">
        <f>134708+24637</f>
        <v>159345</v>
      </c>
      <c r="F183" s="10"/>
      <c r="G183" s="10">
        <v>0</v>
      </c>
      <c r="H183" s="10"/>
      <c r="I183" s="10">
        <v>54539</v>
      </c>
      <c r="J183" s="10"/>
      <c r="K183" s="10">
        <v>0</v>
      </c>
      <c r="L183" s="10"/>
      <c r="M183" s="10">
        <v>0</v>
      </c>
      <c r="N183" s="10"/>
      <c r="O183" s="10">
        <f>3757+29254</f>
        <v>33011</v>
      </c>
      <c r="P183" s="10"/>
      <c r="Q183" s="10">
        <v>6234</v>
      </c>
      <c r="R183" s="10"/>
      <c r="S183" s="10">
        <f>52808+6381</f>
        <v>59189</v>
      </c>
      <c r="T183" s="10"/>
      <c r="U183" s="10">
        <v>0</v>
      </c>
      <c r="V183" s="10"/>
      <c r="W183" s="10">
        <v>0</v>
      </c>
      <c r="X183" s="10"/>
      <c r="Y183" s="10">
        <v>0</v>
      </c>
      <c r="Z183" s="10"/>
      <c r="AA183" s="10">
        <v>0</v>
      </c>
      <c r="AB183" s="10"/>
      <c r="AC183" s="10">
        <v>3785</v>
      </c>
      <c r="AD183" s="10"/>
      <c r="AE183" s="10">
        <v>0</v>
      </c>
      <c r="AF183" s="10"/>
      <c r="AG183" s="10">
        <v>0</v>
      </c>
      <c r="AH183" s="10"/>
      <c r="AI183" s="10">
        <f t="shared" si="6"/>
        <v>316103</v>
      </c>
      <c r="AJ183" s="10"/>
      <c r="AK183" s="22"/>
      <c r="AL183" s="22"/>
      <c r="AM183" s="22"/>
    </row>
    <row r="184" spans="1:39" s="21" customFormat="1">
      <c r="A184" s="1" t="s">
        <v>380</v>
      </c>
      <c r="B184" s="1"/>
      <c r="C184" s="1" t="s">
        <v>378</v>
      </c>
      <c r="D184" s="1"/>
      <c r="E184" s="10">
        <v>0</v>
      </c>
      <c r="F184" s="10"/>
      <c r="G184" s="10">
        <v>11660684</v>
      </c>
      <c r="H184" s="10"/>
      <c r="I184" s="10">
        <v>304321</v>
      </c>
      <c r="J184" s="10"/>
      <c r="K184" s="10">
        <v>0</v>
      </c>
      <c r="L184" s="10"/>
      <c r="M184" s="10">
        <v>266077</v>
      </c>
      <c r="N184" s="10"/>
      <c r="O184" s="10">
        <v>176915</v>
      </c>
      <c r="P184" s="10"/>
      <c r="Q184" s="10">
        <v>727617</v>
      </c>
      <c r="R184" s="10"/>
      <c r="S184" s="10">
        <v>0</v>
      </c>
      <c r="T184" s="10"/>
      <c r="U184" s="10">
        <v>0</v>
      </c>
      <c r="V184" s="10"/>
      <c r="W184" s="10">
        <v>0</v>
      </c>
      <c r="X184" s="10"/>
      <c r="Y184" s="10">
        <v>5600</v>
      </c>
      <c r="Z184" s="10"/>
      <c r="AA184" s="10">
        <v>0</v>
      </c>
      <c r="AB184" s="10"/>
      <c r="AC184" s="10">
        <v>0</v>
      </c>
      <c r="AD184" s="10"/>
      <c r="AE184" s="10">
        <v>253971</v>
      </c>
      <c r="AF184" s="10"/>
      <c r="AG184" s="10">
        <v>0</v>
      </c>
      <c r="AH184" s="10"/>
      <c r="AI184" s="10">
        <f t="shared" si="6"/>
        <v>13395185</v>
      </c>
      <c r="AJ184" s="40"/>
    </row>
    <row r="185" spans="1:39" s="21" customFormat="1" hidden="1">
      <c r="A185" s="1" t="s">
        <v>93</v>
      </c>
      <c r="B185" s="1"/>
      <c r="C185" s="1" t="s">
        <v>778</v>
      </c>
      <c r="D185" s="1"/>
      <c r="E185" s="10">
        <v>0</v>
      </c>
      <c r="F185" s="10"/>
      <c r="G185" s="10">
        <v>0</v>
      </c>
      <c r="H185" s="10"/>
      <c r="I185" s="10">
        <v>0</v>
      </c>
      <c r="J185" s="10"/>
      <c r="K185" s="10">
        <v>0</v>
      </c>
      <c r="L185" s="10"/>
      <c r="M185" s="10">
        <v>0</v>
      </c>
      <c r="N185" s="10"/>
      <c r="O185" s="10">
        <v>0</v>
      </c>
      <c r="P185" s="10"/>
      <c r="Q185" s="10">
        <v>0</v>
      </c>
      <c r="R185" s="10"/>
      <c r="S185" s="10">
        <v>0</v>
      </c>
      <c r="T185" s="10"/>
      <c r="U185" s="10">
        <v>0</v>
      </c>
      <c r="V185" s="24"/>
      <c r="W185" s="10">
        <v>0</v>
      </c>
      <c r="X185" s="24"/>
      <c r="Y185" s="10">
        <v>0</v>
      </c>
      <c r="Z185" s="10"/>
      <c r="AA185" s="10">
        <v>0</v>
      </c>
      <c r="AB185" s="10"/>
      <c r="AC185" s="10">
        <v>0</v>
      </c>
      <c r="AD185" s="10"/>
      <c r="AE185" s="10">
        <v>0</v>
      </c>
      <c r="AF185" s="10"/>
      <c r="AG185" s="10">
        <v>0</v>
      </c>
      <c r="AH185" s="10"/>
      <c r="AI185" s="10">
        <f t="shared" si="6"/>
        <v>0</v>
      </c>
      <c r="AJ185" s="10"/>
    </row>
    <row r="186" spans="1:39" s="21" customFormat="1">
      <c r="A186" s="1" t="s">
        <v>429</v>
      </c>
      <c r="B186" s="1"/>
      <c r="C186" s="1" t="s">
        <v>430</v>
      </c>
      <c r="D186" s="1"/>
      <c r="E186" s="10">
        <f>440882+459306</f>
        <v>900188</v>
      </c>
      <c r="F186" s="10"/>
      <c r="G186" s="10">
        <v>700247</v>
      </c>
      <c r="H186" s="10"/>
      <c r="I186" s="10">
        <f>6434+96593</f>
        <v>103027</v>
      </c>
      <c r="J186" s="10"/>
      <c r="K186" s="10">
        <v>0</v>
      </c>
      <c r="L186" s="10"/>
      <c r="M186" s="10">
        <v>114136</v>
      </c>
      <c r="N186" s="10"/>
      <c r="O186" s="10">
        <f>42823+24184</f>
        <v>67007</v>
      </c>
      <c r="P186" s="10"/>
      <c r="Q186" s="10">
        <v>25800</v>
      </c>
      <c r="R186" s="10"/>
      <c r="S186" s="10">
        <f>100250+25</f>
        <v>100275</v>
      </c>
      <c r="T186" s="10"/>
      <c r="U186" s="10">
        <v>0</v>
      </c>
      <c r="V186" s="10"/>
      <c r="W186" s="10">
        <v>0</v>
      </c>
      <c r="X186" s="10"/>
      <c r="Y186" s="10">
        <v>0</v>
      </c>
      <c r="Z186" s="10"/>
      <c r="AA186" s="10">
        <v>0</v>
      </c>
      <c r="AB186" s="10"/>
      <c r="AC186" s="10">
        <v>10000</v>
      </c>
      <c r="AD186" s="10"/>
      <c r="AE186" s="10">
        <v>0</v>
      </c>
      <c r="AF186" s="10"/>
      <c r="AG186" s="10">
        <v>0</v>
      </c>
      <c r="AH186" s="10"/>
      <c r="AI186" s="10">
        <f t="shared" si="6"/>
        <v>2020680</v>
      </c>
      <c r="AJ186" s="10"/>
    </row>
    <row r="187" spans="1:39">
      <c r="A187" s="1" t="s">
        <v>909</v>
      </c>
      <c r="C187" s="1" t="s">
        <v>375</v>
      </c>
      <c r="E187" s="10">
        <v>5284</v>
      </c>
      <c r="G187" s="10">
        <v>0</v>
      </c>
      <c r="I187" s="10">
        <v>7047</v>
      </c>
      <c r="K187" s="10">
        <v>0</v>
      </c>
      <c r="M187" s="10">
        <v>0</v>
      </c>
      <c r="O187" s="10">
        <v>0</v>
      </c>
      <c r="Q187" s="10">
        <v>166</v>
      </c>
      <c r="S187" s="10">
        <v>5139</v>
      </c>
      <c r="U187" s="10">
        <v>0</v>
      </c>
      <c r="V187" s="24"/>
      <c r="W187" s="10">
        <v>0</v>
      </c>
      <c r="X187" s="24"/>
      <c r="Y187" s="10">
        <v>0</v>
      </c>
      <c r="AA187" s="10">
        <v>0</v>
      </c>
      <c r="AC187" s="10">
        <v>0</v>
      </c>
      <c r="AE187" s="10">
        <v>0</v>
      </c>
      <c r="AG187" s="10">
        <v>0</v>
      </c>
      <c r="AI187" s="10">
        <f t="shared" si="6"/>
        <v>17636</v>
      </c>
      <c r="AJ187" s="10"/>
    </row>
    <row r="188" spans="1:39" hidden="1">
      <c r="A188" s="1" t="s">
        <v>167</v>
      </c>
      <c r="C188" s="1" t="s">
        <v>802</v>
      </c>
      <c r="E188" s="10">
        <v>0</v>
      </c>
      <c r="G188" s="10">
        <v>0</v>
      </c>
      <c r="I188" s="10">
        <v>0</v>
      </c>
      <c r="K188" s="10">
        <v>0</v>
      </c>
      <c r="M188" s="10">
        <v>0</v>
      </c>
      <c r="O188" s="10">
        <v>0</v>
      </c>
      <c r="Q188" s="10">
        <v>0</v>
      </c>
      <c r="S188" s="10">
        <v>0</v>
      </c>
      <c r="U188" s="10">
        <v>0</v>
      </c>
      <c r="V188" s="24"/>
      <c r="W188" s="10">
        <v>0</v>
      </c>
      <c r="X188" s="24"/>
      <c r="Y188" s="10">
        <v>0</v>
      </c>
      <c r="AA188" s="10">
        <v>0</v>
      </c>
      <c r="AC188" s="10">
        <v>0</v>
      </c>
      <c r="AE188" s="10">
        <v>0</v>
      </c>
      <c r="AG188" s="10">
        <v>0</v>
      </c>
      <c r="AI188" s="10">
        <f t="shared" si="6"/>
        <v>0</v>
      </c>
      <c r="AJ188" s="10"/>
    </row>
    <row r="189" spans="1:39" s="21" customFormat="1">
      <c r="A189" s="1" t="s">
        <v>360</v>
      </c>
      <c r="B189" s="1"/>
      <c r="C189" s="1" t="s">
        <v>358</v>
      </c>
      <c r="D189" s="1"/>
      <c r="E189" s="10">
        <v>69370</v>
      </c>
      <c r="F189" s="10"/>
      <c r="G189" s="10">
        <v>270127</v>
      </c>
      <c r="H189" s="10"/>
      <c r="I189" s="10">
        <v>72831</v>
      </c>
      <c r="J189" s="10"/>
      <c r="K189" s="10">
        <v>0</v>
      </c>
      <c r="L189" s="10"/>
      <c r="M189" s="10">
        <v>1455</v>
      </c>
      <c r="N189" s="10"/>
      <c r="O189" s="10">
        <v>7241</v>
      </c>
      <c r="P189" s="10"/>
      <c r="Q189" s="10">
        <v>19586</v>
      </c>
      <c r="R189" s="10"/>
      <c r="S189" s="10">
        <v>15077</v>
      </c>
      <c r="T189" s="10"/>
      <c r="U189" s="10">
        <v>0</v>
      </c>
      <c r="V189" s="10"/>
      <c r="W189" s="10">
        <v>0</v>
      </c>
      <c r="X189" s="10"/>
      <c r="Y189" s="10">
        <v>15450</v>
      </c>
      <c r="Z189" s="10"/>
      <c r="AA189" s="10">
        <v>2779</v>
      </c>
      <c r="AB189" s="10"/>
      <c r="AC189" s="10">
        <v>26000</v>
      </c>
      <c r="AD189" s="10"/>
      <c r="AE189" s="10">
        <v>0</v>
      </c>
      <c r="AF189" s="10"/>
      <c r="AG189" s="10">
        <v>0</v>
      </c>
      <c r="AH189" s="10"/>
      <c r="AI189" s="10">
        <f t="shared" si="6"/>
        <v>499916</v>
      </c>
      <c r="AJ189" s="10"/>
    </row>
    <row r="190" spans="1:39" s="21" customFormat="1" hidden="1">
      <c r="A190" s="1" t="s">
        <v>21</v>
      </c>
      <c r="B190" s="1"/>
      <c r="C190" s="1" t="s">
        <v>756</v>
      </c>
      <c r="D190" s="1"/>
      <c r="E190" s="10">
        <v>0</v>
      </c>
      <c r="F190" s="10"/>
      <c r="G190" s="10">
        <v>0</v>
      </c>
      <c r="H190" s="10"/>
      <c r="I190" s="10">
        <v>0</v>
      </c>
      <c r="J190" s="10"/>
      <c r="K190" s="10">
        <v>0</v>
      </c>
      <c r="L190" s="10"/>
      <c r="M190" s="10">
        <v>0</v>
      </c>
      <c r="N190" s="10"/>
      <c r="O190" s="10">
        <v>0</v>
      </c>
      <c r="P190" s="10"/>
      <c r="Q190" s="10">
        <v>0</v>
      </c>
      <c r="R190" s="10"/>
      <c r="S190" s="10">
        <v>0</v>
      </c>
      <c r="T190" s="10"/>
      <c r="U190" s="10">
        <v>0</v>
      </c>
      <c r="V190" s="24"/>
      <c r="W190" s="10">
        <v>0</v>
      </c>
      <c r="X190" s="24"/>
      <c r="Y190" s="10">
        <v>0</v>
      </c>
      <c r="Z190" s="10"/>
      <c r="AA190" s="10">
        <v>0</v>
      </c>
      <c r="AB190" s="10"/>
      <c r="AC190" s="10">
        <v>0</v>
      </c>
      <c r="AD190" s="10"/>
      <c r="AE190" s="10">
        <v>0</v>
      </c>
      <c r="AF190" s="10"/>
      <c r="AG190" s="10">
        <v>0</v>
      </c>
      <c r="AH190" s="10"/>
      <c r="AI190" s="10">
        <f t="shared" si="6"/>
        <v>0</v>
      </c>
      <c r="AJ190" s="10"/>
    </row>
    <row r="191" spans="1:39" s="21" customFormat="1" hidden="1">
      <c r="A191" s="15" t="s">
        <v>297</v>
      </c>
      <c r="B191" s="15"/>
      <c r="C191" s="1" t="s">
        <v>295</v>
      </c>
      <c r="D191" s="1"/>
      <c r="E191" s="10">
        <v>0</v>
      </c>
      <c r="F191" s="10"/>
      <c r="G191" s="10">
        <v>0</v>
      </c>
      <c r="H191" s="10"/>
      <c r="I191" s="10">
        <v>0</v>
      </c>
      <c r="J191" s="10"/>
      <c r="K191" s="10">
        <v>0</v>
      </c>
      <c r="L191" s="10"/>
      <c r="M191" s="10">
        <v>0</v>
      </c>
      <c r="N191" s="10"/>
      <c r="O191" s="10">
        <v>0</v>
      </c>
      <c r="P191" s="10"/>
      <c r="Q191" s="10">
        <v>0</v>
      </c>
      <c r="R191" s="10"/>
      <c r="S191" s="10">
        <v>0</v>
      </c>
      <c r="T191" s="10"/>
      <c r="U191" s="10">
        <v>0</v>
      </c>
      <c r="V191" s="10"/>
      <c r="W191" s="10">
        <v>0</v>
      </c>
      <c r="X191" s="10"/>
      <c r="Y191" s="10">
        <v>0</v>
      </c>
      <c r="Z191" s="10"/>
      <c r="AA191" s="10">
        <v>0</v>
      </c>
      <c r="AB191" s="10"/>
      <c r="AC191" s="10">
        <v>0</v>
      </c>
      <c r="AD191" s="10"/>
      <c r="AE191" s="10">
        <v>0</v>
      </c>
      <c r="AF191" s="10"/>
      <c r="AG191" s="10">
        <v>0</v>
      </c>
      <c r="AH191" s="10"/>
      <c r="AI191" s="10">
        <f t="shared" si="6"/>
        <v>0</v>
      </c>
      <c r="AJ191" s="10"/>
      <c r="AK191" s="22"/>
      <c r="AL191" s="22"/>
      <c r="AM191" s="22"/>
    </row>
    <row r="192" spans="1:39" s="21" customFormat="1" hidden="1">
      <c r="A192" s="1" t="s">
        <v>105</v>
      </c>
      <c r="B192" s="1"/>
      <c r="C192" s="1" t="s">
        <v>782</v>
      </c>
      <c r="D192" s="1"/>
      <c r="E192" s="10">
        <v>0</v>
      </c>
      <c r="F192" s="10"/>
      <c r="G192" s="10">
        <v>0</v>
      </c>
      <c r="H192" s="10"/>
      <c r="I192" s="10">
        <v>0</v>
      </c>
      <c r="J192" s="10"/>
      <c r="K192" s="10">
        <v>0</v>
      </c>
      <c r="L192" s="10"/>
      <c r="M192" s="10">
        <v>0</v>
      </c>
      <c r="N192" s="10"/>
      <c r="O192" s="10">
        <v>0</v>
      </c>
      <c r="P192" s="10"/>
      <c r="Q192" s="10">
        <v>0</v>
      </c>
      <c r="R192" s="10"/>
      <c r="S192" s="10">
        <v>0</v>
      </c>
      <c r="T192" s="10"/>
      <c r="U192" s="10">
        <v>0</v>
      </c>
      <c r="V192" s="24"/>
      <c r="W192" s="10">
        <v>0</v>
      </c>
      <c r="X192" s="24"/>
      <c r="Y192" s="10">
        <v>0</v>
      </c>
      <c r="Z192" s="10"/>
      <c r="AA192" s="10">
        <v>0</v>
      </c>
      <c r="AB192" s="10"/>
      <c r="AC192" s="10">
        <v>0</v>
      </c>
      <c r="AD192" s="10"/>
      <c r="AE192" s="10">
        <v>0</v>
      </c>
      <c r="AF192" s="10"/>
      <c r="AG192" s="10">
        <v>0</v>
      </c>
      <c r="AH192" s="10"/>
      <c r="AI192" s="10">
        <f t="shared" si="6"/>
        <v>0</v>
      </c>
      <c r="AJ192" s="10"/>
    </row>
    <row r="193" spans="1:36">
      <c r="A193" s="1" t="s">
        <v>398</v>
      </c>
      <c r="C193" s="1" t="s">
        <v>396</v>
      </c>
      <c r="E193" s="10">
        <v>29040</v>
      </c>
      <c r="G193" s="10">
        <v>406960</v>
      </c>
      <c r="I193" s="10">
        <v>53835</v>
      </c>
      <c r="K193" s="10">
        <v>0</v>
      </c>
      <c r="M193" s="10">
        <v>22461</v>
      </c>
      <c r="O193" s="10">
        <v>5408</v>
      </c>
      <c r="Q193" s="10">
        <v>29244</v>
      </c>
      <c r="S193" s="10">
        <v>49908</v>
      </c>
      <c r="U193" s="10">
        <v>0</v>
      </c>
      <c r="W193" s="10">
        <v>0</v>
      </c>
      <c r="Y193" s="10">
        <v>0</v>
      </c>
      <c r="AA193" s="10">
        <v>0</v>
      </c>
      <c r="AC193" s="10">
        <v>0</v>
      </c>
      <c r="AE193" s="10">
        <v>0</v>
      </c>
      <c r="AG193" s="10">
        <v>0</v>
      </c>
      <c r="AI193" s="10">
        <f t="shared" si="6"/>
        <v>596856</v>
      </c>
      <c r="AJ193" s="10"/>
    </row>
    <row r="194" spans="1:36" hidden="1">
      <c r="A194" s="1" t="s">
        <v>204</v>
      </c>
      <c r="C194" s="1" t="s">
        <v>813</v>
      </c>
      <c r="E194" s="10">
        <v>0</v>
      </c>
      <c r="G194" s="10">
        <v>0</v>
      </c>
      <c r="I194" s="10">
        <v>0</v>
      </c>
      <c r="K194" s="10">
        <v>0</v>
      </c>
      <c r="M194" s="10">
        <v>0</v>
      </c>
      <c r="O194" s="10">
        <v>0</v>
      </c>
      <c r="Q194" s="10">
        <v>0</v>
      </c>
      <c r="S194" s="10">
        <v>0</v>
      </c>
      <c r="U194" s="10">
        <v>0</v>
      </c>
      <c r="V194" s="24"/>
      <c r="W194" s="10">
        <v>0</v>
      </c>
      <c r="X194" s="24"/>
      <c r="Y194" s="10">
        <v>0</v>
      </c>
      <c r="AA194" s="10">
        <v>0</v>
      </c>
      <c r="AC194" s="10">
        <v>0</v>
      </c>
      <c r="AE194" s="10">
        <v>0</v>
      </c>
      <c r="AG194" s="10">
        <v>0</v>
      </c>
      <c r="AI194" s="10">
        <f t="shared" si="6"/>
        <v>0</v>
      </c>
      <c r="AJ194" s="10"/>
    </row>
    <row r="195" spans="1:36" hidden="1">
      <c r="A195" s="1" t="s">
        <v>222</v>
      </c>
      <c r="C195" s="1" t="s">
        <v>819</v>
      </c>
      <c r="E195" s="10">
        <v>0</v>
      </c>
      <c r="G195" s="10">
        <v>0</v>
      </c>
      <c r="I195" s="10">
        <v>0</v>
      </c>
      <c r="K195" s="10">
        <v>0</v>
      </c>
      <c r="M195" s="10">
        <v>0</v>
      </c>
      <c r="O195" s="10">
        <v>0</v>
      </c>
      <c r="Q195" s="10">
        <v>0</v>
      </c>
      <c r="S195" s="10">
        <v>0</v>
      </c>
      <c r="U195" s="10">
        <v>0</v>
      </c>
      <c r="V195" s="24"/>
      <c r="W195" s="10">
        <v>0</v>
      </c>
      <c r="X195" s="24"/>
      <c r="Y195" s="10">
        <v>0</v>
      </c>
      <c r="AA195" s="10">
        <v>0</v>
      </c>
      <c r="AC195" s="10">
        <v>0</v>
      </c>
      <c r="AE195" s="10">
        <v>0</v>
      </c>
      <c r="AG195" s="10">
        <v>0</v>
      </c>
      <c r="AI195" s="10">
        <f t="shared" si="6"/>
        <v>0</v>
      </c>
      <c r="AJ195" s="10"/>
    </row>
    <row r="196" spans="1:36">
      <c r="A196" s="1" t="s">
        <v>470</v>
      </c>
      <c r="C196" s="1" t="s">
        <v>469</v>
      </c>
      <c r="E196" s="10">
        <v>147431</v>
      </c>
      <c r="G196" s="10">
        <v>0</v>
      </c>
      <c r="I196" s="10">
        <v>88303</v>
      </c>
      <c r="K196" s="10">
        <v>43459</v>
      </c>
      <c r="M196" s="10">
        <v>4725</v>
      </c>
      <c r="O196" s="10">
        <v>930</v>
      </c>
      <c r="Q196" s="10">
        <v>15375</v>
      </c>
      <c r="S196" s="10">
        <v>9570</v>
      </c>
      <c r="U196" s="10">
        <v>0</v>
      </c>
      <c r="W196" s="10">
        <v>0</v>
      </c>
      <c r="Y196" s="10">
        <v>3655</v>
      </c>
      <c r="AA196" s="10">
        <v>172000</v>
      </c>
      <c r="AC196" s="10">
        <v>0</v>
      </c>
      <c r="AE196" s="10">
        <v>0</v>
      </c>
      <c r="AG196" s="10">
        <v>0</v>
      </c>
      <c r="AI196" s="10">
        <f t="shared" si="6"/>
        <v>485448</v>
      </c>
      <c r="AJ196" s="10"/>
    </row>
    <row r="197" spans="1:36" hidden="1">
      <c r="A197" s="1" t="s">
        <v>212</v>
      </c>
      <c r="C197" s="1" t="s">
        <v>815</v>
      </c>
      <c r="E197" s="10">
        <v>0</v>
      </c>
      <c r="G197" s="10">
        <v>0</v>
      </c>
      <c r="I197" s="10">
        <v>0</v>
      </c>
      <c r="K197" s="10">
        <v>0</v>
      </c>
      <c r="M197" s="10">
        <v>0</v>
      </c>
      <c r="O197" s="10">
        <v>0</v>
      </c>
      <c r="Q197" s="10">
        <v>0</v>
      </c>
      <c r="S197" s="10">
        <v>0</v>
      </c>
      <c r="U197" s="10">
        <v>0</v>
      </c>
      <c r="V197" s="24"/>
      <c r="W197" s="10">
        <v>0</v>
      </c>
      <c r="X197" s="24"/>
      <c r="Y197" s="10">
        <v>0</v>
      </c>
      <c r="AA197" s="10">
        <v>0</v>
      </c>
      <c r="AC197" s="10">
        <v>0</v>
      </c>
      <c r="AE197" s="10">
        <v>0</v>
      </c>
      <c r="AG197" s="10">
        <v>0</v>
      </c>
      <c r="AI197" s="10">
        <f t="shared" si="6"/>
        <v>0</v>
      </c>
      <c r="AJ197" s="10"/>
    </row>
    <row r="198" spans="1:36" hidden="1">
      <c r="A198" s="1" t="s">
        <v>175</v>
      </c>
      <c r="C198" s="1" t="s">
        <v>805</v>
      </c>
      <c r="E198" s="10">
        <v>0</v>
      </c>
      <c r="G198" s="10">
        <v>0</v>
      </c>
      <c r="I198" s="10">
        <v>0</v>
      </c>
      <c r="K198" s="10">
        <v>0</v>
      </c>
      <c r="M198" s="10">
        <v>0</v>
      </c>
      <c r="O198" s="10">
        <v>0</v>
      </c>
      <c r="Q198" s="10">
        <v>0</v>
      </c>
      <c r="S198" s="10">
        <v>0</v>
      </c>
      <c r="U198" s="10">
        <v>0</v>
      </c>
      <c r="V198" s="24"/>
      <c r="W198" s="10">
        <v>0</v>
      </c>
      <c r="X198" s="24"/>
      <c r="Y198" s="10">
        <v>0</v>
      </c>
      <c r="AA198" s="10">
        <v>0</v>
      </c>
      <c r="AC198" s="10">
        <v>0</v>
      </c>
      <c r="AE198" s="10">
        <v>0</v>
      </c>
      <c r="AG198" s="10">
        <v>0</v>
      </c>
      <c r="AI198" s="10">
        <f t="shared" si="6"/>
        <v>0</v>
      </c>
      <c r="AJ198" s="10"/>
    </row>
    <row r="199" spans="1:36">
      <c r="A199" s="1" t="s">
        <v>598</v>
      </c>
      <c r="C199" s="1" t="s">
        <v>593</v>
      </c>
      <c r="E199" s="10">
        <v>26682</v>
      </c>
      <c r="G199" s="10">
        <v>0</v>
      </c>
      <c r="I199" s="10">
        <v>25922</v>
      </c>
      <c r="K199" s="10">
        <v>0</v>
      </c>
      <c r="M199" s="10">
        <v>6000</v>
      </c>
      <c r="O199" s="10">
        <v>0</v>
      </c>
      <c r="Q199" s="10">
        <v>0</v>
      </c>
      <c r="S199" s="10">
        <v>6306</v>
      </c>
      <c r="U199" s="10">
        <v>0</v>
      </c>
      <c r="W199" s="10">
        <v>0</v>
      </c>
      <c r="Y199" s="10">
        <v>0</v>
      </c>
      <c r="AA199" s="10">
        <v>0</v>
      </c>
      <c r="AC199" s="10">
        <v>0</v>
      </c>
      <c r="AE199" s="10">
        <v>0</v>
      </c>
      <c r="AG199" s="10">
        <v>0</v>
      </c>
      <c r="AI199" s="10">
        <f t="shared" si="6"/>
        <v>64910</v>
      </c>
      <c r="AJ199" s="10"/>
    </row>
    <row r="200" spans="1:36" s="21" customFormat="1">
      <c r="A200" s="1" t="s">
        <v>428</v>
      </c>
      <c r="B200" s="1"/>
      <c r="C200" s="1" t="s">
        <v>427</v>
      </c>
      <c r="D200" s="1"/>
      <c r="E200" s="10">
        <v>77274</v>
      </c>
      <c r="F200" s="10"/>
      <c r="G200" s="10">
        <v>420367</v>
      </c>
      <c r="H200" s="10"/>
      <c r="I200" s="10">
        <v>120801</v>
      </c>
      <c r="J200" s="10"/>
      <c r="K200" s="10">
        <v>0</v>
      </c>
      <c r="L200" s="10"/>
      <c r="M200" s="10">
        <v>162</v>
      </c>
      <c r="N200" s="10"/>
      <c r="O200" s="10">
        <v>21519</v>
      </c>
      <c r="P200" s="10"/>
      <c r="Q200" s="10">
        <v>10268</v>
      </c>
      <c r="R200" s="10"/>
      <c r="S200" s="10">
        <v>16495</v>
      </c>
      <c r="T200" s="10"/>
      <c r="U200" s="10">
        <v>0</v>
      </c>
      <c r="V200" s="10"/>
      <c r="W200" s="10">
        <v>0</v>
      </c>
      <c r="X200" s="10"/>
      <c r="Y200" s="10">
        <v>0</v>
      </c>
      <c r="Z200" s="10"/>
      <c r="AA200" s="10">
        <v>0</v>
      </c>
      <c r="AB200" s="10"/>
      <c r="AC200" s="10">
        <v>0</v>
      </c>
      <c r="AD200" s="10"/>
      <c r="AE200" s="10">
        <v>0</v>
      </c>
      <c r="AF200" s="10"/>
      <c r="AG200" s="10">
        <v>0</v>
      </c>
      <c r="AH200" s="10"/>
      <c r="AI200" s="10">
        <f t="shared" si="6"/>
        <v>666886</v>
      </c>
      <c r="AJ200" s="10"/>
    </row>
    <row r="201" spans="1:36">
      <c r="A201" s="1" t="s">
        <v>405</v>
      </c>
      <c r="C201" s="1" t="s">
        <v>403</v>
      </c>
      <c r="E201" s="10">
        <v>57583</v>
      </c>
      <c r="G201" s="10">
        <v>76540</v>
      </c>
      <c r="I201" s="10">
        <v>0</v>
      </c>
      <c r="K201" s="10">
        <v>0</v>
      </c>
      <c r="M201" s="10">
        <v>0</v>
      </c>
      <c r="O201" s="10">
        <v>88</v>
      </c>
      <c r="Q201" s="10">
        <v>70</v>
      </c>
      <c r="S201" s="10">
        <v>2592</v>
      </c>
      <c r="U201" s="10">
        <v>0</v>
      </c>
      <c r="W201" s="10">
        <v>0</v>
      </c>
      <c r="Y201" s="10">
        <v>0</v>
      </c>
      <c r="AA201" s="10">
        <v>0</v>
      </c>
      <c r="AC201" s="10">
        <v>0</v>
      </c>
      <c r="AE201" s="10">
        <v>0</v>
      </c>
      <c r="AG201" s="10">
        <v>0</v>
      </c>
      <c r="AI201" s="10">
        <f t="shared" ref="AI201:AI233" si="7">SUM(E201:AG201)</f>
        <v>136873</v>
      </c>
      <c r="AJ201" s="10"/>
    </row>
    <row r="202" spans="1:36" hidden="1">
      <c r="A202" s="1" t="s">
        <v>358</v>
      </c>
      <c r="C202" s="1" t="s">
        <v>243</v>
      </c>
      <c r="E202" s="10">
        <v>0</v>
      </c>
      <c r="G202" s="10">
        <v>0</v>
      </c>
      <c r="I202" s="10">
        <v>0</v>
      </c>
      <c r="K202" s="10">
        <v>0</v>
      </c>
      <c r="M202" s="10">
        <v>0</v>
      </c>
      <c r="O202" s="10">
        <v>0</v>
      </c>
      <c r="Q202" s="10">
        <v>0</v>
      </c>
      <c r="S202" s="10">
        <v>0</v>
      </c>
      <c r="U202" s="10">
        <v>0</v>
      </c>
      <c r="V202" s="24"/>
      <c r="W202" s="10">
        <v>0</v>
      </c>
      <c r="X202" s="24"/>
      <c r="Y202" s="10">
        <v>0</v>
      </c>
      <c r="AA202" s="10">
        <v>0</v>
      </c>
      <c r="AC202" s="10">
        <v>0</v>
      </c>
      <c r="AE202" s="10">
        <v>0</v>
      </c>
      <c r="AG202" s="10">
        <v>0</v>
      </c>
      <c r="AI202" s="10">
        <f t="shared" si="7"/>
        <v>0</v>
      </c>
      <c r="AJ202" s="10"/>
    </row>
    <row r="203" spans="1:36" s="21" customFormat="1" hidden="1">
      <c r="A203" s="1" t="s">
        <v>489</v>
      </c>
      <c r="B203" s="1"/>
      <c r="C203" s="1" t="s">
        <v>488</v>
      </c>
      <c r="D203" s="1"/>
      <c r="E203" s="10">
        <v>0</v>
      </c>
      <c r="F203" s="10"/>
      <c r="G203" s="10">
        <v>0</v>
      </c>
      <c r="H203" s="10"/>
      <c r="I203" s="10">
        <v>0</v>
      </c>
      <c r="J203" s="10"/>
      <c r="K203" s="10">
        <v>0</v>
      </c>
      <c r="L203" s="10"/>
      <c r="M203" s="10">
        <v>0</v>
      </c>
      <c r="N203" s="10"/>
      <c r="O203" s="10">
        <v>0</v>
      </c>
      <c r="P203" s="10"/>
      <c r="Q203" s="10">
        <v>0</v>
      </c>
      <c r="R203" s="10"/>
      <c r="S203" s="10">
        <v>0</v>
      </c>
      <c r="T203" s="10"/>
      <c r="U203" s="10">
        <v>0</v>
      </c>
      <c r="V203" s="10"/>
      <c r="W203" s="10">
        <v>0</v>
      </c>
      <c r="X203" s="10"/>
      <c r="Y203" s="10">
        <v>0</v>
      </c>
      <c r="Z203" s="10"/>
      <c r="AA203" s="10">
        <v>0</v>
      </c>
      <c r="AB203" s="10"/>
      <c r="AC203" s="10">
        <v>0</v>
      </c>
      <c r="AD203" s="10"/>
      <c r="AE203" s="10">
        <v>0</v>
      </c>
      <c r="AF203" s="10"/>
      <c r="AG203" s="10">
        <v>0</v>
      </c>
      <c r="AH203" s="10"/>
      <c r="AI203" s="10">
        <f t="shared" si="7"/>
        <v>0</v>
      </c>
      <c r="AJ203" s="10"/>
    </row>
    <row r="204" spans="1:36" s="21" customFormat="1" hidden="1">
      <c r="A204" s="1" t="s">
        <v>57</v>
      </c>
      <c r="B204" s="1"/>
      <c r="C204" s="1" t="s">
        <v>769</v>
      </c>
      <c r="D204" s="1"/>
      <c r="E204" s="10">
        <v>0</v>
      </c>
      <c r="F204" s="10"/>
      <c r="G204" s="10">
        <v>0</v>
      </c>
      <c r="H204" s="10"/>
      <c r="I204" s="10">
        <v>0</v>
      </c>
      <c r="J204" s="10"/>
      <c r="K204" s="10">
        <v>0</v>
      </c>
      <c r="L204" s="10"/>
      <c r="M204" s="10">
        <v>0</v>
      </c>
      <c r="N204" s="10"/>
      <c r="O204" s="10">
        <v>0</v>
      </c>
      <c r="P204" s="10"/>
      <c r="Q204" s="10">
        <v>0</v>
      </c>
      <c r="R204" s="10"/>
      <c r="S204" s="10">
        <v>0</v>
      </c>
      <c r="T204" s="10"/>
      <c r="U204" s="10">
        <v>0</v>
      </c>
      <c r="V204" s="24"/>
      <c r="W204" s="10">
        <v>0</v>
      </c>
      <c r="X204" s="24"/>
      <c r="Y204" s="10">
        <v>0</v>
      </c>
      <c r="Z204" s="10"/>
      <c r="AA204" s="10">
        <v>0</v>
      </c>
      <c r="AB204" s="10"/>
      <c r="AC204" s="10">
        <v>0</v>
      </c>
      <c r="AD204" s="10"/>
      <c r="AE204" s="10">
        <v>0</v>
      </c>
      <c r="AF204" s="10"/>
      <c r="AG204" s="10">
        <v>0</v>
      </c>
      <c r="AH204" s="10"/>
      <c r="AI204" s="10">
        <f t="shared" si="7"/>
        <v>0</v>
      </c>
      <c r="AJ204" s="10"/>
    </row>
    <row r="205" spans="1:36" s="21" customFormat="1">
      <c r="A205" s="1" t="s">
        <v>363</v>
      </c>
      <c r="B205" s="1"/>
      <c r="C205" s="1" t="s">
        <v>364</v>
      </c>
      <c r="D205" s="1"/>
      <c r="E205" s="10">
        <v>186213</v>
      </c>
      <c r="F205" s="10"/>
      <c r="G205" s="10">
        <v>1637474</v>
      </c>
      <c r="H205" s="10"/>
      <c r="I205" s="10">
        <v>195552</v>
      </c>
      <c r="J205" s="10"/>
      <c r="K205" s="10">
        <v>0</v>
      </c>
      <c r="L205" s="10"/>
      <c r="M205" s="10">
        <v>345138</v>
      </c>
      <c r="N205" s="10"/>
      <c r="O205" s="10">
        <f>379111+55413</f>
        <v>434524</v>
      </c>
      <c r="P205" s="10"/>
      <c r="Q205" s="10">
        <v>134473</v>
      </c>
      <c r="R205" s="10"/>
      <c r="S205" s="10">
        <f>2950+17260</f>
        <v>20210</v>
      </c>
      <c r="T205" s="10"/>
      <c r="U205" s="10">
        <v>0</v>
      </c>
      <c r="V205" s="10"/>
      <c r="W205" s="10">
        <v>0</v>
      </c>
      <c r="X205" s="10"/>
      <c r="Y205" s="10">
        <v>0</v>
      </c>
      <c r="Z205" s="10"/>
      <c r="AA205" s="10">
        <v>0</v>
      </c>
      <c r="AB205" s="10"/>
      <c r="AC205" s="10">
        <v>16364</v>
      </c>
      <c r="AD205" s="10"/>
      <c r="AE205" s="10">
        <v>0</v>
      </c>
      <c r="AF205" s="10"/>
      <c r="AG205" s="10">
        <v>0</v>
      </c>
      <c r="AH205" s="10"/>
      <c r="AI205" s="10">
        <f t="shared" si="7"/>
        <v>2969948</v>
      </c>
      <c r="AJ205" s="10"/>
    </row>
    <row r="206" spans="1:36">
      <c r="A206" s="1" t="s">
        <v>910</v>
      </c>
      <c r="C206" s="1" t="s">
        <v>787</v>
      </c>
      <c r="E206" s="10">
        <v>0</v>
      </c>
      <c r="G206" s="10">
        <v>724453</v>
      </c>
      <c r="I206" s="10">
        <v>60859</v>
      </c>
      <c r="K206" s="10">
        <v>0</v>
      </c>
      <c r="M206" s="10">
        <v>12953</v>
      </c>
      <c r="O206" s="10">
        <v>32823</v>
      </c>
      <c r="Q206" s="10">
        <v>5260</v>
      </c>
      <c r="S206" s="10">
        <v>17275</v>
      </c>
      <c r="U206" s="10">
        <v>0</v>
      </c>
      <c r="V206" s="24"/>
      <c r="W206" s="10">
        <v>0</v>
      </c>
      <c r="X206" s="24"/>
      <c r="Y206" s="10">
        <v>1500</v>
      </c>
      <c r="AA206" s="10">
        <v>0</v>
      </c>
      <c r="AC206" s="10">
        <v>0</v>
      </c>
      <c r="AE206" s="10">
        <v>16033</v>
      </c>
      <c r="AG206" s="10">
        <v>0</v>
      </c>
      <c r="AI206" s="10">
        <f t="shared" si="7"/>
        <v>871156</v>
      </c>
      <c r="AJ206" s="10"/>
    </row>
    <row r="207" spans="1:36" hidden="1">
      <c r="A207" s="1" t="s">
        <v>122</v>
      </c>
      <c r="C207" s="1" t="s">
        <v>787</v>
      </c>
      <c r="E207" s="10">
        <v>0</v>
      </c>
      <c r="G207" s="10">
        <v>0</v>
      </c>
      <c r="I207" s="10">
        <v>0</v>
      </c>
      <c r="K207" s="10">
        <v>0</v>
      </c>
      <c r="M207" s="10">
        <v>0</v>
      </c>
      <c r="O207" s="10">
        <v>0</v>
      </c>
      <c r="Q207" s="10">
        <v>0</v>
      </c>
      <c r="S207" s="10">
        <v>0</v>
      </c>
      <c r="U207" s="10">
        <v>0</v>
      </c>
      <c r="V207" s="24"/>
      <c r="W207" s="10">
        <v>0</v>
      </c>
      <c r="X207" s="24"/>
      <c r="Y207" s="10">
        <v>0</v>
      </c>
      <c r="AA207" s="10">
        <v>0</v>
      </c>
      <c r="AC207" s="10">
        <v>0</v>
      </c>
      <c r="AE207" s="10">
        <v>0</v>
      </c>
      <c r="AG207" s="10">
        <v>0</v>
      </c>
      <c r="AI207" s="10">
        <f t="shared" si="7"/>
        <v>0</v>
      </c>
      <c r="AJ207" s="10"/>
    </row>
    <row r="208" spans="1:36" s="21" customFormat="1">
      <c r="A208" s="1"/>
      <c r="B208" s="1"/>
      <c r="C208" s="1"/>
      <c r="D208" s="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24"/>
      <c r="W208" s="10"/>
      <c r="X208" s="24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 t="s">
        <v>869</v>
      </c>
      <c r="AJ208" s="10"/>
    </row>
    <row r="209" spans="1:39" s="40" customFormat="1">
      <c r="A209" s="40" t="s">
        <v>511</v>
      </c>
      <c r="C209" s="40" t="s">
        <v>259</v>
      </c>
      <c r="E209" s="40">
        <v>136154</v>
      </c>
      <c r="G209" s="40">
        <v>781429</v>
      </c>
      <c r="I209" s="40">
        <v>220171</v>
      </c>
      <c r="K209" s="40">
        <v>0</v>
      </c>
      <c r="M209" s="40">
        <v>47090</v>
      </c>
      <c r="O209" s="40">
        <v>4235</v>
      </c>
      <c r="Q209" s="40">
        <v>9249</v>
      </c>
      <c r="S209" s="40">
        <v>78411</v>
      </c>
      <c r="U209" s="40">
        <v>0</v>
      </c>
      <c r="W209" s="40">
        <v>0</v>
      </c>
      <c r="Y209" s="40">
        <v>200</v>
      </c>
      <c r="AA209" s="40">
        <v>17917</v>
      </c>
      <c r="AC209" s="40">
        <v>0</v>
      </c>
      <c r="AE209" s="40">
        <v>0</v>
      </c>
      <c r="AG209" s="40">
        <v>0</v>
      </c>
      <c r="AI209" s="40">
        <f t="shared" si="7"/>
        <v>1294856</v>
      </c>
    </row>
    <row r="210" spans="1:39" s="21" customFormat="1">
      <c r="A210" s="1" t="s">
        <v>320</v>
      </c>
      <c r="B210" s="1"/>
      <c r="C210" s="1" t="s">
        <v>316</v>
      </c>
      <c r="D210" s="1"/>
      <c r="E210" s="10">
        <v>1820306</v>
      </c>
      <c r="F210" s="10"/>
      <c r="G210" s="10">
        <v>2091003</v>
      </c>
      <c r="H210" s="10"/>
      <c r="I210" s="10">
        <v>960493</v>
      </c>
      <c r="J210" s="10"/>
      <c r="K210" s="10">
        <v>25665</v>
      </c>
      <c r="L210" s="10"/>
      <c r="M210" s="10">
        <v>280055</v>
      </c>
      <c r="N210" s="10"/>
      <c r="O210" s="10">
        <v>96702</v>
      </c>
      <c r="P210" s="10"/>
      <c r="Q210" s="10">
        <v>98712</v>
      </c>
      <c r="R210" s="10"/>
      <c r="S210" s="10">
        <v>0</v>
      </c>
      <c r="T210" s="10"/>
      <c r="U210" s="10">
        <v>0</v>
      </c>
      <c r="V210" s="10"/>
      <c r="W210" s="10">
        <v>0</v>
      </c>
      <c r="X210" s="10"/>
      <c r="Y210" s="10">
        <v>0</v>
      </c>
      <c r="Z210" s="10"/>
      <c r="AA210" s="10">
        <v>0</v>
      </c>
      <c r="AB210" s="10"/>
      <c r="AC210" s="10">
        <v>0</v>
      </c>
      <c r="AD210" s="10"/>
      <c r="AE210" s="10">
        <v>0</v>
      </c>
      <c r="AF210" s="10"/>
      <c r="AG210" s="10">
        <v>0</v>
      </c>
      <c r="AH210" s="10"/>
      <c r="AI210" s="10">
        <f t="shared" si="7"/>
        <v>5372936</v>
      </c>
      <c r="AJ210" s="10"/>
      <c r="AK210" s="22"/>
      <c r="AL210" s="22"/>
      <c r="AM210" s="22"/>
    </row>
    <row r="211" spans="1:39" hidden="1">
      <c r="A211" s="1" t="s">
        <v>269</v>
      </c>
      <c r="C211" s="1" t="s">
        <v>752</v>
      </c>
      <c r="E211" s="10">
        <v>0</v>
      </c>
      <c r="G211" s="10">
        <v>0</v>
      </c>
      <c r="I211" s="10">
        <v>0</v>
      </c>
      <c r="K211" s="10">
        <v>0</v>
      </c>
      <c r="M211" s="10">
        <v>0</v>
      </c>
      <c r="O211" s="10">
        <v>0</v>
      </c>
      <c r="Q211" s="10">
        <v>0</v>
      </c>
      <c r="S211" s="10">
        <v>0</v>
      </c>
      <c r="U211" s="10">
        <v>0</v>
      </c>
      <c r="V211" s="24"/>
      <c r="W211" s="10">
        <v>0</v>
      </c>
      <c r="X211" s="24"/>
      <c r="Y211" s="10">
        <v>0</v>
      </c>
      <c r="AA211" s="10">
        <v>0</v>
      </c>
      <c r="AC211" s="10">
        <v>0</v>
      </c>
      <c r="AE211" s="10">
        <v>0</v>
      </c>
      <c r="AG211" s="10">
        <v>0</v>
      </c>
      <c r="AI211" s="10">
        <f t="shared" si="7"/>
        <v>0</v>
      </c>
      <c r="AJ211" s="10"/>
      <c r="AK211" s="7"/>
      <c r="AL211" s="7"/>
      <c r="AM211" s="7"/>
    </row>
    <row r="212" spans="1:39">
      <c r="A212" s="1" t="s">
        <v>497</v>
      </c>
      <c r="C212" s="1" t="s">
        <v>207</v>
      </c>
      <c r="E212" s="10">
        <v>89614</v>
      </c>
      <c r="G212" s="10">
        <v>0</v>
      </c>
      <c r="I212" s="10">
        <v>203751</v>
      </c>
      <c r="K212" s="10">
        <v>0</v>
      </c>
      <c r="M212" s="10">
        <v>0</v>
      </c>
      <c r="O212" s="10">
        <v>9619</v>
      </c>
      <c r="Q212" s="10">
        <v>0</v>
      </c>
      <c r="S212" s="10">
        <v>98287</v>
      </c>
      <c r="U212" s="10">
        <v>0</v>
      </c>
      <c r="W212" s="10">
        <v>0</v>
      </c>
      <c r="Y212" s="10">
        <v>0</v>
      </c>
      <c r="AA212" s="10">
        <v>628257</v>
      </c>
      <c r="AC212" s="10">
        <v>0</v>
      </c>
      <c r="AE212" s="10">
        <v>0</v>
      </c>
      <c r="AG212" s="10">
        <v>0</v>
      </c>
      <c r="AI212" s="10">
        <f t="shared" si="7"/>
        <v>1029528</v>
      </c>
      <c r="AJ212" s="10"/>
    </row>
    <row r="213" spans="1:39" s="21" customFormat="1" hidden="1">
      <c r="A213" s="1" t="s">
        <v>22</v>
      </c>
      <c r="B213" s="1"/>
      <c r="C213" s="1" t="s">
        <v>756</v>
      </c>
      <c r="D213" s="1"/>
      <c r="E213" s="10">
        <v>0</v>
      </c>
      <c r="F213" s="10"/>
      <c r="G213" s="10">
        <v>0</v>
      </c>
      <c r="H213" s="10"/>
      <c r="I213" s="10">
        <v>0</v>
      </c>
      <c r="J213" s="10"/>
      <c r="K213" s="10">
        <v>0</v>
      </c>
      <c r="L213" s="10"/>
      <c r="M213" s="10">
        <v>0</v>
      </c>
      <c r="N213" s="10"/>
      <c r="O213" s="10">
        <v>0</v>
      </c>
      <c r="P213" s="10"/>
      <c r="Q213" s="10">
        <v>0</v>
      </c>
      <c r="R213" s="10"/>
      <c r="S213" s="10">
        <v>0</v>
      </c>
      <c r="T213" s="10"/>
      <c r="U213" s="10">
        <v>0</v>
      </c>
      <c r="V213" s="24"/>
      <c r="W213" s="10">
        <v>0</v>
      </c>
      <c r="X213" s="24"/>
      <c r="Y213" s="10">
        <v>0</v>
      </c>
      <c r="Z213" s="10"/>
      <c r="AA213" s="10">
        <v>0</v>
      </c>
      <c r="AB213" s="10"/>
      <c r="AC213" s="10">
        <v>0</v>
      </c>
      <c r="AD213" s="10"/>
      <c r="AE213" s="10">
        <v>0</v>
      </c>
      <c r="AF213" s="10"/>
      <c r="AG213" s="10">
        <v>0</v>
      </c>
      <c r="AH213" s="10"/>
      <c r="AI213" s="10">
        <f t="shared" si="7"/>
        <v>0</v>
      </c>
      <c r="AJ213" s="10"/>
      <c r="AK213" s="22"/>
      <c r="AL213" s="22"/>
      <c r="AM213" s="22"/>
    </row>
    <row r="214" spans="1:39" s="19" customFormat="1">
      <c r="A214" s="10" t="s">
        <v>483</v>
      </c>
      <c r="B214" s="10"/>
      <c r="C214" s="10" t="s">
        <v>482</v>
      </c>
      <c r="D214" s="10"/>
      <c r="E214" s="10">
        <v>1366759</v>
      </c>
      <c r="F214" s="10"/>
      <c r="G214" s="10">
        <v>0</v>
      </c>
      <c r="H214" s="10"/>
      <c r="I214" s="10">
        <v>252034</v>
      </c>
      <c r="J214" s="10"/>
      <c r="K214" s="10">
        <v>0</v>
      </c>
      <c r="L214" s="10"/>
      <c r="M214" s="10">
        <v>0</v>
      </c>
      <c r="N214" s="10"/>
      <c r="O214" s="10">
        <v>63328</v>
      </c>
      <c r="P214" s="10"/>
      <c r="Q214" s="10">
        <v>36034</v>
      </c>
      <c r="R214" s="10"/>
      <c r="S214" s="10">
        <v>22819</v>
      </c>
      <c r="T214" s="10"/>
      <c r="U214" s="10">
        <v>751503</v>
      </c>
      <c r="V214" s="10"/>
      <c r="W214" s="10">
        <v>0</v>
      </c>
      <c r="X214" s="10"/>
      <c r="Y214" s="10">
        <v>0</v>
      </c>
      <c r="Z214" s="10"/>
      <c r="AA214" s="10">
        <v>6829</v>
      </c>
      <c r="AB214" s="10"/>
      <c r="AC214" s="10">
        <v>264623</v>
      </c>
      <c r="AD214" s="10"/>
      <c r="AE214" s="10">
        <v>0</v>
      </c>
      <c r="AF214" s="10"/>
      <c r="AG214" s="10">
        <v>0</v>
      </c>
      <c r="AH214" s="10"/>
      <c r="AI214" s="10">
        <f t="shared" si="7"/>
        <v>2763929</v>
      </c>
      <c r="AJ214" s="10"/>
    </row>
    <row r="215" spans="1:39" hidden="1">
      <c r="A215" s="1" t="s">
        <v>52</v>
      </c>
      <c r="C215" s="1" t="s">
        <v>767</v>
      </c>
      <c r="E215" s="10">
        <v>0</v>
      </c>
      <c r="G215" s="10">
        <v>0</v>
      </c>
      <c r="I215" s="10">
        <v>0</v>
      </c>
      <c r="K215" s="10">
        <v>0</v>
      </c>
      <c r="M215" s="10">
        <v>0</v>
      </c>
      <c r="O215" s="10">
        <v>0</v>
      </c>
      <c r="Q215" s="10">
        <v>0</v>
      </c>
      <c r="S215" s="10">
        <v>0</v>
      </c>
      <c r="U215" s="10">
        <v>0</v>
      </c>
      <c r="V215" s="24"/>
      <c r="W215" s="10">
        <v>0</v>
      </c>
      <c r="X215" s="24"/>
      <c r="Y215" s="10">
        <v>0</v>
      </c>
      <c r="AA215" s="10">
        <v>0</v>
      </c>
      <c r="AC215" s="10">
        <v>0</v>
      </c>
      <c r="AE215" s="10">
        <v>0</v>
      </c>
      <c r="AG215" s="10">
        <v>0</v>
      </c>
      <c r="AI215" s="10">
        <f t="shared" si="7"/>
        <v>0</v>
      </c>
      <c r="AJ215" s="10"/>
      <c r="AK215" s="7"/>
      <c r="AL215" s="7"/>
      <c r="AM215" s="7"/>
    </row>
    <row r="216" spans="1:39" hidden="1">
      <c r="A216" s="1" t="s">
        <v>531</v>
      </c>
      <c r="C216" s="1" t="s">
        <v>530</v>
      </c>
      <c r="E216" s="10">
        <v>0</v>
      </c>
      <c r="G216" s="10">
        <v>0</v>
      </c>
      <c r="I216" s="10">
        <v>0</v>
      </c>
      <c r="K216" s="10">
        <v>0</v>
      </c>
      <c r="M216" s="10">
        <v>0</v>
      </c>
      <c r="O216" s="10">
        <v>0</v>
      </c>
      <c r="Q216" s="10">
        <v>0</v>
      </c>
      <c r="S216" s="10">
        <v>0</v>
      </c>
      <c r="U216" s="10">
        <v>0</v>
      </c>
      <c r="V216" s="24"/>
      <c r="W216" s="10">
        <v>0</v>
      </c>
      <c r="X216" s="24"/>
      <c r="Y216" s="10">
        <v>0</v>
      </c>
      <c r="AA216" s="10">
        <v>0</v>
      </c>
      <c r="AC216" s="10">
        <v>0</v>
      </c>
      <c r="AE216" s="10">
        <v>0</v>
      </c>
      <c r="AG216" s="10">
        <v>0</v>
      </c>
      <c r="AI216" s="10">
        <f t="shared" si="7"/>
        <v>0</v>
      </c>
      <c r="AJ216" s="10"/>
    </row>
    <row r="217" spans="1:39" hidden="1">
      <c r="A217" s="1" t="s">
        <v>205</v>
      </c>
      <c r="C217" s="1" t="s">
        <v>813</v>
      </c>
      <c r="E217" s="10">
        <v>0</v>
      </c>
      <c r="G217" s="10">
        <v>0</v>
      </c>
      <c r="I217" s="10">
        <v>0</v>
      </c>
      <c r="K217" s="10">
        <v>0</v>
      </c>
      <c r="M217" s="10">
        <v>0</v>
      </c>
      <c r="O217" s="10">
        <v>0</v>
      </c>
      <c r="Q217" s="10">
        <v>0</v>
      </c>
      <c r="S217" s="10">
        <v>0</v>
      </c>
      <c r="U217" s="10">
        <v>0</v>
      </c>
      <c r="V217" s="24"/>
      <c r="W217" s="10">
        <v>0</v>
      </c>
      <c r="X217" s="24"/>
      <c r="Y217" s="10">
        <v>0</v>
      </c>
      <c r="AA217" s="10">
        <v>0</v>
      </c>
      <c r="AC217" s="10">
        <v>0</v>
      </c>
      <c r="AE217" s="10">
        <v>0</v>
      </c>
      <c r="AG217" s="10">
        <v>0</v>
      </c>
      <c r="AI217" s="10">
        <f t="shared" si="7"/>
        <v>0</v>
      </c>
      <c r="AJ217" s="10"/>
    </row>
    <row r="218" spans="1:39" hidden="1">
      <c r="A218" s="1" t="s">
        <v>519</v>
      </c>
      <c r="C218" s="1" t="s">
        <v>517</v>
      </c>
      <c r="E218" s="10">
        <v>0</v>
      </c>
      <c r="G218" s="10">
        <v>0</v>
      </c>
      <c r="I218" s="10">
        <v>0</v>
      </c>
      <c r="K218" s="10">
        <v>0</v>
      </c>
      <c r="M218" s="10">
        <v>0</v>
      </c>
      <c r="O218" s="10">
        <v>0</v>
      </c>
      <c r="Q218" s="10">
        <v>0</v>
      </c>
      <c r="S218" s="10">
        <v>0</v>
      </c>
      <c r="U218" s="10">
        <v>0</v>
      </c>
      <c r="V218" s="24"/>
      <c r="W218" s="10">
        <v>0</v>
      </c>
      <c r="X218" s="24"/>
      <c r="Y218" s="10">
        <v>0</v>
      </c>
      <c r="AA218" s="10">
        <v>0</v>
      </c>
      <c r="AC218" s="10">
        <v>0</v>
      </c>
      <c r="AE218" s="10">
        <v>0</v>
      </c>
      <c r="AG218" s="10">
        <v>0</v>
      </c>
      <c r="AI218" s="10">
        <f t="shared" si="7"/>
        <v>0</v>
      </c>
      <c r="AJ218" s="10"/>
    </row>
    <row r="219" spans="1:39">
      <c r="A219" s="1" t="s">
        <v>381</v>
      </c>
      <c r="C219" s="1" t="s">
        <v>378</v>
      </c>
      <c r="E219" s="10">
        <v>1832850</v>
      </c>
      <c r="G219" s="10">
        <v>0</v>
      </c>
      <c r="I219" s="10">
        <v>547214</v>
      </c>
      <c r="K219" s="10">
        <v>0</v>
      </c>
      <c r="M219" s="10">
        <v>4085</v>
      </c>
      <c r="O219" s="10">
        <v>49579</v>
      </c>
      <c r="Q219" s="10">
        <v>69946</v>
      </c>
      <c r="S219" s="10">
        <v>46617</v>
      </c>
      <c r="U219" s="10">
        <v>0</v>
      </c>
      <c r="W219" s="10">
        <v>0</v>
      </c>
      <c r="Y219" s="10">
        <v>0</v>
      </c>
      <c r="AA219" s="10">
        <v>0</v>
      </c>
      <c r="AC219" s="10">
        <v>0</v>
      </c>
      <c r="AE219" s="10">
        <v>0</v>
      </c>
      <c r="AG219" s="10">
        <v>0</v>
      </c>
      <c r="AI219" s="10">
        <f t="shared" si="7"/>
        <v>2550291</v>
      </c>
      <c r="AJ219" s="10"/>
    </row>
    <row r="220" spans="1:39" s="21" customFormat="1">
      <c r="A220" s="1" t="s">
        <v>505</v>
      </c>
      <c r="B220" s="1"/>
      <c r="C220" s="1" t="s">
        <v>504</v>
      </c>
      <c r="D220" s="1"/>
      <c r="E220" s="10">
        <v>6956</v>
      </c>
      <c r="F220" s="10"/>
      <c r="G220" s="10">
        <v>0</v>
      </c>
      <c r="H220" s="10"/>
      <c r="I220" s="10">
        <f>7548+667+360</f>
        <v>8575</v>
      </c>
      <c r="J220" s="10"/>
      <c r="K220" s="10">
        <v>0</v>
      </c>
      <c r="L220" s="10"/>
      <c r="M220" s="10">
        <v>0</v>
      </c>
      <c r="N220" s="10"/>
      <c r="O220" s="10">
        <v>0</v>
      </c>
      <c r="P220" s="10"/>
      <c r="Q220" s="10">
        <v>7</v>
      </c>
      <c r="R220" s="10"/>
      <c r="S220" s="10">
        <v>176</v>
      </c>
      <c r="T220" s="10"/>
      <c r="U220" s="10">
        <v>0</v>
      </c>
      <c r="V220" s="10"/>
      <c r="W220" s="10">
        <v>0</v>
      </c>
      <c r="X220" s="10"/>
      <c r="Y220" s="10">
        <v>18617</v>
      </c>
      <c r="Z220" s="10"/>
      <c r="AA220" s="10">
        <v>0</v>
      </c>
      <c r="AB220" s="10"/>
      <c r="AC220" s="10">
        <v>0</v>
      </c>
      <c r="AD220" s="10"/>
      <c r="AE220" s="10">
        <v>0</v>
      </c>
      <c r="AF220" s="10"/>
      <c r="AG220" s="10">
        <v>0</v>
      </c>
      <c r="AH220" s="10"/>
      <c r="AI220" s="10">
        <f t="shared" si="7"/>
        <v>34331</v>
      </c>
      <c r="AJ220" s="10"/>
    </row>
    <row r="221" spans="1:39">
      <c r="A221" s="1" t="s">
        <v>870</v>
      </c>
      <c r="C221" s="1" t="s">
        <v>412</v>
      </c>
      <c r="E221" s="10">
        <v>3232</v>
      </c>
      <c r="G221" s="10">
        <v>0</v>
      </c>
      <c r="I221" s="10">
        <v>31245</v>
      </c>
      <c r="K221" s="10">
        <v>0</v>
      </c>
      <c r="M221" s="10">
        <v>8684</v>
      </c>
      <c r="O221" s="10">
        <v>0</v>
      </c>
      <c r="Q221" s="10">
        <v>4624</v>
      </c>
      <c r="S221" s="10">
        <v>3139</v>
      </c>
      <c r="U221" s="10">
        <v>0</v>
      </c>
      <c r="W221" s="10">
        <v>0</v>
      </c>
      <c r="Y221" s="10">
        <v>0</v>
      </c>
      <c r="AA221" s="10">
        <v>0</v>
      </c>
      <c r="AC221" s="10">
        <v>0</v>
      </c>
      <c r="AE221" s="10">
        <v>0</v>
      </c>
      <c r="AG221" s="10">
        <v>0</v>
      </c>
      <c r="AI221" s="10">
        <f t="shared" si="7"/>
        <v>50924</v>
      </c>
      <c r="AJ221" s="10"/>
    </row>
    <row r="222" spans="1:39" s="21" customFormat="1" hidden="1">
      <c r="A222" s="1" t="s">
        <v>49</v>
      </c>
      <c r="B222" s="1"/>
      <c r="C222" s="1" t="s">
        <v>766</v>
      </c>
      <c r="D222" s="1"/>
      <c r="E222" s="10">
        <v>0</v>
      </c>
      <c r="F222" s="10"/>
      <c r="G222" s="10">
        <v>0</v>
      </c>
      <c r="H222" s="10"/>
      <c r="I222" s="10">
        <v>0</v>
      </c>
      <c r="J222" s="10"/>
      <c r="K222" s="10">
        <v>0</v>
      </c>
      <c r="L222" s="10"/>
      <c r="M222" s="10">
        <v>0</v>
      </c>
      <c r="N222" s="10"/>
      <c r="O222" s="10">
        <v>0</v>
      </c>
      <c r="P222" s="10"/>
      <c r="Q222" s="10">
        <v>0</v>
      </c>
      <c r="R222" s="10"/>
      <c r="S222" s="10">
        <v>0</v>
      </c>
      <c r="T222" s="10"/>
      <c r="U222" s="10">
        <v>0</v>
      </c>
      <c r="V222" s="24"/>
      <c r="W222" s="10">
        <v>0</v>
      </c>
      <c r="X222" s="24"/>
      <c r="Y222" s="10">
        <v>0</v>
      </c>
      <c r="Z222" s="10"/>
      <c r="AA222" s="10">
        <v>0</v>
      </c>
      <c r="AB222" s="10"/>
      <c r="AC222" s="10">
        <v>0</v>
      </c>
      <c r="AD222" s="10"/>
      <c r="AE222" s="10">
        <v>0</v>
      </c>
      <c r="AF222" s="10"/>
      <c r="AG222" s="10">
        <v>0</v>
      </c>
      <c r="AH222" s="10"/>
      <c r="AI222" s="10">
        <f t="shared" si="7"/>
        <v>0</v>
      </c>
      <c r="AJ222" s="10"/>
    </row>
    <row r="223" spans="1:39" hidden="1">
      <c r="A223" s="1" t="s">
        <v>153</v>
      </c>
      <c r="C223" s="1" t="s">
        <v>797</v>
      </c>
      <c r="E223" s="10">
        <v>0</v>
      </c>
      <c r="G223" s="10">
        <v>0</v>
      </c>
      <c r="I223" s="10">
        <v>0</v>
      </c>
      <c r="K223" s="10">
        <v>0</v>
      </c>
      <c r="M223" s="10">
        <v>0</v>
      </c>
      <c r="O223" s="10">
        <v>0</v>
      </c>
      <c r="Q223" s="10">
        <v>0</v>
      </c>
      <c r="S223" s="10">
        <v>0</v>
      </c>
      <c r="U223" s="10">
        <v>0</v>
      </c>
      <c r="V223" s="24"/>
      <c r="W223" s="10">
        <v>0</v>
      </c>
      <c r="X223" s="24"/>
      <c r="Y223" s="10">
        <v>0</v>
      </c>
      <c r="AA223" s="10">
        <v>0</v>
      </c>
      <c r="AC223" s="10">
        <v>0</v>
      </c>
      <c r="AE223" s="10">
        <v>0</v>
      </c>
      <c r="AG223" s="10">
        <v>0</v>
      </c>
      <c r="AI223" s="10">
        <f t="shared" si="7"/>
        <v>0</v>
      </c>
      <c r="AJ223" s="10"/>
    </row>
    <row r="224" spans="1:39" s="21" customFormat="1" hidden="1">
      <c r="A224" s="1" t="s">
        <v>10</v>
      </c>
      <c r="B224" s="1"/>
      <c r="C224" s="1" t="s">
        <v>753</v>
      </c>
      <c r="D224" s="1"/>
      <c r="E224" s="10">
        <v>0</v>
      </c>
      <c r="F224" s="10"/>
      <c r="G224" s="10">
        <v>0</v>
      </c>
      <c r="H224" s="10"/>
      <c r="I224" s="10">
        <v>0</v>
      </c>
      <c r="J224" s="10"/>
      <c r="K224" s="10">
        <v>0</v>
      </c>
      <c r="L224" s="10"/>
      <c r="M224" s="10">
        <v>0</v>
      </c>
      <c r="N224" s="10"/>
      <c r="O224" s="10">
        <v>0</v>
      </c>
      <c r="P224" s="10"/>
      <c r="Q224" s="10">
        <v>0</v>
      </c>
      <c r="R224" s="10"/>
      <c r="S224" s="10">
        <v>0</v>
      </c>
      <c r="T224" s="10"/>
      <c r="U224" s="10">
        <v>0</v>
      </c>
      <c r="V224" s="24"/>
      <c r="W224" s="10">
        <v>0</v>
      </c>
      <c r="X224" s="24"/>
      <c r="Y224" s="10">
        <v>0</v>
      </c>
      <c r="Z224" s="10"/>
      <c r="AA224" s="10">
        <v>0</v>
      </c>
      <c r="AB224" s="10"/>
      <c r="AC224" s="10">
        <v>0</v>
      </c>
      <c r="AD224" s="10"/>
      <c r="AE224" s="10">
        <v>0</v>
      </c>
      <c r="AF224" s="10"/>
      <c r="AG224" s="10">
        <v>0</v>
      </c>
      <c r="AH224" s="10"/>
      <c r="AI224" s="10">
        <f t="shared" si="7"/>
        <v>0</v>
      </c>
      <c r="AJ224" s="10"/>
      <c r="AK224" s="22"/>
      <c r="AL224" s="22"/>
      <c r="AM224" s="22"/>
    </row>
    <row r="225" spans="1:39" s="21" customFormat="1">
      <c r="A225" s="1" t="s">
        <v>568</v>
      </c>
      <c r="B225" s="1"/>
      <c r="C225" s="1" t="s">
        <v>565</v>
      </c>
      <c r="D225" s="1"/>
      <c r="E225" s="10">
        <v>83958</v>
      </c>
      <c r="F225" s="10"/>
      <c r="G225" s="10">
        <v>0</v>
      </c>
      <c r="H225" s="10"/>
      <c r="I225" s="10">
        <v>43429</v>
      </c>
      <c r="J225" s="10"/>
      <c r="K225" s="10">
        <v>0</v>
      </c>
      <c r="L225" s="10"/>
      <c r="M225" s="10">
        <v>58940</v>
      </c>
      <c r="N225" s="10"/>
      <c r="O225" s="10">
        <v>2528</v>
      </c>
      <c r="P225" s="10"/>
      <c r="Q225" s="10">
        <v>0</v>
      </c>
      <c r="R225" s="10"/>
      <c r="S225" s="10">
        <v>28675</v>
      </c>
      <c r="T225" s="10"/>
      <c r="U225" s="10">
        <v>0</v>
      </c>
      <c r="V225" s="10"/>
      <c r="W225" s="10">
        <v>0</v>
      </c>
      <c r="X225" s="10"/>
      <c r="Y225" s="10">
        <v>934</v>
      </c>
      <c r="Z225" s="10"/>
      <c r="AA225" s="10">
        <v>150561</v>
      </c>
      <c r="AB225" s="10"/>
      <c r="AC225" s="10">
        <v>0</v>
      </c>
      <c r="AD225" s="10"/>
      <c r="AE225" s="10">
        <v>0</v>
      </c>
      <c r="AF225" s="10"/>
      <c r="AG225" s="10">
        <v>0</v>
      </c>
      <c r="AH225" s="10"/>
      <c r="AI225" s="10">
        <f t="shared" si="7"/>
        <v>369025</v>
      </c>
      <c r="AJ225" s="10"/>
    </row>
    <row r="226" spans="1:39" s="21" customFormat="1">
      <c r="A226" s="1" t="s">
        <v>382</v>
      </c>
      <c r="B226" s="1"/>
      <c r="C226" s="1" t="s">
        <v>378</v>
      </c>
      <c r="D226" s="1"/>
      <c r="E226" s="10">
        <v>1031829</v>
      </c>
      <c r="F226" s="10"/>
      <c r="G226" s="10">
        <v>0</v>
      </c>
      <c r="H226" s="10"/>
      <c r="I226" s="10">
        <v>219102</v>
      </c>
      <c r="J226" s="10"/>
      <c r="K226" s="10">
        <v>0</v>
      </c>
      <c r="L226" s="10"/>
      <c r="M226" s="10">
        <v>524746</v>
      </c>
      <c r="N226" s="10"/>
      <c r="O226" s="10">
        <v>63308</v>
      </c>
      <c r="P226" s="10"/>
      <c r="Q226" s="10">
        <v>435</v>
      </c>
      <c r="R226" s="10"/>
      <c r="S226" s="10">
        <v>39348</v>
      </c>
      <c r="T226" s="10"/>
      <c r="U226" s="10">
        <v>0</v>
      </c>
      <c r="V226" s="10"/>
      <c r="W226" s="10">
        <v>0</v>
      </c>
      <c r="X226" s="10"/>
      <c r="Y226" s="10">
        <v>700</v>
      </c>
      <c r="Z226" s="10"/>
      <c r="AA226" s="10">
        <v>610000</v>
      </c>
      <c r="AB226" s="10"/>
      <c r="AC226" s="10">
        <v>0</v>
      </c>
      <c r="AD226" s="10"/>
      <c r="AE226" s="10">
        <v>0</v>
      </c>
      <c r="AF226" s="10"/>
      <c r="AG226" s="10">
        <v>0</v>
      </c>
      <c r="AH226" s="10"/>
      <c r="AI226" s="10">
        <f t="shared" si="7"/>
        <v>2489468</v>
      </c>
      <c r="AJ226" s="10"/>
    </row>
    <row r="227" spans="1:39" s="31" customFormat="1" hidden="1">
      <c r="A227" s="15" t="s">
        <v>331</v>
      </c>
      <c r="B227" s="15"/>
      <c r="C227" s="15" t="s">
        <v>329</v>
      </c>
      <c r="D227" s="15"/>
      <c r="E227" s="24">
        <v>0</v>
      </c>
      <c r="F227" s="24"/>
      <c r="G227" s="24">
        <v>0</v>
      </c>
      <c r="H227" s="24"/>
      <c r="I227" s="24">
        <v>0</v>
      </c>
      <c r="J227" s="24"/>
      <c r="K227" s="24">
        <v>0</v>
      </c>
      <c r="L227" s="24"/>
      <c r="M227" s="24">
        <v>0</v>
      </c>
      <c r="N227" s="24"/>
      <c r="O227" s="24">
        <v>0</v>
      </c>
      <c r="P227" s="24"/>
      <c r="Q227" s="24">
        <v>0</v>
      </c>
      <c r="R227" s="24"/>
      <c r="S227" s="24">
        <v>0</v>
      </c>
      <c r="T227" s="24"/>
      <c r="U227" s="24">
        <v>0</v>
      </c>
      <c r="V227" s="24"/>
      <c r="W227" s="24">
        <v>0</v>
      </c>
      <c r="X227" s="24"/>
      <c r="Y227" s="24">
        <v>0</v>
      </c>
      <c r="Z227" s="24"/>
      <c r="AA227" s="24">
        <v>0</v>
      </c>
      <c r="AB227" s="24"/>
      <c r="AC227" s="24">
        <v>0</v>
      </c>
      <c r="AD227" s="24"/>
      <c r="AE227" s="24">
        <v>0</v>
      </c>
      <c r="AF227" s="24"/>
      <c r="AG227" s="24">
        <v>0</v>
      </c>
      <c r="AH227" s="24"/>
      <c r="AI227" s="24">
        <f t="shared" si="7"/>
        <v>0</v>
      </c>
      <c r="AJ227" s="24"/>
      <c r="AK227" s="32"/>
      <c r="AL227" s="32"/>
      <c r="AM227" s="32"/>
    </row>
    <row r="228" spans="1:39">
      <c r="A228" s="1" t="s">
        <v>451</v>
      </c>
      <c r="C228" s="1" t="s">
        <v>452</v>
      </c>
      <c r="E228" s="10">
        <v>283747</v>
      </c>
      <c r="G228" s="10">
        <v>852929</v>
      </c>
      <c r="I228" s="10">
        <v>147538</v>
      </c>
      <c r="K228" s="10">
        <v>0</v>
      </c>
      <c r="M228" s="10">
        <v>148610</v>
      </c>
      <c r="O228" s="10">
        <v>29615</v>
      </c>
      <c r="Q228" s="10">
        <v>205610</v>
      </c>
      <c r="S228" s="10">
        <v>146759</v>
      </c>
      <c r="U228" s="10">
        <v>0</v>
      </c>
      <c r="W228" s="10">
        <v>0</v>
      </c>
      <c r="Y228" s="10">
        <v>0</v>
      </c>
      <c r="AA228" s="10">
        <v>138891</v>
      </c>
      <c r="AC228" s="10">
        <v>0</v>
      </c>
      <c r="AE228" s="10">
        <v>0</v>
      </c>
      <c r="AG228" s="10">
        <v>0</v>
      </c>
      <c r="AI228" s="10">
        <f t="shared" si="7"/>
        <v>1953699</v>
      </c>
      <c r="AJ228" s="10"/>
    </row>
    <row r="229" spans="1:39">
      <c r="A229" s="1" t="s">
        <v>431</v>
      </c>
      <c r="C229" s="1" t="s">
        <v>430</v>
      </c>
      <c r="E229" s="10">
        <v>98453</v>
      </c>
      <c r="G229" s="10">
        <v>271454</v>
      </c>
      <c r="I229" s="10">
        <f>98350+1598</f>
        <v>99948</v>
      </c>
      <c r="K229" s="10">
        <v>0</v>
      </c>
      <c r="M229" s="10">
        <v>14887</v>
      </c>
      <c r="O229" s="10">
        <v>23558</v>
      </c>
      <c r="Q229" s="10">
        <v>2074</v>
      </c>
      <c r="S229" s="10">
        <v>2242</v>
      </c>
      <c r="U229" s="10">
        <v>0</v>
      </c>
      <c r="V229" s="24"/>
      <c r="W229" s="10">
        <v>0</v>
      </c>
      <c r="X229" s="24"/>
      <c r="Y229" s="10">
        <v>0</v>
      </c>
      <c r="AA229" s="10">
        <v>327</v>
      </c>
      <c r="AC229" s="10">
        <v>76794</v>
      </c>
      <c r="AE229" s="10">
        <v>0</v>
      </c>
      <c r="AG229" s="10">
        <v>0</v>
      </c>
      <c r="AI229" s="10">
        <f t="shared" si="7"/>
        <v>589737</v>
      </c>
      <c r="AJ229" s="40"/>
    </row>
    <row r="230" spans="1:39">
      <c r="A230" s="1" t="s">
        <v>438</v>
      </c>
      <c r="C230" s="1" t="s">
        <v>439</v>
      </c>
      <c r="E230" s="10">
        <v>3115002</v>
      </c>
      <c r="G230" s="10">
        <v>0</v>
      </c>
      <c r="I230" s="10">
        <v>448778</v>
      </c>
      <c r="K230" s="10">
        <v>0</v>
      </c>
      <c r="M230" s="10">
        <v>0</v>
      </c>
      <c r="O230" s="10">
        <v>170218</v>
      </c>
      <c r="Q230" s="10">
        <v>88316</v>
      </c>
      <c r="S230" s="10">
        <v>61335</v>
      </c>
      <c r="U230" s="10">
        <v>4000</v>
      </c>
      <c r="V230" s="24"/>
      <c r="W230" s="10">
        <v>0</v>
      </c>
      <c r="X230" s="24"/>
      <c r="Y230" s="10">
        <v>0</v>
      </c>
      <c r="AA230" s="10">
        <v>10000</v>
      </c>
      <c r="AC230" s="10">
        <v>0</v>
      </c>
      <c r="AE230" s="10">
        <v>0</v>
      </c>
      <c r="AG230" s="10">
        <v>0</v>
      </c>
      <c r="AI230" s="10">
        <f t="shared" si="7"/>
        <v>3897649</v>
      </c>
      <c r="AJ230" s="40"/>
    </row>
    <row r="231" spans="1:39">
      <c r="A231" s="1" t="s">
        <v>440</v>
      </c>
      <c r="C231" s="1" t="s">
        <v>439</v>
      </c>
      <c r="E231" s="10">
        <v>0</v>
      </c>
      <c r="G231" s="10">
        <v>0</v>
      </c>
      <c r="I231" s="10">
        <v>25202</v>
      </c>
      <c r="K231" s="10">
        <v>0</v>
      </c>
      <c r="M231" s="10">
        <v>0</v>
      </c>
      <c r="O231" s="10">
        <v>0</v>
      </c>
      <c r="Q231" s="10">
        <v>429</v>
      </c>
      <c r="S231" s="10">
        <v>2375</v>
      </c>
      <c r="U231" s="10">
        <v>0</v>
      </c>
      <c r="V231" s="24"/>
      <c r="W231" s="10">
        <v>0</v>
      </c>
      <c r="X231" s="24"/>
      <c r="Y231" s="10">
        <v>0</v>
      </c>
      <c r="AA231" s="10">
        <v>0</v>
      </c>
      <c r="AC231" s="10">
        <v>0</v>
      </c>
      <c r="AE231" s="10">
        <v>0</v>
      </c>
      <c r="AG231" s="10">
        <v>0</v>
      </c>
      <c r="AI231" s="10">
        <f t="shared" si="7"/>
        <v>28006</v>
      </c>
      <c r="AJ231" s="40"/>
    </row>
    <row r="232" spans="1:39" ht="12.75" hidden="1">
      <c r="A232" s="1" t="s">
        <v>201</v>
      </c>
      <c r="C232" s="23" t="s">
        <v>812</v>
      </c>
      <c r="E232" s="10">
        <v>0</v>
      </c>
      <c r="G232" s="10">
        <v>0</v>
      </c>
      <c r="I232" s="10">
        <v>0</v>
      </c>
      <c r="K232" s="10">
        <v>0</v>
      </c>
      <c r="M232" s="10">
        <v>0</v>
      </c>
      <c r="O232" s="10">
        <v>0</v>
      </c>
      <c r="Q232" s="10">
        <v>0</v>
      </c>
      <c r="S232" s="10">
        <v>0</v>
      </c>
      <c r="U232" s="10">
        <v>0</v>
      </c>
      <c r="V232" s="24"/>
      <c r="W232" s="10">
        <v>0</v>
      </c>
      <c r="X232" s="24"/>
      <c r="Y232" s="10">
        <v>0</v>
      </c>
      <c r="AA232" s="10">
        <v>0</v>
      </c>
      <c r="AC232" s="10">
        <v>0</v>
      </c>
      <c r="AE232" s="10">
        <v>0</v>
      </c>
      <c r="AG232" s="10">
        <v>0</v>
      </c>
      <c r="AI232" s="10">
        <f t="shared" si="7"/>
        <v>0</v>
      </c>
      <c r="AJ232" s="40"/>
    </row>
    <row r="233" spans="1:39">
      <c r="A233" s="1" t="s">
        <v>478</v>
      </c>
      <c r="C233" s="1" t="s">
        <v>477</v>
      </c>
      <c r="E233" s="10">
        <v>2195</v>
      </c>
      <c r="G233" s="10">
        <v>0</v>
      </c>
      <c r="I233" s="10">
        <v>5513</v>
      </c>
      <c r="K233" s="10">
        <v>0</v>
      </c>
      <c r="M233" s="10">
        <v>0</v>
      </c>
      <c r="O233" s="10">
        <v>0</v>
      </c>
      <c r="Q233" s="10">
        <v>7</v>
      </c>
      <c r="S233" s="10">
        <v>20</v>
      </c>
      <c r="U233" s="10">
        <v>0</v>
      </c>
      <c r="V233" s="24"/>
      <c r="W233" s="10">
        <v>0</v>
      </c>
      <c r="X233" s="24"/>
      <c r="Y233" s="10">
        <v>0</v>
      </c>
      <c r="AA233" s="10">
        <v>0</v>
      </c>
      <c r="AC233" s="10">
        <v>0</v>
      </c>
      <c r="AE233" s="10">
        <v>0</v>
      </c>
      <c r="AG233" s="10">
        <v>0</v>
      </c>
      <c r="AI233" s="10">
        <f t="shared" si="7"/>
        <v>7735</v>
      </c>
      <c r="AJ233" s="40"/>
    </row>
    <row r="234" spans="1:39" hidden="1">
      <c r="A234" s="1" t="s">
        <v>219</v>
      </c>
      <c r="C234" s="1" t="s">
        <v>818</v>
      </c>
      <c r="E234" s="10">
        <v>0</v>
      </c>
      <c r="G234" s="10">
        <v>0</v>
      </c>
      <c r="I234" s="10">
        <v>0</v>
      </c>
      <c r="K234" s="10">
        <v>0</v>
      </c>
      <c r="M234" s="10">
        <v>0</v>
      </c>
      <c r="O234" s="10">
        <v>0</v>
      </c>
      <c r="Q234" s="10">
        <v>0</v>
      </c>
      <c r="S234" s="10">
        <v>0</v>
      </c>
      <c r="U234" s="10">
        <v>0</v>
      </c>
      <c r="V234" s="24"/>
      <c r="W234" s="10">
        <v>0</v>
      </c>
      <c r="X234" s="24"/>
      <c r="Y234" s="10">
        <v>0</v>
      </c>
      <c r="AA234" s="10">
        <v>0</v>
      </c>
      <c r="AC234" s="10">
        <v>0</v>
      </c>
      <c r="AE234" s="10">
        <v>0</v>
      </c>
      <c r="AG234" s="10">
        <v>0</v>
      </c>
      <c r="AI234" s="10">
        <f t="shared" ref="AI234:AI250" si="8">SUM(E234:AG234)</f>
        <v>0</v>
      </c>
      <c r="AJ234" s="40"/>
    </row>
    <row r="235" spans="1:39" hidden="1">
      <c r="A235" s="1" t="s">
        <v>94</v>
      </c>
      <c r="C235" s="1" t="s">
        <v>778</v>
      </c>
      <c r="E235" s="10">
        <v>0</v>
      </c>
      <c r="G235" s="10">
        <v>0</v>
      </c>
      <c r="I235" s="10">
        <v>0</v>
      </c>
      <c r="K235" s="10">
        <v>0</v>
      </c>
      <c r="M235" s="10">
        <v>0</v>
      </c>
      <c r="O235" s="10">
        <v>0</v>
      </c>
      <c r="Q235" s="10">
        <v>0</v>
      </c>
      <c r="S235" s="10">
        <v>0</v>
      </c>
      <c r="U235" s="10">
        <v>0</v>
      </c>
      <c r="V235" s="24"/>
      <c r="W235" s="10">
        <v>0</v>
      </c>
      <c r="X235" s="24"/>
      <c r="Y235" s="10">
        <v>0</v>
      </c>
      <c r="AA235" s="10">
        <v>0</v>
      </c>
      <c r="AC235" s="10">
        <v>0</v>
      </c>
      <c r="AE235" s="10">
        <v>0</v>
      </c>
      <c r="AG235" s="10">
        <v>0</v>
      </c>
      <c r="AI235" s="10">
        <f t="shared" si="8"/>
        <v>0</v>
      </c>
      <c r="AJ235" s="10"/>
    </row>
    <row r="236" spans="1:39" hidden="1">
      <c r="A236" s="1" t="s">
        <v>113</v>
      </c>
      <c r="C236" s="1" t="s">
        <v>785</v>
      </c>
      <c r="E236" s="10">
        <v>0</v>
      </c>
      <c r="G236" s="10">
        <v>0</v>
      </c>
      <c r="I236" s="10">
        <v>0</v>
      </c>
      <c r="K236" s="10">
        <v>0</v>
      </c>
      <c r="M236" s="10">
        <v>0</v>
      </c>
      <c r="O236" s="10">
        <v>0</v>
      </c>
      <c r="Q236" s="10">
        <v>0</v>
      </c>
      <c r="S236" s="10">
        <v>0</v>
      </c>
      <c r="U236" s="10">
        <v>0</v>
      </c>
      <c r="V236" s="24"/>
      <c r="W236" s="10">
        <v>0</v>
      </c>
      <c r="X236" s="24"/>
      <c r="Y236" s="10">
        <v>0</v>
      </c>
      <c r="AA236" s="10">
        <v>0</v>
      </c>
      <c r="AC236" s="10">
        <v>0</v>
      </c>
      <c r="AE236" s="10">
        <v>0</v>
      </c>
      <c r="AG236" s="10">
        <v>0</v>
      </c>
      <c r="AI236" s="10">
        <f t="shared" si="8"/>
        <v>0</v>
      </c>
      <c r="AJ236" s="10"/>
    </row>
    <row r="237" spans="1:39" s="21" customFormat="1">
      <c r="A237" s="1" t="s">
        <v>354</v>
      </c>
      <c r="B237" s="1"/>
      <c r="C237" s="1" t="s">
        <v>353</v>
      </c>
      <c r="D237" s="1"/>
      <c r="E237" s="10">
        <v>289025</v>
      </c>
      <c r="F237" s="10"/>
      <c r="G237" s="10">
        <v>8738249</v>
      </c>
      <c r="H237" s="10"/>
      <c r="I237" s="10">
        <v>319023</v>
      </c>
      <c r="J237" s="10"/>
      <c r="K237" s="10">
        <v>0</v>
      </c>
      <c r="L237" s="10"/>
      <c r="M237" s="10">
        <v>2137817</v>
      </c>
      <c r="N237" s="10"/>
      <c r="O237" s="10">
        <v>219206</v>
      </c>
      <c r="P237" s="10"/>
      <c r="Q237" s="10">
        <v>231127</v>
      </c>
      <c r="R237" s="10"/>
      <c r="S237" s="10">
        <v>114694</v>
      </c>
      <c r="T237" s="10"/>
      <c r="U237" s="10">
        <v>0</v>
      </c>
      <c r="V237" s="10"/>
      <c r="W237" s="10">
        <v>0</v>
      </c>
      <c r="X237" s="10"/>
      <c r="Y237" s="10">
        <v>0</v>
      </c>
      <c r="Z237" s="10"/>
      <c r="AA237" s="10">
        <v>0</v>
      </c>
      <c r="AB237" s="10"/>
      <c r="AC237" s="10">
        <v>0</v>
      </c>
      <c r="AD237" s="10"/>
      <c r="AE237" s="10">
        <v>0</v>
      </c>
      <c r="AF237" s="10"/>
      <c r="AG237" s="10">
        <v>0</v>
      </c>
      <c r="AH237" s="10"/>
      <c r="AI237" s="10">
        <f t="shared" si="8"/>
        <v>12049141</v>
      </c>
      <c r="AJ237" s="10"/>
      <c r="AK237" s="22"/>
      <c r="AL237" s="22"/>
      <c r="AM237" s="22"/>
    </row>
    <row r="238" spans="1:39">
      <c r="A238" s="1" t="s">
        <v>693</v>
      </c>
      <c r="C238" s="1" t="s">
        <v>500</v>
      </c>
      <c r="E238" s="10">
        <v>15407</v>
      </c>
      <c r="G238" s="10">
        <v>0</v>
      </c>
      <c r="I238" s="10">
        <v>25121</v>
      </c>
      <c r="K238" s="10">
        <v>0</v>
      </c>
      <c r="M238" s="10">
        <v>0</v>
      </c>
      <c r="O238" s="10">
        <v>20</v>
      </c>
      <c r="Q238" s="10">
        <v>5431</v>
      </c>
      <c r="S238" s="10">
        <v>6347</v>
      </c>
      <c r="U238" s="10">
        <v>0</v>
      </c>
      <c r="W238" s="10">
        <v>0</v>
      </c>
      <c r="Y238" s="10">
        <v>0</v>
      </c>
      <c r="AA238" s="10">
        <v>0</v>
      </c>
      <c r="AC238" s="10">
        <v>0</v>
      </c>
      <c r="AE238" s="10">
        <v>0</v>
      </c>
      <c r="AG238" s="10">
        <v>0</v>
      </c>
      <c r="AI238" s="10">
        <f t="shared" si="8"/>
        <v>52326</v>
      </c>
      <c r="AJ238" s="10"/>
    </row>
    <row r="239" spans="1:39" hidden="1">
      <c r="A239" s="1" t="s">
        <v>694</v>
      </c>
      <c r="C239" s="1" t="s">
        <v>82</v>
      </c>
      <c r="E239" s="10">
        <v>0</v>
      </c>
      <c r="G239" s="10">
        <v>0</v>
      </c>
      <c r="I239" s="10">
        <v>0</v>
      </c>
      <c r="K239" s="10">
        <v>0</v>
      </c>
      <c r="M239" s="10">
        <v>0</v>
      </c>
      <c r="O239" s="10">
        <v>0</v>
      </c>
      <c r="Q239" s="10">
        <v>0</v>
      </c>
      <c r="S239" s="10">
        <v>0</v>
      </c>
      <c r="U239" s="10">
        <v>0</v>
      </c>
      <c r="V239" s="24"/>
      <c r="W239" s="10">
        <v>0</v>
      </c>
      <c r="X239" s="24"/>
      <c r="Y239" s="10">
        <v>0</v>
      </c>
      <c r="AA239" s="10">
        <v>0</v>
      </c>
      <c r="AC239" s="10">
        <v>0</v>
      </c>
      <c r="AE239" s="10">
        <v>0</v>
      </c>
      <c r="AG239" s="10">
        <v>0</v>
      </c>
      <c r="AI239" s="10">
        <f t="shared" si="8"/>
        <v>0</v>
      </c>
      <c r="AJ239" s="10"/>
    </row>
    <row r="240" spans="1:39" s="21" customFormat="1" hidden="1">
      <c r="A240" s="1" t="s">
        <v>23</v>
      </c>
      <c r="B240" s="1"/>
      <c r="C240" s="1" t="s">
        <v>756</v>
      </c>
      <c r="D240" s="1"/>
      <c r="E240" s="10">
        <v>0</v>
      </c>
      <c r="F240" s="10"/>
      <c r="G240" s="10">
        <v>0</v>
      </c>
      <c r="H240" s="10"/>
      <c r="I240" s="10">
        <v>0</v>
      </c>
      <c r="J240" s="10"/>
      <c r="K240" s="10">
        <v>0</v>
      </c>
      <c r="L240" s="10"/>
      <c r="M240" s="10">
        <v>0</v>
      </c>
      <c r="N240" s="10"/>
      <c r="O240" s="10">
        <v>0</v>
      </c>
      <c r="P240" s="10"/>
      <c r="Q240" s="10">
        <v>0</v>
      </c>
      <c r="R240" s="10"/>
      <c r="S240" s="10">
        <v>0</v>
      </c>
      <c r="T240" s="10"/>
      <c r="U240" s="10">
        <v>0</v>
      </c>
      <c r="V240" s="24"/>
      <c r="W240" s="10">
        <v>0</v>
      </c>
      <c r="X240" s="24"/>
      <c r="Y240" s="10">
        <v>0</v>
      </c>
      <c r="Z240" s="10"/>
      <c r="AA240" s="10">
        <v>0</v>
      </c>
      <c r="AB240" s="10"/>
      <c r="AC240" s="10">
        <v>0</v>
      </c>
      <c r="AD240" s="10"/>
      <c r="AE240" s="10">
        <v>0</v>
      </c>
      <c r="AF240" s="10"/>
      <c r="AG240" s="10">
        <v>0</v>
      </c>
      <c r="AH240" s="10"/>
      <c r="AI240" s="10">
        <f t="shared" si="8"/>
        <v>0</v>
      </c>
      <c r="AJ240" s="10"/>
      <c r="AK240" s="22"/>
      <c r="AL240" s="22"/>
      <c r="AM240" s="22"/>
    </row>
    <row r="241" spans="1:39" hidden="1">
      <c r="A241" s="1" t="s">
        <v>126</v>
      </c>
      <c r="C241" s="1" t="s">
        <v>789</v>
      </c>
      <c r="E241" s="10">
        <v>0</v>
      </c>
      <c r="G241" s="10">
        <v>0</v>
      </c>
      <c r="I241" s="10">
        <v>0</v>
      </c>
      <c r="K241" s="10">
        <v>0</v>
      </c>
      <c r="M241" s="10">
        <v>0</v>
      </c>
      <c r="O241" s="10">
        <v>0</v>
      </c>
      <c r="Q241" s="10">
        <v>0</v>
      </c>
      <c r="S241" s="10">
        <v>0</v>
      </c>
      <c r="U241" s="10">
        <v>0</v>
      </c>
      <c r="V241" s="24"/>
      <c r="W241" s="10">
        <v>0</v>
      </c>
      <c r="X241" s="24"/>
      <c r="Y241" s="10">
        <v>0</v>
      </c>
      <c r="AA241" s="10">
        <v>0</v>
      </c>
      <c r="AC241" s="10">
        <v>0</v>
      </c>
      <c r="AE241" s="10">
        <v>0</v>
      </c>
      <c r="AG241" s="10">
        <v>0</v>
      </c>
      <c r="AI241" s="10">
        <f t="shared" si="8"/>
        <v>0</v>
      </c>
      <c r="AJ241" s="10"/>
    </row>
    <row r="242" spans="1:39" s="21" customFormat="1" hidden="1">
      <c r="A242" s="1" t="s">
        <v>838</v>
      </c>
      <c r="B242" s="1"/>
      <c r="C242" s="1" t="s">
        <v>439</v>
      </c>
      <c r="D242" s="1"/>
      <c r="E242" s="10">
        <v>0</v>
      </c>
      <c r="F242" s="10"/>
      <c r="G242" s="10">
        <v>0</v>
      </c>
      <c r="H242" s="10"/>
      <c r="I242" s="10">
        <v>0</v>
      </c>
      <c r="J242" s="10"/>
      <c r="K242" s="10">
        <v>0</v>
      </c>
      <c r="L242" s="10"/>
      <c r="M242" s="10">
        <v>0</v>
      </c>
      <c r="N242" s="10"/>
      <c r="O242" s="10">
        <v>0</v>
      </c>
      <c r="P242" s="10"/>
      <c r="Q242" s="10">
        <v>0</v>
      </c>
      <c r="R242" s="10"/>
      <c r="S242" s="10">
        <v>0</v>
      </c>
      <c r="T242" s="10"/>
      <c r="U242" s="10">
        <v>0</v>
      </c>
      <c r="V242" s="24"/>
      <c r="W242" s="10">
        <v>0</v>
      </c>
      <c r="X242" s="24"/>
      <c r="Y242" s="10">
        <v>0</v>
      </c>
      <c r="Z242" s="10"/>
      <c r="AA242" s="10">
        <v>0</v>
      </c>
      <c r="AB242" s="10"/>
      <c r="AC242" s="10">
        <v>0</v>
      </c>
      <c r="AD242" s="10"/>
      <c r="AE242" s="10">
        <v>0</v>
      </c>
      <c r="AF242" s="10"/>
      <c r="AG242" s="10">
        <v>0</v>
      </c>
      <c r="AH242" s="10"/>
      <c r="AI242" s="10">
        <f t="shared" si="8"/>
        <v>0</v>
      </c>
      <c r="AJ242" s="10"/>
    </row>
    <row r="243" spans="1:39" s="21" customFormat="1" hidden="1">
      <c r="A243" s="1" t="s">
        <v>42</v>
      </c>
      <c r="B243" s="1"/>
      <c r="C243" s="1" t="s">
        <v>763</v>
      </c>
      <c r="D243" s="1"/>
      <c r="E243" s="10">
        <v>0</v>
      </c>
      <c r="F243" s="10"/>
      <c r="G243" s="10">
        <v>0</v>
      </c>
      <c r="H243" s="10"/>
      <c r="I243" s="10">
        <v>0</v>
      </c>
      <c r="J243" s="10"/>
      <c r="K243" s="10">
        <v>0</v>
      </c>
      <c r="L243" s="10"/>
      <c r="M243" s="10">
        <v>0</v>
      </c>
      <c r="N243" s="10"/>
      <c r="O243" s="10">
        <v>0</v>
      </c>
      <c r="P243" s="10"/>
      <c r="Q243" s="10">
        <v>0</v>
      </c>
      <c r="R243" s="10"/>
      <c r="S243" s="10">
        <v>0</v>
      </c>
      <c r="T243" s="10"/>
      <c r="U243" s="10">
        <v>0</v>
      </c>
      <c r="V243" s="24"/>
      <c r="W243" s="10">
        <v>0</v>
      </c>
      <c r="X243" s="24"/>
      <c r="Y243" s="10">
        <v>0</v>
      </c>
      <c r="Z243" s="10"/>
      <c r="AA243" s="10">
        <v>0</v>
      </c>
      <c r="AB243" s="10"/>
      <c r="AC243" s="10">
        <v>0</v>
      </c>
      <c r="AD243" s="10"/>
      <c r="AE243" s="10">
        <v>0</v>
      </c>
      <c r="AF243" s="10"/>
      <c r="AG243" s="10">
        <v>0</v>
      </c>
      <c r="AH243" s="10"/>
      <c r="AI243" s="10">
        <f t="shared" si="8"/>
        <v>0</v>
      </c>
      <c r="AJ243" s="10"/>
      <c r="AK243" s="22"/>
      <c r="AL243" s="22"/>
      <c r="AM243" s="22"/>
    </row>
    <row r="244" spans="1:39" s="21" customFormat="1" hidden="1">
      <c r="A244" s="1" t="s">
        <v>140</v>
      </c>
      <c r="B244" s="1"/>
      <c r="C244" s="1" t="s">
        <v>793</v>
      </c>
      <c r="D244" s="1"/>
      <c r="E244" s="10">
        <v>0</v>
      </c>
      <c r="F244" s="10"/>
      <c r="G244" s="10">
        <v>0</v>
      </c>
      <c r="H244" s="10"/>
      <c r="I244" s="10">
        <v>0</v>
      </c>
      <c r="J244" s="10"/>
      <c r="K244" s="10">
        <v>0</v>
      </c>
      <c r="L244" s="10"/>
      <c r="M244" s="10">
        <v>0</v>
      </c>
      <c r="N244" s="10"/>
      <c r="O244" s="10">
        <v>0</v>
      </c>
      <c r="P244" s="10"/>
      <c r="Q244" s="10">
        <v>0</v>
      </c>
      <c r="R244" s="10"/>
      <c r="S244" s="10">
        <v>0</v>
      </c>
      <c r="T244" s="10"/>
      <c r="U244" s="10">
        <v>0</v>
      </c>
      <c r="V244" s="24"/>
      <c r="W244" s="10">
        <v>0</v>
      </c>
      <c r="X244" s="24"/>
      <c r="Y244" s="10">
        <v>0</v>
      </c>
      <c r="Z244" s="10"/>
      <c r="AA244" s="10">
        <v>0</v>
      </c>
      <c r="AB244" s="10"/>
      <c r="AC244" s="10">
        <v>0</v>
      </c>
      <c r="AD244" s="10"/>
      <c r="AE244" s="10">
        <v>0</v>
      </c>
      <c r="AF244" s="10"/>
      <c r="AG244" s="10">
        <v>0</v>
      </c>
      <c r="AH244" s="10"/>
      <c r="AI244" s="10">
        <f t="shared" si="8"/>
        <v>0</v>
      </c>
      <c r="AJ244" s="10"/>
    </row>
    <row r="245" spans="1:39" hidden="1">
      <c r="A245" s="1" t="s">
        <v>264</v>
      </c>
      <c r="C245" s="1" t="s">
        <v>831</v>
      </c>
      <c r="E245" s="10">
        <v>0</v>
      </c>
      <c r="G245" s="10">
        <v>0</v>
      </c>
      <c r="I245" s="10">
        <v>0</v>
      </c>
      <c r="K245" s="10">
        <v>0</v>
      </c>
      <c r="M245" s="10">
        <v>0</v>
      </c>
      <c r="O245" s="10">
        <v>0</v>
      </c>
      <c r="Q245" s="10">
        <v>0</v>
      </c>
      <c r="S245" s="10">
        <v>0</v>
      </c>
      <c r="U245" s="10">
        <v>0</v>
      </c>
      <c r="V245" s="24"/>
      <c r="W245" s="10">
        <v>0</v>
      </c>
      <c r="X245" s="24"/>
      <c r="Y245" s="10">
        <v>0</v>
      </c>
      <c r="AA245" s="10">
        <v>0</v>
      </c>
      <c r="AC245" s="10">
        <v>0</v>
      </c>
      <c r="AE245" s="10">
        <v>0</v>
      </c>
      <c r="AG245" s="10">
        <v>0</v>
      </c>
      <c r="AI245" s="10">
        <f t="shared" si="8"/>
        <v>0</v>
      </c>
      <c r="AJ245" s="10"/>
    </row>
    <row r="246" spans="1:39" s="21" customFormat="1" hidden="1">
      <c r="A246" s="1" t="s">
        <v>850</v>
      </c>
      <c r="B246" s="1"/>
      <c r="C246" s="1" t="s">
        <v>781</v>
      </c>
      <c r="D246" s="1"/>
      <c r="E246" s="10">
        <v>0</v>
      </c>
      <c r="F246" s="10"/>
      <c r="G246" s="10">
        <v>0</v>
      </c>
      <c r="H246" s="10"/>
      <c r="I246" s="10">
        <v>0</v>
      </c>
      <c r="J246" s="10"/>
      <c r="K246" s="10">
        <v>0</v>
      </c>
      <c r="L246" s="10"/>
      <c r="M246" s="10">
        <v>0</v>
      </c>
      <c r="N246" s="10"/>
      <c r="O246" s="10">
        <v>0</v>
      </c>
      <c r="P246" s="10"/>
      <c r="Q246" s="10">
        <v>0</v>
      </c>
      <c r="R246" s="10"/>
      <c r="S246" s="10">
        <v>0</v>
      </c>
      <c r="T246" s="10"/>
      <c r="U246" s="10">
        <v>0</v>
      </c>
      <c r="V246" s="24"/>
      <c r="W246" s="10">
        <v>0</v>
      </c>
      <c r="X246" s="24"/>
      <c r="Y246" s="10">
        <v>0</v>
      </c>
      <c r="Z246" s="10"/>
      <c r="AA246" s="10">
        <v>0</v>
      </c>
      <c r="AB246" s="10"/>
      <c r="AC246" s="10">
        <v>0</v>
      </c>
      <c r="AD246" s="10"/>
      <c r="AE246" s="10">
        <v>0</v>
      </c>
      <c r="AF246" s="10"/>
      <c r="AG246" s="10">
        <v>0</v>
      </c>
      <c r="AH246" s="10"/>
      <c r="AI246" s="10">
        <f t="shared" si="8"/>
        <v>0</v>
      </c>
      <c r="AJ246" s="10"/>
    </row>
    <row r="247" spans="1:39" hidden="1">
      <c r="A247" s="1" t="s">
        <v>4</v>
      </c>
      <c r="C247" s="1" t="s">
        <v>751</v>
      </c>
      <c r="E247" s="10">
        <v>0</v>
      </c>
      <c r="G247" s="10">
        <v>0</v>
      </c>
      <c r="I247" s="10">
        <v>0</v>
      </c>
      <c r="K247" s="10">
        <v>0</v>
      </c>
      <c r="M247" s="10">
        <v>0</v>
      </c>
      <c r="O247" s="10">
        <v>0</v>
      </c>
      <c r="Q247" s="10">
        <v>0</v>
      </c>
      <c r="S247" s="10">
        <v>0</v>
      </c>
      <c r="U247" s="10">
        <v>0</v>
      </c>
      <c r="W247" s="10">
        <v>0</v>
      </c>
      <c r="Y247" s="10">
        <v>0</v>
      </c>
      <c r="AA247" s="10">
        <v>0</v>
      </c>
      <c r="AC247" s="10">
        <v>0</v>
      </c>
      <c r="AE247" s="10">
        <v>0</v>
      </c>
      <c r="AG247" s="10">
        <v>0</v>
      </c>
      <c r="AI247" s="10">
        <f t="shared" si="8"/>
        <v>0</v>
      </c>
      <c r="AJ247" s="10"/>
      <c r="AK247" s="7"/>
      <c r="AL247" s="7"/>
      <c r="AM247" s="7"/>
    </row>
    <row r="248" spans="1:39" s="21" customFormat="1">
      <c r="A248" s="1" t="s">
        <v>442</v>
      </c>
      <c r="B248" s="1"/>
      <c r="C248" s="1" t="s">
        <v>439</v>
      </c>
      <c r="D248" s="1"/>
      <c r="E248" s="10">
        <v>13855</v>
      </c>
      <c r="F248" s="10"/>
      <c r="G248" s="10">
        <v>0</v>
      </c>
      <c r="H248" s="10"/>
      <c r="I248" s="10">
        <v>32301</v>
      </c>
      <c r="J248" s="10"/>
      <c r="K248" s="10">
        <v>0</v>
      </c>
      <c r="L248" s="10"/>
      <c r="M248" s="10">
        <v>0</v>
      </c>
      <c r="N248" s="10"/>
      <c r="O248" s="10">
        <v>7603</v>
      </c>
      <c r="P248" s="10"/>
      <c r="Q248" s="10">
        <v>320</v>
      </c>
      <c r="R248" s="10"/>
      <c r="S248" s="10">
        <v>1845</v>
      </c>
      <c r="T248" s="10"/>
      <c r="U248" s="10">
        <v>0</v>
      </c>
      <c r="V248" s="10"/>
      <c r="W248" s="10">
        <v>0</v>
      </c>
      <c r="X248" s="10"/>
      <c r="Y248" s="10">
        <v>0</v>
      </c>
      <c r="Z248" s="10"/>
      <c r="AA248" s="10">
        <v>0</v>
      </c>
      <c r="AB248" s="10"/>
      <c r="AC248" s="10">
        <v>0</v>
      </c>
      <c r="AD248" s="10"/>
      <c r="AE248" s="10">
        <v>0</v>
      </c>
      <c r="AF248" s="10"/>
      <c r="AG248" s="10">
        <v>0</v>
      </c>
      <c r="AH248" s="10"/>
      <c r="AI248" s="10">
        <f t="shared" si="8"/>
        <v>55924</v>
      </c>
      <c r="AJ248" s="10"/>
    </row>
    <row r="249" spans="1:39" s="15" customFormat="1">
      <c r="A249" s="1" t="s">
        <v>548</v>
      </c>
      <c r="B249" s="1"/>
      <c r="C249" s="1" t="s">
        <v>545</v>
      </c>
      <c r="D249" s="1"/>
      <c r="E249" s="10">
        <v>268532</v>
      </c>
      <c r="F249" s="10"/>
      <c r="G249" s="10">
        <v>0</v>
      </c>
      <c r="H249" s="10"/>
      <c r="I249" s="10">
        <v>196049</v>
      </c>
      <c r="J249" s="10"/>
      <c r="K249" s="10">
        <v>0</v>
      </c>
      <c r="L249" s="10"/>
      <c r="M249" s="10">
        <v>6074</v>
      </c>
      <c r="N249" s="10"/>
      <c r="O249" s="10">
        <v>19975</v>
      </c>
      <c r="P249" s="10"/>
      <c r="Q249" s="10">
        <v>11597</v>
      </c>
      <c r="R249" s="10"/>
      <c r="S249" s="10">
        <v>35855</v>
      </c>
      <c r="T249" s="10"/>
      <c r="U249" s="10">
        <v>0</v>
      </c>
      <c r="V249" s="10"/>
      <c r="W249" s="10">
        <v>0</v>
      </c>
      <c r="X249" s="10"/>
      <c r="Y249" s="10">
        <v>0</v>
      </c>
      <c r="Z249" s="10"/>
      <c r="AA249" s="10">
        <v>495000</v>
      </c>
      <c r="AB249" s="10"/>
      <c r="AC249" s="10">
        <v>0</v>
      </c>
      <c r="AD249" s="10"/>
      <c r="AE249" s="10">
        <v>0</v>
      </c>
      <c r="AF249" s="10"/>
      <c r="AG249" s="10">
        <v>0</v>
      </c>
      <c r="AH249" s="10"/>
      <c r="AI249" s="10">
        <f t="shared" si="8"/>
        <v>1033082</v>
      </c>
      <c r="AJ249" s="10"/>
    </row>
    <row r="250" spans="1:39" hidden="1">
      <c r="A250" s="1" t="s">
        <v>585</v>
      </c>
      <c r="C250" s="1" t="s">
        <v>586</v>
      </c>
      <c r="E250" s="10">
        <v>0</v>
      </c>
      <c r="G250" s="10">
        <v>0</v>
      </c>
      <c r="I250" s="10">
        <v>0</v>
      </c>
      <c r="K250" s="10">
        <v>0</v>
      </c>
      <c r="M250" s="10">
        <v>0</v>
      </c>
      <c r="O250" s="10">
        <v>0</v>
      </c>
      <c r="Q250" s="10">
        <v>0</v>
      </c>
      <c r="S250" s="10">
        <v>0</v>
      </c>
      <c r="U250" s="10">
        <v>0</v>
      </c>
      <c r="V250" s="24"/>
      <c r="W250" s="10">
        <v>0</v>
      </c>
      <c r="X250" s="24"/>
      <c r="Y250" s="10">
        <v>0</v>
      </c>
      <c r="AA250" s="10">
        <v>0</v>
      </c>
      <c r="AC250" s="10">
        <v>0</v>
      </c>
      <c r="AE250" s="10">
        <v>0</v>
      </c>
      <c r="AG250" s="10">
        <v>0</v>
      </c>
      <c r="AI250" s="10">
        <f t="shared" si="8"/>
        <v>0</v>
      </c>
      <c r="AJ250" s="10"/>
    </row>
    <row r="251" spans="1:39" hidden="1">
      <c r="V251" s="24"/>
      <c r="X251" s="24"/>
      <c r="AI251" s="10" t="s">
        <v>869</v>
      </c>
      <c r="AJ251" s="10"/>
    </row>
    <row r="252" spans="1:39" s="40" customFormat="1" hidden="1">
      <c r="A252" s="40" t="s">
        <v>256</v>
      </c>
      <c r="C252" s="40" t="s">
        <v>830</v>
      </c>
      <c r="E252" s="40">
        <v>0</v>
      </c>
      <c r="G252" s="40">
        <v>0</v>
      </c>
      <c r="I252" s="40">
        <v>0</v>
      </c>
      <c r="K252" s="40">
        <v>0</v>
      </c>
      <c r="M252" s="40">
        <v>0</v>
      </c>
      <c r="O252" s="40">
        <v>0</v>
      </c>
      <c r="Q252" s="40">
        <v>0</v>
      </c>
      <c r="S252" s="40">
        <v>0</v>
      </c>
      <c r="U252" s="40">
        <v>0</v>
      </c>
      <c r="V252" s="41"/>
      <c r="W252" s="40">
        <v>0</v>
      </c>
      <c r="X252" s="41"/>
      <c r="Y252" s="40">
        <v>0</v>
      </c>
      <c r="AA252" s="40">
        <v>0</v>
      </c>
      <c r="AC252" s="40">
        <v>0</v>
      </c>
      <c r="AE252" s="40">
        <v>0</v>
      </c>
      <c r="AG252" s="40">
        <v>0</v>
      </c>
      <c r="AI252" s="40">
        <f t="shared" ref="AI252:AI283" si="9">SUM(E252:AG252)</f>
        <v>0</v>
      </c>
    </row>
    <row r="253" spans="1:39" hidden="1">
      <c r="A253" s="1" t="s">
        <v>183</v>
      </c>
      <c r="C253" s="1" t="s">
        <v>808</v>
      </c>
      <c r="E253" s="10">
        <v>0</v>
      </c>
      <c r="G253" s="10">
        <v>0</v>
      </c>
      <c r="I253" s="10">
        <v>0</v>
      </c>
      <c r="K253" s="10">
        <v>0</v>
      </c>
      <c r="M253" s="10">
        <v>0</v>
      </c>
      <c r="O253" s="10">
        <v>0</v>
      </c>
      <c r="Q253" s="10">
        <v>0</v>
      </c>
      <c r="S253" s="10">
        <v>0</v>
      </c>
      <c r="U253" s="10">
        <v>0</v>
      </c>
      <c r="V253" s="24"/>
      <c r="W253" s="10">
        <v>0</v>
      </c>
      <c r="X253" s="24"/>
      <c r="Y253" s="10">
        <v>0</v>
      </c>
      <c r="AA253" s="10">
        <v>0</v>
      </c>
      <c r="AC253" s="10">
        <v>0</v>
      </c>
      <c r="AE253" s="10">
        <v>0</v>
      </c>
      <c r="AG253" s="10">
        <v>0</v>
      </c>
      <c r="AI253" s="10">
        <f t="shared" si="9"/>
        <v>0</v>
      </c>
      <c r="AJ253" s="10"/>
    </row>
    <row r="254" spans="1:39" hidden="1">
      <c r="A254" s="1" t="s">
        <v>7</v>
      </c>
      <c r="C254" s="1" t="s">
        <v>672</v>
      </c>
      <c r="E254" s="10">
        <v>0</v>
      </c>
      <c r="G254" s="10">
        <v>0</v>
      </c>
      <c r="I254" s="10">
        <v>0</v>
      </c>
      <c r="K254" s="10">
        <v>0</v>
      </c>
      <c r="M254" s="10">
        <v>0</v>
      </c>
      <c r="O254" s="10">
        <v>0</v>
      </c>
      <c r="Q254" s="10">
        <v>0</v>
      </c>
      <c r="S254" s="10">
        <v>0</v>
      </c>
      <c r="U254" s="10">
        <v>0</v>
      </c>
      <c r="V254" s="24"/>
      <c r="W254" s="10">
        <v>0</v>
      </c>
      <c r="X254" s="24"/>
      <c r="Y254" s="10">
        <v>0</v>
      </c>
      <c r="AA254" s="10">
        <v>0</v>
      </c>
      <c r="AC254" s="10">
        <v>0</v>
      </c>
      <c r="AE254" s="10">
        <v>0</v>
      </c>
      <c r="AG254" s="10">
        <v>0</v>
      </c>
      <c r="AI254" s="10">
        <f t="shared" si="9"/>
        <v>0</v>
      </c>
      <c r="AJ254" s="10"/>
      <c r="AK254" s="7"/>
      <c r="AL254" s="7"/>
      <c r="AM254" s="7"/>
    </row>
    <row r="255" spans="1:39">
      <c r="A255" s="1" t="s">
        <v>443</v>
      </c>
      <c r="C255" s="1" t="s">
        <v>439</v>
      </c>
      <c r="E255" s="10">
        <v>1136291</v>
      </c>
      <c r="G255" s="10">
        <v>0</v>
      </c>
      <c r="I255" s="10">
        <v>128940</v>
      </c>
      <c r="K255" s="10">
        <v>0</v>
      </c>
      <c r="M255" s="10">
        <v>121645</v>
      </c>
      <c r="O255" s="10">
        <v>0</v>
      </c>
      <c r="Q255" s="10">
        <v>90765</v>
      </c>
      <c r="S255" s="10">
        <v>33452</v>
      </c>
      <c r="U255" s="10">
        <v>0</v>
      </c>
      <c r="W255" s="10">
        <v>0</v>
      </c>
      <c r="Y255" s="10">
        <v>0</v>
      </c>
      <c r="AA255" s="10">
        <v>75305</v>
      </c>
      <c r="AC255" s="10">
        <v>0</v>
      </c>
      <c r="AE255" s="10">
        <v>0</v>
      </c>
      <c r="AG255" s="10">
        <v>0</v>
      </c>
      <c r="AI255" s="10">
        <f t="shared" si="9"/>
        <v>1586398</v>
      </c>
      <c r="AJ255" s="10"/>
    </row>
    <row r="256" spans="1:39" hidden="1">
      <c r="A256" s="1" t="s">
        <v>214</v>
      </c>
      <c r="C256" s="1" t="s">
        <v>816</v>
      </c>
      <c r="E256" s="10">
        <v>0</v>
      </c>
      <c r="G256" s="10">
        <v>0</v>
      </c>
      <c r="I256" s="10">
        <v>0</v>
      </c>
      <c r="K256" s="10">
        <v>0</v>
      </c>
      <c r="M256" s="10">
        <v>0</v>
      </c>
      <c r="O256" s="10">
        <v>0</v>
      </c>
      <c r="Q256" s="10">
        <v>0</v>
      </c>
      <c r="S256" s="10">
        <v>0</v>
      </c>
      <c r="U256" s="10">
        <v>0</v>
      </c>
      <c r="V256" s="24"/>
      <c r="W256" s="10">
        <v>0</v>
      </c>
      <c r="X256" s="24"/>
      <c r="Y256" s="10">
        <v>0</v>
      </c>
      <c r="AA256" s="10">
        <v>0</v>
      </c>
      <c r="AC256" s="10">
        <v>0</v>
      </c>
      <c r="AE256" s="10">
        <v>0</v>
      </c>
      <c r="AG256" s="10">
        <v>0</v>
      </c>
      <c r="AI256" s="10">
        <f t="shared" si="9"/>
        <v>0</v>
      </c>
      <c r="AJ256" s="10"/>
    </row>
    <row r="257" spans="1:39">
      <c r="A257" s="1" t="s">
        <v>911</v>
      </c>
      <c r="C257" s="1" t="s">
        <v>504</v>
      </c>
      <c r="E257" s="10">
        <v>1480</v>
      </c>
      <c r="G257" s="10">
        <v>0</v>
      </c>
      <c r="I257" s="10">
        <v>7545</v>
      </c>
      <c r="K257" s="10">
        <v>0</v>
      </c>
      <c r="M257" s="10">
        <v>0</v>
      </c>
      <c r="O257" s="10">
        <v>0</v>
      </c>
      <c r="Q257" s="10">
        <v>189</v>
      </c>
      <c r="S257" s="10">
        <v>0</v>
      </c>
      <c r="U257" s="10">
        <v>0</v>
      </c>
      <c r="W257" s="10">
        <v>0</v>
      </c>
      <c r="Y257" s="10">
        <v>0</v>
      </c>
      <c r="AA257" s="10">
        <v>0</v>
      </c>
      <c r="AC257" s="10">
        <v>0</v>
      </c>
      <c r="AE257" s="10">
        <v>0</v>
      </c>
      <c r="AG257" s="10">
        <v>0</v>
      </c>
      <c r="AI257" s="10">
        <f t="shared" si="9"/>
        <v>9214</v>
      </c>
      <c r="AJ257" s="10"/>
      <c r="AK257" s="7"/>
      <c r="AL257" s="7"/>
      <c r="AM257" s="7"/>
    </row>
    <row r="258" spans="1:39">
      <c r="A258" s="1" t="s">
        <v>341</v>
      </c>
      <c r="C258" s="1" t="s">
        <v>342</v>
      </c>
      <c r="E258" s="10">
        <v>1134935</v>
      </c>
      <c r="G258" s="10">
        <v>0</v>
      </c>
      <c r="I258" s="10">
        <v>199281</v>
      </c>
      <c r="K258" s="10">
        <v>0</v>
      </c>
      <c r="M258" s="10">
        <v>94515</v>
      </c>
      <c r="O258" s="10">
        <v>51091</v>
      </c>
      <c r="Q258" s="10">
        <v>232773</v>
      </c>
      <c r="S258" s="10">
        <v>42875</v>
      </c>
      <c r="U258" s="10">
        <v>0</v>
      </c>
      <c r="W258" s="10">
        <v>0</v>
      </c>
      <c r="Y258" s="10">
        <v>0</v>
      </c>
      <c r="AA258" s="10">
        <v>0</v>
      </c>
      <c r="AC258" s="10">
        <v>0</v>
      </c>
      <c r="AE258" s="10">
        <v>0</v>
      </c>
      <c r="AG258" s="10">
        <v>0</v>
      </c>
      <c r="AI258" s="10">
        <f t="shared" si="9"/>
        <v>1755470</v>
      </c>
      <c r="AJ258" s="10"/>
      <c r="AK258" s="7"/>
      <c r="AL258" s="7"/>
      <c r="AM258" s="7"/>
    </row>
    <row r="259" spans="1:39" s="21" customFormat="1">
      <c r="A259" s="1" t="s">
        <v>409</v>
      </c>
      <c r="B259" s="1"/>
      <c r="C259" s="1" t="s">
        <v>409</v>
      </c>
      <c r="D259" s="1"/>
      <c r="E259" s="10">
        <v>32936</v>
      </c>
      <c r="F259" s="10"/>
      <c r="G259" s="10">
        <v>0</v>
      </c>
      <c r="H259" s="10"/>
      <c r="I259" s="10">
        <v>345</v>
      </c>
      <c r="J259" s="10"/>
      <c r="K259" s="10">
        <v>0</v>
      </c>
      <c r="L259" s="10"/>
      <c r="M259" s="10">
        <v>0</v>
      </c>
      <c r="N259" s="10"/>
      <c r="O259" s="10">
        <v>0</v>
      </c>
      <c r="P259" s="10"/>
      <c r="Q259" s="10">
        <v>282</v>
      </c>
      <c r="R259" s="10"/>
      <c r="S259" s="10">
        <v>3567</v>
      </c>
      <c r="T259" s="10"/>
      <c r="U259" s="10">
        <v>0</v>
      </c>
      <c r="V259" s="10"/>
      <c r="W259" s="10">
        <v>0</v>
      </c>
      <c r="X259" s="10"/>
      <c r="Y259" s="10">
        <v>0</v>
      </c>
      <c r="Z259" s="10"/>
      <c r="AA259" s="10">
        <v>0</v>
      </c>
      <c r="AB259" s="10"/>
      <c r="AC259" s="10">
        <v>0</v>
      </c>
      <c r="AD259" s="10"/>
      <c r="AE259" s="10">
        <v>0</v>
      </c>
      <c r="AF259" s="10"/>
      <c r="AG259" s="10">
        <v>0</v>
      </c>
      <c r="AH259" s="10"/>
      <c r="AI259" s="10">
        <f t="shared" si="9"/>
        <v>37130</v>
      </c>
      <c r="AJ259" s="10"/>
    </row>
    <row r="260" spans="1:39" hidden="1">
      <c r="A260" s="1" t="s">
        <v>225</v>
      </c>
      <c r="C260" s="1" t="s">
        <v>820</v>
      </c>
      <c r="E260" s="10">
        <v>0</v>
      </c>
      <c r="G260" s="10">
        <v>0</v>
      </c>
      <c r="I260" s="10">
        <v>0</v>
      </c>
      <c r="K260" s="10">
        <v>0</v>
      </c>
      <c r="M260" s="10">
        <v>0</v>
      </c>
      <c r="O260" s="10">
        <v>0</v>
      </c>
      <c r="Q260" s="10">
        <v>0</v>
      </c>
      <c r="S260" s="10">
        <v>0</v>
      </c>
      <c r="U260" s="10">
        <v>0</v>
      </c>
      <c r="V260" s="24"/>
      <c r="W260" s="10">
        <v>0</v>
      </c>
      <c r="X260" s="24"/>
      <c r="Y260" s="10">
        <v>0</v>
      </c>
      <c r="AA260" s="10">
        <v>0</v>
      </c>
      <c r="AC260" s="10">
        <v>0</v>
      </c>
      <c r="AE260" s="10">
        <v>0</v>
      </c>
      <c r="AG260" s="10">
        <v>0</v>
      </c>
      <c r="AI260" s="10">
        <f t="shared" si="9"/>
        <v>0</v>
      </c>
      <c r="AJ260" s="10"/>
    </row>
    <row r="261" spans="1:39" hidden="1">
      <c r="A261" s="1" t="s">
        <v>194</v>
      </c>
      <c r="C261" s="1" t="s">
        <v>811</v>
      </c>
      <c r="E261" s="10">
        <v>0</v>
      </c>
      <c r="G261" s="10">
        <v>0</v>
      </c>
      <c r="I261" s="10">
        <v>0</v>
      </c>
      <c r="K261" s="10">
        <v>0</v>
      </c>
      <c r="M261" s="10">
        <v>0</v>
      </c>
      <c r="O261" s="10">
        <v>0</v>
      </c>
      <c r="Q261" s="10">
        <v>0</v>
      </c>
      <c r="S261" s="10">
        <v>0</v>
      </c>
      <c r="U261" s="10">
        <v>0</v>
      </c>
      <c r="V261" s="24"/>
      <c r="W261" s="10">
        <v>0</v>
      </c>
      <c r="X261" s="24"/>
      <c r="Y261" s="10">
        <v>0</v>
      </c>
      <c r="AA261" s="10">
        <v>0</v>
      </c>
      <c r="AC261" s="10">
        <v>0</v>
      </c>
      <c r="AE261" s="10">
        <v>0</v>
      </c>
      <c r="AG261" s="10">
        <v>0</v>
      </c>
      <c r="AI261" s="10">
        <f t="shared" si="9"/>
        <v>0</v>
      </c>
      <c r="AJ261" s="10"/>
    </row>
    <row r="262" spans="1:39">
      <c r="A262" s="1" t="s">
        <v>408</v>
      </c>
      <c r="C262" s="1" t="s">
        <v>407</v>
      </c>
      <c r="E262" s="10">
        <v>26438</v>
      </c>
      <c r="G262" s="10">
        <v>131040</v>
      </c>
      <c r="I262" s="10">
        <v>52008</v>
      </c>
      <c r="K262" s="10">
        <v>0</v>
      </c>
      <c r="M262" s="10">
        <v>0</v>
      </c>
      <c r="O262" s="10">
        <v>2125</v>
      </c>
      <c r="Q262" s="10">
        <v>20672</v>
      </c>
      <c r="S262" s="10">
        <v>20345</v>
      </c>
      <c r="U262" s="10">
        <v>0</v>
      </c>
      <c r="W262" s="10">
        <v>0</v>
      </c>
      <c r="Y262" s="10">
        <v>0</v>
      </c>
      <c r="AA262" s="10">
        <v>0</v>
      </c>
      <c r="AC262" s="10">
        <v>0</v>
      </c>
      <c r="AE262" s="10">
        <v>0</v>
      </c>
      <c r="AG262" s="10">
        <v>1052</v>
      </c>
      <c r="AI262" s="10">
        <f t="shared" si="9"/>
        <v>253680</v>
      </c>
      <c r="AJ262" s="10"/>
    </row>
    <row r="263" spans="1:39">
      <c r="A263" s="1" t="s">
        <v>455</v>
      </c>
      <c r="C263" s="1" t="s">
        <v>456</v>
      </c>
      <c r="E263" s="10">
        <v>54551</v>
      </c>
      <c r="G263" s="10">
        <v>1966483</v>
      </c>
      <c r="I263" s="10">
        <v>204484</v>
      </c>
      <c r="K263" s="10">
        <v>9472</v>
      </c>
      <c r="M263" s="10">
        <v>54560</v>
      </c>
      <c r="O263" s="10">
        <v>32427</v>
      </c>
      <c r="Q263" s="10">
        <v>151729</v>
      </c>
      <c r="S263" s="10">
        <v>152531</v>
      </c>
      <c r="U263" s="10">
        <v>0</v>
      </c>
      <c r="W263" s="10">
        <v>0</v>
      </c>
      <c r="Y263" s="10">
        <v>0</v>
      </c>
      <c r="AA263" s="10">
        <v>0</v>
      </c>
      <c r="AC263" s="10">
        <v>0</v>
      </c>
      <c r="AE263" s="10">
        <v>0</v>
      </c>
      <c r="AG263" s="10">
        <v>0</v>
      </c>
      <c r="AI263" s="10">
        <f t="shared" si="9"/>
        <v>2626237</v>
      </c>
      <c r="AJ263" s="10"/>
    </row>
    <row r="264" spans="1:39" s="21" customFormat="1">
      <c r="A264" s="1" t="s">
        <v>332</v>
      </c>
      <c r="B264" s="1"/>
      <c r="C264" s="1" t="s">
        <v>329</v>
      </c>
      <c r="D264" s="1"/>
      <c r="E264" s="10">
        <v>20278</v>
      </c>
      <c r="F264" s="10"/>
      <c r="G264" s="10">
        <v>0</v>
      </c>
      <c r="H264" s="10"/>
      <c r="I264" s="10">
        <v>45366</v>
      </c>
      <c r="J264" s="10"/>
      <c r="K264" s="10">
        <v>0</v>
      </c>
      <c r="L264" s="10"/>
      <c r="M264" s="10">
        <v>0</v>
      </c>
      <c r="N264" s="10"/>
      <c r="O264" s="10">
        <v>0</v>
      </c>
      <c r="P264" s="10"/>
      <c r="Q264" s="10">
        <v>157</v>
      </c>
      <c r="R264" s="10"/>
      <c r="S264" s="10">
        <v>1475</v>
      </c>
      <c r="T264" s="10"/>
      <c r="U264" s="10">
        <v>0</v>
      </c>
      <c r="V264" s="10"/>
      <c r="W264" s="10">
        <v>0</v>
      </c>
      <c r="X264" s="10"/>
      <c r="Y264" s="10">
        <v>0</v>
      </c>
      <c r="Z264" s="10"/>
      <c r="AA264" s="10">
        <v>0</v>
      </c>
      <c r="AB264" s="10"/>
      <c r="AC264" s="10">
        <v>0</v>
      </c>
      <c r="AD264" s="10"/>
      <c r="AE264" s="10">
        <v>0</v>
      </c>
      <c r="AF264" s="10"/>
      <c r="AG264" s="10">
        <v>0</v>
      </c>
      <c r="AH264" s="10"/>
      <c r="AI264" s="10">
        <f t="shared" si="9"/>
        <v>67276</v>
      </c>
      <c r="AJ264" s="10"/>
    </row>
    <row r="265" spans="1:39" hidden="1">
      <c r="A265" s="1" t="s">
        <v>17</v>
      </c>
      <c r="C265" s="1" t="s">
        <v>755</v>
      </c>
      <c r="E265" s="10">
        <v>0</v>
      </c>
      <c r="G265" s="10">
        <v>0</v>
      </c>
      <c r="I265" s="10">
        <v>0</v>
      </c>
      <c r="K265" s="10">
        <v>0</v>
      </c>
      <c r="M265" s="10">
        <v>0</v>
      </c>
      <c r="O265" s="10">
        <v>0</v>
      </c>
      <c r="Q265" s="10">
        <v>0</v>
      </c>
      <c r="S265" s="10">
        <v>0</v>
      </c>
      <c r="U265" s="10">
        <v>0</v>
      </c>
      <c r="V265" s="24"/>
      <c r="W265" s="10">
        <v>0</v>
      </c>
      <c r="X265" s="24"/>
      <c r="Y265" s="10">
        <v>0</v>
      </c>
      <c r="AA265" s="10">
        <v>0</v>
      </c>
      <c r="AC265" s="10">
        <v>0</v>
      </c>
      <c r="AE265" s="10">
        <v>0</v>
      </c>
      <c r="AG265" s="10">
        <v>0</v>
      </c>
      <c r="AI265" s="10">
        <f t="shared" si="9"/>
        <v>0</v>
      </c>
      <c r="AJ265" s="10"/>
      <c r="AK265" s="7"/>
      <c r="AL265" s="7"/>
      <c r="AM265" s="7"/>
    </row>
    <row r="266" spans="1:39" s="21" customFormat="1" hidden="1">
      <c r="A266" s="1" t="s">
        <v>413</v>
      </c>
      <c r="B266" s="1"/>
      <c r="C266" s="1" t="s">
        <v>412</v>
      </c>
      <c r="D266" s="1"/>
      <c r="E266" s="10">
        <v>0</v>
      </c>
      <c r="F266" s="10"/>
      <c r="G266" s="10">
        <v>0</v>
      </c>
      <c r="H266" s="10"/>
      <c r="I266" s="10">
        <v>0</v>
      </c>
      <c r="J266" s="10"/>
      <c r="K266" s="10">
        <v>0</v>
      </c>
      <c r="L266" s="10"/>
      <c r="M266" s="10">
        <v>0</v>
      </c>
      <c r="N266" s="10"/>
      <c r="O266" s="10">
        <v>0</v>
      </c>
      <c r="P266" s="10"/>
      <c r="Q266" s="10">
        <v>0</v>
      </c>
      <c r="R266" s="10"/>
      <c r="S266" s="10">
        <v>0</v>
      </c>
      <c r="T266" s="10"/>
      <c r="U266" s="10">
        <v>0</v>
      </c>
      <c r="V266" s="24"/>
      <c r="W266" s="10">
        <v>0</v>
      </c>
      <c r="X266" s="24"/>
      <c r="Y266" s="10">
        <v>0</v>
      </c>
      <c r="Z266" s="10"/>
      <c r="AA266" s="10">
        <v>0</v>
      </c>
      <c r="AB266" s="10"/>
      <c r="AC266" s="10">
        <v>0</v>
      </c>
      <c r="AD266" s="10"/>
      <c r="AE266" s="10">
        <v>0</v>
      </c>
      <c r="AF266" s="10"/>
      <c r="AG266" s="10">
        <v>0</v>
      </c>
      <c r="AH266" s="10"/>
      <c r="AI266" s="10">
        <f t="shared" si="9"/>
        <v>0</v>
      </c>
      <c r="AJ266" s="10"/>
    </row>
    <row r="267" spans="1:39" s="21" customFormat="1" hidden="1">
      <c r="A267" s="1" t="s">
        <v>101</v>
      </c>
      <c r="B267" s="1"/>
      <c r="C267" s="1" t="s">
        <v>781</v>
      </c>
      <c r="D267" s="1"/>
      <c r="E267" s="10">
        <v>0</v>
      </c>
      <c r="F267" s="10"/>
      <c r="G267" s="10">
        <v>0</v>
      </c>
      <c r="H267" s="10"/>
      <c r="I267" s="10">
        <v>0</v>
      </c>
      <c r="J267" s="10"/>
      <c r="K267" s="10">
        <v>0</v>
      </c>
      <c r="L267" s="10"/>
      <c r="M267" s="10">
        <v>0</v>
      </c>
      <c r="N267" s="10"/>
      <c r="O267" s="10">
        <v>0</v>
      </c>
      <c r="P267" s="10"/>
      <c r="Q267" s="10">
        <v>0</v>
      </c>
      <c r="R267" s="10"/>
      <c r="S267" s="10">
        <v>0</v>
      </c>
      <c r="T267" s="10"/>
      <c r="U267" s="10">
        <v>0</v>
      </c>
      <c r="V267" s="24"/>
      <c r="W267" s="10">
        <v>0</v>
      </c>
      <c r="X267" s="24"/>
      <c r="Y267" s="10">
        <v>0</v>
      </c>
      <c r="Z267" s="10"/>
      <c r="AA267" s="10">
        <v>0</v>
      </c>
      <c r="AB267" s="10"/>
      <c r="AC267" s="10">
        <v>0</v>
      </c>
      <c r="AD267" s="10"/>
      <c r="AE267" s="10">
        <v>0</v>
      </c>
      <c r="AF267" s="10"/>
      <c r="AG267" s="10">
        <v>0</v>
      </c>
      <c r="AH267" s="10"/>
      <c r="AI267" s="10">
        <f t="shared" si="9"/>
        <v>0</v>
      </c>
      <c r="AJ267" s="10"/>
    </row>
    <row r="268" spans="1:39" hidden="1">
      <c r="A268" s="1" t="s">
        <v>257</v>
      </c>
      <c r="C268" s="1" t="s">
        <v>830</v>
      </c>
      <c r="E268" s="10">
        <v>0</v>
      </c>
      <c r="G268" s="10">
        <v>0</v>
      </c>
      <c r="I268" s="10">
        <v>0</v>
      </c>
      <c r="K268" s="10">
        <v>0</v>
      </c>
      <c r="M268" s="10">
        <v>0</v>
      </c>
      <c r="O268" s="10">
        <v>0</v>
      </c>
      <c r="Q268" s="10">
        <v>0</v>
      </c>
      <c r="S268" s="10">
        <v>0</v>
      </c>
      <c r="U268" s="10">
        <v>0</v>
      </c>
      <c r="V268" s="24"/>
      <c r="W268" s="10">
        <v>0</v>
      </c>
      <c r="X268" s="24"/>
      <c r="Y268" s="10">
        <v>0</v>
      </c>
      <c r="AA268" s="10">
        <v>0</v>
      </c>
      <c r="AC268" s="10">
        <v>0</v>
      </c>
      <c r="AE268" s="10">
        <v>0</v>
      </c>
      <c r="AG268" s="10">
        <v>0</v>
      </c>
      <c r="AI268" s="10">
        <f t="shared" si="9"/>
        <v>0</v>
      </c>
      <c r="AJ268" s="10"/>
    </row>
    <row r="269" spans="1:39" s="21" customFormat="1">
      <c r="A269" s="1" t="s">
        <v>321</v>
      </c>
      <c r="B269" s="1"/>
      <c r="C269" s="1" t="s">
        <v>316</v>
      </c>
      <c r="D269" s="1"/>
      <c r="E269" s="10">
        <v>594464</v>
      </c>
      <c r="F269" s="10"/>
      <c r="G269" s="10">
        <v>0</v>
      </c>
      <c r="H269" s="10"/>
      <c r="I269" s="10">
        <v>3650597</v>
      </c>
      <c r="J269" s="10"/>
      <c r="K269" s="10">
        <v>0</v>
      </c>
      <c r="L269" s="10"/>
      <c r="M269" s="10">
        <v>54976</v>
      </c>
      <c r="N269" s="10"/>
      <c r="O269" s="10">
        <v>79069</v>
      </c>
      <c r="P269" s="10"/>
      <c r="Q269" s="10">
        <v>580350</v>
      </c>
      <c r="R269" s="10"/>
      <c r="S269" s="10">
        <v>120473</v>
      </c>
      <c r="T269" s="10"/>
      <c r="U269" s="10">
        <v>0</v>
      </c>
      <c r="V269" s="10"/>
      <c r="W269" s="10">
        <v>0</v>
      </c>
      <c r="X269" s="10"/>
      <c r="Y269" s="10">
        <v>0</v>
      </c>
      <c r="Z269" s="10"/>
      <c r="AA269" s="10">
        <v>0</v>
      </c>
      <c r="AB269" s="10"/>
      <c r="AC269" s="10">
        <v>0</v>
      </c>
      <c r="AD269" s="10"/>
      <c r="AE269" s="10">
        <v>0</v>
      </c>
      <c r="AF269" s="10"/>
      <c r="AG269" s="10">
        <v>0</v>
      </c>
      <c r="AH269" s="10"/>
      <c r="AI269" s="10">
        <f t="shared" si="9"/>
        <v>5079929</v>
      </c>
      <c r="AJ269" s="10"/>
      <c r="AK269" s="22"/>
      <c r="AL269" s="22"/>
      <c r="AM269" s="22"/>
    </row>
    <row r="270" spans="1:39" s="21" customFormat="1" hidden="1">
      <c r="A270" s="1" t="s">
        <v>133</v>
      </c>
      <c r="B270" s="1"/>
      <c r="C270" s="1" t="s">
        <v>791</v>
      </c>
      <c r="D270" s="1"/>
      <c r="E270" s="10">
        <v>0</v>
      </c>
      <c r="F270" s="10"/>
      <c r="G270" s="10">
        <v>0</v>
      </c>
      <c r="H270" s="10"/>
      <c r="I270" s="10">
        <v>0</v>
      </c>
      <c r="J270" s="10"/>
      <c r="K270" s="10">
        <v>0</v>
      </c>
      <c r="L270" s="10"/>
      <c r="M270" s="10">
        <v>0</v>
      </c>
      <c r="N270" s="10"/>
      <c r="O270" s="10">
        <v>0</v>
      </c>
      <c r="P270" s="10"/>
      <c r="Q270" s="10">
        <v>0</v>
      </c>
      <c r="R270" s="10"/>
      <c r="S270" s="10">
        <v>0</v>
      </c>
      <c r="T270" s="10"/>
      <c r="U270" s="10">
        <v>0</v>
      </c>
      <c r="V270" s="24"/>
      <c r="W270" s="10">
        <v>0</v>
      </c>
      <c r="X270" s="24"/>
      <c r="Y270" s="10">
        <v>0</v>
      </c>
      <c r="Z270" s="10"/>
      <c r="AA270" s="10">
        <v>0</v>
      </c>
      <c r="AB270" s="10"/>
      <c r="AC270" s="10">
        <v>0</v>
      </c>
      <c r="AD270" s="10"/>
      <c r="AE270" s="10">
        <v>0</v>
      </c>
      <c r="AF270" s="10"/>
      <c r="AG270" s="10">
        <v>0</v>
      </c>
      <c r="AH270" s="10"/>
      <c r="AI270" s="10">
        <f t="shared" si="9"/>
        <v>0</v>
      </c>
      <c r="AJ270" s="10"/>
    </row>
    <row r="271" spans="1:39" hidden="1">
      <c r="A271" s="1" t="s">
        <v>118</v>
      </c>
      <c r="C271" s="1" t="s">
        <v>786</v>
      </c>
      <c r="E271" s="10">
        <v>0</v>
      </c>
      <c r="G271" s="10">
        <v>0</v>
      </c>
      <c r="I271" s="10">
        <v>0</v>
      </c>
      <c r="K271" s="10">
        <v>0</v>
      </c>
      <c r="M271" s="10">
        <v>0</v>
      </c>
      <c r="O271" s="10">
        <v>0</v>
      </c>
      <c r="Q271" s="10">
        <v>0</v>
      </c>
      <c r="S271" s="10">
        <v>0</v>
      </c>
      <c r="U271" s="10">
        <v>0</v>
      </c>
      <c r="V271" s="24"/>
      <c r="W271" s="10">
        <v>0</v>
      </c>
      <c r="X271" s="24"/>
      <c r="Y271" s="10">
        <v>0</v>
      </c>
      <c r="AA271" s="10">
        <v>0</v>
      </c>
      <c r="AC271" s="10">
        <v>0</v>
      </c>
      <c r="AE271" s="10">
        <v>0</v>
      </c>
      <c r="AG271" s="10">
        <v>0</v>
      </c>
      <c r="AI271" s="10">
        <f t="shared" si="9"/>
        <v>0</v>
      </c>
      <c r="AJ271" s="10"/>
    </row>
    <row r="272" spans="1:39" s="63" customFormat="1" hidden="1">
      <c r="A272" s="59" t="s">
        <v>695</v>
      </c>
      <c r="B272" s="59"/>
      <c r="C272" s="59" t="s">
        <v>329</v>
      </c>
      <c r="D272" s="59"/>
      <c r="E272" s="60">
        <v>606</v>
      </c>
      <c r="F272" s="60"/>
      <c r="G272" s="60">
        <v>0</v>
      </c>
      <c r="H272" s="60"/>
      <c r="I272" s="60">
        <v>23738</v>
      </c>
      <c r="J272" s="60"/>
      <c r="K272" s="60">
        <v>0</v>
      </c>
      <c r="L272" s="60"/>
      <c r="M272" s="60">
        <v>0</v>
      </c>
      <c r="N272" s="60"/>
      <c r="O272" s="60">
        <v>0</v>
      </c>
      <c r="P272" s="60"/>
      <c r="Q272" s="60">
        <v>111</v>
      </c>
      <c r="R272" s="60"/>
      <c r="S272" s="60">
        <v>2800</v>
      </c>
      <c r="T272" s="60"/>
      <c r="U272" s="60">
        <v>0</v>
      </c>
      <c r="V272" s="60"/>
      <c r="W272" s="60">
        <v>0</v>
      </c>
      <c r="X272" s="60"/>
      <c r="Y272" s="60">
        <v>0</v>
      </c>
      <c r="Z272" s="60"/>
      <c r="AA272" s="60">
        <v>0</v>
      </c>
      <c r="AB272" s="60"/>
      <c r="AC272" s="60">
        <v>0</v>
      </c>
      <c r="AD272" s="60"/>
      <c r="AE272" s="60">
        <v>0</v>
      </c>
      <c r="AF272" s="60"/>
      <c r="AG272" s="60">
        <v>0</v>
      </c>
      <c r="AH272" s="60"/>
      <c r="AI272" s="60">
        <f t="shared" si="9"/>
        <v>27255</v>
      </c>
      <c r="AJ272" s="60"/>
      <c r="AK272" s="67"/>
      <c r="AL272" s="67"/>
      <c r="AM272" s="67"/>
    </row>
    <row r="273" spans="1:39" hidden="1">
      <c r="A273" s="1" t="s">
        <v>223</v>
      </c>
      <c r="C273" s="1" t="s">
        <v>819</v>
      </c>
      <c r="E273" s="10">
        <v>0</v>
      </c>
      <c r="G273" s="10">
        <v>0</v>
      </c>
      <c r="I273" s="10">
        <v>0</v>
      </c>
      <c r="K273" s="10">
        <v>0</v>
      </c>
      <c r="M273" s="10">
        <v>0</v>
      </c>
      <c r="O273" s="10">
        <v>0</v>
      </c>
      <c r="Q273" s="10">
        <v>0</v>
      </c>
      <c r="S273" s="10">
        <v>0</v>
      </c>
      <c r="U273" s="10">
        <v>0</v>
      </c>
      <c r="V273" s="24"/>
      <c r="W273" s="10">
        <v>0</v>
      </c>
      <c r="X273" s="24"/>
      <c r="Y273" s="10">
        <v>0</v>
      </c>
      <c r="AA273" s="10">
        <v>0</v>
      </c>
      <c r="AC273" s="10">
        <v>0</v>
      </c>
      <c r="AE273" s="10">
        <v>0</v>
      </c>
      <c r="AG273" s="10">
        <v>0</v>
      </c>
      <c r="AI273" s="10">
        <f t="shared" si="9"/>
        <v>0</v>
      </c>
      <c r="AJ273" s="10"/>
    </row>
    <row r="274" spans="1:39" s="63" customFormat="1" hidden="1">
      <c r="A274" s="59" t="s">
        <v>697</v>
      </c>
      <c r="B274" s="59"/>
      <c r="C274" s="59" t="s">
        <v>696</v>
      </c>
      <c r="D274" s="59"/>
      <c r="E274" s="60">
        <v>988</v>
      </c>
      <c r="F274" s="60"/>
      <c r="G274" s="60">
        <v>0</v>
      </c>
      <c r="H274" s="60"/>
      <c r="I274" s="60">
        <v>18400</v>
      </c>
      <c r="J274" s="60"/>
      <c r="K274" s="60">
        <v>0</v>
      </c>
      <c r="L274" s="60"/>
      <c r="M274" s="60">
        <v>67</v>
      </c>
      <c r="N274" s="60"/>
      <c r="O274" s="60">
        <v>0</v>
      </c>
      <c r="P274" s="60"/>
      <c r="Q274" s="60">
        <v>0</v>
      </c>
      <c r="R274" s="60"/>
      <c r="S274" s="60">
        <v>0</v>
      </c>
      <c r="T274" s="60"/>
      <c r="U274" s="60">
        <v>0</v>
      </c>
      <c r="V274" s="60"/>
      <c r="W274" s="60">
        <v>0</v>
      </c>
      <c r="X274" s="60"/>
      <c r="Y274" s="60">
        <v>0</v>
      </c>
      <c r="Z274" s="60"/>
      <c r="AA274" s="60">
        <v>0</v>
      </c>
      <c r="AB274" s="60"/>
      <c r="AC274" s="60">
        <v>0</v>
      </c>
      <c r="AD274" s="60"/>
      <c r="AE274" s="60">
        <v>0</v>
      </c>
      <c r="AF274" s="60"/>
      <c r="AG274" s="60">
        <v>0</v>
      </c>
      <c r="AH274" s="60"/>
      <c r="AI274" s="60">
        <f t="shared" si="9"/>
        <v>19455</v>
      </c>
      <c r="AJ274" s="60"/>
      <c r="AK274" s="67"/>
      <c r="AL274" s="67"/>
      <c r="AM274" s="67"/>
    </row>
    <row r="275" spans="1:39" s="21" customFormat="1" hidden="1">
      <c r="A275" s="1" t="s">
        <v>84</v>
      </c>
      <c r="B275" s="1"/>
      <c r="C275" s="1" t="s">
        <v>776</v>
      </c>
      <c r="D275" s="1"/>
      <c r="E275" s="10">
        <v>0</v>
      </c>
      <c r="F275" s="10"/>
      <c r="G275" s="10">
        <v>0</v>
      </c>
      <c r="H275" s="10"/>
      <c r="I275" s="10">
        <v>0</v>
      </c>
      <c r="J275" s="10"/>
      <c r="K275" s="10">
        <v>0</v>
      </c>
      <c r="L275" s="10"/>
      <c r="M275" s="10">
        <v>0</v>
      </c>
      <c r="N275" s="10"/>
      <c r="O275" s="10">
        <v>0</v>
      </c>
      <c r="P275" s="10"/>
      <c r="Q275" s="10">
        <v>0</v>
      </c>
      <c r="R275" s="10"/>
      <c r="S275" s="10">
        <v>0</v>
      </c>
      <c r="T275" s="10"/>
      <c r="U275" s="10">
        <v>0</v>
      </c>
      <c r="V275" s="24"/>
      <c r="W275" s="10">
        <v>0</v>
      </c>
      <c r="X275" s="24"/>
      <c r="Y275" s="10">
        <v>0</v>
      </c>
      <c r="Z275" s="10"/>
      <c r="AA275" s="10">
        <v>0</v>
      </c>
      <c r="AB275" s="10"/>
      <c r="AC275" s="10">
        <v>0</v>
      </c>
      <c r="AD275" s="10"/>
      <c r="AE275" s="10">
        <v>0</v>
      </c>
      <c r="AF275" s="10"/>
      <c r="AG275" s="10">
        <v>0</v>
      </c>
      <c r="AH275" s="10"/>
      <c r="AI275" s="10">
        <f t="shared" si="9"/>
        <v>0</v>
      </c>
      <c r="AJ275" s="10"/>
    </row>
    <row r="276" spans="1:39" s="21" customFormat="1">
      <c r="A276" s="1" t="s">
        <v>698</v>
      </c>
      <c r="B276" s="1"/>
      <c r="C276" s="1" t="s">
        <v>677</v>
      </c>
      <c r="D276" s="1"/>
      <c r="E276" s="10">
        <v>712063</v>
      </c>
      <c r="F276" s="10"/>
      <c r="G276" s="10">
        <v>0</v>
      </c>
      <c r="H276" s="10"/>
      <c r="I276" s="10">
        <v>76952</v>
      </c>
      <c r="J276" s="10"/>
      <c r="K276" s="10">
        <v>0</v>
      </c>
      <c r="L276" s="10"/>
      <c r="M276" s="10">
        <v>73</v>
      </c>
      <c r="N276" s="10"/>
      <c r="O276" s="10">
        <v>34491</v>
      </c>
      <c r="P276" s="10"/>
      <c r="Q276" s="10">
        <v>15766</v>
      </c>
      <c r="R276" s="10"/>
      <c r="S276" s="10">
        <v>28224</v>
      </c>
      <c r="T276" s="10"/>
      <c r="U276" s="10">
        <v>0</v>
      </c>
      <c r="V276" s="10"/>
      <c r="W276" s="10">
        <v>0</v>
      </c>
      <c r="X276" s="10"/>
      <c r="Y276" s="10">
        <v>0</v>
      </c>
      <c r="Z276" s="10"/>
      <c r="AA276" s="10">
        <v>52053</v>
      </c>
      <c r="AB276" s="10"/>
      <c r="AC276" s="10">
        <v>0</v>
      </c>
      <c r="AD276" s="10"/>
      <c r="AE276" s="10">
        <v>0</v>
      </c>
      <c r="AF276" s="10"/>
      <c r="AG276" s="10">
        <v>0</v>
      </c>
      <c r="AH276" s="10"/>
      <c r="AI276" s="10">
        <f t="shared" si="9"/>
        <v>919622</v>
      </c>
      <c r="AJ276" s="10"/>
      <c r="AK276" s="22"/>
      <c r="AL276" s="22"/>
      <c r="AM276" s="22"/>
    </row>
    <row r="277" spans="1:39" hidden="1">
      <c r="A277" s="1" t="s">
        <v>69</v>
      </c>
      <c r="C277" s="1" t="s">
        <v>772</v>
      </c>
      <c r="E277" s="10">
        <v>0</v>
      </c>
      <c r="G277" s="10">
        <v>0</v>
      </c>
      <c r="I277" s="10">
        <v>0</v>
      </c>
      <c r="K277" s="10">
        <v>0</v>
      </c>
      <c r="M277" s="10">
        <v>0</v>
      </c>
      <c r="O277" s="10">
        <v>0</v>
      </c>
      <c r="Q277" s="10">
        <v>0</v>
      </c>
      <c r="S277" s="10">
        <v>0</v>
      </c>
      <c r="T277" s="24"/>
      <c r="U277" s="10">
        <v>0</v>
      </c>
      <c r="V277" s="24"/>
      <c r="W277" s="10">
        <v>0</v>
      </c>
      <c r="Y277" s="10">
        <v>0</v>
      </c>
      <c r="AA277" s="10">
        <v>0</v>
      </c>
      <c r="AC277" s="10">
        <v>0</v>
      </c>
      <c r="AE277" s="10">
        <v>0</v>
      </c>
      <c r="AG277" s="10">
        <v>0</v>
      </c>
      <c r="AI277" s="10">
        <f t="shared" si="9"/>
        <v>0</v>
      </c>
      <c r="AJ277" s="10"/>
      <c r="AK277" s="7"/>
      <c r="AL277" s="7"/>
      <c r="AM277" s="7"/>
    </row>
    <row r="278" spans="1:39" s="21" customFormat="1" hidden="1">
      <c r="A278" s="40" t="s">
        <v>699</v>
      </c>
      <c r="B278" s="40"/>
      <c r="C278" s="40" t="s">
        <v>388</v>
      </c>
      <c r="D278" s="1"/>
      <c r="E278" s="10">
        <v>0</v>
      </c>
      <c r="F278" s="10"/>
      <c r="G278" s="10">
        <v>0</v>
      </c>
      <c r="H278" s="10"/>
      <c r="I278" s="10">
        <v>0</v>
      </c>
      <c r="J278" s="10"/>
      <c r="K278" s="10">
        <v>0</v>
      </c>
      <c r="L278" s="10"/>
      <c r="M278" s="10">
        <v>0</v>
      </c>
      <c r="N278" s="10"/>
      <c r="O278" s="10">
        <v>0</v>
      </c>
      <c r="P278" s="10"/>
      <c r="Q278" s="10">
        <v>0</v>
      </c>
      <c r="R278" s="10"/>
      <c r="S278" s="10">
        <v>0</v>
      </c>
      <c r="T278" s="10"/>
      <c r="U278" s="10">
        <v>0</v>
      </c>
      <c r="V278" s="10"/>
      <c r="W278" s="10">
        <v>0</v>
      </c>
      <c r="X278" s="10"/>
      <c r="Y278" s="10">
        <v>0</v>
      </c>
      <c r="Z278" s="10"/>
      <c r="AA278" s="10">
        <v>0</v>
      </c>
      <c r="AB278" s="10"/>
      <c r="AC278" s="10">
        <v>0</v>
      </c>
      <c r="AD278" s="10"/>
      <c r="AE278" s="10">
        <v>0</v>
      </c>
      <c r="AF278" s="35"/>
      <c r="AG278" s="10">
        <v>0</v>
      </c>
      <c r="AH278" s="35"/>
      <c r="AI278" s="10">
        <f t="shared" si="9"/>
        <v>0</v>
      </c>
      <c r="AJ278" s="40"/>
    </row>
    <row r="279" spans="1:39" s="21" customFormat="1" ht="12.75">
      <c r="A279" s="1" t="s">
        <v>700</v>
      </c>
      <c r="B279" s="1"/>
      <c r="C279" s="23" t="s">
        <v>672</v>
      </c>
      <c r="D279" s="1"/>
      <c r="E279" s="10">
        <v>31081</v>
      </c>
      <c r="F279" s="10"/>
      <c r="G279" s="10">
        <v>0</v>
      </c>
      <c r="H279" s="10"/>
      <c r="I279" s="10">
        <v>57518</v>
      </c>
      <c r="J279" s="10"/>
      <c r="K279" s="10">
        <v>0</v>
      </c>
      <c r="L279" s="10"/>
      <c r="M279" s="10">
        <v>660</v>
      </c>
      <c r="N279" s="10"/>
      <c r="O279" s="10">
        <v>0</v>
      </c>
      <c r="P279" s="10"/>
      <c r="Q279" s="10">
        <v>3648</v>
      </c>
      <c r="R279" s="10"/>
      <c r="S279" s="10">
        <v>11850</v>
      </c>
      <c r="T279" s="10"/>
      <c r="U279" s="10">
        <v>0</v>
      </c>
      <c r="V279" s="10"/>
      <c r="W279" s="10">
        <v>0</v>
      </c>
      <c r="X279" s="10"/>
      <c r="Y279" s="10">
        <v>0</v>
      </c>
      <c r="Z279" s="10"/>
      <c r="AA279" s="10">
        <v>0</v>
      </c>
      <c r="AB279" s="10"/>
      <c r="AC279" s="10">
        <v>0</v>
      </c>
      <c r="AD279" s="10"/>
      <c r="AE279" s="10">
        <v>0</v>
      </c>
      <c r="AF279" s="35"/>
      <c r="AG279" s="10">
        <v>0</v>
      </c>
      <c r="AH279" s="35"/>
      <c r="AI279" s="10">
        <f t="shared" si="9"/>
        <v>104757</v>
      </c>
      <c r="AJ279" s="40"/>
    </row>
    <row r="280" spans="1:39" s="63" customFormat="1" hidden="1">
      <c r="A280" s="59" t="s">
        <v>912</v>
      </c>
      <c r="B280" s="59"/>
      <c r="C280" s="59" t="s">
        <v>801</v>
      </c>
      <c r="D280" s="59"/>
      <c r="E280" s="60">
        <v>2982</v>
      </c>
      <c r="F280" s="60"/>
      <c r="G280" s="60">
        <v>0</v>
      </c>
      <c r="H280" s="60"/>
      <c r="I280" s="60">
        <v>7116</v>
      </c>
      <c r="J280" s="60"/>
      <c r="K280" s="60">
        <v>0</v>
      </c>
      <c r="L280" s="60"/>
      <c r="M280" s="60">
        <v>0</v>
      </c>
      <c r="N280" s="60"/>
      <c r="O280" s="60">
        <v>0</v>
      </c>
      <c r="P280" s="60"/>
      <c r="Q280" s="60">
        <v>0</v>
      </c>
      <c r="R280" s="60"/>
      <c r="S280" s="60">
        <v>0</v>
      </c>
      <c r="T280" s="60"/>
      <c r="U280" s="60">
        <v>0</v>
      </c>
      <c r="V280" s="60"/>
      <c r="W280" s="60">
        <v>0</v>
      </c>
      <c r="X280" s="60"/>
      <c r="Y280" s="60">
        <v>0</v>
      </c>
      <c r="Z280" s="60"/>
      <c r="AA280" s="60">
        <v>0</v>
      </c>
      <c r="AB280" s="60"/>
      <c r="AC280" s="60">
        <v>0</v>
      </c>
      <c r="AD280" s="60"/>
      <c r="AE280" s="60">
        <v>0</v>
      </c>
      <c r="AF280" s="62"/>
      <c r="AG280" s="60">
        <v>0</v>
      </c>
      <c r="AH280" s="62"/>
      <c r="AI280" s="60">
        <f t="shared" si="9"/>
        <v>10098</v>
      </c>
      <c r="AJ280" s="66"/>
    </row>
    <row r="281" spans="1:39" s="21" customFormat="1" ht="12.75">
      <c r="A281" s="1" t="s">
        <v>131</v>
      </c>
      <c r="B281" s="1"/>
      <c r="C281" s="23" t="s">
        <v>790</v>
      </c>
      <c r="D281" s="1"/>
      <c r="E281" s="10">
        <v>225267</v>
      </c>
      <c r="F281" s="10"/>
      <c r="G281" s="10">
        <v>1071073</v>
      </c>
      <c r="H281" s="10"/>
      <c r="I281" s="10">
        <v>250924</v>
      </c>
      <c r="J281" s="10"/>
      <c r="K281" s="10">
        <v>0</v>
      </c>
      <c r="L281" s="10"/>
      <c r="M281" s="10">
        <v>9775</v>
      </c>
      <c r="N281" s="10"/>
      <c r="O281" s="10">
        <v>209575</v>
      </c>
      <c r="P281" s="10"/>
      <c r="Q281" s="10">
        <v>41452</v>
      </c>
      <c r="R281" s="10"/>
      <c r="S281" s="10">
        <v>14039</v>
      </c>
      <c r="T281" s="10"/>
      <c r="U281" s="10">
        <v>0</v>
      </c>
      <c r="V281" s="10"/>
      <c r="W281" s="10">
        <v>0</v>
      </c>
      <c r="X281" s="10"/>
      <c r="Y281" s="10">
        <v>0</v>
      </c>
      <c r="Z281" s="10"/>
      <c r="AA281" s="10">
        <v>0</v>
      </c>
      <c r="AB281" s="10"/>
      <c r="AC281" s="10">
        <v>0</v>
      </c>
      <c r="AD281" s="10"/>
      <c r="AE281" s="10">
        <v>0</v>
      </c>
      <c r="AF281" s="35"/>
      <c r="AG281" s="10">
        <v>0</v>
      </c>
      <c r="AH281" s="35"/>
      <c r="AI281" s="10">
        <f t="shared" si="9"/>
        <v>1822105</v>
      </c>
      <c r="AJ281" s="40"/>
    </row>
    <row r="282" spans="1:39" s="21" customFormat="1">
      <c r="A282" s="1" t="s">
        <v>702</v>
      </c>
      <c r="B282" s="1"/>
      <c r="C282" s="1" t="s">
        <v>504</v>
      </c>
      <c r="D282" s="1"/>
      <c r="E282" s="10">
        <v>24080</v>
      </c>
      <c r="F282" s="10"/>
      <c r="G282" s="10">
        <v>0</v>
      </c>
      <c r="H282" s="10"/>
      <c r="I282" s="10">
        <v>26212</v>
      </c>
      <c r="J282" s="10"/>
      <c r="K282" s="10">
        <v>0</v>
      </c>
      <c r="L282" s="10"/>
      <c r="M282" s="10">
        <v>250</v>
      </c>
      <c r="N282" s="10"/>
      <c r="O282" s="10">
        <v>1140</v>
      </c>
      <c r="P282" s="10"/>
      <c r="Q282" s="10">
        <v>14246</v>
      </c>
      <c r="R282" s="10"/>
      <c r="S282" s="10">
        <v>41014</v>
      </c>
      <c r="T282" s="10"/>
      <c r="U282" s="10">
        <v>0</v>
      </c>
      <c r="V282" s="10"/>
      <c r="W282" s="10">
        <v>0</v>
      </c>
      <c r="X282" s="10"/>
      <c r="Y282" s="10">
        <v>0</v>
      </c>
      <c r="Z282" s="10"/>
      <c r="AA282" s="10">
        <v>0</v>
      </c>
      <c r="AB282" s="10"/>
      <c r="AC282" s="10">
        <v>0</v>
      </c>
      <c r="AD282" s="10"/>
      <c r="AE282" s="10">
        <v>0</v>
      </c>
      <c r="AF282" s="35"/>
      <c r="AG282" s="10">
        <v>0</v>
      </c>
      <c r="AH282" s="35"/>
      <c r="AI282" s="10">
        <f t="shared" si="9"/>
        <v>106942</v>
      </c>
      <c r="AJ282" s="40"/>
    </row>
    <row r="283" spans="1:39" s="21" customFormat="1">
      <c r="A283" s="1" t="s">
        <v>703</v>
      </c>
      <c r="B283" s="1"/>
      <c r="C283" s="1" t="s">
        <v>348</v>
      </c>
      <c r="D283" s="1"/>
      <c r="E283" s="10">
        <v>248693</v>
      </c>
      <c r="F283" s="10"/>
      <c r="G283" s="10">
        <v>0</v>
      </c>
      <c r="H283" s="10"/>
      <c r="I283" s="10">
        <v>251959</v>
      </c>
      <c r="J283" s="10"/>
      <c r="K283" s="10">
        <v>0</v>
      </c>
      <c r="L283" s="10"/>
      <c r="M283" s="10">
        <v>1500</v>
      </c>
      <c r="N283" s="10"/>
      <c r="O283" s="10">
        <v>44255</v>
      </c>
      <c r="P283" s="10"/>
      <c r="Q283" s="10">
        <v>16880</v>
      </c>
      <c r="R283" s="10"/>
      <c r="S283" s="10">
        <v>9095</v>
      </c>
      <c r="T283" s="10"/>
      <c r="U283" s="10">
        <v>0</v>
      </c>
      <c r="V283" s="10"/>
      <c r="W283" s="10">
        <v>0</v>
      </c>
      <c r="X283" s="10"/>
      <c r="Y283" s="10">
        <v>0</v>
      </c>
      <c r="Z283" s="10"/>
      <c r="AA283" s="10">
        <v>0</v>
      </c>
      <c r="AB283" s="10"/>
      <c r="AC283" s="10">
        <v>0</v>
      </c>
      <c r="AD283" s="10"/>
      <c r="AE283" s="10">
        <v>36</v>
      </c>
      <c r="AF283" s="35"/>
      <c r="AG283" s="10">
        <v>0</v>
      </c>
      <c r="AH283" s="35"/>
      <c r="AI283" s="10">
        <f t="shared" si="9"/>
        <v>572418</v>
      </c>
      <c r="AJ283" s="40"/>
    </row>
    <row r="284" spans="1:39" s="31" customFormat="1">
      <c r="A284" s="15" t="s">
        <v>704</v>
      </c>
      <c r="B284" s="15"/>
      <c r="C284" s="15" t="s">
        <v>541</v>
      </c>
      <c r="D284" s="15"/>
      <c r="E284" s="24">
        <v>14159</v>
      </c>
      <c r="F284" s="24"/>
      <c r="G284" s="24">
        <v>0</v>
      </c>
      <c r="H284" s="24"/>
      <c r="I284" s="24">
        <v>14517</v>
      </c>
      <c r="J284" s="24"/>
      <c r="K284" s="24">
        <v>0</v>
      </c>
      <c r="L284" s="24"/>
      <c r="M284" s="24">
        <v>0</v>
      </c>
      <c r="N284" s="24"/>
      <c r="O284" s="24">
        <v>60</v>
      </c>
      <c r="P284" s="24"/>
      <c r="Q284" s="24">
        <v>0</v>
      </c>
      <c r="R284" s="24"/>
      <c r="S284" s="24">
        <v>844</v>
      </c>
      <c r="T284" s="24"/>
      <c r="U284" s="24">
        <v>0</v>
      </c>
      <c r="V284" s="24"/>
      <c r="W284" s="24">
        <v>0</v>
      </c>
      <c r="X284" s="24"/>
      <c r="Y284" s="24">
        <v>0</v>
      </c>
      <c r="Z284" s="24"/>
      <c r="AA284" s="24">
        <v>0</v>
      </c>
      <c r="AB284" s="24"/>
      <c r="AC284" s="24">
        <v>0</v>
      </c>
      <c r="AD284" s="24"/>
      <c r="AE284" s="24">
        <v>0</v>
      </c>
      <c r="AF284" s="38"/>
      <c r="AG284" s="24">
        <v>0</v>
      </c>
      <c r="AH284" s="38"/>
      <c r="AI284" s="24">
        <f t="shared" ref="AI284:AI315" si="10">SUM(E284:AG284)</f>
        <v>29580</v>
      </c>
      <c r="AJ284" s="41"/>
    </row>
    <row r="285" spans="1:39">
      <c r="A285" s="1" t="s">
        <v>913</v>
      </c>
      <c r="C285" s="1" t="s">
        <v>412</v>
      </c>
      <c r="E285" s="10">
        <v>55291</v>
      </c>
      <c r="G285" s="10">
        <v>0</v>
      </c>
      <c r="I285" s="10">
        <v>31375</v>
      </c>
      <c r="K285" s="10">
        <v>0</v>
      </c>
      <c r="M285" s="10">
        <v>1835</v>
      </c>
      <c r="O285" s="10">
        <v>0</v>
      </c>
      <c r="Q285" s="10">
        <v>7814</v>
      </c>
      <c r="S285" s="10">
        <v>24428</v>
      </c>
      <c r="U285" s="10">
        <v>0</v>
      </c>
      <c r="V285" s="24"/>
      <c r="W285" s="10">
        <v>0</v>
      </c>
      <c r="X285" s="24"/>
      <c r="Y285" s="10">
        <v>0</v>
      </c>
      <c r="AA285" s="10">
        <v>0</v>
      </c>
      <c r="AC285" s="10">
        <v>0</v>
      </c>
      <c r="AE285" s="10">
        <v>0</v>
      </c>
      <c r="AG285" s="10">
        <v>0</v>
      </c>
      <c r="AI285" s="10">
        <f t="shared" si="10"/>
        <v>120743</v>
      </c>
      <c r="AJ285" s="10"/>
    </row>
    <row r="286" spans="1:39" hidden="1">
      <c r="A286" s="1" t="s">
        <v>213</v>
      </c>
      <c r="C286" s="1" t="s">
        <v>815</v>
      </c>
      <c r="E286" s="10">
        <v>0</v>
      </c>
      <c r="G286" s="10">
        <v>0</v>
      </c>
      <c r="I286" s="10">
        <v>0</v>
      </c>
      <c r="K286" s="10">
        <v>0</v>
      </c>
      <c r="M286" s="10">
        <v>0</v>
      </c>
      <c r="O286" s="10">
        <v>0</v>
      </c>
      <c r="Q286" s="10">
        <v>0</v>
      </c>
      <c r="S286" s="10">
        <v>0</v>
      </c>
      <c r="U286" s="10">
        <v>0</v>
      </c>
      <c r="V286" s="24"/>
      <c r="W286" s="10">
        <v>0</v>
      </c>
      <c r="X286" s="24"/>
      <c r="Y286" s="10">
        <v>0</v>
      </c>
      <c r="AA286" s="10">
        <v>0</v>
      </c>
      <c r="AC286" s="10">
        <v>0</v>
      </c>
      <c r="AE286" s="10">
        <v>0</v>
      </c>
      <c r="AG286" s="10">
        <v>0</v>
      </c>
      <c r="AI286" s="10">
        <f t="shared" si="10"/>
        <v>0</v>
      </c>
      <c r="AJ286" s="10"/>
    </row>
    <row r="287" spans="1:39" s="21" customFormat="1" hidden="1">
      <c r="A287" s="1" t="s">
        <v>136</v>
      </c>
      <c r="B287" s="1"/>
      <c r="C287" s="1" t="s">
        <v>792</v>
      </c>
      <c r="D287" s="1"/>
      <c r="E287" s="10">
        <v>0</v>
      </c>
      <c r="F287" s="10"/>
      <c r="G287" s="10">
        <v>0</v>
      </c>
      <c r="H287" s="10"/>
      <c r="I287" s="10">
        <v>0</v>
      </c>
      <c r="J287" s="10"/>
      <c r="K287" s="10">
        <v>0</v>
      </c>
      <c r="L287" s="10"/>
      <c r="M287" s="10">
        <v>0</v>
      </c>
      <c r="N287" s="10"/>
      <c r="O287" s="10">
        <v>0</v>
      </c>
      <c r="P287" s="10"/>
      <c r="Q287" s="10">
        <v>0</v>
      </c>
      <c r="R287" s="10"/>
      <c r="S287" s="10">
        <v>0</v>
      </c>
      <c r="T287" s="10"/>
      <c r="U287" s="10">
        <v>0</v>
      </c>
      <c r="V287" s="24"/>
      <c r="W287" s="10">
        <v>0</v>
      </c>
      <c r="X287" s="24"/>
      <c r="Y287" s="10">
        <v>0</v>
      </c>
      <c r="Z287" s="10"/>
      <c r="AA287" s="10">
        <v>0</v>
      </c>
      <c r="AB287" s="10"/>
      <c r="AC287" s="10">
        <v>0</v>
      </c>
      <c r="AD287" s="10"/>
      <c r="AE287" s="10">
        <v>0</v>
      </c>
      <c r="AF287" s="10"/>
      <c r="AG287" s="10">
        <v>0</v>
      </c>
      <c r="AH287" s="10"/>
      <c r="AI287" s="10">
        <f t="shared" si="10"/>
        <v>0</v>
      </c>
      <c r="AJ287" s="10"/>
    </row>
    <row r="288" spans="1:39" hidden="1">
      <c r="A288" s="1" t="s">
        <v>265</v>
      </c>
      <c r="C288" s="1" t="s">
        <v>831</v>
      </c>
      <c r="E288" s="10">
        <v>0</v>
      </c>
      <c r="G288" s="10">
        <v>0</v>
      </c>
      <c r="I288" s="10">
        <v>0</v>
      </c>
      <c r="K288" s="10">
        <v>0</v>
      </c>
      <c r="M288" s="10">
        <v>0</v>
      </c>
      <c r="O288" s="10">
        <v>0</v>
      </c>
      <c r="Q288" s="10">
        <v>0</v>
      </c>
      <c r="S288" s="10">
        <v>0</v>
      </c>
      <c r="U288" s="10">
        <v>0</v>
      </c>
      <c r="V288" s="24"/>
      <c r="W288" s="10">
        <v>0</v>
      </c>
      <c r="X288" s="24"/>
      <c r="Y288" s="10">
        <v>0</v>
      </c>
      <c r="AA288" s="10">
        <v>0</v>
      </c>
      <c r="AC288" s="10">
        <v>0</v>
      </c>
      <c r="AE288" s="10">
        <v>0</v>
      </c>
      <c r="AG288" s="10">
        <v>0</v>
      </c>
      <c r="AI288" s="10">
        <f t="shared" si="10"/>
        <v>0</v>
      </c>
      <c r="AJ288" s="10"/>
    </row>
    <row r="289" spans="1:39" hidden="1">
      <c r="A289" s="1" t="s">
        <v>705</v>
      </c>
      <c r="C289" s="1" t="s">
        <v>439</v>
      </c>
      <c r="E289" s="10">
        <v>0</v>
      </c>
      <c r="G289" s="10">
        <v>0</v>
      </c>
      <c r="I289" s="10">
        <v>0</v>
      </c>
      <c r="K289" s="10">
        <v>0</v>
      </c>
      <c r="M289" s="10">
        <v>0</v>
      </c>
      <c r="O289" s="10">
        <v>0</v>
      </c>
      <c r="Q289" s="10">
        <v>0</v>
      </c>
      <c r="S289" s="10">
        <v>0</v>
      </c>
      <c r="U289" s="10">
        <v>0</v>
      </c>
      <c r="V289" s="24"/>
      <c r="W289" s="10">
        <v>0</v>
      </c>
      <c r="X289" s="24"/>
      <c r="Y289" s="10">
        <v>0</v>
      </c>
      <c r="AA289" s="10">
        <v>0</v>
      </c>
      <c r="AC289" s="10">
        <v>0</v>
      </c>
      <c r="AE289" s="10">
        <v>0</v>
      </c>
      <c r="AG289" s="10">
        <v>0</v>
      </c>
      <c r="AI289" s="10">
        <f t="shared" si="10"/>
        <v>0</v>
      </c>
      <c r="AJ289" s="10"/>
    </row>
    <row r="290" spans="1:39" s="21" customFormat="1">
      <c r="A290" s="1" t="s">
        <v>706</v>
      </c>
      <c r="B290" s="1"/>
      <c r="C290" s="1" t="s">
        <v>430</v>
      </c>
      <c r="D290" s="1"/>
      <c r="E290" s="10">
        <v>800902</v>
      </c>
      <c r="F290" s="10"/>
      <c r="G290" s="10">
        <v>0</v>
      </c>
      <c r="H290" s="10"/>
      <c r="I290" s="10">
        <v>371506</v>
      </c>
      <c r="J290" s="10"/>
      <c r="K290" s="10">
        <v>0</v>
      </c>
      <c r="L290" s="10"/>
      <c r="M290" s="10">
        <v>3541</v>
      </c>
      <c r="N290" s="10"/>
      <c r="O290" s="10">
        <v>114218</v>
      </c>
      <c r="P290" s="10"/>
      <c r="Q290" s="10">
        <v>804745</v>
      </c>
      <c r="R290" s="10"/>
      <c r="S290" s="10">
        <v>16823</v>
      </c>
      <c r="T290" s="10"/>
      <c r="U290" s="10">
        <v>0</v>
      </c>
      <c r="V290" s="10"/>
      <c r="W290" s="10">
        <v>0</v>
      </c>
      <c r="X290" s="10"/>
      <c r="Y290" s="10">
        <v>0</v>
      </c>
      <c r="Z290" s="10"/>
      <c r="AA290" s="10">
        <v>0</v>
      </c>
      <c r="AB290" s="10"/>
      <c r="AC290" s="10">
        <v>0</v>
      </c>
      <c r="AD290" s="10"/>
      <c r="AE290" s="10">
        <v>0</v>
      </c>
      <c r="AF290" s="10"/>
      <c r="AG290" s="10">
        <v>0</v>
      </c>
      <c r="AH290" s="10"/>
      <c r="AI290" s="10">
        <f t="shared" si="10"/>
        <v>2111735</v>
      </c>
      <c r="AJ290" s="10"/>
    </row>
    <row r="291" spans="1:39" s="21" customFormat="1" hidden="1">
      <c r="A291" s="1" t="s">
        <v>5</v>
      </c>
      <c r="B291" s="1"/>
      <c r="C291" s="1" t="s">
        <v>751</v>
      </c>
      <c r="D291" s="1"/>
      <c r="E291" s="10">
        <v>0</v>
      </c>
      <c r="F291" s="10"/>
      <c r="G291" s="10">
        <v>0</v>
      </c>
      <c r="H291" s="10"/>
      <c r="I291" s="10">
        <v>0</v>
      </c>
      <c r="J291" s="10"/>
      <c r="K291" s="10">
        <v>0</v>
      </c>
      <c r="L291" s="10"/>
      <c r="M291" s="10">
        <v>0</v>
      </c>
      <c r="N291" s="10"/>
      <c r="O291" s="10">
        <v>0</v>
      </c>
      <c r="P291" s="10"/>
      <c r="Q291" s="10">
        <v>0</v>
      </c>
      <c r="R291" s="10"/>
      <c r="S291" s="10">
        <v>0</v>
      </c>
      <c r="T291" s="10"/>
      <c r="U291" s="10">
        <v>0</v>
      </c>
      <c r="V291" s="24"/>
      <c r="W291" s="10">
        <v>0</v>
      </c>
      <c r="X291" s="24"/>
      <c r="Y291" s="10">
        <v>0</v>
      </c>
      <c r="Z291" s="10"/>
      <c r="AA291" s="10">
        <v>0</v>
      </c>
      <c r="AB291" s="10"/>
      <c r="AC291" s="10">
        <v>0</v>
      </c>
      <c r="AD291" s="10"/>
      <c r="AE291" s="10">
        <v>0</v>
      </c>
      <c r="AF291" s="10"/>
      <c r="AG291" s="10">
        <v>0</v>
      </c>
      <c r="AH291" s="10"/>
      <c r="AI291" s="10">
        <f t="shared" si="10"/>
        <v>0</v>
      </c>
      <c r="AJ291" s="10"/>
    </row>
    <row r="292" spans="1:39" hidden="1">
      <c r="A292" s="1" t="s">
        <v>137</v>
      </c>
      <c r="C292" s="1" t="s">
        <v>792</v>
      </c>
      <c r="E292" s="10">
        <v>0</v>
      </c>
      <c r="G292" s="10">
        <v>0</v>
      </c>
      <c r="I292" s="10">
        <v>0</v>
      </c>
      <c r="K292" s="10">
        <v>0</v>
      </c>
      <c r="M292" s="10">
        <v>0</v>
      </c>
      <c r="O292" s="10">
        <v>0</v>
      </c>
      <c r="Q292" s="10">
        <v>0</v>
      </c>
      <c r="S292" s="10">
        <v>0</v>
      </c>
      <c r="U292" s="10">
        <v>0</v>
      </c>
      <c r="V292" s="24"/>
      <c r="W292" s="10">
        <v>0</v>
      </c>
      <c r="X292" s="24"/>
      <c r="Y292" s="10">
        <v>0</v>
      </c>
      <c r="AA292" s="10">
        <v>0</v>
      </c>
      <c r="AC292" s="10">
        <v>0</v>
      </c>
      <c r="AE292" s="10">
        <v>0</v>
      </c>
      <c r="AG292" s="10">
        <v>0</v>
      </c>
      <c r="AI292" s="10">
        <f t="shared" si="10"/>
        <v>0</v>
      </c>
      <c r="AJ292" s="10"/>
    </row>
    <row r="293" spans="1:39" s="21" customFormat="1" hidden="1">
      <c r="A293" s="1" t="s">
        <v>708</v>
      </c>
      <c r="B293" s="1"/>
      <c r="C293" s="1" t="s">
        <v>430</v>
      </c>
      <c r="D293" s="1"/>
      <c r="E293" s="10">
        <v>0</v>
      </c>
      <c r="F293" s="10"/>
      <c r="G293" s="10">
        <v>0</v>
      </c>
      <c r="H293" s="10"/>
      <c r="I293" s="10">
        <v>0</v>
      </c>
      <c r="J293" s="10"/>
      <c r="K293" s="10">
        <v>0</v>
      </c>
      <c r="L293" s="10"/>
      <c r="M293" s="10">
        <v>0</v>
      </c>
      <c r="N293" s="10"/>
      <c r="O293" s="10">
        <v>0</v>
      </c>
      <c r="P293" s="10"/>
      <c r="Q293" s="10">
        <v>0</v>
      </c>
      <c r="R293" s="10"/>
      <c r="S293" s="10">
        <v>0</v>
      </c>
      <c r="T293" s="10"/>
      <c r="U293" s="10">
        <v>0</v>
      </c>
      <c r="V293" s="24"/>
      <c r="W293" s="10">
        <v>0</v>
      </c>
      <c r="X293" s="24"/>
      <c r="Y293" s="10">
        <v>0</v>
      </c>
      <c r="Z293" s="10"/>
      <c r="AA293" s="10">
        <v>0</v>
      </c>
      <c r="AB293" s="10"/>
      <c r="AC293" s="10">
        <v>0</v>
      </c>
      <c r="AD293" s="10"/>
      <c r="AE293" s="10">
        <v>0</v>
      </c>
      <c r="AF293" s="10"/>
      <c r="AG293" s="10">
        <v>0</v>
      </c>
      <c r="AH293" s="10"/>
      <c r="AI293" s="10">
        <f t="shared" si="10"/>
        <v>0</v>
      </c>
      <c r="AJ293" s="10"/>
    </row>
    <row r="294" spans="1:39" s="10" customFormat="1">
      <c r="A294" s="10" t="s">
        <v>835</v>
      </c>
      <c r="C294" s="10" t="s">
        <v>554</v>
      </c>
      <c r="E294" s="10">
        <v>158449</v>
      </c>
      <c r="G294" s="10">
        <v>745706</v>
      </c>
      <c r="I294" s="10">
        <v>256190</v>
      </c>
      <c r="K294" s="10">
        <v>0</v>
      </c>
      <c r="M294" s="10">
        <v>17798</v>
      </c>
      <c r="O294" s="10">
        <v>65317</v>
      </c>
      <c r="Q294" s="10">
        <v>12473</v>
      </c>
      <c r="S294" s="10">
        <v>191687</v>
      </c>
      <c r="U294" s="10">
        <v>0</v>
      </c>
      <c r="W294" s="10">
        <v>0</v>
      </c>
      <c r="Y294" s="10">
        <v>0</v>
      </c>
      <c r="AA294" s="10">
        <v>0</v>
      </c>
      <c r="AC294" s="10">
        <v>0</v>
      </c>
      <c r="AE294" s="10">
        <v>0</v>
      </c>
      <c r="AG294" s="10">
        <v>0</v>
      </c>
      <c r="AI294" s="10">
        <f t="shared" si="10"/>
        <v>1447620</v>
      </c>
    </row>
    <row r="295" spans="1:39" hidden="1">
      <c r="A295" s="1" t="s">
        <v>707</v>
      </c>
      <c r="C295" s="1" t="s">
        <v>447</v>
      </c>
      <c r="E295" s="10">
        <v>0</v>
      </c>
      <c r="G295" s="10">
        <v>0</v>
      </c>
      <c r="I295" s="10">
        <v>0</v>
      </c>
      <c r="K295" s="10">
        <v>0</v>
      </c>
      <c r="M295" s="10">
        <v>0</v>
      </c>
      <c r="O295" s="10">
        <v>0</v>
      </c>
      <c r="Q295" s="10">
        <v>0</v>
      </c>
      <c r="S295" s="10">
        <v>0</v>
      </c>
      <c r="U295" s="10">
        <v>0</v>
      </c>
      <c r="V295" s="24"/>
      <c r="W295" s="10">
        <v>0</v>
      </c>
      <c r="X295" s="24"/>
      <c r="Y295" s="10">
        <v>0</v>
      </c>
      <c r="AA295" s="10">
        <v>0</v>
      </c>
      <c r="AC295" s="10">
        <v>0</v>
      </c>
      <c r="AE295" s="10">
        <v>0</v>
      </c>
      <c r="AG295" s="10">
        <v>0</v>
      </c>
      <c r="AI295" s="10">
        <f t="shared" si="10"/>
        <v>0</v>
      </c>
      <c r="AJ295" s="10"/>
    </row>
    <row r="296" spans="1:39" hidden="1">
      <c r="A296" s="1" t="s">
        <v>709</v>
      </c>
      <c r="C296" s="1" t="s">
        <v>464</v>
      </c>
      <c r="E296" s="10">
        <v>0</v>
      </c>
      <c r="G296" s="10">
        <v>0</v>
      </c>
      <c r="I296" s="10">
        <v>0</v>
      </c>
      <c r="K296" s="10">
        <v>0</v>
      </c>
      <c r="M296" s="10">
        <v>0</v>
      </c>
      <c r="O296" s="10">
        <v>0</v>
      </c>
      <c r="Q296" s="10">
        <v>0</v>
      </c>
      <c r="S296" s="10">
        <v>0</v>
      </c>
      <c r="U296" s="10">
        <v>0</v>
      </c>
      <c r="W296" s="10">
        <v>0</v>
      </c>
      <c r="Y296" s="10">
        <v>0</v>
      </c>
      <c r="AA296" s="10">
        <v>0</v>
      </c>
      <c r="AC296" s="10">
        <v>0</v>
      </c>
      <c r="AE296" s="10">
        <v>0</v>
      </c>
      <c r="AG296" s="10">
        <v>0</v>
      </c>
      <c r="AI296" s="10">
        <f t="shared" si="10"/>
        <v>0</v>
      </c>
      <c r="AJ296" s="10"/>
    </row>
    <row r="297" spans="1:39" hidden="1">
      <c r="A297" s="1" t="s">
        <v>184</v>
      </c>
      <c r="C297" s="1" t="s">
        <v>808</v>
      </c>
      <c r="E297" s="10">
        <v>0</v>
      </c>
      <c r="G297" s="10">
        <v>0</v>
      </c>
      <c r="I297" s="10">
        <v>0</v>
      </c>
      <c r="K297" s="10">
        <v>0</v>
      </c>
      <c r="M297" s="10">
        <v>0</v>
      </c>
      <c r="O297" s="10">
        <v>0</v>
      </c>
      <c r="Q297" s="10">
        <v>0</v>
      </c>
      <c r="S297" s="10">
        <v>0</v>
      </c>
      <c r="U297" s="10">
        <v>0</v>
      </c>
      <c r="V297" s="24"/>
      <c r="W297" s="10">
        <v>0</v>
      </c>
      <c r="X297" s="24"/>
      <c r="Y297" s="10">
        <v>0</v>
      </c>
      <c r="AA297" s="10">
        <v>0</v>
      </c>
      <c r="AC297" s="10">
        <v>0</v>
      </c>
      <c r="AE297" s="10">
        <v>0</v>
      </c>
      <c r="AG297" s="10">
        <v>0</v>
      </c>
      <c r="AI297" s="10">
        <f t="shared" si="10"/>
        <v>0</v>
      </c>
      <c r="AJ297" s="10"/>
    </row>
    <row r="298" spans="1:39" hidden="1">
      <c r="A298" s="1" t="s">
        <v>162</v>
      </c>
      <c r="C298" s="1" t="s">
        <v>800</v>
      </c>
      <c r="E298" s="10">
        <v>0</v>
      </c>
      <c r="G298" s="10">
        <v>0</v>
      </c>
      <c r="I298" s="10">
        <v>0</v>
      </c>
      <c r="K298" s="10">
        <v>0</v>
      </c>
      <c r="M298" s="10">
        <v>0</v>
      </c>
      <c r="O298" s="10">
        <v>0</v>
      </c>
      <c r="Q298" s="10">
        <v>0</v>
      </c>
      <c r="S298" s="10">
        <v>0</v>
      </c>
      <c r="U298" s="10">
        <v>0</v>
      </c>
      <c r="V298" s="24"/>
      <c r="W298" s="10">
        <v>0</v>
      </c>
      <c r="X298" s="24"/>
      <c r="Y298" s="10">
        <v>0</v>
      </c>
      <c r="AA298" s="10">
        <v>0</v>
      </c>
      <c r="AC298" s="10">
        <v>0</v>
      </c>
      <c r="AE298" s="10">
        <v>0</v>
      </c>
      <c r="AG298" s="10">
        <v>0</v>
      </c>
      <c r="AI298" s="10">
        <f t="shared" si="10"/>
        <v>0</v>
      </c>
      <c r="AJ298" s="10"/>
    </row>
    <row r="299" spans="1:39" hidden="1">
      <c r="A299" s="1" t="s">
        <v>111</v>
      </c>
      <c r="C299" s="1" t="s">
        <v>784</v>
      </c>
      <c r="E299" s="10">
        <v>0</v>
      </c>
      <c r="G299" s="10">
        <v>0</v>
      </c>
      <c r="I299" s="10">
        <v>0</v>
      </c>
      <c r="K299" s="10">
        <v>0</v>
      </c>
      <c r="M299" s="10">
        <v>0</v>
      </c>
      <c r="O299" s="10">
        <v>0</v>
      </c>
      <c r="Q299" s="10">
        <v>0</v>
      </c>
      <c r="S299" s="10">
        <v>0</v>
      </c>
      <c r="U299" s="10">
        <v>0</v>
      </c>
      <c r="V299" s="24"/>
      <c r="W299" s="10">
        <v>0</v>
      </c>
      <c r="X299" s="24"/>
      <c r="Y299" s="10">
        <v>0</v>
      </c>
      <c r="AA299" s="10">
        <v>0</v>
      </c>
      <c r="AC299" s="10">
        <v>0</v>
      </c>
      <c r="AE299" s="10">
        <v>0</v>
      </c>
      <c r="AG299" s="10">
        <v>0</v>
      </c>
      <c r="AI299" s="10">
        <f t="shared" si="10"/>
        <v>0</v>
      </c>
      <c r="AJ299" s="10"/>
    </row>
    <row r="300" spans="1:39" hidden="1">
      <c r="A300" s="1" t="s">
        <v>29</v>
      </c>
      <c r="C300" s="1" t="s">
        <v>758</v>
      </c>
      <c r="E300" s="10">
        <v>0</v>
      </c>
      <c r="G300" s="10">
        <v>0</v>
      </c>
      <c r="I300" s="10">
        <v>0</v>
      </c>
      <c r="K300" s="10">
        <v>0</v>
      </c>
      <c r="M300" s="10">
        <v>0</v>
      </c>
      <c r="O300" s="10">
        <v>0</v>
      </c>
      <c r="Q300" s="10">
        <v>0</v>
      </c>
      <c r="S300" s="10">
        <v>0</v>
      </c>
      <c r="U300" s="10">
        <v>0</v>
      </c>
      <c r="V300" s="24"/>
      <c r="W300" s="10">
        <v>0</v>
      </c>
      <c r="X300" s="24"/>
      <c r="Y300" s="10">
        <v>0</v>
      </c>
      <c r="AA300" s="10">
        <v>0</v>
      </c>
      <c r="AC300" s="10">
        <v>0</v>
      </c>
      <c r="AE300" s="10">
        <v>0</v>
      </c>
      <c r="AG300" s="10">
        <v>0</v>
      </c>
      <c r="AI300" s="10">
        <f t="shared" si="10"/>
        <v>0</v>
      </c>
      <c r="AJ300" s="10"/>
      <c r="AK300" s="7"/>
      <c r="AL300" s="7"/>
      <c r="AM300" s="7"/>
    </row>
    <row r="301" spans="1:39" hidden="1">
      <c r="A301" s="1" t="s">
        <v>43</v>
      </c>
      <c r="C301" s="1" t="s">
        <v>763</v>
      </c>
      <c r="E301" s="10">
        <v>0</v>
      </c>
      <c r="G301" s="10">
        <v>0</v>
      </c>
      <c r="I301" s="10">
        <v>0</v>
      </c>
      <c r="K301" s="10">
        <v>0</v>
      </c>
      <c r="M301" s="10">
        <v>0</v>
      </c>
      <c r="O301" s="10">
        <v>0</v>
      </c>
      <c r="Q301" s="10">
        <v>0</v>
      </c>
      <c r="S301" s="10">
        <v>0</v>
      </c>
      <c r="U301" s="10">
        <v>0</v>
      </c>
      <c r="V301" s="24"/>
      <c r="W301" s="10">
        <v>0</v>
      </c>
      <c r="X301" s="24"/>
      <c r="Y301" s="10">
        <v>0</v>
      </c>
      <c r="AA301" s="10">
        <v>0</v>
      </c>
      <c r="AC301" s="10">
        <v>0</v>
      </c>
      <c r="AE301" s="10">
        <v>0</v>
      </c>
      <c r="AG301" s="10">
        <v>0</v>
      </c>
      <c r="AI301" s="10">
        <f t="shared" si="10"/>
        <v>0</v>
      </c>
      <c r="AJ301" s="10"/>
      <c r="AK301" s="7"/>
      <c r="AL301" s="7"/>
      <c r="AM301" s="7"/>
    </row>
    <row r="302" spans="1:39">
      <c r="A302" s="1" t="s">
        <v>914</v>
      </c>
      <c r="C302" s="1" t="s">
        <v>517</v>
      </c>
      <c r="E302" s="10">
        <v>186573</v>
      </c>
      <c r="G302" s="10">
        <v>2494944</v>
      </c>
      <c r="I302" s="10">
        <v>1070989</v>
      </c>
      <c r="K302" s="10">
        <v>535260</v>
      </c>
      <c r="M302" s="10">
        <v>28369</v>
      </c>
      <c r="O302" s="10">
        <v>12730</v>
      </c>
      <c r="Q302" s="10">
        <v>818</v>
      </c>
      <c r="S302" s="10">
        <v>385409</v>
      </c>
      <c r="U302" s="10">
        <v>0</v>
      </c>
      <c r="W302" s="10">
        <v>0</v>
      </c>
      <c r="Y302" s="10">
        <v>79082</v>
      </c>
      <c r="AA302" s="10">
        <v>0</v>
      </c>
      <c r="AC302" s="10">
        <v>0</v>
      </c>
      <c r="AE302" s="10">
        <v>0</v>
      </c>
      <c r="AF302" s="35"/>
      <c r="AG302" s="10">
        <v>0</v>
      </c>
      <c r="AH302" s="35"/>
      <c r="AI302" s="10">
        <f t="shared" si="10"/>
        <v>4794174</v>
      </c>
      <c r="AJ302" s="10"/>
    </row>
    <row r="303" spans="1:39">
      <c r="A303" s="1" t="s">
        <v>512</v>
      </c>
      <c r="C303" s="1" t="s">
        <v>513</v>
      </c>
      <c r="E303" s="10">
        <v>152329</v>
      </c>
      <c r="G303" s="10">
        <v>226410</v>
      </c>
      <c r="I303" s="10">
        <v>111521</v>
      </c>
      <c r="K303" s="10">
        <v>0</v>
      </c>
      <c r="M303" s="10">
        <v>271909</v>
      </c>
      <c r="O303" s="10">
        <v>1195</v>
      </c>
      <c r="Q303" s="10">
        <v>18009</v>
      </c>
      <c r="S303" s="10">
        <v>2236</v>
      </c>
      <c r="U303" s="10">
        <v>0</v>
      </c>
      <c r="W303" s="10">
        <v>57574</v>
      </c>
      <c r="Y303" s="10">
        <v>2000</v>
      </c>
      <c r="AA303" s="10">
        <v>141033</v>
      </c>
      <c r="AC303" s="10">
        <v>0</v>
      </c>
      <c r="AE303" s="10">
        <v>11072</v>
      </c>
      <c r="AG303" s="10">
        <v>0</v>
      </c>
      <c r="AI303" s="10">
        <f t="shared" si="10"/>
        <v>995288</v>
      </c>
      <c r="AJ303" s="10"/>
    </row>
    <row r="304" spans="1:39" hidden="1">
      <c r="A304" s="1" t="s">
        <v>165</v>
      </c>
      <c r="C304" s="1" t="s">
        <v>801</v>
      </c>
      <c r="E304" s="10">
        <v>0</v>
      </c>
      <c r="G304" s="10">
        <v>0</v>
      </c>
      <c r="I304" s="10">
        <v>0</v>
      </c>
      <c r="K304" s="10">
        <v>0</v>
      </c>
      <c r="M304" s="10">
        <v>0</v>
      </c>
      <c r="O304" s="10">
        <v>0</v>
      </c>
      <c r="Q304" s="10">
        <v>0</v>
      </c>
      <c r="S304" s="10">
        <v>0</v>
      </c>
      <c r="U304" s="10">
        <v>0</v>
      </c>
      <c r="V304" s="24"/>
      <c r="W304" s="10">
        <v>0</v>
      </c>
      <c r="X304" s="24"/>
      <c r="Y304" s="10">
        <v>0</v>
      </c>
      <c r="AA304" s="10">
        <v>0</v>
      </c>
      <c r="AC304" s="10">
        <v>0</v>
      </c>
      <c r="AE304" s="10">
        <v>0</v>
      </c>
      <c r="AG304" s="10">
        <v>0</v>
      </c>
      <c r="AI304" s="10">
        <f t="shared" si="10"/>
        <v>0</v>
      </c>
      <c r="AJ304" s="10"/>
    </row>
    <row r="305" spans="1:39">
      <c r="A305" s="1" t="s">
        <v>525</v>
      </c>
      <c r="C305" s="1" t="s">
        <v>523</v>
      </c>
      <c r="E305" s="10">
        <v>1788939</v>
      </c>
      <c r="G305" s="10">
        <v>0</v>
      </c>
      <c r="I305" s="10">
        <v>11060</v>
      </c>
      <c r="K305" s="10">
        <v>56</v>
      </c>
      <c r="M305" s="10">
        <v>48701</v>
      </c>
      <c r="O305" s="10">
        <v>63060</v>
      </c>
      <c r="Q305" s="10">
        <v>22447</v>
      </c>
      <c r="S305" s="10">
        <v>15384</v>
      </c>
      <c r="U305" s="10">
        <v>0</v>
      </c>
      <c r="W305" s="10">
        <v>0</v>
      </c>
      <c r="Y305" s="10">
        <v>0</v>
      </c>
      <c r="AA305" s="10">
        <v>0</v>
      </c>
      <c r="AC305" s="10">
        <v>0</v>
      </c>
      <c r="AE305" s="10">
        <v>86673</v>
      </c>
      <c r="AG305" s="10">
        <v>0</v>
      </c>
      <c r="AI305" s="10">
        <f t="shared" si="10"/>
        <v>2036320</v>
      </c>
      <c r="AJ305" s="10"/>
    </row>
    <row r="306" spans="1:39" s="21" customFormat="1" hidden="1">
      <c r="A306" s="1" t="s">
        <v>106</v>
      </c>
      <c r="B306" s="1"/>
      <c r="C306" s="1" t="s">
        <v>782</v>
      </c>
      <c r="D306" s="1"/>
      <c r="E306" s="10">
        <v>0</v>
      </c>
      <c r="F306" s="10"/>
      <c r="G306" s="10">
        <v>0</v>
      </c>
      <c r="H306" s="10"/>
      <c r="I306" s="10">
        <v>0</v>
      </c>
      <c r="J306" s="10"/>
      <c r="K306" s="10">
        <v>0</v>
      </c>
      <c r="L306" s="10"/>
      <c r="M306" s="10">
        <v>0</v>
      </c>
      <c r="N306" s="10"/>
      <c r="O306" s="10">
        <v>0</v>
      </c>
      <c r="P306" s="10"/>
      <c r="Q306" s="10">
        <v>0</v>
      </c>
      <c r="R306" s="10"/>
      <c r="S306" s="10">
        <v>0</v>
      </c>
      <c r="T306" s="10"/>
      <c r="U306" s="10">
        <v>0</v>
      </c>
      <c r="V306" s="24"/>
      <c r="W306" s="10">
        <v>0</v>
      </c>
      <c r="X306" s="24"/>
      <c r="Y306" s="10">
        <v>0</v>
      </c>
      <c r="Z306" s="10"/>
      <c r="AA306" s="10">
        <v>0</v>
      </c>
      <c r="AB306" s="10"/>
      <c r="AC306" s="10">
        <v>0</v>
      </c>
      <c r="AD306" s="10"/>
      <c r="AE306" s="10">
        <v>0</v>
      </c>
      <c r="AF306" s="10"/>
      <c r="AG306" s="10">
        <v>0</v>
      </c>
      <c r="AH306" s="10"/>
      <c r="AI306" s="10">
        <f t="shared" si="10"/>
        <v>0</v>
      </c>
      <c r="AJ306" s="10"/>
    </row>
    <row r="307" spans="1:39" hidden="1">
      <c r="A307" s="1" t="s">
        <v>226</v>
      </c>
      <c r="C307" s="1" t="s">
        <v>820</v>
      </c>
      <c r="E307" s="10">
        <v>0</v>
      </c>
      <c r="G307" s="10">
        <v>0</v>
      </c>
      <c r="I307" s="10">
        <v>0</v>
      </c>
      <c r="K307" s="10">
        <v>0</v>
      </c>
      <c r="M307" s="10">
        <v>0</v>
      </c>
      <c r="O307" s="10">
        <v>0</v>
      </c>
      <c r="Q307" s="10">
        <v>0</v>
      </c>
      <c r="S307" s="10">
        <v>0</v>
      </c>
      <c r="U307" s="10">
        <v>0</v>
      </c>
      <c r="V307" s="24"/>
      <c r="W307" s="10">
        <v>0</v>
      </c>
      <c r="X307" s="24"/>
      <c r="Y307" s="10">
        <v>0</v>
      </c>
      <c r="AA307" s="10">
        <v>0</v>
      </c>
      <c r="AC307" s="10">
        <v>0</v>
      </c>
      <c r="AE307" s="10">
        <v>0</v>
      </c>
      <c r="AG307" s="10">
        <v>0</v>
      </c>
      <c r="AI307" s="10">
        <f t="shared" si="10"/>
        <v>0</v>
      </c>
      <c r="AJ307" s="10"/>
    </row>
    <row r="308" spans="1:39">
      <c r="A308" s="1" t="s">
        <v>383</v>
      </c>
      <c r="C308" s="1" t="s">
        <v>378</v>
      </c>
      <c r="E308" s="10">
        <v>360156</v>
      </c>
      <c r="G308" s="10">
        <v>692570</v>
      </c>
      <c r="I308" s="10">
        <v>197330</v>
      </c>
      <c r="K308" s="10">
        <v>1277</v>
      </c>
      <c r="M308" s="10">
        <v>179475</v>
      </c>
      <c r="O308" s="10">
        <v>97981</v>
      </c>
      <c r="Q308" s="10">
        <v>6549</v>
      </c>
      <c r="S308" s="10">
        <v>2626</v>
      </c>
      <c r="U308" s="10">
        <v>0</v>
      </c>
      <c r="W308" s="10">
        <v>0</v>
      </c>
      <c r="Y308" s="10">
        <v>0</v>
      </c>
      <c r="AA308" s="10">
        <v>0</v>
      </c>
      <c r="AC308" s="10">
        <v>0</v>
      </c>
      <c r="AE308" s="10">
        <v>0</v>
      </c>
      <c r="AG308" s="10">
        <v>0</v>
      </c>
      <c r="AI308" s="10">
        <f t="shared" si="10"/>
        <v>1537964</v>
      </c>
      <c r="AJ308" s="10"/>
    </row>
    <row r="309" spans="1:39" s="21" customFormat="1" hidden="1">
      <c r="A309" s="1" t="s">
        <v>215</v>
      </c>
      <c r="B309" s="1"/>
      <c r="C309" s="1" t="s">
        <v>816</v>
      </c>
      <c r="D309" s="1"/>
      <c r="E309" s="10">
        <v>0</v>
      </c>
      <c r="F309" s="10"/>
      <c r="G309" s="10">
        <v>0</v>
      </c>
      <c r="H309" s="10"/>
      <c r="I309" s="10">
        <v>0</v>
      </c>
      <c r="J309" s="10"/>
      <c r="K309" s="10">
        <v>0</v>
      </c>
      <c r="L309" s="10"/>
      <c r="M309" s="10">
        <v>0</v>
      </c>
      <c r="N309" s="10"/>
      <c r="O309" s="10">
        <v>0</v>
      </c>
      <c r="P309" s="10"/>
      <c r="Q309" s="10">
        <v>0</v>
      </c>
      <c r="R309" s="10"/>
      <c r="S309" s="10">
        <v>0</v>
      </c>
      <c r="T309" s="10"/>
      <c r="U309" s="10">
        <v>0</v>
      </c>
      <c r="V309" s="24"/>
      <c r="W309" s="10">
        <v>0</v>
      </c>
      <c r="X309" s="24"/>
      <c r="Y309" s="10">
        <v>0</v>
      </c>
      <c r="Z309" s="10"/>
      <c r="AA309" s="10">
        <v>0</v>
      </c>
      <c r="AB309" s="10"/>
      <c r="AC309" s="10">
        <v>0</v>
      </c>
      <c r="AD309" s="10"/>
      <c r="AE309" s="10">
        <v>0</v>
      </c>
      <c r="AF309" s="10"/>
      <c r="AG309" s="10">
        <v>0</v>
      </c>
      <c r="AH309" s="10"/>
      <c r="AI309" s="10">
        <f t="shared" si="10"/>
        <v>0</v>
      </c>
      <c r="AJ309" s="10"/>
    </row>
    <row r="310" spans="1:39" hidden="1">
      <c r="A310" s="1" t="s">
        <v>851</v>
      </c>
      <c r="C310" s="1" t="s">
        <v>766</v>
      </c>
      <c r="E310" s="10">
        <v>0</v>
      </c>
      <c r="G310" s="10">
        <v>0</v>
      </c>
      <c r="I310" s="10">
        <v>0</v>
      </c>
      <c r="K310" s="10">
        <v>0</v>
      </c>
      <c r="M310" s="10">
        <v>0</v>
      </c>
      <c r="O310" s="10">
        <v>0</v>
      </c>
      <c r="Q310" s="10">
        <v>0</v>
      </c>
      <c r="S310" s="10">
        <v>0</v>
      </c>
      <c r="U310" s="10">
        <v>0</v>
      </c>
      <c r="V310" s="24"/>
      <c r="W310" s="10">
        <v>0</v>
      </c>
      <c r="X310" s="24"/>
      <c r="Y310" s="10">
        <v>0</v>
      </c>
      <c r="AA310" s="10">
        <v>0</v>
      </c>
      <c r="AC310" s="10">
        <v>0</v>
      </c>
      <c r="AE310" s="10">
        <v>0</v>
      </c>
      <c r="AG310" s="10">
        <v>0</v>
      </c>
      <c r="AI310" s="10">
        <f t="shared" si="10"/>
        <v>0</v>
      </c>
      <c r="AJ310" s="10"/>
      <c r="AK310" s="7"/>
      <c r="AL310" s="7"/>
      <c r="AM310" s="7"/>
    </row>
    <row r="311" spans="1:39" hidden="1">
      <c r="A311" s="1" t="s">
        <v>44</v>
      </c>
      <c r="C311" s="1" t="s">
        <v>763</v>
      </c>
      <c r="E311" s="10">
        <v>0</v>
      </c>
      <c r="G311" s="10">
        <v>0</v>
      </c>
      <c r="I311" s="10">
        <v>0</v>
      </c>
      <c r="K311" s="10">
        <v>0</v>
      </c>
      <c r="M311" s="10">
        <v>0</v>
      </c>
      <c r="O311" s="10">
        <v>0</v>
      </c>
      <c r="Q311" s="10">
        <v>0</v>
      </c>
      <c r="S311" s="10">
        <v>0</v>
      </c>
      <c r="U311" s="10">
        <v>0</v>
      </c>
      <c r="V311" s="24"/>
      <c r="W311" s="10">
        <v>0</v>
      </c>
      <c r="X311" s="24"/>
      <c r="Y311" s="10">
        <v>0</v>
      </c>
      <c r="AA311" s="10">
        <v>0</v>
      </c>
      <c r="AC311" s="10">
        <v>0</v>
      </c>
      <c r="AE311" s="10">
        <v>0</v>
      </c>
      <c r="AG311" s="10">
        <v>0</v>
      </c>
      <c r="AI311" s="10">
        <f t="shared" si="10"/>
        <v>0</v>
      </c>
      <c r="AJ311" s="10"/>
      <c r="AK311" s="7"/>
      <c r="AL311" s="7"/>
      <c r="AM311" s="7"/>
    </row>
    <row r="312" spans="1:39">
      <c r="A312" s="1" t="s">
        <v>542</v>
      </c>
      <c r="C312" s="1" t="s">
        <v>541</v>
      </c>
      <c r="E312" s="10">
        <v>1985</v>
      </c>
      <c r="G312" s="10">
        <v>0</v>
      </c>
      <c r="I312" s="10">
        <v>16208</v>
      </c>
      <c r="K312" s="10">
        <v>0</v>
      </c>
      <c r="M312" s="10">
        <v>0</v>
      </c>
      <c r="O312" s="10">
        <v>675</v>
      </c>
      <c r="Q312" s="10">
        <v>33</v>
      </c>
      <c r="S312" s="10">
        <v>0</v>
      </c>
      <c r="U312" s="10">
        <v>0</v>
      </c>
      <c r="W312" s="10">
        <v>0</v>
      </c>
      <c r="Y312" s="10">
        <v>0</v>
      </c>
      <c r="AA312" s="10">
        <v>0</v>
      </c>
      <c r="AC312" s="10">
        <v>0</v>
      </c>
      <c r="AE312" s="10">
        <v>0</v>
      </c>
      <c r="AG312" s="10">
        <v>0</v>
      </c>
      <c r="AI312" s="10">
        <f t="shared" si="10"/>
        <v>18901</v>
      </c>
      <c r="AJ312" s="10"/>
    </row>
    <row r="313" spans="1:39" s="21" customFormat="1" hidden="1">
      <c r="A313" s="1" t="s">
        <v>95</v>
      </c>
      <c r="B313" s="1"/>
      <c r="C313" s="1" t="s">
        <v>778</v>
      </c>
      <c r="D313" s="1"/>
      <c r="E313" s="10">
        <v>0</v>
      </c>
      <c r="F313" s="10"/>
      <c r="G313" s="10">
        <v>0</v>
      </c>
      <c r="H313" s="10"/>
      <c r="I313" s="10">
        <v>0</v>
      </c>
      <c r="J313" s="10"/>
      <c r="K313" s="10">
        <v>0</v>
      </c>
      <c r="L313" s="10"/>
      <c r="M313" s="10">
        <v>0</v>
      </c>
      <c r="N313" s="10"/>
      <c r="O313" s="10">
        <v>0</v>
      </c>
      <c r="P313" s="10"/>
      <c r="Q313" s="10">
        <v>0</v>
      </c>
      <c r="R313" s="10"/>
      <c r="S313" s="10">
        <v>0</v>
      </c>
      <c r="T313" s="10"/>
      <c r="U313" s="10">
        <v>0</v>
      </c>
      <c r="V313" s="24"/>
      <c r="W313" s="10">
        <v>0</v>
      </c>
      <c r="X313" s="24"/>
      <c r="Y313" s="10">
        <v>0</v>
      </c>
      <c r="Z313" s="10"/>
      <c r="AA313" s="10">
        <v>0</v>
      </c>
      <c r="AB313" s="10"/>
      <c r="AC313" s="10">
        <v>0</v>
      </c>
      <c r="AD313" s="10"/>
      <c r="AE313" s="10">
        <v>0</v>
      </c>
      <c r="AF313" s="10"/>
      <c r="AG313" s="10">
        <v>0</v>
      </c>
      <c r="AH313" s="10"/>
      <c r="AI313" s="10">
        <f t="shared" si="10"/>
        <v>0</v>
      </c>
      <c r="AJ313" s="10"/>
    </row>
    <row r="314" spans="1:39">
      <c r="A314" s="1" t="s">
        <v>465</v>
      </c>
      <c r="C314" s="1" t="s">
        <v>466</v>
      </c>
      <c r="E314" s="10">
        <v>432310</v>
      </c>
      <c r="G314" s="10">
        <v>0</v>
      </c>
      <c r="I314" s="10">
        <v>187485</v>
      </c>
      <c r="K314" s="10">
        <v>0</v>
      </c>
      <c r="M314" s="10">
        <v>355798</v>
      </c>
      <c r="O314" s="10">
        <v>5195</v>
      </c>
      <c r="Q314" s="10">
        <v>128942</v>
      </c>
      <c r="S314" s="10">
        <v>0</v>
      </c>
      <c r="U314" s="10">
        <v>0</v>
      </c>
      <c r="W314" s="10">
        <v>0</v>
      </c>
      <c r="Y314" s="10">
        <v>0</v>
      </c>
      <c r="AA314" s="10">
        <v>5159</v>
      </c>
      <c r="AC314" s="10">
        <v>0</v>
      </c>
      <c r="AE314" s="10">
        <v>5222</v>
      </c>
      <c r="AG314" s="10">
        <v>0</v>
      </c>
      <c r="AI314" s="10">
        <f t="shared" si="10"/>
        <v>1120111</v>
      </c>
      <c r="AJ314" s="10"/>
    </row>
    <row r="315" spans="1:39">
      <c r="A315" s="1" t="s">
        <v>560</v>
      </c>
      <c r="C315" s="1" t="s">
        <v>561</v>
      </c>
      <c r="E315" s="10">
        <v>194729</v>
      </c>
      <c r="G315" s="10">
        <v>0</v>
      </c>
      <c r="I315" s="10">
        <v>150625</v>
      </c>
      <c r="K315" s="10">
        <v>0</v>
      </c>
      <c r="M315" s="10">
        <v>187726</v>
      </c>
      <c r="O315" s="10">
        <v>49006</v>
      </c>
      <c r="Q315" s="10">
        <v>90780</v>
      </c>
      <c r="S315" s="10">
        <v>23182</v>
      </c>
      <c r="U315" s="10">
        <v>0</v>
      </c>
      <c r="W315" s="10">
        <v>0</v>
      </c>
      <c r="Y315" s="10">
        <v>0</v>
      </c>
      <c r="AA315" s="10">
        <v>2075635</v>
      </c>
      <c r="AC315" s="10">
        <v>0</v>
      </c>
      <c r="AE315" s="10">
        <v>0</v>
      </c>
      <c r="AG315" s="10">
        <v>0</v>
      </c>
      <c r="AI315" s="10">
        <f t="shared" si="10"/>
        <v>2771683</v>
      </c>
      <c r="AJ315" s="10"/>
    </row>
    <row r="316" spans="1:39" s="21" customFormat="1" hidden="1">
      <c r="A316" s="1" t="s">
        <v>88</v>
      </c>
      <c r="B316" s="1"/>
      <c r="C316" s="1" t="s">
        <v>777</v>
      </c>
      <c r="D316" s="1"/>
      <c r="E316" s="10">
        <v>0</v>
      </c>
      <c r="F316" s="10"/>
      <c r="G316" s="10">
        <v>0</v>
      </c>
      <c r="H316" s="10"/>
      <c r="I316" s="10">
        <v>0</v>
      </c>
      <c r="J316" s="10"/>
      <c r="K316" s="10">
        <v>0</v>
      </c>
      <c r="L316" s="10"/>
      <c r="M316" s="10">
        <v>0</v>
      </c>
      <c r="N316" s="10"/>
      <c r="O316" s="10">
        <v>0</v>
      </c>
      <c r="P316" s="10"/>
      <c r="Q316" s="10">
        <v>0</v>
      </c>
      <c r="R316" s="10"/>
      <c r="S316" s="10">
        <v>0</v>
      </c>
      <c r="T316" s="10"/>
      <c r="U316" s="10">
        <v>0</v>
      </c>
      <c r="V316" s="24"/>
      <c r="W316" s="10">
        <v>0</v>
      </c>
      <c r="X316" s="24"/>
      <c r="Y316" s="10">
        <v>0</v>
      </c>
      <c r="Z316" s="10"/>
      <c r="AA316" s="10">
        <v>0</v>
      </c>
      <c r="AB316" s="10"/>
      <c r="AC316" s="10">
        <v>0</v>
      </c>
      <c r="AD316" s="10"/>
      <c r="AE316" s="10">
        <v>0</v>
      </c>
      <c r="AF316" s="10"/>
      <c r="AG316" s="10">
        <v>0</v>
      </c>
      <c r="AH316" s="10"/>
      <c r="AI316" s="10">
        <f t="shared" ref="AI316:AI334" si="11">SUM(E316:AG316)</f>
        <v>0</v>
      </c>
      <c r="AJ316" s="10"/>
    </row>
    <row r="317" spans="1:39" hidden="1">
      <c r="A317" s="1" t="s">
        <v>245</v>
      </c>
      <c r="C317" s="1" t="s">
        <v>827</v>
      </c>
      <c r="E317" s="10">
        <v>0</v>
      </c>
      <c r="G317" s="10">
        <v>0</v>
      </c>
      <c r="I317" s="10">
        <v>0</v>
      </c>
      <c r="K317" s="10">
        <v>0</v>
      </c>
      <c r="M317" s="10">
        <v>0</v>
      </c>
      <c r="O317" s="10">
        <v>0</v>
      </c>
      <c r="Q317" s="10">
        <v>0</v>
      </c>
      <c r="S317" s="10">
        <v>0</v>
      </c>
      <c r="U317" s="10">
        <v>0</v>
      </c>
      <c r="V317" s="24"/>
      <c r="W317" s="10">
        <v>0</v>
      </c>
      <c r="X317" s="24"/>
      <c r="Y317" s="10">
        <v>0</v>
      </c>
      <c r="AA317" s="10">
        <v>0</v>
      </c>
      <c r="AC317" s="10">
        <v>0</v>
      </c>
      <c r="AE317" s="10">
        <v>0</v>
      </c>
      <c r="AG317" s="10">
        <v>0</v>
      </c>
      <c r="AI317" s="10">
        <f t="shared" si="11"/>
        <v>0</v>
      </c>
      <c r="AJ317" s="10"/>
    </row>
    <row r="318" spans="1:39" hidden="1">
      <c r="A318" s="1" t="s">
        <v>858</v>
      </c>
      <c r="C318" s="1" t="s">
        <v>795</v>
      </c>
      <c r="E318" s="10">
        <v>0</v>
      </c>
      <c r="G318" s="10">
        <v>0</v>
      </c>
      <c r="I318" s="10">
        <v>0</v>
      </c>
      <c r="K318" s="10">
        <v>0</v>
      </c>
      <c r="M318" s="10">
        <v>0</v>
      </c>
      <c r="O318" s="10">
        <v>0</v>
      </c>
      <c r="Q318" s="10">
        <v>0</v>
      </c>
      <c r="S318" s="10">
        <v>0</v>
      </c>
      <c r="U318" s="10">
        <v>0</v>
      </c>
      <c r="V318" s="24"/>
      <c r="W318" s="10">
        <v>0</v>
      </c>
      <c r="X318" s="24"/>
      <c r="Y318" s="10">
        <v>0</v>
      </c>
      <c r="AA318" s="10">
        <v>0</v>
      </c>
      <c r="AC318" s="10">
        <v>0</v>
      </c>
      <c r="AE318" s="10">
        <v>0</v>
      </c>
      <c r="AG318" s="10">
        <v>0</v>
      </c>
      <c r="AI318" s="10">
        <f t="shared" si="11"/>
        <v>0</v>
      </c>
      <c r="AJ318" s="10"/>
    </row>
    <row r="319" spans="1:39" hidden="1">
      <c r="A319" s="1" t="s">
        <v>246</v>
      </c>
      <c r="C319" s="1" t="s">
        <v>827</v>
      </c>
      <c r="E319" s="10">
        <v>0</v>
      </c>
      <c r="G319" s="10">
        <v>0</v>
      </c>
      <c r="I319" s="10">
        <v>0</v>
      </c>
      <c r="K319" s="10">
        <v>0</v>
      </c>
      <c r="M319" s="10">
        <v>0</v>
      </c>
      <c r="O319" s="10">
        <v>0</v>
      </c>
      <c r="Q319" s="10">
        <v>0</v>
      </c>
      <c r="S319" s="10">
        <v>0</v>
      </c>
      <c r="U319" s="10">
        <v>0</v>
      </c>
      <c r="V319" s="24"/>
      <c r="W319" s="10">
        <v>0</v>
      </c>
      <c r="X319" s="24"/>
      <c r="Y319" s="10">
        <v>0</v>
      </c>
      <c r="AA319" s="10">
        <v>0</v>
      </c>
      <c r="AC319" s="10">
        <v>0</v>
      </c>
      <c r="AE319" s="10">
        <v>0</v>
      </c>
      <c r="AG319" s="10">
        <v>0</v>
      </c>
      <c r="AI319" s="10">
        <f t="shared" si="11"/>
        <v>0</v>
      </c>
      <c r="AJ319" s="10"/>
    </row>
    <row r="320" spans="1:39">
      <c r="A320" s="1" t="s">
        <v>456</v>
      </c>
      <c r="C320" s="1" t="s">
        <v>523</v>
      </c>
      <c r="E320" s="10">
        <v>12615</v>
      </c>
      <c r="G320" s="10">
        <v>0</v>
      </c>
      <c r="I320" s="10">
        <v>55760</v>
      </c>
      <c r="K320" s="10">
        <v>0</v>
      </c>
      <c r="M320" s="10">
        <v>1555</v>
      </c>
      <c r="O320" s="10">
        <v>6174</v>
      </c>
      <c r="Q320" s="10">
        <v>8698</v>
      </c>
      <c r="S320" s="10">
        <v>1160</v>
      </c>
      <c r="U320" s="10">
        <v>0</v>
      </c>
      <c r="W320" s="10">
        <v>0</v>
      </c>
      <c r="Y320" s="10">
        <v>0</v>
      </c>
      <c r="AA320" s="10">
        <v>0</v>
      </c>
      <c r="AC320" s="10">
        <v>0</v>
      </c>
      <c r="AE320" s="10">
        <v>0</v>
      </c>
      <c r="AG320" s="10">
        <v>0</v>
      </c>
      <c r="AI320" s="10">
        <f t="shared" si="11"/>
        <v>85962</v>
      </c>
      <c r="AJ320" s="10"/>
    </row>
    <row r="321" spans="1:39" hidden="1">
      <c r="A321" s="1" t="s">
        <v>609</v>
      </c>
      <c r="C321" s="1" t="s">
        <v>606</v>
      </c>
      <c r="E321" s="10">
        <v>0</v>
      </c>
      <c r="G321" s="10">
        <v>0</v>
      </c>
      <c r="I321" s="10">
        <v>0</v>
      </c>
      <c r="K321" s="10">
        <v>0</v>
      </c>
      <c r="M321" s="10">
        <v>0</v>
      </c>
      <c r="O321" s="10">
        <v>0</v>
      </c>
      <c r="Q321" s="10">
        <v>0</v>
      </c>
      <c r="S321" s="10">
        <v>0</v>
      </c>
      <c r="U321" s="10">
        <v>0</v>
      </c>
      <c r="V321" s="24"/>
      <c r="W321" s="10">
        <v>0</v>
      </c>
      <c r="X321" s="24"/>
      <c r="Y321" s="10">
        <v>0</v>
      </c>
      <c r="AA321" s="10">
        <v>0</v>
      </c>
      <c r="AC321" s="10">
        <v>0</v>
      </c>
      <c r="AE321" s="10">
        <v>0</v>
      </c>
      <c r="AG321" s="10">
        <v>0</v>
      </c>
      <c r="AI321" s="10">
        <f t="shared" si="11"/>
        <v>0</v>
      </c>
      <c r="AJ321" s="10"/>
    </row>
    <row r="322" spans="1:39" s="21" customFormat="1" hidden="1">
      <c r="A322" s="1" t="s">
        <v>110</v>
      </c>
      <c r="B322" s="1"/>
      <c r="C322" s="1" t="s">
        <v>783</v>
      </c>
      <c r="D322" s="1"/>
      <c r="E322" s="10">
        <v>0</v>
      </c>
      <c r="F322" s="10"/>
      <c r="G322" s="10">
        <v>0</v>
      </c>
      <c r="H322" s="10"/>
      <c r="I322" s="10">
        <v>0</v>
      </c>
      <c r="J322" s="10"/>
      <c r="K322" s="10">
        <v>0</v>
      </c>
      <c r="L322" s="10"/>
      <c r="M322" s="10">
        <v>0</v>
      </c>
      <c r="N322" s="10"/>
      <c r="O322" s="10">
        <v>0</v>
      </c>
      <c r="P322" s="10"/>
      <c r="Q322" s="10">
        <v>0</v>
      </c>
      <c r="R322" s="10"/>
      <c r="S322" s="10">
        <v>0</v>
      </c>
      <c r="T322" s="10"/>
      <c r="U322" s="10">
        <v>0</v>
      </c>
      <c r="V322" s="24"/>
      <c r="W322" s="10">
        <v>0</v>
      </c>
      <c r="X322" s="24"/>
      <c r="Y322" s="10">
        <v>0</v>
      </c>
      <c r="Z322" s="10"/>
      <c r="AA322" s="10">
        <v>0</v>
      </c>
      <c r="AB322" s="10"/>
      <c r="AC322" s="10">
        <v>0</v>
      </c>
      <c r="AD322" s="10"/>
      <c r="AE322" s="10">
        <v>0</v>
      </c>
      <c r="AF322" s="10"/>
      <c r="AG322" s="10">
        <v>0</v>
      </c>
      <c r="AH322" s="10"/>
      <c r="AI322" s="10">
        <f t="shared" si="11"/>
        <v>0</v>
      </c>
      <c r="AJ322" s="10"/>
    </row>
    <row r="323" spans="1:39" s="21" customFormat="1" hidden="1">
      <c r="A323" s="1" t="s">
        <v>78</v>
      </c>
      <c r="B323" s="1"/>
      <c r="C323" s="1" t="s">
        <v>774</v>
      </c>
      <c r="D323" s="1"/>
      <c r="E323" s="10">
        <v>0</v>
      </c>
      <c r="F323" s="10"/>
      <c r="G323" s="10">
        <v>0</v>
      </c>
      <c r="H323" s="10"/>
      <c r="I323" s="10">
        <v>0</v>
      </c>
      <c r="J323" s="10"/>
      <c r="K323" s="10">
        <v>0</v>
      </c>
      <c r="L323" s="10"/>
      <c r="M323" s="10">
        <v>0</v>
      </c>
      <c r="N323" s="10"/>
      <c r="O323" s="10">
        <v>0</v>
      </c>
      <c r="P323" s="10"/>
      <c r="Q323" s="10">
        <v>0</v>
      </c>
      <c r="R323" s="10"/>
      <c r="S323" s="10">
        <v>0</v>
      </c>
      <c r="T323" s="10"/>
      <c r="U323" s="10">
        <v>0</v>
      </c>
      <c r="V323" s="24"/>
      <c r="W323" s="10">
        <v>0</v>
      </c>
      <c r="X323" s="24"/>
      <c r="Y323" s="10">
        <v>0</v>
      </c>
      <c r="Z323" s="10"/>
      <c r="AA323" s="10">
        <v>0</v>
      </c>
      <c r="AB323" s="10"/>
      <c r="AC323" s="10">
        <v>0</v>
      </c>
      <c r="AD323" s="10"/>
      <c r="AE323" s="10">
        <v>0</v>
      </c>
      <c r="AF323" s="10"/>
      <c r="AG323" s="10">
        <v>0</v>
      </c>
      <c r="AH323" s="10"/>
      <c r="AI323" s="10">
        <f t="shared" si="11"/>
        <v>0</v>
      </c>
      <c r="AJ323" s="10"/>
    </row>
    <row r="324" spans="1:39" s="21" customFormat="1" hidden="1">
      <c r="A324" s="15" t="s">
        <v>432</v>
      </c>
      <c r="B324" s="15"/>
      <c r="C324" s="15" t="s">
        <v>430</v>
      </c>
      <c r="D324" s="15"/>
      <c r="E324" s="10">
        <v>0</v>
      </c>
      <c r="F324" s="10"/>
      <c r="G324" s="10">
        <v>0</v>
      </c>
      <c r="H324" s="10"/>
      <c r="I324" s="10">
        <v>0</v>
      </c>
      <c r="J324" s="10"/>
      <c r="K324" s="10">
        <v>0</v>
      </c>
      <c r="L324" s="10"/>
      <c r="M324" s="10">
        <v>0</v>
      </c>
      <c r="N324" s="10"/>
      <c r="O324" s="10">
        <v>0</v>
      </c>
      <c r="P324" s="10"/>
      <c r="Q324" s="10">
        <v>0</v>
      </c>
      <c r="R324" s="10"/>
      <c r="S324" s="10">
        <v>0</v>
      </c>
      <c r="T324" s="10"/>
      <c r="U324" s="10">
        <v>0</v>
      </c>
      <c r="V324" s="24"/>
      <c r="W324" s="10">
        <v>0</v>
      </c>
      <c r="X324" s="24"/>
      <c r="Y324" s="10">
        <v>0</v>
      </c>
      <c r="Z324" s="10"/>
      <c r="AA324" s="10">
        <v>0</v>
      </c>
      <c r="AB324" s="10"/>
      <c r="AC324" s="10">
        <v>0</v>
      </c>
      <c r="AD324" s="10"/>
      <c r="AE324" s="10">
        <v>0</v>
      </c>
      <c r="AF324" s="10"/>
      <c r="AG324" s="10">
        <v>0</v>
      </c>
      <c r="AH324" s="10"/>
      <c r="AI324" s="10">
        <f t="shared" si="11"/>
        <v>0</v>
      </c>
      <c r="AJ324" s="10"/>
    </row>
    <row r="325" spans="1:39" hidden="1">
      <c r="A325" s="1" t="s">
        <v>236</v>
      </c>
      <c r="C325" s="1" t="s">
        <v>824</v>
      </c>
      <c r="E325" s="10">
        <v>0</v>
      </c>
      <c r="G325" s="10">
        <v>0</v>
      </c>
      <c r="I325" s="10">
        <v>0</v>
      </c>
      <c r="K325" s="10">
        <v>0</v>
      </c>
      <c r="M325" s="10">
        <v>0</v>
      </c>
      <c r="O325" s="10">
        <v>0</v>
      </c>
      <c r="Q325" s="10">
        <v>0</v>
      </c>
      <c r="S325" s="10">
        <v>0</v>
      </c>
      <c r="U325" s="10">
        <v>0</v>
      </c>
      <c r="V325" s="24"/>
      <c r="W325" s="10">
        <v>0</v>
      </c>
      <c r="X325" s="24"/>
      <c r="Y325" s="10">
        <v>0</v>
      </c>
      <c r="AA325" s="10">
        <v>0</v>
      </c>
      <c r="AC325" s="10">
        <v>0</v>
      </c>
      <c r="AE325" s="10">
        <v>0</v>
      </c>
      <c r="AG325" s="10">
        <v>0</v>
      </c>
      <c r="AI325" s="10">
        <f t="shared" si="11"/>
        <v>0</v>
      </c>
      <c r="AJ325" s="10"/>
    </row>
    <row r="326" spans="1:39">
      <c r="A326" s="15" t="s">
        <v>549</v>
      </c>
      <c r="B326" s="15"/>
      <c r="C326" s="15" t="s">
        <v>545</v>
      </c>
      <c r="D326" s="15"/>
      <c r="E326" s="24">
        <f>118878+19</f>
        <v>118897</v>
      </c>
      <c r="F326" s="24"/>
      <c r="G326" s="24">
        <v>0</v>
      </c>
      <c r="H326" s="24"/>
      <c r="I326" s="24">
        <f>34904+22716</f>
        <v>57620</v>
      </c>
      <c r="J326" s="24"/>
      <c r="K326" s="24">
        <v>0</v>
      </c>
      <c r="L326" s="24"/>
      <c r="M326" s="24">
        <v>85139</v>
      </c>
      <c r="N326" s="24"/>
      <c r="O326" s="24">
        <f>4978+20</f>
        <v>4998</v>
      </c>
      <c r="P326" s="24"/>
      <c r="Q326" s="24">
        <v>8385</v>
      </c>
      <c r="R326" s="24"/>
      <c r="S326" s="24">
        <v>3765</v>
      </c>
      <c r="T326" s="24"/>
      <c r="U326" s="24">
        <v>0</v>
      </c>
      <c r="V326" s="24"/>
      <c r="W326" s="24">
        <v>0</v>
      </c>
      <c r="X326" s="24"/>
      <c r="Y326" s="24">
        <v>0</v>
      </c>
      <c r="Z326" s="24"/>
      <c r="AA326" s="24">
        <v>0</v>
      </c>
      <c r="AB326" s="24"/>
      <c r="AC326" s="24">
        <v>1000</v>
      </c>
      <c r="AD326" s="24"/>
      <c r="AE326" s="24">
        <v>0</v>
      </c>
      <c r="AF326" s="24"/>
      <c r="AG326" s="24">
        <v>0</v>
      </c>
      <c r="AH326" s="24"/>
      <c r="AI326" s="10">
        <f t="shared" si="11"/>
        <v>279804</v>
      </c>
      <c r="AJ326" s="40"/>
    </row>
    <row r="327" spans="1:39" hidden="1">
      <c r="A327" s="1" t="s">
        <v>242</v>
      </c>
      <c r="C327" s="1" t="s">
        <v>826</v>
      </c>
      <c r="E327" s="10">
        <v>0</v>
      </c>
      <c r="G327" s="10">
        <v>0</v>
      </c>
      <c r="I327" s="10">
        <v>0</v>
      </c>
      <c r="K327" s="10">
        <v>0</v>
      </c>
      <c r="M327" s="10">
        <v>0</v>
      </c>
      <c r="O327" s="10">
        <v>0</v>
      </c>
      <c r="Q327" s="10">
        <v>0</v>
      </c>
      <c r="S327" s="10">
        <v>0</v>
      </c>
      <c r="U327" s="10">
        <v>0</v>
      </c>
      <c r="V327" s="24"/>
      <c r="W327" s="10">
        <v>0</v>
      </c>
      <c r="X327" s="24"/>
      <c r="Y327" s="10">
        <v>0</v>
      </c>
      <c r="AA327" s="10">
        <v>0</v>
      </c>
      <c r="AC327" s="10">
        <v>0</v>
      </c>
      <c r="AE327" s="10">
        <v>0</v>
      </c>
      <c r="AG327" s="10">
        <v>0</v>
      </c>
      <c r="AI327" s="10">
        <f t="shared" si="11"/>
        <v>0</v>
      </c>
      <c r="AJ327" s="10"/>
    </row>
    <row r="328" spans="1:39" hidden="1">
      <c r="A328" s="1" t="s">
        <v>107</v>
      </c>
      <c r="C328" s="1" t="s">
        <v>782</v>
      </c>
      <c r="E328" s="10">
        <v>0</v>
      </c>
      <c r="G328" s="10">
        <v>0</v>
      </c>
      <c r="I328" s="10">
        <v>0</v>
      </c>
      <c r="K328" s="10">
        <v>0</v>
      </c>
      <c r="M328" s="10">
        <v>0</v>
      </c>
      <c r="O328" s="10">
        <v>0</v>
      </c>
      <c r="Q328" s="10">
        <v>0</v>
      </c>
      <c r="S328" s="10">
        <v>0</v>
      </c>
      <c r="U328" s="10">
        <v>0</v>
      </c>
      <c r="V328" s="24"/>
      <c r="W328" s="10">
        <v>0</v>
      </c>
      <c r="X328" s="24"/>
      <c r="Y328" s="10">
        <v>0</v>
      </c>
      <c r="AA328" s="10">
        <v>0</v>
      </c>
      <c r="AC328" s="10">
        <v>0</v>
      </c>
      <c r="AE328" s="10">
        <v>0</v>
      </c>
      <c r="AG328" s="10">
        <v>0</v>
      </c>
      <c r="AI328" s="10">
        <f t="shared" si="11"/>
        <v>0</v>
      </c>
      <c r="AJ328" s="10"/>
    </row>
    <row r="329" spans="1:39" hidden="1">
      <c r="A329" s="1" t="s">
        <v>30</v>
      </c>
      <c r="C329" s="1" t="s">
        <v>758</v>
      </c>
      <c r="E329" s="10">
        <v>0</v>
      </c>
      <c r="G329" s="10">
        <v>0</v>
      </c>
      <c r="I329" s="10">
        <v>0</v>
      </c>
      <c r="K329" s="10">
        <v>0</v>
      </c>
      <c r="M329" s="10">
        <v>0</v>
      </c>
      <c r="O329" s="10">
        <v>0</v>
      </c>
      <c r="Q329" s="10">
        <v>0</v>
      </c>
      <c r="S329" s="10">
        <v>0</v>
      </c>
      <c r="U329" s="10">
        <v>0</v>
      </c>
      <c r="V329" s="24"/>
      <c r="W329" s="10">
        <v>0</v>
      </c>
      <c r="X329" s="24"/>
      <c r="Y329" s="10">
        <v>0</v>
      </c>
      <c r="AA329" s="10">
        <v>0</v>
      </c>
      <c r="AC329" s="10">
        <v>0</v>
      </c>
      <c r="AE329" s="10">
        <v>0</v>
      </c>
      <c r="AG329" s="10">
        <v>0</v>
      </c>
      <c r="AI329" s="10">
        <f t="shared" si="11"/>
        <v>0</v>
      </c>
      <c r="AJ329" s="10"/>
      <c r="AK329" s="7"/>
      <c r="AL329" s="7"/>
      <c r="AM329" s="7"/>
    </row>
    <row r="330" spans="1:39" hidden="1">
      <c r="A330" s="1" t="s">
        <v>195</v>
      </c>
      <c r="C330" s="1" t="s">
        <v>811</v>
      </c>
      <c r="E330" s="10">
        <v>0</v>
      </c>
      <c r="G330" s="10">
        <v>0</v>
      </c>
      <c r="I330" s="10">
        <v>0</v>
      </c>
      <c r="K330" s="10">
        <v>0</v>
      </c>
      <c r="M330" s="10">
        <v>0</v>
      </c>
      <c r="O330" s="10">
        <v>0</v>
      </c>
      <c r="Q330" s="10">
        <v>0</v>
      </c>
      <c r="S330" s="10">
        <v>0</v>
      </c>
      <c r="U330" s="10">
        <v>0</v>
      </c>
      <c r="V330" s="24"/>
      <c r="W330" s="10">
        <v>0</v>
      </c>
      <c r="X330" s="24"/>
      <c r="Y330" s="10">
        <v>0</v>
      </c>
      <c r="AA330" s="10">
        <v>0</v>
      </c>
      <c r="AC330" s="10">
        <v>0</v>
      </c>
      <c r="AE330" s="10">
        <v>0</v>
      </c>
      <c r="AG330" s="10">
        <v>0</v>
      </c>
      <c r="AI330" s="10">
        <f t="shared" si="11"/>
        <v>0</v>
      </c>
      <c r="AJ330" s="10"/>
    </row>
    <row r="331" spans="1:39" s="21" customFormat="1" hidden="1">
      <c r="A331" s="1" t="s">
        <v>73</v>
      </c>
      <c r="B331" s="1"/>
      <c r="C331" s="1" t="s">
        <v>773</v>
      </c>
      <c r="D331" s="1"/>
      <c r="E331" s="10">
        <v>0</v>
      </c>
      <c r="F331" s="10"/>
      <c r="G331" s="10">
        <v>0</v>
      </c>
      <c r="H331" s="10"/>
      <c r="I331" s="10">
        <v>0</v>
      </c>
      <c r="J331" s="10"/>
      <c r="K331" s="10">
        <v>0</v>
      </c>
      <c r="L331" s="10"/>
      <c r="M331" s="10">
        <v>0</v>
      </c>
      <c r="N331" s="10"/>
      <c r="O331" s="10">
        <v>0</v>
      </c>
      <c r="P331" s="10"/>
      <c r="Q331" s="10">
        <v>0</v>
      </c>
      <c r="R331" s="10"/>
      <c r="S331" s="10">
        <v>0</v>
      </c>
      <c r="T331" s="24"/>
      <c r="U331" s="10">
        <v>0</v>
      </c>
      <c r="V331" s="24"/>
      <c r="W331" s="10">
        <v>0</v>
      </c>
      <c r="X331" s="10"/>
      <c r="Y331" s="10">
        <v>0</v>
      </c>
      <c r="Z331" s="10"/>
      <c r="AA331" s="10">
        <v>0</v>
      </c>
      <c r="AB331" s="10"/>
      <c r="AC331" s="10">
        <v>0</v>
      </c>
      <c r="AD331" s="10"/>
      <c r="AE331" s="10">
        <v>0</v>
      </c>
      <c r="AF331" s="10"/>
      <c r="AG331" s="10">
        <v>0</v>
      </c>
      <c r="AH331" s="10"/>
      <c r="AI331" s="10">
        <f t="shared" si="11"/>
        <v>0</v>
      </c>
      <c r="AJ331" s="10"/>
    </row>
    <row r="332" spans="1:39" hidden="1">
      <c r="A332" s="1" t="s">
        <v>846</v>
      </c>
      <c r="C332" s="1" t="s">
        <v>807</v>
      </c>
      <c r="E332" s="10">
        <v>0</v>
      </c>
      <c r="G332" s="10">
        <v>0</v>
      </c>
      <c r="I332" s="10">
        <v>0</v>
      </c>
      <c r="K332" s="10">
        <v>0</v>
      </c>
      <c r="M332" s="10">
        <v>0</v>
      </c>
      <c r="O332" s="10">
        <v>0</v>
      </c>
      <c r="Q332" s="10">
        <v>0</v>
      </c>
      <c r="S332" s="10">
        <v>0</v>
      </c>
      <c r="U332" s="10">
        <v>0</v>
      </c>
      <c r="V332" s="24"/>
      <c r="W332" s="10">
        <v>0</v>
      </c>
      <c r="X332" s="24"/>
      <c r="Y332" s="10">
        <v>0</v>
      </c>
      <c r="AA332" s="10">
        <v>0</v>
      </c>
      <c r="AC332" s="10">
        <v>0</v>
      </c>
      <c r="AE332" s="10">
        <v>0</v>
      </c>
      <c r="AG332" s="10">
        <v>0</v>
      </c>
      <c r="AI332" s="10">
        <f t="shared" si="11"/>
        <v>0</v>
      </c>
      <c r="AJ332" s="10"/>
    </row>
    <row r="333" spans="1:39" s="21" customFormat="1" hidden="1">
      <c r="A333" s="1" t="s">
        <v>173</v>
      </c>
      <c r="B333" s="1"/>
      <c r="C333" s="1" t="s">
        <v>243</v>
      </c>
      <c r="D333" s="1"/>
      <c r="E333" s="10">
        <v>0</v>
      </c>
      <c r="F333" s="10"/>
      <c r="G333" s="10">
        <v>0</v>
      </c>
      <c r="H333" s="10"/>
      <c r="I333" s="10">
        <v>0</v>
      </c>
      <c r="J333" s="10"/>
      <c r="K333" s="10">
        <v>0</v>
      </c>
      <c r="L333" s="10"/>
      <c r="M333" s="10">
        <v>0</v>
      </c>
      <c r="N333" s="10"/>
      <c r="O333" s="10">
        <v>0</v>
      </c>
      <c r="P333" s="10"/>
      <c r="Q333" s="10">
        <v>0</v>
      </c>
      <c r="R333" s="10"/>
      <c r="S333" s="10">
        <v>0</v>
      </c>
      <c r="T333" s="10"/>
      <c r="U333" s="10">
        <v>0</v>
      </c>
      <c r="V333" s="24"/>
      <c r="W333" s="10">
        <v>0</v>
      </c>
      <c r="X333" s="24"/>
      <c r="Y333" s="10">
        <v>0</v>
      </c>
      <c r="Z333" s="10"/>
      <c r="AA333" s="10">
        <v>0</v>
      </c>
      <c r="AB333" s="10"/>
      <c r="AC333" s="10">
        <v>0</v>
      </c>
      <c r="AD333" s="10"/>
      <c r="AE333" s="10">
        <v>0</v>
      </c>
      <c r="AF333" s="10"/>
      <c r="AG333" s="10">
        <v>0</v>
      </c>
      <c r="AH333" s="10"/>
      <c r="AI333" s="10">
        <f t="shared" si="11"/>
        <v>0</v>
      </c>
      <c r="AJ333" s="10"/>
    </row>
    <row r="334" spans="1:39" s="21" customFormat="1">
      <c r="A334" s="1" t="s">
        <v>384</v>
      </c>
      <c r="B334" s="1"/>
      <c r="C334" s="1" t="s">
        <v>378</v>
      </c>
      <c r="D334" s="1"/>
      <c r="E334" s="10">
        <v>300601</v>
      </c>
      <c r="F334" s="10"/>
      <c r="G334" s="10">
        <v>1817458</v>
      </c>
      <c r="H334" s="10"/>
      <c r="I334" s="10">
        <v>340480</v>
      </c>
      <c r="J334" s="10"/>
      <c r="K334" s="10">
        <v>0</v>
      </c>
      <c r="L334" s="10"/>
      <c r="M334" s="10">
        <v>235347</v>
      </c>
      <c r="N334" s="10"/>
      <c r="O334" s="10">
        <v>182872</v>
      </c>
      <c r="P334" s="10"/>
      <c r="Q334" s="10">
        <v>41277</v>
      </c>
      <c r="R334" s="10"/>
      <c r="S334" s="10">
        <v>77215</v>
      </c>
      <c r="T334" s="10"/>
      <c r="U334" s="10">
        <v>0</v>
      </c>
      <c r="V334" s="10"/>
      <c r="W334" s="10">
        <v>0</v>
      </c>
      <c r="X334" s="10"/>
      <c r="Y334" s="10">
        <v>0</v>
      </c>
      <c r="Z334" s="10"/>
      <c r="AA334" s="10">
        <v>0</v>
      </c>
      <c r="AB334" s="10"/>
      <c r="AC334" s="10">
        <v>0</v>
      </c>
      <c r="AD334" s="10"/>
      <c r="AE334" s="10">
        <v>0</v>
      </c>
      <c r="AF334" s="10"/>
      <c r="AG334" s="10">
        <v>0</v>
      </c>
      <c r="AH334" s="10"/>
      <c r="AI334" s="10">
        <f t="shared" si="11"/>
        <v>2995250</v>
      </c>
      <c r="AJ334" s="10"/>
    </row>
    <row r="335" spans="1:39" s="21" customFormat="1" hidden="1">
      <c r="A335" s="1"/>
      <c r="B335" s="1"/>
      <c r="C335" s="1"/>
      <c r="D335" s="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 t="s">
        <v>869</v>
      </c>
      <c r="AJ335" s="10"/>
    </row>
    <row r="336" spans="1:39" s="10" customFormat="1">
      <c r="A336" s="10" t="s">
        <v>591</v>
      </c>
      <c r="C336" s="10" t="s">
        <v>590</v>
      </c>
      <c r="E336" s="10">
        <v>2984</v>
      </c>
      <c r="G336" s="10">
        <v>36384</v>
      </c>
      <c r="I336" s="10">
        <v>0</v>
      </c>
      <c r="K336" s="10">
        <v>0</v>
      </c>
      <c r="M336" s="10">
        <v>0</v>
      </c>
      <c r="O336" s="10">
        <v>0</v>
      </c>
      <c r="Q336" s="10">
        <v>0</v>
      </c>
      <c r="S336" s="10">
        <v>275</v>
      </c>
      <c r="U336" s="10">
        <v>0</v>
      </c>
      <c r="W336" s="10">
        <v>0</v>
      </c>
      <c r="Y336" s="10">
        <v>0</v>
      </c>
      <c r="AA336" s="10">
        <v>0</v>
      </c>
      <c r="AC336" s="10">
        <v>0</v>
      </c>
      <c r="AE336" s="10">
        <v>0</v>
      </c>
      <c r="AF336" s="35"/>
      <c r="AG336" s="10">
        <v>0</v>
      </c>
      <c r="AH336" s="35"/>
      <c r="AI336" s="10">
        <f t="shared" ref="AI336:AI367" si="12">SUM(E336:AG336)</f>
        <v>39643</v>
      </c>
    </row>
    <row r="337" spans="1:39">
      <c r="A337" s="1" t="s">
        <v>686</v>
      </c>
      <c r="C337" s="1" t="s">
        <v>593</v>
      </c>
      <c r="E337" s="10">
        <v>40110</v>
      </c>
      <c r="G337" s="10">
        <v>0</v>
      </c>
      <c r="I337" s="10">
        <v>50001</v>
      </c>
      <c r="K337" s="10">
        <v>0</v>
      </c>
      <c r="M337" s="10">
        <v>4282</v>
      </c>
      <c r="O337" s="10">
        <v>165</v>
      </c>
      <c r="Q337" s="10">
        <v>3805</v>
      </c>
      <c r="S337" s="10">
        <v>57258</v>
      </c>
      <c r="U337" s="10">
        <v>0</v>
      </c>
      <c r="W337" s="10">
        <v>0</v>
      </c>
      <c r="Y337" s="10">
        <v>0</v>
      </c>
      <c r="AA337" s="10">
        <v>0</v>
      </c>
      <c r="AC337" s="10">
        <v>0</v>
      </c>
      <c r="AE337" s="10">
        <v>0</v>
      </c>
      <c r="AG337" s="10">
        <v>0</v>
      </c>
      <c r="AI337" s="10">
        <f t="shared" si="12"/>
        <v>155621</v>
      </c>
      <c r="AJ337" s="10"/>
    </row>
    <row r="338" spans="1:39" s="21" customFormat="1" hidden="1">
      <c r="A338" s="1" t="s">
        <v>123</v>
      </c>
      <c r="B338" s="1"/>
      <c r="C338" s="1" t="s">
        <v>787</v>
      </c>
      <c r="D338" s="1"/>
      <c r="E338" s="10">
        <v>0</v>
      </c>
      <c r="F338" s="10"/>
      <c r="G338" s="10">
        <v>0</v>
      </c>
      <c r="H338" s="10"/>
      <c r="I338" s="10">
        <v>0</v>
      </c>
      <c r="J338" s="10"/>
      <c r="K338" s="10">
        <v>0</v>
      </c>
      <c r="L338" s="10"/>
      <c r="M338" s="10">
        <v>0</v>
      </c>
      <c r="N338" s="10"/>
      <c r="O338" s="10">
        <v>0</v>
      </c>
      <c r="P338" s="10"/>
      <c r="Q338" s="10">
        <v>0</v>
      </c>
      <c r="R338" s="10"/>
      <c r="S338" s="10">
        <v>0</v>
      </c>
      <c r="T338" s="10"/>
      <c r="U338" s="10">
        <v>0</v>
      </c>
      <c r="V338" s="24"/>
      <c r="W338" s="10">
        <v>0</v>
      </c>
      <c r="X338" s="24"/>
      <c r="Y338" s="10">
        <v>0</v>
      </c>
      <c r="Z338" s="10"/>
      <c r="AA338" s="10">
        <v>0</v>
      </c>
      <c r="AB338" s="10"/>
      <c r="AC338" s="10">
        <v>0</v>
      </c>
      <c r="AD338" s="10"/>
      <c r="AE338" s="10">
        <v>0</v>
      </c>
      <c r="AF338" s="10"/>
      <c r="AG338" s="10">
        <v>0</v>
      </c>
      <c r="AH338" s="10"/>
      <c r="AI338" s="10">
        <f t="shared" si="12"/>
        <v>0</v>
      </c>
      <c r="AJ338" s="10"/>
    </row>
    <row r="339" spans="1:39" s="21" customFormat="1" hidden="1">
      <c r="A339" s="1" t="s">
        <v>301</v>
      </c>
      <c r="B339" s="1"/>
      <c r="C339" s="1" t="s">
        <v>299</v>
      </c>
      <c r="D339" s="1"/>
      <c r="E339" s="10">
        <v>0</v>
      </c>
      <c r="F339" s="10"/>
      <c r="G339" s="10">
        <v>0</v>
      </c>
      <c r="H339" s="10"/>
      <c r="I339" s="10">
        <v>0</v>
      </c>
      <c r="J339" s="10"/>
      <c r="K339" s="10">
        <v>0</v>
      </c>
      <c r="L339" s="10"/>
      <c r="M339" s="10">
        <v>0</v>
      </c>
      <c r="N339" s="10"/>
      <c r="O339" s="10">
        <v>0</v>
      </c>
      <c r="P339" s="10"/>
      <c r="Q339" s="10">
        <v>0</v>
      </c>
      <c r="R339" s="10"/>
      <c r="S339" s="10">
        <v>0</v>
      </c>
      <c r="T339" s="10"/>
      <c r="U339" s="10">
        <v>0</v>
      </c>
      <c r="V339" s="24"/>
      <c r="W339" s="10">
        <v>0</v>
      </c>
      <c r="X339" s="24"/>
      <c r="Y339" s="10">
        <v>0</v>
      </c>
      <c r="Z339" s="10"/>
      <c r="AA339" s="10">
        <v>0</v>
      </c>
      <c r="AB339" s="10"/>
      <c r="AC339" s="10">
        <v>0</v>
      </c>
      <c r="AD339" s="10"/>
      <c r="AE339" s="10">
        <v>0</v>
      </c>
      <c r="AF339" s="10"/>
      <c r="AG339" s="10">
        <v>0</v>
      </c>
      <c r="AH339" s="10"/>
      <c r="AI339" s="10">
        <f t="shared" si="12"/>
        <v>0</v>
      </c>
      <c r="AJ339" s="10"/>
      <c r="AK339" s="22"/>
      <c r="AL339" s="22"/>
      <c r="AM339" s="22"/>
    </row>
    <row r="340" spans="1:39" hidden="1">
      <c r="A340" s="1" t="s">
        <v>247</v>
      </c>
      <c r="C340" s="1" t="s">
        <v>827</v>
      </c>
      <c r="E340" s="10">
        <v>0</v>
      </c>
      <c r="G340" s="10">
        <v>0</v>
      </c>
      <c r="I340" s="10">
        <v>0</v>
      </c>
      <c r="K340" s="10">
        <v>0</v>
      </c>
      <c r="M340" s="10">
        <v>0</v>
      </c>
      <c r="O340" s="10">
        <v>0</v>
      </c>
      <c r="Q340" s="10">
        <v>0</v>
      </c>
      <c r="S340" s="10">
        <v>0</v>
      </c>
      <c r="U340" s="10">
        <v>0</v>
      </c>
      <c r="V340" s="24"/>
      <c r="W340" s="10">
        <v>0</v>
      </c>
      <c r="X340" s="24"/>
      <c r="Y340" s="10">
        <v>0</v>
      </c>
      <c r="AA340" s="10">
        <v>0</v>
      </c>
      <c r="AC340" s="10">
        <v>0</v>
      </c>
      <c r="AE340" s="10">
        <v>0</v>
      </c>
      <c r="AG340" s="10">
        <v>0</v>
      </c>
      <c r="AI340" s="10">
        <f t="shared" si="12"/>
        <v>0</v>
      </c>
      <c r="AJ340" s="10"/>
    </row>
    <row r="341" spans="1:39" s="31" customFormat="1" hidden="1">
      <c r="A341" s="15" t="s">
        <v>322</v>
      </c>
      <c r="B341" s="15"/>
      <c r="C341" s="15" t="s">
        <v>316</v>
      </c>
      <c r="D341" s="15"/>
      <c r="E341" s="24">
        <v>0</v>
      </c>
      <c r="F341" s="24"/>
      <c r="G341" s="24">
        <v>0</v>
      </c>
      <c r="H341" s="24"/>
      <c r="I341" s="24">
        <v>0</v>
      </c>
      <c r="J341" s="24"/>
      <c r="K341" s="24">
        <v>0</v>
      </c>
      <c r="L341" s="24"/>
      <c r="M341" s="24">
        <v>0</v>
      </c>
      <c r="N341" s="24"/>
      <c r="O341" s="24">
        <v>0</v>
      </c>
      <c r="P341" s="24"/>
      <c r="Q341" s="24">
        <v>0</v>
      </c>
      <c r="R341" s="24"/>
      <c r="S341" s="24">
        <v>0</v>
      </c>
      <c r="T341" s="24"/>
      <c r="U341" s="24">
        <v>0</v>
      </c>
      <c r="V341" s="24"/>
      <c r="W341" s="24">
        <v>0</v>
      </c>
      <c r="X341" s="24"/>
      <c r="Y341" s="24">
        <v>0</v>
      </c>
      <c r="Z341" s="24"/>
      <c r="AA341" s="24">
        <v>0</v>
      </c>
      <c r="AB341" s="24"/>
      <c r="AC341" s="24">
        <v>0</v>
      </c>
      <c r="AD341" s="24"/>
      <c r="AE341" s="24">
        <v>0</v>
      </c>
      <c r="AF341" s="24"/>
      <c r="AG341" s="24">
        <v>0</v>
      </c>
      <c r="AH341" s="24"/>
      <c r="AI341" s="24">
        <f t="shared" si="12"/>
        <v>0</v>
      </c>
      <c r="AJ341" s="24"/>
      <c r="AK341" s="32"/>
      <c r="AL341" s="32"/>
      <c r="AM341" s="32"/>
    </row>
    <row r="342" spans="1:39">
      <c r="A342" s="15" t="s">
        <v>302</v>
      </c>
      <c r="B342" s="15"/>
      <c r="C342" s="1" t="s">
        <v>82</v>
      </c>
      <c r="E342" s="10">
        <v>72399</v>
      </c>
      <c r="G342" s="10">
        <v>0</v>
      </c>
      <c r="I342" s="10">
        <v>120465</v>
      </c>
      <c r="K342" s="10">
        <v>0</v>
      </c>
      <c r="M342" s="10">
        <v>0</v>
      </c>
      <c r="O342" s="10">
        <v>25299</v>
      </c>
      <c r="Q342" s="10">
        <v>1805</v>
      </c>
      <c r="S342" s="10">
        <v>3751</v>
      </c>
      <c r="U342" s="10">
        <v>0</v>
      </c>
      <c r="W342" s="10">
        <v>0</v>
      </c>
      <c r="Y342" s="10">
        <v>0</v>
      </c>
      <c r="AA342" s="10">
        <v>0</v>
      </c>
      <c r="AC342" s="10">
        <v>0</v>
      </c>
      <c r="AE342" s="10">
        <v>20049</v>
      </c>
      <c r="AG342" s="10">
        <v>0</v>
      </c>
      <c r="AI342" s="10">
        <f t="shared" si="12"/>
        <v>243768</v>
      </c>
      <c r="AJ342" s="10"/>
    </row>
    <row r="343" spans="1:39" hidden="1">
      <c r="A343" s="1" t="s">
        <v>108</v>
      </c>
      <c r="C343" s="1" t="s">
        <v>782</v>
      </c>
      <c r="E343" s="10">
        <v>0</v>
      </c>
      <c r="G343" s="10">
        <v>0</v>
      </c>
      <c r="I343" s="10">
        <v>0</v>
      </c>
      <c r="K343" s="10">
        <v>0</v>
      </c>
      <c r="M343" s="10">
        <v>0</v>
      </c>
      <c r="O343" s="10">
        <v>0</v>
      </c>
      <c r="Q343" s="10">
        <v>0</v>
      </c>
      <c r="S343" s="10">
        <v>0</v>
      </c>
      <c r="U343" s="10">
        <v>0</v>
      </c>
      <c r="V343" s="24"/>
      <c r="W343" s="10">
        <v>0</v>
      </c>
      <c r="X343" s="24"/>
      <c r="Y343" s="10">
        <v>0</v>
      </c>
      <c r="AA343" s="10">
        <v>0</v>
      </c>
      <c r="AC343" s="10">
        <v>0</v>
      </c>
      <c r="AE343" s="10">
        <v>0</v>
      </c>
      <c r="AG343" s="10">
        <v>0</v>
      </c>
      <c r="AI343" s="10">
        <f t="shared" si="12"/>
        <v>0</v>
      </c>
      <c r="AJ343" s="10"/>
    </row>
    <row r="344" spans="1:39" s="21" customFormat="1">
      <c r="A344" s="1" t="s">
        <v>389</v>
      </c>
      <c r="B344" s="1"/>
      <c r="C344" s="1" t="s">
        <v>388</v>
      </c>
      <c r="D344" s="1"/>
      <c r="E344" s="10">
        <v>115961</v>
      </c>
      <c r="F344" s="10"/>
      <c r="G344" s="10">
        <v>654053</v>
      </c>
      <c r="H344" s="10"/>
      <c r="I344" s="10">
        <v>64581</v>
      </c>
      <c r="J344" s="10"/>
      <c r="K344" s="10">
        <v>0</v>
      </c>
      <c r="L344" s="10"/>
      <c r="M344" s="10">
        <v>19153</v>
      </c>
      <c r="N344" s="10"/>
      <c r="O344" s="10">
        <v>8660</v>
      </c>
      <c r="P344" s="10"/>
      <c r="Q344" s="10">
        <v>83623</v>
      </c>
      <c r="R344" s="10"/>
      <c r="S344" s="10">
        <v>526552</v>
      </c>
      <c r="T344" s="10"/>
      <c r="U344" s="10">
        <v>0</v>
      </c>
      <c r="V344" s="10"/>
      <c r="W344" s="10">
        <v>0</v>
      </c>
      <c r="X344" s="10"/>
      <c r="Y344" s="10">
        <v>0</v>
      </c>
      <c r="Z344" s="10"/>
      <c r="AA344" s="10">
        <v>0</v>
      </c>
      <c r="AB344" s="10"/>
      <c r="AC344" s="10">
        <v>0</v>
      </c>
      <c r="AD344" s="10"/>
      <c r="AE344" s="10">
        <v>0</v>
      </c>
      <c r="AF344" s="10"/>
      <c r="AG344" s="10">
        <v>0</v>
      </c>
      <c r="AH344" s="10"/>
      <c r="AI344" s="10">
        <f t="shared" si="12"/>
        <v>1472583</v>
      </c>
      <c r="AJ344" s="10"/>
    </row>
    <row r="345" spans="1:39" hidden="1">
      <c r="A345" s="1" t="s">
        <v>168</v>
      </c>
      <c r="C345" s="1" t="s">
        <v>803</v>
      </c>
      <c r="E345" s="10">
        <v>0</v>
      </c>
      <c r="G345" s="10">
        <v>0</v>
      </c>
      <c r="I345" s="10">
        <v>0</v>
      </c>
      <c r="K345" s="10">
        <v>0</v>
      </c>
      <c r="M345" s="10">
        <v>0</v>
      </c>
      <c r="O345" s="10">
        <v>0</v>
      </c>
      <c r="Q345" s="10">
        <v>0</v>
      </c>
      <c r="S345" s="10">
        <v>0</v>
      </c>
      <c r="U345" s="10">
        <v>0</v>
      </c>
      <c r="V345" s="24"/>
      <c r="W345" s="10">
        <v>0</v>
      </c>
      <c r="X345" s="24"/>
      <c r="Y345" s="10">
        <v>0</v>
      </c>
      <c r="AA345" s="10">
        <v>0</v>
      </c>
      <c r="AC345" s="10">
        <v>0</v>
      </c>
      <c r="AE345" s="10">
        <v>0</v>
      </c>
      <c r="AG345" s="10">
        <v>0</v>
      </c>
      <c r="AI345" s="10">
        <f t="shared" si="12"/>
        <v>0</v>
      </c>
      <c r="AJ345" s="10"/>
    </row>
    <row r="346" spans="1:39">
      <c r="A346" s="1" t="s">
        <v>563</v>
      </c>
      <c r="C346" s="1" t="s">
        <v>562</v>
      </c>
      <c r="E346" s="10">
        <v>168935</v>
      </c>
      <c r="G346" s="10">
        <v>0</v>
      </c>
      <c r="I346" s="10">
        <v>117645</v>
      </c>
      <c r="K346" s="10">
        <v>0</v>
      </c>
      <c r="M346" s="10">
        <v>17394</v>
      </c>
      <c r="O346" s="10">
        <v>39613</v>
      </c>
      <c r="Q346" s="10">
        <v>66934</v>
      </c>
      <c r="S346" s="10">
        <v>128662</v>
      </c>
      <c r="U346" s="10">
        <v>0</v>
      </c>
      <c r="W346" s="10">
        <v>0</v>
      </c>
      <c r="Y346" s="10">
        <v>0</v>
      </c>
      <c r="AA346" s="10">
        <v>475000</v>
      </c>
      <c r="AC346" s="10">
        <v>0</v>
      </c>
      <c r="AE346" s="10">
        <v>0</v>
      </c>
      <c r="AG346" s="10">
        <v>0</v>
      </c>
      <c r="AI346" s="10">
        <f t="shared" si="12"/>
        <v>1014183</v>
      </c>
      <c r="AJ346" s="10"/>
    </row>
    <row r="347" spans="1:39">
      <c r="A347" s="1" t="s">
        <v>399</v>
      </c>
      <c r="C347" s="1" t="s">
        <v>396</v>
      </c>
      <c r="E347" s="10">
        <v>6561</v>
      </c>
      <c r="G347" s="10">
        <v>44000</v>
      </c>
      <c r="I347" s="10">
        <v>17877</v>
      </c>
      <c r="K347" s="10">
        <v>0</v>
      </c>
      <c r="M347" s="10">
        <v>25</v>
      </c>
      <c r="O347" s="10">
        <v>3801</v>
      </c>
      <c r="Q347" s="10">
        <v>5943</v>
      </c>
      <c r="S347" s="10">
        <v>8652</v>
      </c>
      <c r="U347" s="10">
        <v>0</v>
      </c>
      <c r="W347" s="10">
        <v>0</v>
      </c>
      <c r="Y347" s="10">
        <v>9450</v>
      </c>
      <c r="AA347" s="10">
        <v>0</v>
      </c>
      <c r="AC347" s="10">
        <v>0</v>
      </c>
      <c r="AE347" s="10">
        <v>0</v>
      </c>
      <c r="AG347" s="10">
        <v>0</v>
      </c>
      <c r="AI347" s="10">
        <f t="shared" si="12"/>
        <v>96309</v>
      </c>
      <c r="AJ347" s="10"/>
    </row>
    <row r="348" spans="1:39" hidden="1">
      <c r="A348" s="1" t="s">
        <v>286</v>
      </c>
      <c r="C348" s="1" t="s">
        <v>287</v>
      </c>
      <c r="E348" s="10">
        <v>0</v>
      </c>
      <c r="G348" s="10">
        <v>0</v>
      </c>
      <c r="I348" s="10">
        <v>0</v>
      </c>
      <c r="K348" s="10">
        <v>0</v>
      </c>
      <c r="M348" s="10">
        <v>0</v>
      </c>
      <c r="O348" s="10">
        <v>0</v>
      </c>
      <c r="Q348" s="10">
        <v>0</v>
      </c>
      <c r="S348" s="10">
        <v>0</v>
      </c>
      <c r="U348" s="10">
        <v>0</v>
      </c>
      <c r="W348" s="10">
        <v>0</v>
      </c>
      <c r="Y348" s="10">
        <v>0</v>
      </c>
      <c r="AA348" s="10">
        <v>0</v>
      </c>
      <c r="AC348" s="10">
        <v>0</v>
      </c>
      <c r="AE348" s="10">
        <v>0</v>
      </c>
      <c r="AG348" s="10">
        <v>0</v>
      </c>
      <c r="AI348" s="10">
        <f t="shared" si="12"/>
        <v>0</v>
      </c>
      <c r="AJ348" s="10"/>
      <c r="AK348" s="7"/>
      <c r="AL348" s="7"/>
      <c r="AM348" s="7"/>
    </row>
    <row r="349" spans="1:39" hidden="1">
      <c r="A349" s="1" t="s">
        <v>185</v>
      </c>
      <c r="C349" s="1" t="s">
        <v>808</v>
      </c>
      <c r="E349" s="10">
        <v>0</v>
      </c>
      <c r="G349" s="10">
        <v>0</v>
      </c>
      <c r="I349" s="10">
        <v>0</v>
      </c>
      <c r="K349" s="10">
        <v>0</v>
      </c>
      <c r="M349" s="10">
        <v>0</v>
      </c>
      <c r="O349" s="10">
        <v>0</v>
      </c>
      <c r="Q349" s="10">
        <v>0</v>
      </c>
      <c r="S349" s="10">
        <v>0</v>
      </c>
      <c r="U349" s="10">
        <v>0</v>
      </c>
      <c r="V349" s="24"/>
      <c r="W349" s="10">
        <v>0</v>
      </c>
      <c r="X349" s="24"/>
      <c r="Y349" s="10">
        <v>0</v>
      </c>
      <c r="AA349" s="10">
        <v>0</v>
      </c>
      <c r="AC349" s="10">
        <v>0</v>
      </c>
      <c r="AE349" s="10">
        <v>0</v>
      </c>
      <c r="AG349" s="10">
        <v>0</v>
      </c>
      <c r="AI349" s="10">
        <f t="shared" si="12"/>
        <v>0</v>
      </c>
      <c r="AJ349" s="10"/>
    </row>
    <row r="350" spans="1:39" hidden="1">
      <c r="A350" s="1" t="s">
        <v>852</v>
      </c>
      <c r="C350" s="1" t="s">
        <v>799</v>
      </c>
      <c r="E350" s="10">
        <v>0</v>
      </c>
      <c r="G350" s="10">
        <v>0</v>
      </c>
      <c r="I350" s="10">
        <v>0</v>
      </c>
      <c r="K350" s="10">
        <v>0</v>
      </c>
      <c r="M350" s="10">
        <v>0</v>
      </c>
      <c r="O350" s="10">
        <v>0</v>
      </c>
      <c r="Q350" s="10">
        <v>0</v>
      </c>
      <c r="S350" s="10">
        <v>0</v>
      </c>
      <c r="U350" s="10">
        <v>0</v>
      </c>
      <c r="V350" s="24"/>
      <c r="W350" s="10">
        <v>0</v>
      </c>
      <c r="X350" s="24"/>
      <c r="Y350" s="10">
        <v>0</v>
      </c>
      <c r="AA350" s="10">
        <v>0</v>
      </c>
      <c r="AC350" s="10">
        <v>0</v>
      </c>
      <c r="AE350" s="10">
        <v>0</v>
      </c>
      <c r="AG350" s="10">
        <v>0</v>
      </c>
      <c r="AI350" s="10">
        <f t="shared" si="12"/>
        <v>0</v>
      </c>
      <c r="AJ350" s="10"/>
    </row>
    <row r="351" spans="1:39" s="21" customFormat="1">
      <c r="A351" s="1" t="s">
        <v>361</v>
      </c>
      <c r="B351" s="1"/>
      <c r="C351" s="1" t="s">
        <v>358</v>
      </c>
      <c r="D351" s="1"/>
      <c r="E351" s="10">
        <v>44039</v>
      </c>
      <c r="F351" s="10"/>
      <c r="G351" s="10">
        <v>207733</v>
      </c>
      <c r="H351" s="10"/>
      <c r="I351" s="10">
        <v>44683</v>
      </c>
      <c r="J351" s="10"/>
      <c r="K351" s="10">
        <v>0</v>
      </c>
      <c r="L351" s="10"/>
      <c r="M351" s="10">
        <v>475</v>
      </c>
      <c r="N351" s="10"/>
      <c r="O351" s="10">
        <v>465</v>
      </c>
      <c r="P351" s="10"/>
      <c r="Q351" s="10">
        <v>8029</v>
      </c>
      <c r="R351" s="10"/>
      <c r="S351" s="10">
        <v>6492</v>
      </c>
      <c r="T351" s="10"/>
      <c r="U351" s="10">
        <v>0</v>
      </c>
      <c r="V351" s="10"/>
      <c r="W351" s="10">
        <v>0</v>
      </c>
      <c r="X351" s="10"/>
      <c r="Y351" s="10">
        <v>0</v>
      </c>
      <c r="Z351" s="10"/>
      <c r="AA351" s="10">
        <v>0</v>
      </c>
      <c r="AB351" s="10"/>
      <c r="AC351" s="10">
        <v>25000</v>
      </c>
      <c r="AD351" s="10"/>
      <c r="AE351" s="10">
        <v>0</v>
      </c>
      <c r="AF351" s="10"/>
      <c r="AG351" s="10">
        <v>0</v>
      </c>
      <c r="AH351" s="10"/>
      <c r="AI351" s="10">
        <f t="shared" si="12"/>
        <v>336916</v>
      </c>
      <c r="AJ351" s="10"/>
    </row>
    <row r="352" spans="1:39" hidden="1">
      <c r="A352" s="1" t="s">
        <v>227</v>
      </c>
      <c r="C352" s="1" t="s">
        <v>820</v>
      </c>
      <c r="E352" s="10">
        <v>0</v>
      </c>
      <c r="G352" s="10">
        <v>0</v>
      </c>
      <c r="I352" s="10">
        <v>0</v>
      </c>
      <c r="K352" s="10">
        <v>0</v>
      </c>
      <c r="M352" s="10">
        <v>0</v>
      </c>
      <c r="O352" s="10">
        <v>0</v>
      </c>
      <c r="Q352" s="10">
        <v>0</v>
      </c>
      <c r="S352" s="10">
        <v>0</v>
      </c>
      <c r="U352" s="10">
        <v>0</v>
      </c>
      <c r="V352" s="24"/>
      <c r="W352" s="10">
        <v>0</v>
      </c>
      <c r="X352" s="24"/>
      <c r="Y352" s="10">
        <v>0</v>
      </c>
      <c r="AA352" s="10">
        <v>0</v>
      </c>
      <c r="AC352" s="10">
        <v>0</v>
      </c>
      <c r="AE352" s="10">
        <v>0</v>
      </c>
      <c r="AG352" s="10">
        <v>0</v>
      </c>
      <c r="AI352" s="10">
        <f t="shared" si="12"/>
        <v>0</v>
      </c>
      <c r="AJ352" s="10"/>
    </row>
    <row r="353" spans="1:39" s="21" customFormat="1" hidden="1">
      <c r="A353" s="1" t="s">
        <v>367</v>
      </c>
      <c r="B353" s="1"/>
      <c r="C353" s="1" t="s">
        <v>368</v>
      </c>
      <c r="D353" s="1"/>
      <c r="E353" s="10">
        <v>0</v>
      </c>
      <c r="F353" s="10"/>
      <c r="G353" s="10">
        <v>0</v>
      </c>
      <c r="H353" s="10"/>
      <c r="I353" s="10">
        <v>0</v>
      </c>
      <c r="J353" s="10"/>
      <c r="K353" s="10">
        <v>0</v>
      </c>
      <c r="L353" s="10"/>
      <c r="M353" s="10">
        <v>0</v>
      </c>
      <c r="N353" s="10"/>
      <c r="O353" s="10">
        <v>0</v>
      </c>
      <c r="P353" s="10"/>
      <c r="Q353" s="10">
        <v>0</v>
      </c>
      <c r="R353" s="10"/>
      <c r="S353" s="10">
        <v>0</v>
      </c>
      <c r="T353" s="10"/>
      <c r="U353" s="10">
        <v>0</v>
      </c>
      <c r="V353" s="10"/>
      <c r="W353" s="10">
        <v>0</v>
      </c>
      <c r="X353" s="10"/>
      <c r="Y353" s="10">
        <v>0</v>
      </c>
      <c r="Z353" s="10"/>
      <c r="AA353" s="10">
        <v>0</v>
      </c>
      <c r="AB353" s="10"/>
      <c r="AC353" s="10">
        <v>0</v>
      </c>
      <c r="AD353" s="10"/>
      <c r="AE353" s="10">
        <v>0</v>
      </c>
      <c r="AF353" s="10"/>
      <c r="AG353" s="10">
        <v>0</v>
      </c>
      <c r="AH353" s="10"/>
      <c r="AI353" s="10">
        <f t="shared" si="12"/>
        <v>0</v>
      </c>
      <c r="AJ353" s="10"/>
    </row>
    <row r="354" spans="1:39" hidden="1">
      <c r="A354" s="1" t="s">
        <v>156</v>
      </c>
      <c r="C354" s="1" t="s">
        <v>467</v>
      </c>
      <c r="E354" s="10">
        <v>0</v>
      </c>
      <c r="G354" s="10">
        <v>0</v>
      </c>
      <c r="I354" s="10">
        <v>0</v>
      </c>
      <c r="K354" s="10">
        <v>0</v>
      </c>
      <c r="M354" s="10">
        <v>0</v>
      </c>
      <c r="O354" s="10">
        <v>0</v>
      </c>
      <c r="Q354" s="10">
        <v>0</v>
      </c>
      <c r="S354" s="10">
        <v>0</v>
      </c>
      <c r="U354" s="10">
        <v>0</v>
      </c>
      <c r="V354" s="24"/>
      <c r="W354" s="10">
        <v>0</v>
      </c>
      <c r="X354" s="24"/>
      <c r="Y354" s="10">
        <v>0</v>
      </c>
      <c r="AA354" s="10">
        <v>0</v>
      </c>
      <c r="AC354" s="10">
        <v>0</v>
      </c>
      <c r="AE354" s="10">
        <v>0</v>
      </c>
      <c r="AG354" s="10">
        <v>0</v>
      </c>
      <c r="AI354" s="10">
        <f t="shared" si="12"/>
        <v>0</v>
      </c>
      <c r="AJ354" s="10"/>
    </row>
    <row r="355" spans="1:39">
      <c r="A355" s="1" t="s">
        <v>915</v>
      </c>
      <c r="C355" s="1" t="s">
        <v>299</v>
      </c>
      <c r="E355" s="10">
        <v>10165</v>
      </c>
      <c r="G355" s="10">
        <v>0</v>
      </c>
      <c r="I355" s="10">
        <v>13073</v>
      </c>
      <c r="K355" s="10">
        <v>0</v>
      </c>
      <c r="M355" s="10">
        <v>600</v>
      </c>
      <c r="O355" s="10">
        <v>300</v>
      </c>
      <c r="Q355" s="10">
        <v>0</v>
      </c>
      <c r="S355" s="10">
        <v>7380</v>
      </c>
      <c r="U355" s="10">
        <v>0</v>
      </c>
      <c r="V355" s="24"/>
      <c r="W355" s="10">
        <v>0</v>
      </c>
      <c r="X355" s="24"/>
      <c r="Y355" s="10">
        <v>0</v>
      </c>
      <c r="AA355" s="10">
        <v>0</v>
      </c>
      <c r="AC355" s="10">
        <v>0</v>
      </c>
      <c r="AE355" s="10">
        <v>0</v>
      </c>
      <c r="AG355" s="10">
        <v>0</v>
      </c>
      <c r="AI355" s="10">
        <f t="shared" si="12"/>
        <v>31518</v>
      </c>
      <c r="AJ355" s="10"/>
    </row>
    <row r="356" spans="1:39" hidden="1">
      <c r="A356" s="1" t="s">
        <v>233</v>
      </c>
      <c r="C356" s="1" t="s">
        <v>823</v>
      </c>
      <c r="E356" s="10">
        <v>0</v>
      </c>
      <c r="G356" s="10">
        <v>0</v>
      </c>
      <c r="I356" s="10">
        <v>0</v>
      </c>
      <c r="K356" s="10">
        <v>0</v>
      </c>
      <c r="M356" s="10">
        <v>0</v>
      </c>
      <c r="O356" s="10">
        <v>0</v>
      </c>
      <c r="Q356" s="10">
        <v>0</v>
      </c>
      <c r="S356" s="10">
        <v>0</v>
      </c>
      <c r="U356" s="10">
        <v>0</v>
      </c>
      <c r="V356" s="24"/>
      <c r="W356" s="10">
        <v>0</v>
      </c>
      <c r="X356" s="24"/>
      <c r="Y356" s="10">
        <v>0</v>
      </c>
      <c r="AA356" s="10">
        <v>0</v>
      </c>
      <c r="AC356" s="10">
        <v>0</v>
      </c>
      <c r="AE356" s="10">
        <v>0</v>
      </c>
      <c r="AG356" s="10">
        <v>0</v>
      </c>
      <c r="AI356" s="10">
        <f t="shared" si="12"/>
        <v>0</v>
      </c>
      <c r="AJ356" s="10"/>
    </row>
    <row r="357" spans="1:39">
      <c r="A357" s="1" t="s">
        <v>460</v>
      </c>
      <c r="C357" s="1" t="s">
        <v>432</v>
      </c>
      <c r="E357" s="10">
        <v>37037</v>
      </c>
      <c r="G357" s="10">
        <v>0</v>
      </c>
      <c r="I357" s="10">
        <v>0</v>
      </c>
      <c r="K357" s="10">
        <v>0</v>
      </c>
      <c r="M357" s="10">
        <v>0</v>
      </c>
      <c r="O357" s="10">
        <v>0</v>
      </c>
      <c r="Q357" s="10">
        <v>0</v>
      </c>
      <c r="S357" s="10">
        <v>6423</v>
      </c>
      <c r="U357" s="10">
        <v>0</v>
      </c>
      <c r="W357" s="10">
        <v>0</v>
      </c>
      <c r="Y357" s="10">
        <v>0</v>
      </c>
      <c r="AA357" s="10">
        <v>0</v>
      </c>
      <c r="AC357" s="10">
        <v>0</v>
      </c>
      <c r="AE357" s="10">
        <v>0</v>
      </c>
      <c r="AG357" s="10">
        <v>0</v>
      </c>
      <c r="AI357" s="10">
        <f t="shared" si="12"/>
        <v>43460</v>
      </c>
      <c r="AJ357" s="10"/>
    </row>
    <row r="358" spans="1:39" hidden="1">
      <c r="A358" s="1" t="s">
        <v>8</v>
      </c>
      <c r="C358" s="1" t="s">
        <v>672</v>
      </c>
      <c r="E358" s="10">
        <v>0</v>
      </c>
      <c r="G358" s="10">
        <v>0</v>
      </c>
      <c r="I358" s="10">
        <v>0</v>
      </c>
      <c r="K358" s="10">
        <v>0</v>
      </c>
      <c r="M358" s="10">
        <v>0</v>
      </c>
      <c r="O358" s="10">
        <v>0</v>
      </c>
      <c r="Q358" s="10">
        <v>0</v>
      </c>
      <c r="S358" s="10">
        <v>0</v>
      </c>
      <c r="U358" s="10">
        <v>0</v>
      </c>
      <c r="V358" s="24"/>
      <c r="W358" s="10">
        <v>0</v>
      </c>
      <c r="X358" s="24"/>
      <c r="Y358" s="10">
        <v>0</v>
      </c>
      <c r="AA358" s="10">
        <v>0</v>
      </c>
      <c r="AC358" s="10">
        <v>0</v>
      </c>
      <c r="AE358" s="10">
        <v>0</v>
      </c>
      <c r="AG358" s="10">
        <v>0</v>
      </c>
      <c r="AI358" s="10">
        <f t="shared" si="12"/>
        <v>0</v>
      </c>
      <c r="AJ358" s="10"/>
      <c r="AK358" s="7"/>
      <c r="AL358" s="7"/>
      <c r="AM358" s="7"/>
    </row>
    <row r="359" spans="1:39" s="21" customFormat="1">
      <c r="A359" s="1" t="s">
        <v>347</v>
      </c>
      <c r="B359" s="1"/>
      <c r="C359" s="1" t="s">
        <v>348</v>
      </c>
      <c r="D359" s="1"/>
      <c r="E359" s="10">
        <v>301352</v>
      </c>
      <c r="F359" s="10"/>
      <c r="G359" s="10">
        <v>125210</v>
      </c>
      <c r="H359" s="10"/>
      <c r="I359" s="10">
        <v>0</v>
      </c>
      <c r="J359" s="10"/>
      <c r="K359" s="10">
        <v>0</v>
      </c>
      <c r="L359" s="10"/>
      <c r="M359" s="10">
        <v>0</v>
      </c>
      <c r="N359" s="10"/>
      <c r="O359" s="10">
        <v>100450</v>
      </c>
      <c r="P359" s="10"/>
      <c r="Q359" s="10">
        <v>64090</v>
      </c>
      <c r="R359" s="10"/>
      <c r="S359" s="10">
        <v>0</v>
      </c>
      <c r="T359" s="10"/>
      <c r="U359" s="10">
        <v>0</v>
      </c>
      <c r="V359" s="10"/>
      <c r="W359" s="10">
        <v>0</v>
      </c>
      <c r="X359" s="10"/>
      <c r="Y359" s="10">
        <v>0</v>
      </c>
      <c r="Z359" s="10"/>
      <c r="AA359" s="10">
        <v>0</v>
      </c>
      <c r="AB359" s="10"/>
      <c r="AC359" s="10">
        <v>0</v>
      </c>
      <c r="AD359" s="10"/>
      <c r="AE359" s="10">
        <v>0</v>
      </c>
      <c r="AF359" s="10"/>
      <c r="AG359" s="10">
        <v>0</v>
      </c>
      <c r="AH359" s="10"/>
      <c r="AI359" s="10">
        <f t="shared" si="12"/>
        <v>591102</v>
      </c>
      <c r="AJ359" s="10"/>
      <c r="AK359" s="22"/>
      <c r="AL359" s="22"/>
      <c r="AM359" s="22"/>
    </row>
    <row r="360" spans="1:39" hidden="1">
      <c r="A360" s="1" t="s">
        <v>237</v>
      </c>
      <c r="C360" s="1" t="s">
        <v>824</v>
      </c>
      <c r="E360" s="10">
        <v>0</v>
      </c>
      <c r="G360" s="10">
        <v>0</v>
      </c>
      <c r="I360" s="10">
        <v>0</v>
      </c>
      <c r="K360" s="10">
        <v>0</v>
      </c>
      <c r="M360" s="10">
        <v>0</v>
      </c>
      <c r="O360" s="10">
        <v>0</v>
      </c>
      <c r="Q360" s="10">
        <v>0</v>
      </c>
      <c r="S360" s="10">
        <v>0</v>
      </c>
      <c r="U360" s="10">
        <v>0</v>
      </c>
      <c r="V360" s="24"/>
      <c r="W360" s="10">
        <v>0</v>
      </c>
      <c r="X360" s="24"/>
      <c r="Y360" s="10">
        <v>0</v>
      </c>
      <c r="AA360" s="10">
        <v>0</v>
      </c>
      <c r="AC360" s="10">
        <v>0</v>
      </c>
      <c r="AE360" s="10">
        <v>0</v>
      </c>
      <c r="AG360" s="10">
        <v>0</v>
      </c>
      <c r="AI360" s="10">
        <f t="shared" si="12"/>
        <v>0</v>
      </c>
      <c r="AJ360" s="10"/>
    </row>
    <row r="361" spans="1:39" hidden="1">
      <c r="A361" s="1" t="s">
        <v>258</v>
      </c>
      <c r="C361" s="1" t="s">
        <v>830</v>
      </c>
      <c r="E361" s="10">
        <v>0</v>
      </c>
      <c r="G361" s="10">
        <v>0</v>
      </c>
      <c r="I361" s="10">
        <v>0</v>
      </c>
      <c r="K361" s="10">
        <v>0</v>
      </c>
      <c r="M361" s="10">
        <v>0</v>
      </c>
      <c r="O361" s="10">
        <v>0</v>
      </c>
      <c r="Q361" s="10">
        <v>0</v>
      </c>
      <c r="S361" s="10">
        <v>0</v>
      </c>
      <c r="U361" s="10">
        <v>0</v>
      </c>
      <c r="V361" s="24"/>
      <c r="W361" s="10">
        <v>0</v>
      </c>
      <c r="X361" s="24"/>
      <c r="Y361" s="10">
        <v>0</v>
      </c>
      <c r="AA361" s="10">
        <v>0</v>
      </c>
      <c r="AC361" s="10">
        <v>0</v>
      </c>
      <c r="AE361" s="10">
        <v>0</v>
      </c>
      <c r="AG361" s="10">
        <v>0</v>
      </c>
      <c r="AI361" s="10">
        <f t="shared" si="12"/>
        <v>0</v>
      </c>
      <c r="AJ361" s="10"/>
    </row>
    <row r="362" spans="1:39" s="10" customFormat="1" hidden="1">
      <c r="A362" s="10" t="s">
        <v>70</v>
      </c>
      <c r="C362" s="10" t="s">
        <v>772</v>
      </c>
      <c r="E362" s="10">
        <v>0</v>
      </c>
      <c r="G362" s="10">
        <v>0</v>
      </c>
      <c r="I362" s="10">
        <v>0</v>
      </c>
      <c r="K362" s="10">
        <v>0</v>
      </c>
      <c r="M362" s="10">
        <v>0</v>
      </c>
      <c r="O362" s="10">
        <v>0</v>
      </c>
      <c r="Q362" s="10">
        <v>0</v>
      </c>
      <c r="S362" s="10">
        <v>0</v>
      </c>
      <c r="U362" s="10">
        <v>0</v>
      </c>
      <c r="V362" s="24"/>
      <c r="W362" s="10">
        <v>0</v>
      </c>
      <c r="X362" s="24"/>
      <c r="Y362" s="10">
        <v>0</v>
      </c>
      <c r="AA362" s="10">
        <v>0</v>
      </c>
      <c r="AC362" s="10">
        <v>0</v>
      </c>
      <c r="AE362" s="10">
        <v>0</v>
      </c>
      <c r="AG362" s="10">
        <v>0</v>
      </c>
      <c r="AI362" s="10">
        <f t="shared" si="12"/>
        <v>0</v>
      </c>
      <c r="AK362" s="46"/>
      <c r="AL362" s="46"/>
      <c r="AM362" s="46"/>
    </row>
    <row r="363" spans="1:39" hidden="1">
      <c r="A363" s="1" t="s">
        <v>206</v>
      </c>
      <c r="C363" s="1" t="s">
        <v>813</v>
      </c>
      <c r="E363" s="10">
        <v>0</v>
      </c>
      <c r="G363" s="10">
        <v>0</v>
      </c>
      <c r="I363" s="10">
        <v>0</v>
      </c>
      <c r="K363" s="10">
        <v>0</v>
      </c>
      <c r="M363" s="10">
        <v>0</v>
      </c>
      <c r="O363" s="10">
        <v>0</v>
      </c>
      <c r="Q363" s="10">
        <v>0</v>
      </c>
      <c r="S363" s="10">
        <v>0</v>
      </c>
      <c r="U363" s="10">
        <v>0</v>
      </c>
      <c r="V363" s="24"/>
      <c r="W363" s="10">
        <v>0</v>
      </c>
      <c r="X363" s="24"/>
      <c r="Y363" s="10">
        <v>0</v>
      </c>
      <c r="AA363" s="10">
        <v>0</v>
      </c>
      <c r="AC363" s="10">
        <v>0</v>
      </c>
      <c r="AE363" s="10">
        <v>0</v>
      </c>
      <c r="AG363" s="10">
        <v>0</v>
      </c>
      <c r="AI363" s="10">
        <f t="shared" si="12"/>
        <v>0</v>
      </c>
      <c r="AJ363" s="10"/>
    </row>
    <row r="364" spans="1:39" s="21" customFormat="1" hidden="1">
      <c r="A364" s="1" t="s">
        <v>414</v>
      </c>
      <c r="B364" s="1"/>
      <c r="C364" s="1" t="s">
        <v>412</v>
      </c>
      <c r="D364" s="1"/>
      <c r="E364" s="10">
        <v>0</v>
      </c>
      <c r="F364" s="10"/>
      <c r="G364" s="10">
        <v>0</v>
      </c>
      <c r="H364" s="10"/>
      <c r="I364" s="10">
        <v>0</v>
      </c>
      <c r="J364" s="10"/>
      <c r="K364" s="10">
        <v>0</v>
      </c>
      <c r="L364" s="10"/>
      <c r="M364" s="10">
        <v>0</v>
      </c>
      <c r="N364" s="10"/>
      <c r="O364" s="10">
        <v>0</v>
      </c>
      <c r="P364" s="10"/>
      <c r="Q364" s="10">
        <v>0</v>
      </c>
      <c r="R364" s="10"/>
      <c r="S364" s="10">
        <v>0</v>
      </c>
      <c r="T364" s="10"/>
      <c r="U364" s="10">
        <v>0</v>
      </c>
      <c r="V364" s="24"/>
      <c r="W364" s="10">
        <v>0</v>
      </c>
      <c r="X364" s="24"/>
      <c r="Y364" s="10">
        <v>0</v>
      </c>
      <c r="Z364" s="10"/>
      <c r="AA364" s="10">
        <v>0</v>
      </c>
      <c r="AB364" s="10"/>
      <c r="AC364" s="10">
        <v>0</v>
      </c>
      <c r="AD364" s="10"/>
      <c r="AE364" s="10">
        <v>0</v>
      </c>
      <c r="AF364" s="10"/>
      <c r="AG364" s="10">
        <v>0</v>
      </c>
      <c r="AH364" s="10"/>
      <c r="AI364" s="10">
        <f t="shared" si="12"/>
        <v>0</v>
      </c>
      <c r="AJ364" s="10"/>
    </row>
    <row r="365" spans="1:39" hidden="1">
      <c r="A365" s="1" t="s">
        <v>63</v>
      </c>
      <c r="C365" s="1" t="s">
        <v>771</v>
      </c>
      <c r="E365" s="10">
        <v>0</v>
      </c>
      <c r="G365" s="10">
        <v>0</v>
      </c>
      <c r="I365" s="10">
        <v>0</v>
      </c>
      <c r="K365" s="10">
        <v>0</v>
      </c>
      <c r="M365" s="10">
        <v>0</v>
      </c>
      <c r="O365" s="10">
        <v>0</v>
      </c>
      <c r="Q365" s="10">
        <v>0</v>
      </c>
      <c r="S365" s="10">
        <v>0</v>
      </c>
      <c r="U365" s="10">
        <v>0</v>
      </c>
      <c r="V365" s="24"/>
      <c r="W365" s="10">
        <v>0</v>
      </c>
      <c r="X365" s="24"/>
      <c r="Y365" s="10">
        <v>0</v>
      </c>
      <c r="AA365" s="10">
        <v>0</v>
      </c>
      <c r="AC365" s="10">
        <v>0</v>
      </c>
      <c r="AE365" s="10">
        <v>0</v>
      </c>
      <c r="AG365" s="10">
        <v>0</v>
      </c>
      <c r="AI365" s="10">
        <f t="shared" si="12"/>
        <v>0</v>
      </c>
      <c r="AJ365" s="10"/>
      <c r="AK365" s="7"/>
      <c r="AL365" s="7"/>
      <c r="AM365" s="7"/>
    </row>
    <row r="366" spans="1:39" s="21" customFormat="1" hidden="1">
      <c r="A366" s="1" t="s">
        <v>26</v>
      </c>
      <c r="B366" s="1"/>
      <c r="C366" s="1" t="s">
        <v>757</v>
      </c>
      <c r="D366" s="1"/>
      <c r="E366" s="10">
        <v>0</v>
      </c>
      <c r="F366" s="10"/>
      <c r="G366" s="10">
        <v>0</v>
      </c>
      <c r="H366" s="10"/>
      <c r="I366" s="10">
        <v>0</v>
      </c>
      <c r="J366" s="10"/>
      <c r="K366" s="10">
        <v>0</v>
      </c>
      <c r="L366" s="10"/>
      <c r="M366" s="10">
        <v>0</v>
      </c>
      <c r="N366" s="10"/>
      <c r="O366" s="10">
        <v>0</v>
      </c>
      <c r="P366" s="10"/>
      <c r="Q366" s="10">
        <v>0</v>
      </c>
      <c r="R366" s="10"/>
      <c r="S366" s="10">
        <v>0</v>
      </c>
      <c r="T366" s="10"/>
      <c r="U366" s="10">
        <v>0</v>
      </c>
      <c r="V366" s="24"/>
      <c r="W366" s="10">
        <v>0</v>
      </c>
      <c r="X366" s="24"/>
      <c r="Y366" s="10">
        <v>0</v>
      </c>
      <c r="Z366" s="10"/>
      <c r="AA366" s="10">
        <v>0</v>
      </c>
      <c r="AB366" s="10"/>
      <c r="AC366" s="10">
        <v>0</v>
      </c>
      <c r="AD366" s="10"/>
      <c r="AE366" s="10">
        <v>0</v>
      </c>
      <c r="AF366" s="10"/>
      <c r="AG366" s="10">
        <v>0</v>
      </c>
      <c r="AH366" s="10"/>
      <c r="AI366" s="10">
        <f t="shared" si="12"/>
        <v>0</v>
      </c>
      <c r="AJ366" s="10"/>
      <c r="AK366" s="22"/>
      <c r="AL366" s="22"/>
      <c r="AM366" s="22"/>
    </row>
    <row r="367" spans="1:39" s="21" customFormat="1">
      <c r="A367" s="1" t="s">
        <v>687</v>
      </c>
      <c r="B367" s="1"/>
      <c r="C367" s="1" t="s">
        <v>606</v>
      </c>
      <c r="D367" s="1"/>
      <c r="E367" s="10">
        <v>10555</v>
      </c>
      <c r="F367" s="10"/>
      <c r="G367" s="10">
        <v>0</v>
      </c>
      <c r="H367" s="10"/>
      <c r="I367" s="10">
        <v>8865</v>
      </c>
      <c r="J367" s="10"/>
      <c r="K367" s="10">
        <v>0</v>
      </c>
      <c r="L367" s="10"/>
      <c r="M367" s="10">
        <v>0</v>
      </c>
      <c r="N367" s="10"/>
      <c r="O367" s="10">
        <v>0</v>
      </c>
      <c r="P367" s="10"/>
      <c r="Q367" s="10">
        <v>983</v>
      </c>
      <c r="R367" s="10"/>
      <c r="S367" s="10">
        <v>1954</v>
      </c>
      <c r="T367" s="10"/>
      <c r="U367" s="10">
        <v>0</v>
      </c>
      <c r="V367" s="10"/>
      <c r="W367" s="10">
        <v>0</v>
      </c>
      <c r="X367" s="10"/>
      <c r="Y367" s="10">
        <v>0</v>
      </c>
      <c r="Z367" s="10"/>
      <c r="AA367" s="10">
        <v>0</v>
      </c>
      <c r="AB367" s="10"/>
      <c r="AC367" s="10">
        <v>0</v>
      </c>
      <c r="AD367" s="10"/>
      <c r="AE367" s="10">
        <v>0</v>
      </c>
      <c r="AF367" s="10"/>
      <c r="AG367" s="10">
        <v>0</v>
      </c>
      <c r="AH367" s="10"/>
      <c r="AI367" s="10">
        <f t="shared" si="12"/>
        <v>22357</v>
      </c>
      <c r="AJ367" s="10"/>
    </row>
    <row r="368" spans="1:39">
      <c r="A368" s="1" t="s">
        <v>479</v>
      </c>
      <c r="C368" s="1" t="s">
        <v>477</v>
      </c>
      <c r="E368" s="10">
        <v>270</v>
      </c>
      <c r="G368" s="10">
        <v>0</v>
      </c>
      <c r="I368" s="10">
        <v>2963</v>
      </c>
      <c r="K368" s="10">
        <v>0</v>
      </c>
      <c r="M368" s="10">
        <v>0</v>
      </c>
      <c r="O368" s="10">
        <v>0</v>
      </c>
      <c r="Q368" s="10">
        <v>28</v>
      </c>
      <c r="S368" s="10">
        <v>5</v>
      </c>
      <c r="U368" s="10">
        <v>0</v>
      </c>
      <c r="W368" s="10">
        <v>0</v>
      </c>
      <c r="Y368" s="10">
        <v>0</v>
      </c>
      <c r="AA368" s="10">
        <v>0</v>
      </c>
      <c r="AC368" s="10">
        <v>0</v>
      </c>
      <c r="AE368" s="10">
        <v>0</v>
      </c>
      <c r="AG368" s="10">
        <v>0</v>
      </c>
      <c r="AI368" s="10">
        <f t="shared" ref="AI368:AI399" si="13">SUM(E368:AG368)</f>
        <v>3266</v>
      </c>
      <c r="AJ368" s="10"/>
    </row>
    <row r="369" spans="1:39" hidden="1">
      <c r="A369" s="1" t="s">
        <v>234</v>
      </c>
      <c r="C369" s="1" t="s">
        <v>823</v>
      </c>
      <c r="E369" s="10">
        <v>0</v>
      </c>
      <c r="G369" s="10">
        <v>0</v>
      </c>
      <c r="I369" s="10">
        <v>0</v>
      </c>
      <c r="K369" s="10">
        <v>0</v>
      </c>
      <c r="M369" s="10">
        <v>0</v>
      </c>
      <c r="O369" s="10">
        <v>0</v>
      </c>
      <c r="Q369" s="10">
        <v>0</v>
      </c>
      <c r="S369" s="10">
        <v>0</v>
      </c>
      <c r="U369" s="10">
        <v>0</v>
      </c>
      <c r="V369" s="24"/>
      <c r="W369" s="10">
        <v>0</v>
      </c>
      <c r="X369" s="24"/>
      <c r="Y369" s="10">
        <v>0</v>
      </c>
      <c r="AA369" s="10">
        <v>0</v>
      </c>
      <c r="AC369" s="10">
        <v>0</v>
      </c>
      <c r="AE369" s="10">
        <v>0</v>
      </c>
      <c r="AG369" s="10">
        <v>0</v>
      </c>
      <c r="AI369" s="10">
        <f t="shared" si="13"/>
        <v>0</v>
      </c>
      <c r="AJ369" s="10"/>
    </row>
    <row r="370" spans="1:39" hidden="1">
      <c r="A370" s="1" t="s">
        <v>465</v>
      </c>
      <c r="C370" s="1" t="s">
        <v>466</v>
      </c>
      <c r="E370" s="10">
        <v>0</v>
      </c>
      <c r="G370" s="10">
        <v>0</v>
      </c>
      <c r="I370" s="10">
        <v>0</v>
      </c>
      <c r="K370" s="10">
        <v>0</v>
      </c>
      <c r="M370" s="10">
        <v>0</v>
      </c>
      <c r="O370" s="10">
        <v>0</v>
      </c>
      <c r="Q370" s="10">
        <v>0</v>
      </c>
      <c r="S370" s="10">
        <v>0</v>
      </c>
      <c r="U370" s="10">
        <v>0</v>
      </c>
      <c r="W370" s="10">
        <v>0</v>
      </c>
      <c r="Y370" s="10">
        <v>0</v>
      </c>
      <c r="AA370" s="10">
        <v>0</v>
      </c>
      <c r="AC370" s="10">
        <v>0</v>
      </c>
      <c r="AE370" s="10">
        <v>0</v>
      </c>
      <c r="AG370" s="10">
        <v>0</v>
      </c>
      <c r="AI370" s="10">
        <f t="shared" si="13"/>
        <v>0</v>
      </c>
      <c r="AJ370" s="10"/>
    </row>
    <row r="371" spans="1:39" s="21" customFormat="1">
      <c r="A371" s="1" t="s">
        <v>550</v>
      </c>
      <c r="B371" s="1"/>
      <c r="C371" s="1" t="s">
        <v>545</v>
      </c>
      <c r="D371" s="1"/>
      <c r="E371" s="10">
        <v>173180</v>
      </c>
      <c r="F371" s="10"/>
      <c r="G371" s="10">
        <v>0</v>
      </c>
      <c r="H371" s="10"/>
      <c r="I371" s="10">
        <v>171531</v>
      </c>
      <c r="J371" s="10"/>
      <c r="K371" s="10">
        <v>0</v>
      </c>
      <c r="L371" s="10"/>
      <c r="M371" s="10">
        <v>82867</v>
      </c>
      <c r="N371" s="10"/>
      <c r="O371" s="10">
        <v>40047</v>
      </c>
      <c r="P371" s="10"/>
      <c r="Q371" s="10">
        <v>128199</v>
      </c>
      <c r="R371" s="10"/>
      <c r="S371" s="10">
        <v>29117</v>
      </c>
      <c r="T371" s="10"/>
      <c r="U371" s="10">
        <v>0</v>
      </c>
      <c r="V371" s="10"/>
      <c r="W371" s="10">
        <v>0</v>
      </c>
      <c r="X371" s="10"/>
      <c r="Y371" s="10">
        <v>0</v>
      </c>
      <c r="Z371" s="10"/>
      <c r="AA371" s="10">
        <v>0</v>
      </c>
      <c r="AB371" s="10"/>
      <c r="AC371" s="10">
        <v>0</v>
      </c>
      <c r="AD371" s="10"/>
      <c r="AE371" s="10">
        <v>1476605</v>
      </c>
      <c r="AF371" s="10"/>
      <c r="AG371" s="10">
        <v>0</v>
      </c>
      <c r="AH371" s="10"/>
      <c r="AI371" s="10">
        <f t="shared" si="13"/>
        <v>2101546</v>
      </c>
      <c r="AJ371" s="40"/>
    </row>
    <row r="372" spans="1:39" s="21" customFormat="1" hidden="1">
      <c r="A372" s="1" t="s">
        <v>74</v>
      </c>
      <c r="B372" s="1"/>
      <c r="C372" s="1" t="s">
        <v>773</v>
      </c>
      <c r="D372" s="1"/>
      <c r="E372" s="10">
        <v>0</v>
      </c>
      <c r="F372" s="10"/>
      <c r="G372" s="10">
        <v>0</v>
      </c>
      <c r="H372" s="10"/>
      <c r="I372" s="10">
        <v>0</v>
      </c>
      <c r="J372" s="10"/>
      <c r="K372" s="10">
        <v>0</v>
      </c>
      <c r="L372" s="10"/>
      <c r="M372" s="10">
        <v>0</v>
      </c>
      <c r="N372" s="10"/>
      <c r="O372" s="10">
        <v>0</v>
      </c>
      <c r="P372" s="10"/>
      <c r="Q372" s="10">
        <v>0</v>
      </c>
      <c r="R372" s="10"/>
      <c r="S372" s="10">
        <v>0</v>
      </c>
      <c r="T372" s="24"/>
      <c r="U372" s="10">
        <v>0</v>
      </c>
      <c r="V372" s="24"/>
      <c r="W372" s="10">
        <v>0</v>
      </c>
      <c r="X372" s="10"/>
      <c r="Y372" s="10">
        <v>0</v>
      </c>
      <c r="Z372" s="10"/>
      <c r="AA372" s="10">
        <v>0</v>
      </c>
      <c r="AB372" s="10"/>
      <c r="AC372" s="10">
        <v>0</v>
      </c>
      <c r="AD372" s="10"/>
      <c r="AE372" s="10">
        <v>0</v>
      </c>
      <c r="AF372" s="10"/>
      <c r="AG372" s="10">
        <v>0</v>
      </c>
      <c r="AH372" s="10"/>
      <c r="AI372" s="10">
        <f t="shared" si="13"/>
        <v>0</v>
      </c>
      <c r="AJ372" s="10"/>
    </row>
    <row r="373" spans="1:39" s="21" customFormat="1">
      <c r="A373" s="1" t="s">
        <v>423</v>
      </c>
      <c r="B373" s="1"/>
      <c r="C373" s="1" t="s">
        <v>420</v>
      </c>
      <c r="D373" s="1"/>
      <c r="E373" s="10">
        <v>2003973</v>
      </c>
      <c r="F373" s="10"/>
      <c r="G373" s="10">
        <v>0</v>
      </c>
      <c r="H373" s="10"/>
      <c r="I373" s="10">
        <v>304644</v>
      </c>
      <c r="J373" s="10"/>
      <c r="K373" s="10">
        <v>0</v>
      </c>
      <c r="L373" s="10"/>
      <c r="M373" s="10">
        <v>0</v>
      </c>
      <c r="N373" s="10"/>
      <c r="O373" s="10">
        <v>57054</v>
      </c>
      <c r="P373" s="10"/>
      <c r="Q373" s="10">
        <v>31144</v>
      </c>
      <c r="R373" s="10"/>
      <c r="S373" s="10">
        <v>14988</v>
      </c>
      <c r="T373" s="10"/>
      <c r="U373" s="10">
        <v>0</v>
      </c>
      <c r="V373" s="10"/>
      <c r="W373" s="10">
        <v>0</v>
      </c>
      <c r="X373" s="10"/>
      <c r="Y373" s="10">
        <v>14055</v>
      </c>
      <c r="Z373" s="10"/>
      <c r="AA373" s="10">
        <v>412491</v>
      </c>
      <c r="AB373" s="10"/>
      <c r="AC373" s="10">
        <v>0</v>
      </c>
      <c r="AD373" s="10"/>
      <c r="AE373" s="10">
        <v>76131</v>
      </c>
      <c r="AF373" s="10"/>
      <c r="AG373" s="10">
        <v>0</v>
      </c>
      <c r="AH373" s="10"/>
      <c r="AI373" s="10">
        <f t="shared" si="13"/>
        <v>2914480</v>
      </c>
      <c r="AJ373" s="10"/>
    </row>
    <row r="374" spans="1:39" s="21" customFormat="1">
      <c r="A374" s="1" t="s">
        <v>276</v>
      </c>
      <c r="B374" s="1"/>
      <c r="C374" s="1" t="s">
        <v>275</v>
      </c>
      <c r="D374" s="1"/>
      <c r="E374" s="10">
        <v>242756</v>
      </c>
      <c r="F374" s="10"/>
      <c r="G374" s="10">
        <v>2478577</v>
      </c>
      <c r="H374" s="10"/>
      <c r="I374" s="10">
        <v>246241</v>
      </c>
      <c r="J374" s="10"/>
      <c r="K374" s="10">
        <v>0</v>
      </c>
      <c r="L374" s="10"/>
      <c r="M374" s="10">
        <v>664924</v>
      </c>
      <c r="N374" s="10"/>
      <c r="O374" s="10">
        <v>8918</v>
      </c>
      <c r="P374" s="10"/>
      <c r="Q374" s="10">
        <v>138115</v>
      </c>
      <c r="R374" s="10"/>
      <c r="S374" s="10">
        <v>23486</v>
      </c>
      <c r="T374" s="10"/>
      <c r="U374" s="10">
        <v>0</v>
      </c>
      <c r="V374" s="10"/>
      <c r="W374" s="10">
        <v>0</v>
      </c>
      <c r="X374" s="10"/>
      <c r="Y374" s="10">
        <v>0</v>
      </c>
      <c r="Z374" s="10"/>
      <c r="AA374" s="10">
        <v>0</v>
      </c>
      <c r="AB374" s="10"/>
      <c r="AC374" s="10">
        <v>0</v>
      </c>
      <c r="AD374" s="10"/>
      <c r="AE374" s="10">
        <v>0</v>
      </c>
      <c r="AF374" s="10"/>
      <c r="AG374" s="10">
        <v>0</v>
      </c>
      <c r="AH374" s="10"/>
      <c r="AI374" s="10">
        <f t="shared" si="13"/>
        <v>3803017</v>
      </c>
      <c r="AJ374" s="10"/>
      <c r="AK374" s="22"/>
      <c r="AL374" s="22"/>
      <c r="AM374" s="22"/>
    </row>
    <row r="375" spans="1:39" s="21" customFormat="1">
      <c r="A375" s="1" t="s">
        <v>555</v>
      </c>
      <c r="B375" s="1"/>
      <c r="C375" s="1" t="s">
        <v>554</v>
      </c>
      <c r="D375" s="1"/>
      <c r="E375" s="10">
        <v>212101</v>
      </c>
      <c r="F375" s="10"/>
      <c r="G375" s="10">
        <v>0</v>
      </c>
      <c r="H375" s="10"/>
      <c r="I375" s="10">
        <v>260454</v>
      </c>
      <c r="J375" s="10"/>
      <c r="K375" s="10">
        <v>0</v>
      </c>
      <c r="L375" s="10"/>
      <c r="M375" s="10">
        <v>0</v>
      </c>
      <c r="N375" s="10"/>
      <c r="O375" s="10">
        <v>76237</v>
      </c>
      <c r="P375" s="10"/>
      <c r="Q375" s="10">
        <v>19081</v>
      </c>
      <c r="R375" s="10"/>
      <c r="S375" s="10">
        <v>54203</v>
      </c>
      <c r="T375" s="10"/>
      <c r="U375" s="10">
        <v>0</v>
      </c>
      <c r="V375" s="10"/>
      <c r="W375" s="10">
        <v>0</v>
      </c>
      <c r="X375" s="10"/>
      <c r="Y375" s="10">
        <v>0</v>
      </c>
      <c r="Z375" s="10"/>
      <c r="AA375" s="10">
        <v>1003236</v>
      </c>
      <c r="AB375" s="10"/>
      <c r="AC375" s="10">
        <v>0</v>
      </c>
      <c r="AD375" s="10"/>
      <c r="AE375" s="10">
        <v>0</v>
      </c>
      <c r="AF375" s="10"/>
      <c r="AG375" s="10">
        <v>0</v>
      </c>
      <c r="AH375" s="10"/>
      <c r="AI375" s="10">
        <f t="shared" si="13"/>
        <v>1625312</v>
      </c>
      <c r="AJ375" s="10"/>
    </row>
    <row r="376" spans="1:39" s="21" customFormat="1">
      <c r="A376" s="1" t="s">
        <v>415</v>
      </c>
      <c r="B376" s="1"/>
      <c r="C376" s="1" t="s">
        <v>416</v>
      </c>
      <c r="D376" s="1"/>
      <c r="E376" s="10">
        <v>249288</v>
      </c>
      <c r="F376" s="10"/>
      <c r="G376" s="10">
        <v>468650</v>
      </c>
      <c r="H376" s="10"/>
      <c r="I376" s="10">
        <v>169062</v>
      </c>
      <c r="J376" s="10"/>
      <c r="K376" s="10">
        <v>0</v>
      </c>
      <c r="L376" s="10"/>
      <c r="M376" s="10">
        <v>14769</v>
      </c>
      <c r="N376" s="10"/>
      <c r="O376" s="10">
        <v>62433</v>
      </c>
      <c r="P376" s="10"/>
      <c r="Q376" s="10">
        <v>109030</v>
      </c>
      <c r="R376" s="10"/>
      <c r="S376" s="10">
        <v>16981</v>
      </c>
      <c r="T376" s="10"/>
      <c r="U376" s="10">
        <v>0</v>
      </c>
      <c r="V376" s="10"/>
      <c r="W376" s="10">
        <v>0</v>
      </c>
      <c r="X376" s="10"/>
      <c r="Y376" s="10">
        <v>0</v>
      </c>
      <c r="Z376" s="10"/>
      <c r="AA376" s="10">
        <v>6495</v>
      </c>
      <c r="AB376" s="10"/>
      <c r="AC376" s="10">
        <v>65128</v>
      </c>
      <c r="AD376" s="10"/>
      <c r="AE376" s="10">
        <v>4028</v>
      </c>
      <c r="AF376" s="10"/>
      <c r="AG376" s="10">
        <v>0</v>
      </c>
      <c r="AH376" s="10"/>
      <c r="AI376" s="10">
        <f t="shared" si="13"/>
        <v>1165864</v>
      </c>
      <c r="AJ376" s="10"/>
    </row>
    <row r="377" spans="1:39" hidden="1">
      <c r="A377" s="1" t="s">
        <v>160</v>
      </c>
      <c r="C377" s="1" t="s">
        <v>799</v>
      </c>
      <c r="E377" s="10">
        <v>0</v>
      </c>
      <c r="G377" s="10">
        <v>0</v>
      </c>
      <c r="I377" s="10">
        <v>0</v>
      </c>
      <c r="K377" s="10">
        <v>0</v>
      </c>
      <c r="M377" s="10">
        <v>0</v>
      </c>
      <c r="O377" s="10">
        <v>0</v>
      </c>
      <c r="Q377" s="10">
        <v>0</v>
      </c>
      <c r="S377" s="10">
        <v>0</v>
      </c>
      <c r="U377" s="10">
        <v>0</v>
      </c>
      <c r="V377" s="24"/>
      <c r="W377" s="10">
        <v>0</v>
      </c>
      <c r="X377" s="24"/>
      <c r="Y377" s="10">
        <v>0</v>
      </c>
      <c r="AA377" s="10">
        <v>0</v>
      </c>
      <c r="AC377" s="10">
        <v>0</v>
      </c>
      <c r="AE377" s="10">
        <v>0</v>
      </c>
      <c r="AG377" s="10">
        <v>0</v>
      </c>
      <c r="AI377" s="10">
        <f t="shared" si="13"/>
        <v>0</v>
      </c>
      <c r="AJ377" s="10"/>
    </row>
    <row r="378" spans="1:39">
      <c r="A378" s="1" t="s">
        <v>602</v>
      </c>
      <c r="C378" s="1" t="s">
        <v>601</v>
      </c>
      <c r="E378" s="10">
        <v>464728</v>
      </c>
      <c r="G378" s="10">
        <v>316540</v>
      </c>
      <c r="I378" s="10">
        <v>292719</v>
      </c>
      <c r="K378" s="10">
        <v>0</v>
      </c>
      <c r="M378" s="10">
        <v>411287</v>
      </c>
      <c r="O378" s="10">
        <v>15798</v>
      </c>
      <c r="Q378" s="10">
        <v>204185</v>
      </c>
      <c r="S378" s="10">
        <v>39266</v>
      </c>
      <c r="U378" s="10">
        <v>0</v>
      </c>
      <c r="W378" s="10">
        <v>0</v>
      </c>
      <c r="Y378" s="10">
        <v>0</v>
      </c>
      <c r="AA378" s="10">
        <v>49050</v>
      </c>
      <c r="AC378" s="10">
        <v>0</v>
      </c>
      <c r="AE378" s="10">
        <v>0</v>
      </c>
      <c r="AG378" s="10">
        <v>0</v>
      </c>
      <c r="AI378" s="10">
        <f t="shared" si="13"/>
        <v>1793573</v>
      </c>
      <c r="AJ378" s="10"/>
    </row>
    <row r="379" spans="1:39" s="21" customFormat="1">
      <c r="A379" s="1" t="s">
        <v>323</v>
      </c>
      <c r="B379" s="1"/>
      <c r="C379" s="1" t="s">
        <v>316</v>
      </c>
      <c r="D379" s="1"/>
      <c r="E379" s="10">
        <v>882708</v>
      </c>
      <c r="F379" s="10"/>
      <c r="G379" s="10">
        <v>3020054</v>
      </c>
      <c r="H379" s="10"/>
      <c r="I379" s="10">
        <v>757508</v>
      </c>
      <c r="J379" s="10"/>
      <c r="K379" s="10">
        <v>0</v>
      </c>
      <c r="L379" s="10"/>
      <c r="M379" s="10">
        <v>57755</v>
      </c>
      <c r="N379" s="10"/>
      <c r="O379" s="10">
        <v>49036</v>
      </c>
      <c r="P379" s="10"/>
      <c r="Q379" s="10">
        <v>241171</v>
      </c>
      <c r="R379" s="10"/>
      <c r="S379" s="10">
        <v>184650</v>
      </c>
      <c r="T379" s="10"/>
      <c r="U379" s="10">
        <v>0</v>
      </c>
      <c r="V379" s="10"/>
      <c r="W379" s="10">
        <v>0</v>
      </c>
      <c r="X379" s="10"/>
      <c r="Y379" s="10">
        <v>0</v>
      </c>
      <c r="Z379" s="10"/>
      <c r="AA379" s="10">
        <v>0</v>
      </c>
      <c r="AB379" s="10"/>
      <c r="AC379" s="10">
        <v>0</v>
      </c>
      <c r="AD379" s="10"/>
      <c r="AE379" s="10">
        <v>0</v>
      </c>
      <c r="AF379" s="10"/>
      <c r="AG379" s="10">
        <v>0</v>
      </c>
      <c r="AH379" s="10"/>
      <c r="AI379" s="10">
        <f t="shared" si="13"/>
        <v>5192882</v>
      </c>
      <c r="AJ379" s="10"/>
      <c r="AK379" s="22"/>
      <c r="AL379" s="22"/>
      <c r="AM379" s="22"/>
    </row>
    <row r="380" spans="1:39" hidden="1">
      <c r="A380" s="1" t="s">
        <v>18</v>
      </c>
      <c r="C380" s="1" t="s">
        <v>755</v>
      </c>
      <c r="E380" s="10">
        <v>0</v>
      </c>
      <c r="G380" s="10">
        <v>0</v>
      </c>
      <c r="I380" s="10">
        <v>0</v>
      </c>
      <c r="K380" s="10">
        <v>0</v>
      </c>
      <c r="M380" s="10">
        <v>0</v>
      </c>
      <c r="O380" s="10">
        <v>0</v>
      </c>
      <c r="Q380" s="10">
        <v>0</v>
      </c>
      <c r="S380" s="10">
        <v>0</v>
      </c>
      <c r="U380" s="10">
        <v>0</v>
      </c>
      <c r="V380" s="24"/>
      <c r="W380" s="10">
        <v>0</v>
      </c>
      <c r="X380" s="24"/>
      <c r="Y380" s="10">
        <v>0</v>
      </c>
      <c r="AA380" s="10">
        <v>0</v>
      </c>
      <c r="AC380" s="10">
        <v>0</v>
      </c>
      <c r="AE380" s="10">
        <v>0</v>
      </c>
      <c r="AG380" s="10">
        <v>0</v>
      </c>
      <c r="AI380" s="10">
        <f t="shared" si="13"/>
        <v>0</v>
      </c>
      <c r="AJ380" s="10"/>
      <c r="AK380" s="7"/>
      <c r="AL380" s="7"/>
      <c r="AM380" s="7"/>
    </row>
    <row r="381" spans="1:39" hidden="1">
      <c r="A381" s="1" t="s">
        <v>243</v>
      </c>
      <c r="C381" s="1" t="s">
        <v>826</v>
      </c>
      <c r="E381" s="10">
        <v>0</v>
      </c>
      <c r="G381" s="10">
        <v>0</v>
      </c>
      <c r="I381" s="10">
        <v>0</v>
      </c>
      <c r="K381" s="10">
        <v>0</v>
      </c>
      <c r="M381" s="10">
        <v>0</v>
      </c>
      <c r="O381" s="10">
        <v>0</v>
      </c>
      <c r="Q381" s="10">
        <v>0</v>
      </c>
      <c r="S381" s="10">
        <v>0</v>
      </c>
      <c r="U381" s="10">
        <v>0</v>
      </c>
      <c r="V381" s="24"/>
      <c r="W381" s="10">
        <v>0</v>
      </c>
      <c r="X381" s="24"/>
      <c r="Y381" s="10">
        <v>0</v>
      </c>
      <c r="AA381" s="10">
        <v>0</v>
      </c>
      <c r="AC381" s="10">
        <v>0</v>
      </c>
      <c r="AE381" s="10">
        <v>0</v>
      </c>
      <c r="AG381" s="10">
        <v>0</v>
      </c>
      <c r="AI381" s="10">
        <f t="shared" si="13"/>
        <v>0</v>
      </c>
      <c r="AJ381" s="10"/>
    </row>
    <row r="382" spans="1:39" s="21" customFormat="1" hidden="1">
      <c r="A382" s="1" t="s">
        <v>298</v>
      </c>
      <c r="B382" s="1"/>
      <c r="C382" s="1" t="s">
        <v>295</v>
      </c>
      <c r="D382" s="1"/>
      <c r="E382" s="10">
        <v>0</v>
      </c>
      <c r="F382" s="10"/>
      <c r="G382" s="10">
        <v>0</v>
      </c>
      <c r="H382" s="10"/>
      <c r="I382" s="10">
        <v>0</v>
      </c>
      <c r="J382" s="10"/>
      <c r="K382" s="10">
        <v>0</v>
      </c>
      <c r="L382" s="10"/>
      <c r="M382" s="10">
        <v>0</v>
      </c>
      <c r="N382" s="10"/>
      <c r="O382" s="10">
        <v>0</v>
      </c>
      <c r="P382" s="10"/>
      <c r="Q382" s="10">
        <v>0</v>
      </c>
      <c r="R382" s="10"/>
      <c r="S382" s="10">
        <v>0</v>
      </c>
      <c r="T382" s="10"/>
      <c r="U382" s="10">
        <v>0</v>
      </c>
      <c r="V382" s="24"/>
      <c r="W382" s="10">
        <v>0</v>
      </c>
      <c r="X382" s="24"/>
      <c r="Y382" s="10">
        <v>0</v>
      </c>
      <c r="Z382" s="10"/>
      <c r="AA382" s="10">
        <v>0</v>
      </c>
      <c r="AB382" s="10"/>
      <c r="AC382" s="10">
        <v>0</v>
      </c>
      <c r="AD382" s="10"/>
      <c r="AE382" s="10">
        <v>0</v>
      </c>
      <c r="AF382" s="10"/>
      <c r="AG382" s="10">
        <v>0</v>
      </c>
      <c r="AH382" s="10"/>
      <c r="AI382" s="10">
        <f t="shared" si="13"/>
        <v>0</v>
      </c>
      <c r="AJ382" s="10"/>
    </row>
    <row r="383" spans="1:39" hidden="1">
      <c r="A383" s="1" t="s">
        <v>249</v>
      </c>
      <c r="C383" s="1" t="s">
        <v>828</v>
      </c>
      <c r="E383" s="10">
        <v>0</v>
      </c>
      <c r="G383" s="10">
        <v>0</v>
      </c>
      <c r="I383" s="10">
        <v>0</v>
      </c>
      <c r="K383" s="10">
        <v>0</v>
      </c>
      <c r="M383" s="10">
        <v>0</v>
      </c>
      <c r="O383" s="10">
        <v>0</v>
      </c>
      <c r="Q383" s="10">
        <v>0</v>
      </c>
      <c r="S383" s="10">
        <v>0</v>
      </c>
      <c r="U383" s="10">
        <v>0</v>
      </c>
      <c r="V383" s="24"/>
      <c r="W383" s="10">
        <v>0</v>
      </c>
      <c r="X383" s="24"/>
      <c r="Y383" s="10">
        <v>0</v>
      </c>
      <c r="AA383" s="10">
        <v>0</v>
      </c>
      <c r="AC383" s="10">
        <v>0</v>
      </c>
      <c r="AE383" s="10">
        <v>0</v>
      </c>
      <c r="AG383" s="10">
        <v>0</v>
      </c>
      <c r="AI383" s="10">
        <f t="shared" si="13"/>
        <v>0</v>
      </c>
      <c r="AJ383" s="10"/>
    </row>
    <row r="384" spans="1:39" s="21" customFormat="1" hidden="1">
      <c r="A384" s="1" t="s">
        <v>141</v>
      </c>
      <c r="B384" s="1"/>
      <c r="C384" s="1" t="s">
        <v>794</v>
      </c>
      <c r="D384" s="1"/>
      <c r="E384" s="10">
        <v>0</v>
      </c>
      <c r="F384" s="10"/>
      <c r="G384" s="10">
        <v>0</v>
      </c>
      <c r="H384" s="10"/>
      <c r="I384" s="10">
        <v>0</v>
      </c>
      <c r="J384" s="10"/>
      <c r="K384" s="10">
        <v>0</v>
      </c>
      <c r="L384" s="10"/>
      <c r="M384" s="10">
        <v>0</v>
      </c>
      <c r="N384" s="10"/>
      <c r="O384" s="10">
        <v>0</v>
      </c>
      <c r="P384" s="10"/>
      <c r="Q384" s="10">
        <v>0</v>
      </c>
      <c r="R384" s="10"/>
      <c r="S384" s="10">
        <v>0</v>
      </c>
      <c r="T384" s="10"/>
      <c r="U384" s="10">
        <v>0</v>
      </c>
      <c r="V384" s="24"/>
      <c r="W384" s="10">
        <v>0</v>
      </c>
      <c r="X384" s="24"/>
      <c r="Y384" s="10">
        <v>0</v>
      </c>
      <c r="Z384" s="10"/>
      <c r="AA384" s="10">
        <v>0</v>
      </c>
      <c r="AB384" s="10"/>
      <c r="AC384" s="10">
        <v>0</v>
      </c>
      <c r="AD384" s="10"/>
      <c r="AE384" s="10">
        <v>0</v>
      </c>
      <c r="AF384" s="10"/>
      <c r="AG384" s="10">
        <v>0</v>
      </c>
      <c r="AH384" s="10"/>
      <c r="AI384" s="10">
        <f t="shared" si="13"/>
        <v>0</v>
      </c>
      <c r="AJ384" s="10"/>
    </row>
    <row r="385" spans="1:39" s="21" customFormat="1" hidden="1">
      <c r="A385" s="1" t="s">
        <v>99</v>
      </c>
      <c r="B385" s="1"/>
      <c r="C385" s="1" t="s">
        <v>780</v>
      </c>
      <c r="D385" s="1"/>
      <c r="E385" s="10">
        <v>0</v>
      </c>
      <c r="F385" s="10"/>
      <c r="G385" s="10">
        <v>0</v>
      </c>
      <c r="H385" s="10"/>
      <c r="I385" s="10">
        <v>0</v>
      </c>
      <c r="J385" s="10"/>
      <c r="K385" s="10">
        <v>0</v>
      </c>
      <c r="L385" s="10"/>
      <c r="M385" s="10">
        <v>0</v>
      </c>
      <c r="N385" s="10"/>
      <c r="O385" s="10">
        <v>0</v>
      </c>
      <c r="P385" s="10"/>
      <c r="Q385" s="10">
        <v>0</v>
      </c>
      <c r="R385" s="10"/>
      <c r="S385" s="10">
        <v>0</v>
      </c>
      <c r="T385" s="10"/>
      <c r="U385" s="10">
        <v>0</v>
      </c>
      <c r="V385" s="24"/>
      <c r="W385" s="10">
        <v>0</v>
      </c>
      <c r="X385" s="24"/>
      <c r="Y385" s="10">
        <v>0</v>
      </c>
      <c r="Z385" s="10"/>
      <c r="AA385" s="10">
        <v>0</v>
      </c>
      <c r="AB385" s="10"/>
      <c r="AC385" s="10">
        <v>0</v>
      </c>
      <c r="AD385" s="10"/>
      <c r="AE385" s="10">
        <v>0</v>
      </c>
      <c r="AF385" s="10"/>
      <c r="AG385" s="10">
        <v>0</v>
      </c>
      <c r="AH385" s="10"/>
      <c r="AI385" s="10">
        <f t="shared" si="13"/>
        <v>0</v>
      </c>
      <c r="AJ385" s="10"/>
    </row>
    <row r="386" spans="1:39" hidden="1">
      <c r="A386" s="1" t="s">
        <v>410</v>
      </c>
      <c r="C386" s="1" t="s">
        <v>409</v>
      </c>
      <c r="E386" s="10">
        <v>0</v>
      </c>
      <c r="G386" s="10">
        <v>0</v>
      </c>
      <c r="I386" s="10">
        <v>0</v>
      </c>
      <c r="K386" s="10">
        <v>0</v>
      </c>
      <c r="M386" s="10">
        <v>0</v>
      </c>
      <c r="O386" s="10">
        <v>0</v>
      </c>
      <c r="Q386" s="10">
        <v>0</v>
      </c>
      <c r="S386" s="10">
        <v>0</v>
      </c>
      <c r="U386" s="10">
        <v>0</v>
      </c>
      <c r="V386" s="24"/>
      <c r="W386" s="10">
        <v>0</v>
      </c>
      <c r="X386" s="24"/>
      <c r="Y386" s="10">
        <v>0</v>
      </c>
      <c r="AA386" s="10">
        <v>0</v>
      </c>
      <c r="AC386" s="10">
        <v>0</v>
      </c>
      <c r="AE386" s="10">
        <v>0</v>
      </c>
      <c r="AG386" s="10">
        <v>0</v>
      </c>
      <c r="AI386" s="10">
        <f t="shared" si="13"/>
        <v>0</v>
      </c>
      <c r="AJ386" s="10"/>
    </row>
    <row r="387" spans="1:39" s="21" customFormat="1">
      <c r="A387" s="1" t="s">
        <v>390</v>
      </c>
      <c r="B387" s="1"/>
      <c r="C387" s="1" t="s">
        <v>388</v>
      </c>
      <c r="D387" s="1"/>
      <c r="E387" s="10">
        <v>22459</v>
      </c>
      <c r="F387" s="10"/>
      <c r="G387" s="10">
        <v>0</v>
      </c>
      <c r="H387" s="10"/>
      <c r="I387" s="10">
        <v>46229</v>
      </c>
      <c r="J387" s="10"/>
      <c r="K387" s="10">
        <v>0</v>
      </c>
      <c r="L387" s="10"/>
      <c r="M387" s="10">
        <v>0</v>
      </c>
      <c r="N387" s="10"/>
      <c r="O387" s="10">
        <v>0</v>
      </c>
      <c r="P387" s="10"/>
      <c r="Q387" s="10">
        <v>0</v>
      </c>
      <c r="R387" s="10"/>
      <c r="S387" s="10">
        <v>21719</v>
      </c>
      <c r="T387" s="10"/>
      <c r="U387" s="10">
        <v>0</v>
      </c>
      <c r="V387" s="10"/>
      <c r="W387" s="10">
        <v>0</v>
      </c>
      <c r="X387" s="10"/>
      <c r="Y387" s="10">
        <v>0</v>
      </c>
      <c r="Z387" s="10"/>
      <c r="AA387" s="10">
        <v>0</v>
      </c>
      <c r="AB387" s="10"/>
      <c r="AC387" s="10">
        <v>0</v>
      </c>
      <c r="AD387" s="10"/>
      <c r="AE387" s="10">
        <v>0</v>
      </c>
      <c r="AF387" s="10"/>
      <c r="AG387" s="10">
        <v>0</v>
      </c>
      <c r="AH387" s="10"/>
      <c r="AI387" s="10">
        <f t="shared" si="13"/>
        <v>90407</v>
      </c>
      <c r="AJ387" s="10"/>
    </row>
    <row r="388" spans="1:39">
      <c r="A388" s="1" t="s">
        <v>391</v>
      </c>
      <c r="C388" s="1" t="s">
        <v>388</v>
      </c>
      <c r="E388" s="10">
        <v>5509</v>
      </c>
      <c r="G388" s="10">
        <v>78</v>
      </c>
      <c r="I388" s="10">
        <v>45600</v>
      </c>
      <c r="K388" s="10">
        <v>0</v>
      </c>
      <c r="M388" s="10">
        <v>2610</v>
      </c>
      <c r="O388" s="10">
        <v>0</v>
      </c>
      <c r="Q388" s="10">
        <v>1499</v>
      </c>
      <c r="S388" s="10">
        <v>9175</v>
      </c>
      <c r="U388" s="10">
        <v>0</v>
      </c>
      <c r="W388" s="10">
        <v>0</v>
      </c>
      <c r="Y388" s="10">
        <v>0</v>
      </c>
      <c r="AA388" s="10">
        <v>0</v>
      </c>
      <c r="AC388" s="10">
        <v>0</v>
      </c>
      <c r="AE388" s="10">
        <v>0</v>
      </c>
      <c r="AG388" s="10">
        <v>0</v>
      </c>
      <c r="AI388" s="10">
        <f t="shared" si="13"/>
        <v>64471</v>
      </c>
      <c r="AJ388" s="10"/>
    </row>
    <row r="389" spans="1:39">
      <c r="A389" s="1" t="s">
        <v>486</v>
      </c>
      <c r="C389" s="1" t="s">
        <v>243</v>
      </c>
      <c r="E389" s="10">
        <v>160234</v>
      </c>
      <c r="G389" s="10">
        <v>889776</v>
      </c>
      <c r="I389" s="10">
        <v>77670</v>
      </c>
      <c r="K389" s="10">
        <v>0</v>
      </c>
      <c r="M389" s="10">
        <v>17616</v>
      </c>
      <c r="O389" s="10">
        <v>45154</v>
      </c>
      <c r="Q389" s="10">
        <v>80243</v>
      </c>
      <c r="S389" s="10">
        <v>34513</v>
      </c>
      <c r="U389" s="10">
        <v>0</v>
      </c>
      <c r="W389" s="10">
        <v>0</v>
      </c>
      <c r="Y389" s="10">
        <v>0</v>
      </c>
      <c r="AA389" s="10">
        <v>0</v>
      </c>
      <c r="AC389" s="10">
        <v>0</v>
      </c>
      <c r="AE389" s="10">
        <v>0</v>
      </c>
      <c r="AG389" s="10">
        <v>0</v>
      </c>
      <c r="AI389" s="10">
        <f t="shared" si="13"/>
        <v>1305206</v>
      </c>
      <c r="AJ389" s="10"/>
    </row>
    <row r="390" spans="1:39" hidden="1">
      <c r="A390" s="1" t="s">
        <v>24</v>
      </c>
      <c r="C390" s="1" t="s">
        <v>756</v>
      </c>
      <c r="E390" s="10">
        <v>0</v>
      </c>
      <c r="G390" s="10">
        <v>0</v>
      </c>
      <c r="I390" s="10">
        <v>0</v>
      </c>
      <c r="K390" s="10">
        <v>0</v>
      </c>
      <c r="M390" s="10">
        <v>0</v>
      </c>
      <c r="O390" s="10">
        <v>0</v>
      </c>
      <c r="Q390" s="10">
        <v>0</v>
      </c>
      <c r="S390" s="10">
        <v>0</v>
      </c>
      <c r="U390" s="10">
        <v>0</v>
      </c>
      <c r="V390" s="24"/>
      <c r="W390" s="10">
        <v>0</v>
      </c>
      <c r="X390" s="24"/>
      <c r="Y390" s="10">
        <v>0</v>
      </c>
      <c r="AA390" s="10">
        <v>0</v>
      </c>
      <c r="AC390" s="10">
        <v>0</v>
      </c>
      <c r="AE390" s="10">
        <v>0</v>
      </c>
      <c r="AG390" s="10">
        <v>0</v>
      </c>
      <c r="AI390" s="10">
        <f t="shared" si="13"/>
        <v>0</v>
      </c>
      <c r="AJ390" s="10"/>
      <c r="AK390" s="7"/>
      <c r="AL390" s="7"/>
      <c r="AM390" s="7"/>
    </row>
    <row r="391" spans="1:39" s="21" customFormat="1" hidden="1">
      <c r="A391" s="1" t="s">
        <v>112</v>
      </c>
      <c r="B391" s="1"/>
      <c r="C391" s="1" t="s">
        <v>784</v>
      </c>
      <c r="D391" s="1"/>
      <c r="E391" s="10">
        <v>0</v>
      </c>
      <c r="F391" s="10"/>
      <c r="G391" s="10">
        <v>0</v>
      </c>
      <c r="H391" s="10"/>
      <c r="I391" s="10">
        <v>0</v>
      </c>
      <c r="J391" s="10"/>
      <c r="K391" s="10">
        <v>0</v>
      </c>
      <c r="L391" s="10"/>
      <c r="M391" s="10">
        <v>0</v>
      </c>
      <c r="N391" s="10"/>
      <c r="O391" s="10">
        <v>0</v>
      </c>
      <c r="P391" s="10"/>
      <c r="Q391" s="10">
        <v>0</v>
      </c>
      <c r="R391" s="10"/>
      <c r="S391" s="10">
        <v>0</v>
      </c>
      <c r="T391" s="10"/>
      <c r="U391" s="10">
        <v>0</v>
      </c>
      <c r="V391" s="24"/>
      <c r="W391" s="10">
        <v>0</v>
      </c>
      <c r="X391" s="24"/>
      <c r="Y391" s="10">
        <v>0</v>
      </c>
      <c r="Z391" s="10"/>
      <c r="AA391" s="10">
        <v>0</v>
      </c>
      <c r="AB391" s="10"/>
      <c r="AC391" s="10">
        <v>0</v>
      </c>
      <c r="AD391" s="10"/>
      <c r="AE391" s="10">
        <v>0</v>
      </c>
      <c r="AF391" s="10"/>
      <c r="AG391" s="10">
        <v>0</v>
      </c>
      <c r="AH391" s="10"/>
      <c r="AI391" s="10">
        <f t="shared" si="13"/>
        <v>0</v>
      </c>
      <c r="AJ391" s="10"/>
    </row>
    <row r="392" spans="1:39" s="21" customFormat="1" hidden="1">
      <c r="A392" s="1" t="s">
        <v>288</v>
      </c>
      <c r="B392" s="1"/>
      <c r="C392" s="1" t="s">
        <v>287</v>
      </c>
      <c r="D392" s="1"/>
      <c r="E392" s="10">
        <v>0</v>
      </c>
      <c r="F392" s="10"/>
      <c r="G392" s="10">
        <v>0</v>
      </c>
      <c r="H392" s="10"/>
      <c r="I392" s="10">
        <v>0</v>
      </c>
      <c r="J392" s="10"/>
      <c r="K392" s="10">
        <v>0</v>
      </c>
      <c r="L392" s="10"/>
      <c r="M392" s="10">
        <v>0</v>
      </c>
      <c r="N392" s="10"/>
      <c r="O392" s="10">
        <v>0</v>
      </c>
      <c r="P392" s="10"/>
      <c r="Q392" s="10">
        <v>0</v>
      </c>
      <c r="R392" s="10"/>
      <c r="S392" s="10">
        <v>0</v>
      </c>
      <c r="T392" s="10"/>
      <c r="U392" s="10">
        <v>0</v>
      </c>
      <c r="V392" s="24"/>
      <c r="W392" s="10">
        <v>0</v>
      </c>
      <c r="X392" s="24"/>
      <c r="Y392" s="10">
        <v>0</v>
      </c>
      <c r="Z392" s="10"/>
      <c r="AA392" s="10">
        <v>0</v>
      </c>
      <c r="AB392" s="10"/>
      <c r="AC392" s="10">
        <v>0</v>
      </c>
      <c r="AD392" s="10"/>
      <c r="AE392" s="10">
        <v>0</v>
      </c>
      <c r="AF392" s="10"/>
      <c r="AG392" s="10">
        <v>0</v>
      </c>
      <c r="AH392" s="10"/>
      <c r="AI392" s="10">
        <f t="shared" si="13"/>
        <v>0</v>
      </c>
      <c r="AJ392" s="10"/>
      <c r="AK392" s="22"/>
      <c r="AL392" s="22"/>
      <c r="AM392" s="22"/>
    </row>
    <row r="393" spans="1:39">
      <c r="A393" s="1" t="s">
        <v>551</v>
      </c>
      <c r="C393" s="1" t="s">
        <v>545</v>
      </c>
      <c r="E393" s="10">
        <v>88998</v>
      </c>
      <c r="G393" s="10">
        <v>0</v>
      </c>
      <c r="I393" s="10">
        <v>120576</v>
      </c>
      <c r="K393" s="10">
        <v>0</v>
      </c>
      <c r="M393" s="10">
        <v>15344</v>
      </c>
      <c r="O393" s="10">
        <v>1015</v>
      </c>
      <c r="Q393" s="10">
        <v>40674</v>
      </c>
      <c r="S393" s="10">
        <v>15678</v>
      </c>
      <c r="U393" s="10">
        <v>0</v>
      </c>
      <c r="W393" s="10">
        <v>0</v>
      </c>
      <c r="Y393" s="10">
        <v>0</v>
      </c>
      <c r="AA393" s="10">
        <v>458000</v>
      </c>
      <c r="AC393" s="10">
        <v>0</v>
      </c>
      <c r="AE393" s="10">
        <v>0</v>
      </c>
      <c r="AG393" s="10">
        <v>0</v>
      </c>
      <c r="AI393" s="10">
        <f t="shared" si="13"/>
        <v>740285</v>
      </c>
      <c r="AJ393" s="10"/>
    </row>
    <row r="394" spans="1:39" s="21" customFormat="1" ht="12.75" customHeight="1">
      <c r="A394" s="1" t="s">
        <v>309</v>
      </c>
      <c r="B394" s="1"/>
      <c r="C394" s="1" t="s">
        <v>308</v>
      </c>
      <c r="D394" s="1"/>
      <c r="E394" s="10">
        <v>5439</v>
      </c>
      <c r="F394" s="10"/>
      <c r="G394" s="10">
        <v>0</v>
      </c>
      <c r="H394" s="10"/>
      <c r="I394" s="10">
        <v>8850</v>
      </c>
      <c r="J394" s="10"/>
      <c r="K394" s="10">
        <v>0</v>
      </c>
      <c r="L394" s="10"/>
      <c r="M394" s="10">
        <v>0</v>
      </c>
      <c r="N394" s="10"/>
      <c r="O394" s="10">
        <v>0</v>
      </c>
      <c r="P394" s="10"/>
      <c r="Q394" s="10">
        <v>0</v>
      </c>
      <c r="R394" s="10"/>
      <c r="S394" s="10">
        <v>3</v>
      </c>
      <c r="T394" s="10"/>
      <c r="U394" s="10">
        <v>0</v>
      </c>
      <c r="V394" s="10"/>
      <c r="W394" s="10">
        <v>0</v>
      </c>
      <c r="X394" s="10"/>
      <c r="Y394" s="10">
        <v>0</v>
      </c>
      <c r="Z394" s="10"/>
      <c r="AA394" s="10">
        <v>0</v>
      </c>
      <c r="AB394" s="10"/>
      <c r="AC394" s="10">
        <v>0</v>
      </c>
      <c r="AD394" s="10"/>
      <c r="AE394" s="10">
        <v>0</v>
      </c>
      <c r="AF394" s="10"/>
      <c r="AG394" s="10">
        <v>0</v>
      </c>
      <c r="AH394" s="10"/>
      <c r="AI394" s="10">
        <f t="shared" si="13"/>
        <v>14292</v>
      </c>
      <c r="AJ394" s="10"/>
      <c r="AK394" s="22"/>
      <c r="AL394" s="22"/>
      <c r="AM394" s="22"/>
    </row>
    <row r="395" spans="1:39">
      <c r="A395" s="1" t="s">
        <v>615</v>
      </c>
      <c r="C395" s="1" t="s">
        <v>614</v>
      </c>
      <c r="E395" s="10">
        <v>18881</v>
      </c>
      <c r="G395" s="10">
        <v>0</v>
      </c>
      <c r="I395" s="10">
        <v>13406</v>
      </c>
      <c r="K395" s="10">
        <v>0</v>
      </c>
      <c r="M395" s="10">
        <v>0</v>
      </c>
      <c r="O395" s="10">
        <v>195</v>
      </c>
      <c r="Q395" s="10">
        <v>0</v>
      </c>
      <c r="S395" s="10">
        <v>2799</v>
      </c>
      <c r="U395" s="10">
        <v>0</v>
      </c>
      <c r="W395" s="10">
        <v>0</v>
      </c>
      <c r="Y395" s="10">
        <v>0</v>
      </c>
      <c r="AA395" s="10">
        <v>0</v>
      </c>
      <c r="AC395" s="10">
        <v>0</v>
      </c>
      <c r="AE395" s="10">
        <v>13148</v>
      </c>
      <c r="AG395" s="10">
        <v>0</v>
      </c>
      <c r="AI395" s="10">
        <f t="shared" si="13"/>
        <v>48429</v>
      </c>
      <c r="AJ395" s="10"/>
    </row>
    <row r="396" spans="1:39" s="21" customFormat="1" hidden="1">
      <c r="A396" s="1" t="s">
        <v>37</v>
      </c>
      <c r="B396" s="1"/>
      <c r="C396" s="1" t="s">
        <v>761</v>
      </c>
      <c r="D396" s="1"/>
      <c r="E396" s="10">
        <v>0</v>
      </c>
      <c r="F396" s="10"/>
      <c r="G396" s="10">
        <v>0</v>
      </c>
      <c r="H396" s="10"/>
      <c r="I396" s="10">
        <v>0</v>
      </c>
      <c r="J396" s="10"/>
      <c r="K396" s="10">
        <v>0</v>
      </c>
      <c r="L396" s="10"/>
      <c r="M396" s="10">
        <v>0</v>
      </c>
      <c r="N396" s="10"/>
      <c r="O396" s="10">
        <v>0</v>
      </c>
      <c r="P396" s="10"/>
      <c r="Q396" s="10">
        <v>0</v>
      </c>
      <c r="R396" s="10"/>
      <c r="S396" s="10">
        <v>0</v>
      </c>
      <c r="T396" s="10"/>
      <c r="U396" s="10">
        <v>0</v>
      </c>
      <c r="V396" s="24"/>
      <c r="W396" s="10">
        <v>0</v>
      </c>
      <c r="X396" s="24"/>
      <c r="Y396" s="10">
        <v>0</v>
      </c>
      <c r="Z396" s="10"/>
      <c r="AA396" s="10">
        <v>0</v>
      </c>
      <c r="AB396" s="10"/>
      <c r="AC396" s="10">
        <v>0</v>
      </c>
      <c r="AD396" s="10"/>
      <c r="AE396" s="10">
        <v>0</v>
      </c>
      <c r="AF396" s="10"/>
      <c r="AG396" s="10">
        <v>0</v>
      </c>
      <c r="AH396" s="10"/>
      <c r="AI396" s="10">
        <f t="shared" si="13"/>
        <v>0</v>
      </c>
      <c r="AJ396" s="10"/>
    </row>
    <row r="397" spans="1:39" s="31" customFormat="1">
      <c r="A397" s="15" t="s">
        <v>355</v>
      </c>
      <c r="B397" s="15"/>
      <c r="C397" s="15" t="s">
        <v>353</v>
      </c>
      <c r="D397" s="15"/>
      <c r="E397" s="10">
        <v>964890</v>
      </c>
      <c r="F397" s="24"/>
      <c r="G397" s="10">
        <v>8795372</v>
      </c>
      <c r="H397" s="24"/>
      <c r="I397" s="10">
        <v>494771</v>
      </c>
      <c r="J397" s="24"/>
      <c r="K397" s="10">
        <v>0</v>
      </c>
      <c r="L397" s="24"/>
      <c r="M397" s="10">
        <v>230989</v>
      </c>
      <c r="N397" s="24"/>
      <c r="O397" s="10">
        <f>257458+118015</f>
        <v>375473</v>
      </c>
      <c r="P397" s="24"/>
      <c r="Q397" s="10">
        <v>395996</v>
      </c>
      <c r="R397" s="24"/>
      <c r="S397" s="10">
        <v>170531</v>
      </c>
      <c r="T397" s="24"/>
      <c r="U397" s="10">
        <v>0</v>
      </c>
      <c r="V397" s="24"/>
      <c r="W397" s="10">
        <v>0</v>
      </c>
      <c r="X397" s="24"/>
      <c r="Y397" s="10">
        <v>0</v>
      </c>
      <c r="Z397" s="29"/>
      <c r="AA397" s="10">
        <v>0</v>
      </c>
      <c r="AB397" s="24"/>
      <c r="AC397" s="10">
        <v>0</v>
      </c>
      <c r="AD397" s="24"/>
      <c r="AE397" s="10">
        <v>283184</v>
      </c>
      <c r="AF397" s="24"/>
      <c r="AG397" s="10">
        <v>0</v>
      </c>
      <c r="AH397" s="24"/>
      <c r="AI397" s="24">
        <f t="shared" si="13"/>
        <v>11711206</v>
      </c>
      <c r="AJ397" s="24"/>
      <c r="AK397" s="32"/>
      <c r="AL397" s="32"/>
      <c r="AM397" s="32"/>
    </row>
    <row r="398" spans="1:39" hidden="1">
      <c r="A398" s="1" t="s">
        <v>103</v>
      </c>
      <c r="C398" s="1" t="s">
        <v>781</v>
      </c>
      <c r="E398" s="10">
        <v>0</v>
      </c>
      <c r="G398" s="10">
        <v>0</v>
      </c>
      <c r="I398" s="10">
        <v>0</v>
      </c>
      <c r="K398" s="10">
        <v>0</v>
      </c>
      <c r="M398" s="10">
        <v>0</v>
      </c>
      <c r="O398" s="10">
        <v>0</v>
      </c>
      <c r="Q398" s="10">
        <v>0</v>
      </c>
      <c r="S398" s="10">
        <v>0</v>
      </c>
      <c r="U398" s="10">
        <v>0</v>
      </c>
      <c r="V398" s="24"/>
      <c r="W398" s="10">
        <v>0</v>
      </c>
      <c r="X398" s="24"/>
      <c r="Y398" s="10">
        <v>0</v>
      </c>
      <c r="AA398" s="10">
        <v>0</v>
      </c>
      <c r="AC398" s="10">
        <v>0</v>
      </c>
      <c r="AE398" s="10">
        <v>0</v>
      </c>
      <c r="AG398" s="10">
        <v>0</v>
      </c>
      <c r="AI398" s="10">
        <f t="shared" si="13"/>
        <v>0</v>
      </c>
      <c r="AJ398" s="10"/>
    </row>
    <row r="399" spans="1:39" s="21" customFormat="1" hidden="1">
      <c r="A399" s="1" t="s">
        <v>109</v>
      </c>
      <c r="B399" s="1"/>
      <c r="C399" s="1" t="s">
        <v>782</v>
      </c>
      <c r="D399" s="1"/>
      <c r="E399" s="10">
        <v>0</v>
      </c>
      <c r="F399" s="10"/>
      <c r="G399" s="10">
        <v>0</v>
      </c>
      <c r="H399" s="10"/>
      <c r="I399" s="10">
        <v>0</v>
      </c>
      <c r="J399" s="10"/>
      <c r="K399" s="10">
        <v>0</v>
      </c>
      <c r="L399" s="10"/>
      <c r="M399" s="10">
        <v>0</v>
      </c>
      <c r="N399" s="10"/>
      <c r="O399" s="10">
        <v>0</v>
      </c>
      <c r="P399" s="10"/>
      <c r="Q399" s="10">
        <v>0</v>
      </c>
      <c r="R399" s="10"/>
      <c r="S399" s="10">
        <v>0</v>
      </c>
      <c r="T399" s="10"/>
      <c r="U399" s="10">
        <v>0</v>
      </c>
      <c r="V399" s="24"/>
      <c r="W399" s="10">
        <v>0</v>
      </c>
      <c r="X399" s="24"/>
      <c r="Y399" s="10">
        <v>0</v>
      </c>
      <c r="Z399" s="10"/>
      <c r="AA399" s="10">
        <v>0</v>
      </c>
      <c r="AB399" s="10"/>
      <c r="AC399" s="10">
        <v>0</v>
      </c>
      <c r="AD399" s="10"/>
      <c r="AE399" s="10">
        <v>0</v>
      </c>
      <c r="AF399" s="10"/>
      <c r="AG399" s="10">
        <v>0</v>
      </c>
      <c r="AH399" s="10"/>
      <c r="AI399" s="10">
        <f t="shared" si="13"/>
        <v>0</v>
      </c>
      <c r="AJ399" s="10"/>
    </row>
    <row r="400" spans="1:39" hidden="1">
      <c r="A400" s="1" t="s">
        <v>149</v>
      </c>
      <c r="C400" s="1" t="s">
        <v>464</v>
      </c>
      <c r="E400" s="10">
        <v>0</v>
      </c>
      <c r="G400" s="10">
        <v>0</v>
      </c>
      <c r="I400" s="10">
        <v>0</v>
      </c>
      <c r="K400" s="10">
        <v>0</v>
      </c>
      <c r="M400" s="10">
        <v>0</v>
      </c>
      <c r="O400" s="10">
        <v>0</v>
      </c>
      <c r="Q400" s="10">
        <v>0</v>
      </c>
      <c r="S400" s="10">
        <v>0</v>
      </c>
      <c r="U400" s="10">
        <v>0</v>
      </c>
      <c r="V400" s="24"/>
      <c r="W400" s="10">
        <v>0</v>
      </c>
      <c r="X400" s="24"/>
      <c r="Y400" s="10">
        <v>0</v>
      </c>
      <c r="AA400" s="10">
        <v>0</v>
      </c>
      <c r="AC400" s="10">
        <v>0</v>
      </c>
      <c r="AE400" s="10">
        <v>0</v>
      </c>
      <c r="AG400" s="10">
        <v>0</v>
      </c>
      <c r="AI400" s="10">
        <f t="shared" ref="AI400:AI411" si="14">SUM(E400:AG400)</f>
        <v>0</v>
      </c>
      <c r="AJ400" s="10"/>
    </row>
    <row r="401" spans="1:39" hidden="1">
      <c r="A401" s="1" t="s">
        <v>533</v>
      </c>
      <c r="C401" s="1" t="s">
        <v>534</v>
      </c>
      <c r="E401" s="10">
        <v>0</v>
      </c>
      <c r="G401" s="10">
        <v>0</v>
      </c>
      <c r="I401" s="10">
        <v>0</v>
      </c>
      <c r="K401" s="10">
        <v>0</v>
      </c>
      <c r="M401" s="10">
        <v>0</v>
      </c>
      <c r="O401" s="10">
        <v>0</v>
      </c>
      <c r="Q401" s="10">
        <v>0</v>
      </c>
      <c r="S401" s="10">
        <v>0</v>
      </c>
      <c r="U401" s="10">
        <v>0</v>
      </c>
      <c r="V401" s="24"/>
      <c r="W401" s="10">
        <v>0</v>
      </c>
      <c r="X401" s="24"/>
      <c r="Y401" s="10">
        <v>0</v>
      </c>
      <c r="AA401" s="10">
        <v>0</v>
      </c>
      <c r="AC401" s="10">
        <v>0</v>
      </c>
      <c r="AE401" s="10">
        <v>0</v>
      </c>
      <c r="AG401" s="10">
        <v>0</v>
      </c>
      <c r="AI401" s="10">
        <f t="shared" si="14"/>
        <v>0</v>
      </c>
      <c r="AJ401" s="10"/>
    </row>
    <row r="402" spans="1:39" s="21" customFormat="1">
      <c r="A402" s="1" t="s">
        <v>277</v>
      </c>
      <c r="B402" s="1"/>
      <c r="C402" s="1" t="s">
        <v>275</v>
      </c>
      <c r="D402" s="1"/>
      <c r="E402" s="10">
        <v>3022525</v>
      </c>
      <c r="F402" s="10"/>
      <c r="G402" s="10">
        <v>0</v>
      </c>
      <c r="H402" s="10"/>
      <c r="I402" s="10">
        <v>184698</v>
      </c>
      <c r="J402" s="10"/>
      <c r="K402" s="10">
        <v>53844</v>
      </c>
      <c r="L402" s="10"/>
      <c r="M402" s="10">
        <v>88928</v>
      </c>
      <c r="N402" s="10"/>
      <c r="O402" s="10">
        <v>17465</v>
      </c>
      <c r="P402" s="10"/>
      <c r="Q402" s="10">
        <v>97356</v>
      </c>
      <c r="R402" s="10"/>
      <c r="S402" s="10">
        <v>49710</v>
      </c>
      <c r="T402" s="10"/>
      <c r="U402" s="10">
        <v>0</v>
      </c>
      <c r="V402" s="10"/>
      <c r="W402" s="10">
        <v>0</v>
      </c>
      <c r="X402" s="10"/>
      <c r="Y402" s="10">
        <v>0</v>
      </c>
      <c r="Z402" s="10"/>
      <c r="AA402" s="10">
        <v>0</v>
      </c>
      <c r="AB402" s="10"/>
      <c r="AC402" s="10">
        <v>0</v>
      </c>
      <c r="AD402" s="10"/>
      <c r="AE402" s="10">
        <v>0</v>
      </c>
      <c r="AF402" s="10"/>
      <c r="AG402" s="10">
        <v>0</v>
      </c>
      <c r="AH402" s="10"/>
      <c r="AI402" s="10">
        <f t="shared" si="14"/>
        <v>3514526</v>
      </c>
      <c r="AJ402" s="10"/>
      <c r="AK402" s="22"/>
      <c r="AL402" s="22"/>
      <c r="AM402" s="22"/>
    </row>
    <row r="403" spans="1:39">
      <c r="V403" s="24"/>
      <c r="X403" s="24"/>
      <c r="AI403" s="10" t="s">
        <v>869</v>
      </c>
      <c r="AJ403" s="10"/>
    </row>
    <row r="404" spans="1:39" s="40" customFormat="1">
      <c r="A404" s="40" t="s">
        <v>490</v>
      </c>
      <c r="C404" s="40" t="s">
        <v>488</v>
      </c>
      <c r="E404" s="40">
        <v>725156</v>
      </c>
      <c r="G404" s="40">
        <v>0</v>
      </c>
      <c r="I404" s="40">
        <v>61640</v>
      </c>
      <c r="K404" s="40">
        <v>0</v>
      </c>
      <c r="M404" s="40">
        <v>0</v>
      </c>
      <c r="O404" s="40">
        <v>66475</v>
      </c>
      <c r="Q404" s="40">
        <v>13874</v>
      </c>
      <c r="S404" s="40">
        <v>35917</v>
      </c>
      <c r="U404" s="40">
        <v>0</v>
      </c>
      <c r="W404" s="40">
        <v>0</v>
      </c>
      <c r="Y404" s="40">
        <v>0</v>
      </c>
      <c r="AA404" s="40">
        <v>8275</v>
      </c>
      <c r="AC404" s="40">
        <v>0</v>
      </c>
      <c r="AE404" s="40">
        <v>0</v>
      </c>
      <c r="AG404" s="40">
        <v>0</v>
      </c>
      <c r="AI404" s="40">
        <f t="shared" si="14"/>
        <v>911337</v>
      </c>
    </row>
    <row r="405" spans="1:39" hidden="1">
      <c r="A405" s="1" t="s">
        <v>189</v>
      </c>
      <c r="C405" s="1" t="s">
        <v>809</v>
      </c>
      <c r="E405" s="10">
        <v>0</v>
      </c>
      <c r="G405" s="10">
        <v>0</v>
      </c>
      <c r="I405" s="10">
        <v>0</v>
      </c>
      <c r="K405" s="10">
        <v>0</v>
      </c>
      <c r="M405" s="10">
        <v>0</v>
      </c>
      <c r="O405" s="10">
        <v>0</v>
      </c>
      <c r="Q405" s="10">
        <v>0</v>
      </c>
      <c r="S405" s="10">
        <v>0</v>
      </c>
      <c r="U405" s="10">
        <v>0</v>
      </c>
      <c r="V405" s="24"/>
      <c r="W405" s="10">
        <v>0</v>
      </c>
      <c r="X405" s="24"/>
      <c r="Y405" s="10">
        <v>0</v>
      </c>
      <c r="AA405" s="10">
        <v>0</v>
      </c>
      <c r="AC405" s="10">
        <v>0</v>
      </c>
      <c r="AE405" s="10">
        <v>0</v>
      </c>
      <c r="AG405" s="10">
        <v>0</v>
      </c>
      <c r="AI405" s="10">
        <f t="shared" si="14"/>
        <v>0</v>
      </c>
      <c r="AJ405" s="10"/>
    </row>
    <row r="406" spans="1:39" hidden="1">
      <c r="A406" s="1" t="s">
        <v>12</v>
      </c>
      <c r="C406" s="1" t="s">
        <v>754</v>
      </c>
      <c r="E406" s="10">
        <v>0</v>
      </c>
      <c r="G406" s="10">
        <v>0</v>
      </c>
      <c r="I406" s="10">
        <v>0</v>
      </c>
      <c r="K406" s="10">
        <v>0</v>
      </c>
      <c r="M406" s="10">
        <v>0</v>
      </c>
      <c r="O406" s="10">
        <v>0</v>
      </c>
      <c r="Q406" s="10">
        <v>0</v>
      </c>
      <c r="S406" s="10">
        <v>0</v>
      </c>
      <c r="U406" s="10">
        <v>0</v>
      </c>
      <c r="V406" s="24"/>
      <c r="W406" s="10">
        <v>0</v>
      </c>
      <c r="X406" s="24"/>
      <c r="Y406" s="10">
        <v>0</v>
      </c>
      <c r="AA406" s="10">
        <v>0</v>
      </c>
      <c r="AC406" s="10">
        <v>0</v>
      </c>
      <c r="AE406" s="10">
        <v>0</v>
      </c>
      <c r="AG406" s="10">
        <v>0</v>
      </c>
      <c r="AI406" s="10">
        <f t="shared" si="14"/>
        <v>0</v>
      </c>
      <c r="AJ406" s="10"/>
      <c r="AK406" s="7"/>
      <c r="AL406" s="7"/>
      <c r="AM406" s="7"/>
    </row>
    <row r="407" spans="1:39" s="15" customFormat="1">
      <c r="A407" s="15" t="s">
        <v>484</v>
      </c>
      <c r="C407" s="15" t="s">
        <v>482</v>
      </c>
      <c r="E407" s="10">
        <v>64423</v>
      </c>
      <c r="F407" s="24"/>
      <c r="G407" s="10">
        <v>486996</v>
      </c>
      <c r="H407" s="24"/>
      <c r="I407" s="10">
        <v>174404</v>
      </c>
      <c r="J407" s="24"/>
      <c r="K407" s="10">
        <v>0</v>
      </c>
      <c r="L407" s="24"/>
      <c r="M407" s="10">
        <v>3544</v>
      </c>
      <c r="N407" s="24"/>
      <c r="O407" s="10">
        <v>2556</v>
      </c>
      <c r="P407" s="24"/>
      <c r="Q407" s="10">
        <v>66466</v>
      </c>
      <c r="R407" s="24"/>
      <c r="S407" s="10">
        <v>56088</v>
      </c>
      <c r="T407" s="24"/>
      <c r="U407" s="10">
        <v>0</v>
      </c>
      <c r="V407" s="24"/>
      <c r="W407" s="10">
        <v>342500</v>
      </c>
      <c r="X407" s="24"/>
      <c r="Y407" s="10">
        <v>0</v>
      </c>
      <c r="Z407" s="24"/>
      <c r="AA407" s="10">
        <v>0</v>
      </c>
      <c r="AB407" s="24"/>
      <c r="AC407" s="10">
        <v>0</v>
      </c>
      <c r="AD407" s="24"/>
      <c r="AE407" s="10">
        <v>1227</v>
      </c>
      <c r="AF407" s="24"/>
      <c r="AG407" s="10">
        <v>0</v>
      </c>
      <c r="AH407" s="24"/>
      <c r="AI407" s="24">
        <f t="shared" si="14"/>
        <v>1198204</v>
      </c>
      <c r="AJ407" s="24"/>
    </row>
    <row r="408" spans="1:39" s="21" customFormat="1">
      <c r="A408" s="1" t="s">
        <v>417</v>
      </c>
      <c r="B408" s="1"/>
      <c r="C408" s="1" t="s">
        <v>416</v>
      </c>
      <c r="D408" s="1"/>
      <c r="E408" s="10">
        <v>78934</v>
      </c>
      <c r="F408" s="10"/>
      <c r="G408" s="10">
        <v>0</v>
      </c>
      <c r="H408" s="10"/>
      <c r="I408" s="10">
        <v>185843</v>
      </c>
      <c r="J408" s="10"/>
      <c r="K408" s="10">
        <v>0</v>
      </c>
      <c r="L408" s="10"/>
      <c r="M408" s="10">
        <v>24800</v>
      </c>
      <c r="N408" s="10"/>
      <c r="O408" s="10">
        <v>19606</v>
      </c>
      <c r="P408" s="10"/>
      <c r="Q408" s="10">
        <v>60798</v>
      </c>
      <c r="R408" s="10"/>
      <c r="S408" s="10">
        <v>28279</v>
      </c>
      <c r="T408" s="10"/>
      <c r="U408" s="10">
        <v>0</v>
      </c>
      <c r="V408" s="10"/>
      <c r="W408" s="10">
        <v>0</v>
      </c>
      <c r="X408" s="10"/>
      <c r="Y408" s="10">
        <v>0</v>
      </c>
      <c r="Z408" s="10"/>
      <c r="AA408" s="10">
        <v>251560</v>
      </c>
      <c r="AB408" s="10"/>
      <c r="AC408" s="10">
        <v>14000</v>
      </c>
      <c r="AD408" s="10"/>
      <c r="AE408" s="10">
        <v>0</v>
      </c>
      <c r="AF408" s="10"/>
      <c r="AG408" s="10">
        <v>0</v>
      </c>
      <c r="AH408" s="10"/>
      <c r="AI408" s="10">
        <f t="shared" si="14"/>
        <v>663820</v>
      </c>
      <c r="AJ408" s="10"/>
    </row>
    <row r="409" spans="1:39" hidden="1">
      <c r="A409" s="1" t="s">
        <v>53</v>
      </c>
      <c r="C409" s="1" t="s">
        <v>767</v>
      </c>
      <c r="E409" s="10">
        <v>0</v>
      </c>
      <c r="G409" s="10">
        <v>0</v>
      </c>
      <c r="I409" s="10">
        <v>0</v>
      </c>
      <c r="K409" s="10">
        <v>0</v>
      </c>
      <c r="M409" s="10">
        <v>0</v>
      </c>
      <c r="O409" s="10">
        <v>0</v>
      </c>
      <c r="Q409" s="10">
        <v>0</v>
      </c>
      <c r="S409" s="10">
        <v>0</v>
      </c>
      <c r="U409" s="10">
        <v>0</v>
      </c>
      <c r="V409" s="24"/>
      <c r="W409" s="10">
        <v>0</v>
      </c>
      <c r="X409" s="24"/>
      <c r="Y409" s="10">
        <v>0</v>
      </c>
      <c r="AA409" s="10">
        <v>0</v>
      </c>
      <c r="AC409" s="10">
        <v>0</v>
      </c>
      <c r="AE409" s="10">
        <v>0</v>
      </c>
      <c r="AG409" s="10">
        <v>0</v>
      </c>
      <c r="AI409" s="10">
        <f t="shared" si="14"/>
        <v>0</v>
      </c>
      <c r="AJ409" s="10"/>
      <c r="AK409" s="7"/>
      <c r="AL409" s="7"/>
      <c r="AM409" s="7"/>
    </row>
    <row r="410" spans="1:39" hidden="1">
      <c r="A410" s="1" t="s">
        <v>145</v>
      </c>
      <c r="C410" s="1" t="s">
        <v>795</v>
      </c>
      <c r="E410" s="10">
        <v>0</v>
      </c>
      <c r="G410" s="10">
        <v>0</v>
      </c>
      <c r="I410" s="10">
        <v>0</v>
      </c>
      <c r="K410" s="10">
        <v>0</v>
      </c>
      <c r="M410" s="10">
        <v>0</v>
      </c>
      <c r="O410" s="10">
        <v>0</v>
      </c>
      <c r="Q410" s="10">
        <v>0</v>
      </c>
      <c r="S410" s="10">
        <v>0</v>
      </c>
      <c r="U410" s="10">
        <v>0</v>
      </c>
      <c r="V410" s="24"/>
      <c r="W410" s="10">
        <v>0</v>
      </c>
      <c r="X410" s="24"/>
      <c r="Y410" s="10">
        <v>0</v>
      </c>
      <c r="AA410" s="10">
        <v>0</v>
      </c>
      <c r="AC410" s="10">
        <v>0</v>
      </c>
      <c r="AE410" s="10">
        <v>0</v>
      </c>
      <c r="AG410" s="10">
        <v>0</v>
      </c>
      <c r="AI410" s="10">
        <f t="shared" si="14"/>
        <v>0</v>
      </c>
      <c r="AJ410" s="10"/>
    </row>
    <row r="411" spans="1:39" hidden="1">
      <c r="A411" s="1" t="s">
        <v>514</v>
      </c>
      <c r="C411" s="1" t="s">
        <v>513</v>
      </c>
      <c r="E411" s="10">
        <v>0</v>
      </c>
      <c r="G411" s="10">
        <v>0</v>
      </c>
      <c r="I411" s="10">
        <v>0</v>
      </c>
      <c r="K411" s="10">
        <v>0</v>
      </c>
      <c r="M411" s="10">
        <v>0</v>
      </c>
      <c r="O411" s="10">
        <v>0</v>
      </c>
      <c r="Q411" s="10">
        <v>0</v>
      </c>
      <c r="S411" s="10">
        <v>0</v>
      </c>
      <c r="U411" s="10">
        <v>0</v>
      </c>
      <c r="V411" s="24"/>
      <c r="W411" s="10">
        <v>0</v>
      </c>
      <c r="X411" s="24"/>
      <c r="Y411" s="10">
        <v>0</v>
      </c>
      <c r="AA411" s="10">
        <v>0</v>
      </c>
      <c r="AC411" s="10">
        <v>0</v>
      </c>
      <c r="AE411" s="10">
        <v>0</v>
      </c>
      <c r="AG411" s="10">
        <v>0</v>
      </c>
      <c r="AI411" s="10">
        <f t="shared" si="14"/>
        <v>0</v>
      </c>
      <c r="AJ411" s="10"/>
    </row>
    <row r="412" spans="1:39" s="40" customFormat="1" hidden="1">
      <c r="A412" s="40" t="s">
        <v>38</v>
      </c>
      <c r="C412" s="40" t="s">
        <v>761</v>
      </c>
      <c r="E412" s="40">
        <v>0</v>
      </c>
      <c r="G412" s="40">
        <v>0</v>
      </c>
      <c r="I412" s="40">
        <v>0</v>
      </c>
      <c r="K412" s="40">
        <v>0</v>
      </c>
      <c r="M412" s="40">
        <v>0</v>
      </c>
      <c r="O412" s="40">
        <v>0</v>
      </c>
      <c r="Q412" s="40">
        <v>0</v>
      </c>
      <c r="S412" s="40">
        <v>0</v>
      </c>
      <c r="U412" s="40">
        <v>0</v>
      </c>
      <c r="V412" s="41"/>
      <c r="W412" s="40">
        <v>0</v>
      </c>
      <c r="X412" s="41"/>
      <c r="Y412" s="40">
        <v>0</v>
      </c>
      <c r="AA412" s="40">
        <v>0</v>
      </c>
      <c r="AC412" s="40">
        <v>0</v>
      </c>
      <c r="AE412" s="40">
        <v>0</v>
      </c>
      <c r="AG412" s="40">
        <v>0</v>
      </c>
      <c r="AI412" s="40">
        <f t="shared" ref="AI412:AI443" si="15">SUM(E412:AG412)</f>
        <v>0</v>
      </c>
      <c r="AK412" s="44"/>
      <c r="AL412" s="44"/>
      <c r="AM412" s="44"/>
    </row>
    <row r="413" spans="1:39" s="21" customFormat="1" hidden="1">
      <c r="A413" s="1" t="s">
        <v>220</v>
      </c>
      <c r="B413" s="1"/>
      <c r="C413" s="1" t="s">
        <v>818</v>
      </c>
      <c r="D413" s="1"/>
      <c r="E413" s="10">
        <v>0</v>
      </c>
      <c r="F413" s="10"/>
      <c r="G413" s="10">
        <v>0</v>
      </c>
      <c r="H413" s="10"/>
      <c r="I413" s="10">
        <v>0</v>
      </c>
      <c r="J413" s="10"/>
      <c r="K413" s="10">
        <v>0</v>
      </c>
      <c r="L413" s="10"/>
      <c r="M413" s="10">
        <v>0</v>
      </c>
      <c r="N413" s="10"/>
      <c r="O413" s="10">
        <v>0</v>
      </c>
      <c r="P413" s="10"/>
      <c r="Q413" s="10">
        <v>0</v>
      </c>
      <c r="R413" s="10"/>
      <c r="S413" s="10">
        <v>0</v>
      </c>
      <c r="T413" s="10"/>
      <c r="U413" s="10">
        <v>0</v>
      </c>
      <c r="V413" s="24"/>
      <c r="W413" s="10">
        <v>0</v>
      </c>
      <c r="X413" s="24"/>
      <c r="Y413" s="10">
        <v>0</v>
      </c>
      <c r="Z413" s="10"/>
      <c r="AA413" s="10">
        <v>0</v>
      </c>
      <c r="AB413" s="10"/>
      <c r="AC413" s="10">
        <v>0</v>
      </c>
      <c r="AD413" s="10"/>
      <c r="AE413" s="10">
        <v>0</v>
      </c>
      <c r="AF413" s="10"/>
      <c r="AG413" s="10">
        <v>0</v>
      </c>
      <c r="AH413" s="10"/>
      <c r="AI413" s="10">
        <f t="shared" si="15"/>
        <v>0</v>
      </c>
      <c r="AJ413" s="10"/>
    </row>
    <row r="414" spans="1:39" s="59" customFormat="1" hidden="1">
      <c r="A414" s="59" t="s">
        <v>712</v>
      </c>
      <c r="C414" s="59" t="s">
        <v>504</v>
      </c>
      <c r="E414" s="60">
        <v>0</v>
      </c>
      <c r="F414" s="60"/>
      <c r="G414" s="60">
        <v>0</v>
      </c>
      <c r="H414" s="60"/>
      <c r="I414" s="60">
        <v>0</v>
      </c>
      <c r="J414" s="60"/>
      <c r="K414" s="60">
        <v>0</v>
      </c>
      <c r="L414" s="60"/>
      <c r="M414" s="60">
        <v>0</v>
      </c>
      <c r="N414" s="60"/>
      <c r="O414" s="60">
        <v>0</v>
      </c>
      <c r="P414" s="60"/>
      <c r="Q414" s="60">
        <v>0</v>
      </c>
      <c r="R414" s="60"/>
      <c r="S414" s="60">
        <v>0</v>
      </c>
      <c r="T414" s="60"/>
      <c r="U414" s="60">
        <v>0</v>
      </c>
      <c r="V414" s="60"/>
      <c r="W414" s="60">
        <v>0</v>
      </c>
      <c r="X414" s="60"/>
      <c r="Y414" s="60">
        <v>0</v>
      </c>
      <c r="Z414" s="60"/>
      <c r="AA414" s="60">
        <v>0</v>
      </c>
      <c r="AB414" s="60"/>
      <c r="AC414" s="60">
        <v>0</v>
      </c>
      <c r="AD414" s="60"/>
      <c r="AE414" s="60">
        <v>0</v>
      </c>
      <c r="AF414" s="60"/>
      <c r="AG414" s="60">
        <v>0</v>
      </c>
      <c r="AH414" s="60"/>
      <c r="AI414" s="60">
        <f t="shared" si="15"/>
        <v>0</v>
      </c>
      <c r="AJ414" s="66"/>
    </row>
    <row r="415" spans="1:39" hidden="1">
      <c r="A415" s="1" t="s">
        <v>41</v>
      </c>
      <c r="C415" s="1" t="s">
        <v>762</v>
      </c>
      <c r="E415" s="10">
        <v>0</v>
      </c>
      <c r="G415" s="10">
        <v>0</v>
      </c>
      <c r="I415" s="10">
        <v>0</v>
      </c>
      <c r="K415" s="10">
        <v>0</v>
      </c>
      <c r="M415" s="10">
        <v>0</v>
      </c>
      <c r="O415" s="10">
        <v>0</v>
      </c>
      <c r="Q415" s="10">
        <v>0</v>
      </c>
      <c r="S415" s="10">
        <v>0</v>
      </c>
      <c r="U415" s="10">
        <v>0</v>
      </c>
      <c r="V415" s="24"/>
      <c r="W415" s="10">
        <v>0</v>
      </c>
      <c r="X415" s="24"/>
      <c r="Y415" s="10">
        <v>0</v>
      </c>
      <c r="AA415" s="10">
        <v>0</v>
      </c>
      <c r="AC415" s="10">
        <v>0</v>
      </c>
      <c r="AE415" s="10">
        <v>0</v>
      </c>
      <c r="AG415" s="10">
        <v>0</v>
      </c>
      <c r="AI415" s="10">
        <f t="shared" si="15"/>
        <v>0</v>
      </c>
      <c r="AJ415" s="10"/>
      <c r="AK415" s="7"/>
      <c r="AL415" s="7"/>
      <c r="AM415" s="7"/>
    </row>
    <row r="416" spans="1:39" s="21" customFormat="1" hidden="1">
      <c r="A416" s="1" t="s">
        <v>313</v>
      </c>
      <c r="B416" s="1"/>
      <c r="C416" s="1" t="s">
        <v>312</v>
      </c>
      <c r="D416" s="1"/>
      <c r="E416" s="10">
        <v>0</v>
      </c>
      <c r="F416" s="10"/>
      <c r="G416" s="10">
        <v>0</v>
      </c>
      <c r="H416" s="10"/>
      <c r="I416" s="10">
        <v>0</v>
      </c>
      <c r="J416" s="10"/>
      <c r="K416" s="10">
        <v>0</v>
      </c>
      <c r="L416" s="10"/>
      <c r="M416" s="10">
        <v>0</v>
      </c>
      <c r="N416" s="10"/>
      <c r="O416" s="10">
        <v>0</v>
      </c>
      <c r="P416" s="10"/>
      <c r="Q416" s="10">
        <v>0</v>
      </c>
      <c r="R416" s="10"/>
      <c r="S416" s="10">
        <v>0</v>
      </c>
      <c r="T416" s="10"/>
      <c r="U416" s="10">
        <v>0</v>
      </c>
      <c r="V416" s="24"/>
      <c r="W416" s="10">
        <v>0</v>
      </c>
      <c r="X416" s="24"/>
      <c r="Y416" s="10">
        <v>0</v>
      </c>
      <c r="Z416" s="10"/>
      <c r="AA416" s="10">
        <v>0</v>
      </c>
      <c r="AB416" s="10"/>
      <c r="AC416" s="10">
        <v>0</v>
      </c>
      <c r="AD416" s="10"/>
      <c r="AE416" s="10">
        <v>0</v>
      </c>
      <c r="AF416" s="10"/>
      <c r="AG416" s="10">
        <v>0</v>
      </c>
      <c r="AH416" s="10"/>
      <c r="AI416" s="10">
        <f t="shared" si="15"/>
        <v>0</v>
      </c>
      <c r="AJ416" s="10"/>
      <c r="AK416" s="22"/>
      <c r="AL416" s="22"/>
      <c r="AM416" s="22"/>
    </row>
    <row r="417" spans="1:39" s="21" customFormat="1" hidden="1">
      <c r="A417" s="1" t="s">
        <v>859</v>
      </c>
      <c r="B417" s="1"/>
      <c r="C417" s="1" t="s">
        <v>763</v>
      </c>
      <c r="D417" s="1"/>
      <c r="E417" s="10">
        <v>0</v>
      </c>
      <c r="F417" s="10"/>
      <c r="G417" s="10">
        <v>0</v>
      </c>
      <c r="H417" s="10"/>
      <c r="I417" s="10">
        <v>0</v>
      </c>
      <c r="J417" s="10"/>
      <c r="K417" s="10">
        <v>0</v>
      </c>
      <c r="L417" s="10"/>
      <c r="M417" s="10">
        <v>0</v>
      </c>
      <c r="N417" s="10"/>
      <c r="O417" s="10">
        <v>0</v>
      </c>
      <c r="P417" s="10"/>
      <c r="Q417" s="10">
        <v>0</v>
      </c>
      <c r="R417" s="10"/>
      <c r="S417" s="10">
        <v>0</v>
      </c>
      <c r="T417" s="10"/>
      <c r="U417" s="10">
        <v>0</v>
      </c>
      <c r="V417" s="24"/>
      <c r="W417" s="10">
        <v>0</v>
      </c>
      <c r="X417" s="24"/>
      <c r="Y417" s="10">
        <v>0</v>
      </c>
      <c r="Z417" s="10"/>
      <c r="AA417" s="10">
        <v>0</v>
      </c>
      <c r="AB417" s="10"/>
      <c r="AC417" s="10">
        <v>0</v>
      </c>
      <c r="AD417" s="10"/>
      <c r="AE417" s="10">
        <v>0</v>
      </c>
      <c r="AF417" s="10"/>
      <c r="AG417" s="10">
        <v>0</v>
      </c>
      <c r="AH417" s="10"/>
      <c r="AI417" s="10">
        <f t="shared" si="15"/>
        <v>0</v>
      </c>
      <c r="AJ417" s="10"/>
      <c r="AK417" s="22"/>
      <c r="AL417" s="22"/>
      <c r="AM417" s="22"/>
    </row>
    <row r="418" spans="1:39" s="21" customFormat="1">
      <c r="A418" s="1" t="s">
        <v>333</v>
      </c>
      <c r="B418" s="1"/>
      <c r="C418" s="1" t="s">
        <v>329</v>
      </c>
      <c r="D418" s="1"/>
      <c r="E418" s="10">
        <v>5284</v>
      </c>
      <c r="F418" s="10"/>
      <c r="G418" s="10">
        <v>0</v>
      </c>
      <c r="H418" s="10"/>
      <c r="I418" s="10">
        <v>31240</v>
      </c>
      <c r="J418" s="10"/>
      <c r="K418" s="10">
        <v>0</v>
      </c>
      <c r="L418" s="10"/>
      <c r="M418" s="10">
        <v>0</v>
      </c>
      <c r="N418" s="10"/>
      <c r="O418" s="10">
        <v>0</v>
      </c>
      <c r="P418" s="10"/>
      <c r="Q418" s="10">
        <v>0</v>
      </c>
      <c r="R418" s="10"/>
      <c r="S418" s="10">
        <v>14334</v>
      </c>
      <c r="T418" s="10"/>
      <c r="U418" s="10">
        <v>0</v>
      </c>
      <c r="V418" s="10"/>
      <c r="W418" s="10">
        <v>0</v>
      </c>
      <c r="X418" s="10"/>
      <c r="Y418" s="10">
        <v>0</v>
      </c>
      <c r="Z418" s="10"/>
      <c r="AA418" s="10">
        <v>0</v>
      </c>
      <c r="AB418" s="10"/>
      <c r="AC418" s="10">
        <v>0</v>
      </c>
      <c r="AD418" s="10"/>
      <c r="AE418" s="10">
        <v>0</v>
      </c>
      <c r="AF418" s="10"/>
      <c r="AG418" s="10">
        <v>0</v>
      </c>
      <c r="AH418" s="10"/>
      <c r="AI418" s="10">
        <f t="shared" si="15"/>
        <v>50858</v>
      </c>
      <c r="AJ418" s="10"/>
      <c r="AK418" s="22"/>
      <c r="AL418" s="22"/>
      <c r="AM418" s="22"/>
    </row>
    <row r="419" spans="1:39" s="21" customFormat="1" hidden="1">
      <c r="A419" s="1" t="s">
        <v>324</v>
      </c>
      <c r="B419" s="1"/>
      <c r="C419" s="1" t="s">
        <v>316</v>
      </c>
      <c r="D419" s="1"/>
      <c r="E419" s="10">
        <v>0</v>
      </c>
      <c r="F419" s="10"/>
      <c r="G419" s="10">
        <v>0</v>
      </c>
      <c r="H419" s="10"/>
      <c r="I419" s="10">
        <v>0</v>
      </c>
      <c r="J419" s="10"/>
      <c r="K419" s="10">
        <v>0</v>
      </c>
      <c r="L419" s="10"/>
      <c r="M419" s="10">
        <v>0</v>
      </c>
      <c r="N419" s="10"/>
      <c r="O419" s="10">
        <v>0</v>
      </c>
      <c r="P419" s="10"/>
      <c r="Q419" s="10">
        <v>0</v>
      </c>
      <c r="R419" s="10"/>
      <c r="S419" s="10">
        <v>0</v>
      </c>
      <c r="T419" s="10"/>
      <c r="U419" s="10">
        <v>0</v>
      </c>
      <c r="V419" s="10"/>
      <c r="W419" s="10">
        <v>0</v>
      </c>
      <c r="X419" s="10"/>
      <c r="Y419" s="10">
        <v>0</v>
      </c>
      <c r="Z419" s="10"/>
      <c r="AA419" s="10">
        <v>0</v>
      </c>
      <c r="AB419" s="10"/>
      <c r="AC419" s="10">
        <v>0</v>
      </c>
      <c r="AD419" s="10"/>
      <c r="AE419" s="10">
        <v>0</v>
      </c>
      <c r="AF419" s="10"/>
      <c r="AG419" s="10">
        <v>0</v>
      </c>
      <c r="AH419" s="10"/>
      <c r="AI419" s="10">
        <f t="shared" si="15"/>
        <v>0</v>
      </c>
      <c r="AJ419" s="10"/>
      <c r="AK419" s="22"/>
      <c r="AL419" s="22"/>
      <c r="AM419" s="22"/>
    </row>
    <row r="420" spans="1:39">
      <c r="A420" s="1" t="s">
        <v>569</v>
      </c>
      <c r="C420" s="1" t="s">
        <v>565</v>
      </c>
      <c r="E420" s="10">
        <v>138705</v>
      </c>
      <c r="G420" s="10">
        <v>768984</v>
      </c>
      <c r="I420" s="10">
        <v>871578</v>
      </c>
      <c r="K420" s="10">
        <v>0</v>
      </c>
      <c r="M420" s="10">
        <v>562</v>
      </c>
      <c r="O420" s="10">
        <v>11580</v>
      </c>
      <c r="Q420" s="10">
        <v>59708</v>
      </c>
      <c r="S420" s="10">
        <v>13783</v>
      </c>
      <c r="U420" s="10">
        <v>0</v>
      </c>
      <c r="W420" s="10">
        <v>0</v>
      </c>
      <c r="Y420" s="10">
        <v>574</v>
      </c>
      <c r="AA420" s="10">
        <v>0</v>
      </c>
      <c r="AC420" s="10">
        <v>0</v>
      </c>
      <c r="AE420" s="10">
        <v>0</v>
      </c>
      <c r="AG420" s="10">
        <v>0</v>
      </c>
      <c r="AI420" s="10">
        <f t="shared" si="15"/>
        <v>1865474</v>
      </c>
      <c r="AJ420" s="10"/>
    </row>
    <row r="421" spans="1:39" s="21" customFormat="1" hidden="1">
      <c r="A421" s="1" t="s">
        <v>691</v>
      </c>
      <c r="B421" s="1"/>
      <c r="C421" s="1" t="s">
        <v>295</v>
      </c>
      <c r="D421" s="1"/>
      <c r="E421" s="10">
        <v>0</v>
      </c>
      <c r="F421" s="10"/>
      <c r="G421" s="10">
        <v>0</v>
      </c>
      <c r="H421" s="10"/>
      <c r="I421" s="10">
        <v>0</v>
      </c>
      <c r="J421" s="10"/>
      <c r="K421" s="10">
        <v>0</v>
      </c>
      <c r="L421" s="10"/>
      <c r="M421" s="10">
        <v>0</v>
      </c>
      <c r="N421" s="10"/>
      <c r="O421" s="10">
        <v>0</v>
      </c>
      <c r="P421" s="10"/>
      <c r="Q421" s="10">
        <v>0</v>
      </c>
      <c r="R421" s="10"/>
      <c r="S421" s="10">
        <v>0</v>
      </c>
      <c r="T421" s="10"/>
      <c r="U421" s="10">
        <v>0</v>
      </c>
      <c r="V421" s="24"/>
      <c r="W421" s="10">
        <v>0</v>
      </c>
      <c r="X421" s="24"/>
      <c r="Y421" s="10">
        <v>0</v>
      </c>
      <c r="Z421" s="10"/>
      <c r="AA421" s="10">
        <v>0</v>
      </c>
      <c r="AB421" s="10"/>
      <c r="AC421" s="10">
        <v>0</v>
      </c>
      <c r="AD421" s="10"/>
      <c r="AE421" s="10">
        <v>0</v>
      </c>
      <c r="AF421" s="10"/>
      <c r="AG421" s="10">
        <v>0</v>
      </c>
      <c r="AH421" s="10"/>
      <c r="AI421" s="10">
        <f t="shared" si="15"/>
        <v>0</v>
      </c>
      <c r="AJ421" s="10"/>
      <c r="AK421" s="22"/>
      <c r="AL421" s="22"/>
      <c r="AM421" s="22"/>
    </row>
    <row r="422" spans="1:39" s="21" customFormat="1" hidden="1">
      <c r="A422" s="1" t="s">
        <v>96</v>
      </c>
      <c r="B422" s="1"/>
      <c r="C422" s="1" t="s">
        <v>778</v>
      </c>
      <c r="D422" s="1"/>
      <c r="E422" s="10">
        <v>0</v>
      </c>
      <c r="F422" s="10"/>
      <c r="G422" s="10">
        <v>0</v>
      </c>
      <c r="H422" s="10"/>
      <c r="I422" s="10">
        <v>0</v>
      </c>
      <c r="J422" s="10"/>
      <c r="K422" s="10">
        <v>0</v>
      </c>
      <c r="L422" s="10"/>
      <c r="M422" s="10">
        <v>0</v>
      </c>
      <c r="N422" s="10"/>
      <c r="O422" s="10">
        <v>0</v>
      </c>
      <c r="P422" s="10"/>
      <c r="Q422" s="10">
        <v>0</v>
      </c>
      <c r="R422" s="10"/>
      <c r="S422" s="10">
        <v>0</v>
      </c>
      <c r="T422" s="10"/>
      <c r="U422" s="10">
        <v>0</v>
      </c>
      <c r="V422" s="24"/>
      <c r="W422" s="10">
        <v>0</v>
      </c>
      <c r="X422" s="24"/>
      <c r="Y422" s="10">
        <v>0</v>
      </c>
      <c r="Z422" s="10"/>
      <c r="AA422" s="10">
        <v>0</v>
      </c>
      <c r="AB422" s="10"/>
      <c r="AC422" s="10">
        <v>0</v>
      </c>
      <c r="AD422" s="10"/>
      <c r="AE422" s="10">
        <v>0</v>
      </c>
      <c r="AF422" s="10"/>
      <c r="AG422" s="10">
        <v>0</v>
      </c>
      <c r="AH422" s="10"/>
      <c r="AI422" s="10">
        <f t="shared" si="15"/>
        <v>0</v>
      </c>
      <c r="AJ422" s="10"/>
    </row>
    <row r="423" spans="1:39" hidden="1">
      <c r="A423" s="1" t="s">
        <v>55</v>
      </c>
      <c r="C423" s="1" t="s">
        <v>768</v>
      </c>
      <c r="E423" s="10">
        <v>0</v>
      </c>
      <c r="G423" s="10">
        <v>0</v>
      </c>
      <c r="I423" s="10">
        <v>0</v>
      </c>
      <c r="K423" s="10">
        <v>0</v>
      </c>
      <c r="M423" s="10">
        <v>0</v>
      </c>
      <c r="O423" s="10">
        <v>0</v>
      </c>
      <c r="Q423" s="10">
        <v>0</v>
      </c>
      <c r="S423" s="10">
        <v>0</v>
      </c>
      <c r="U423" s="10">
        <v>0</v>
      </c>
      <c r="V423" s="24"/>
      <c r="W423" s="10">
        <v>0</v>
      </c>
      <c r="X423" s="24"/>
      <c r="Y423" s="10">
        <v>0</v>
      </c>
      <c r="AA423" s="10">
        <v>0</v>
      </c>
      <c r="AC423" s="10">
        <v>0</v>
      </c>
      <c r="AE423" s="10">
        <v>0</v>
      </c>
      <c r="AG423" s="10">
        <v>0</v>
      </c>
      <c r="AI423" s="10">
        <f t="shared" si="15"/>
        <v>0</v>
      </c>
      <c r="AJ423" s="10"/>
      <c r="AK423" s="7"/>
      <c r="AL423" s="7"/>
      <c r="AM423" s="7"/>
    </row>
    <row r="424" spans="1:39" hidden="1">
      <c r="A424" s="1" t="s">
        <v>610</v>
      </c>
      <c r="C424" s="1" t="s">
        <v>606</v>
      </c>
      <c r="E424" s="10">
        <v>0</v>
      </c>
      <c r="G424" s="10">
        <v>0</v>
      </c>
      <c r="I424" s="10">
        <v>0</v>
      </c>
      <c r="K424" s="10">
        <v>0</v>
      </c>
      <c r="M424" s="10">
        <v>0</v>
      </c>
      <c r="O424" s="10">
        <v>0</v>
      </c>
      <c r="Q424" s="10">
        <v>0</v>
      </c>
      <c r="S424" s="10">
        <v>0</v>
      </c>
      <c r="U424" s="10">
        <v>0</v>
      </c>
      <c r="W424" s="10">
        <v>0</v>
      </c>
      <c r="Y424" s="10">
        <v>0</v>
      </c>
      <c r="AA424" s="10">
        <v>0</v>
      </c>
      <c r="AC424" s="10">
        <v>0</v>
      </c>
      <c r="AE424" s="10">
        <v>0</v>
      </c>
      <c r="AG424" s="10">
        <v>0</v>
      </c>
      <c r="AI424" s="10">
        <f t="shared" si="15"/>
        <v>0</v>
      </c>
      <c r="AJ424" s="10"/>
    </row>
    <row r="425" spans="1:39" hidden="1">
      <c r="A425" s="1" t="s">
        <v>97</v>
      </c>
      <c r="C425" s="1" t="s">
        <v>778</v>
      </c>
      <c r="E425" s="10">
        <v>0</v>
      </c>
      <c r="G425" s="10">
        <v>0</v>
      </c>
      <c r="I425" s="10">
        <v>0</v>
      </c>
      <c r="K425" s="10">
        <v>0</v>
      </c>
      <c r="M425" s="10">
        <v>0</v>
      </c>
      <c r="O425" s="10">
        <v>0</v>
      </c>
      <c r="Q425" s="10">
        <v>0</v>
      </c>
      <c r="S425" s="10">
        <v>0</v>
      </c>
      <c r="U425" s="10">
        <v>0</v>
      </c>
      <c r="V425" s="24"/>
      <c r="W425" s="10">
        <v>0</v>
      </c>
      <c r="X425" s="24"/>
      <c r="Y425" s="10">
        <v>0</v>
      </c>
      <c r="AA425" s="10">
        <v>0</v>
      </c>
      <c r="AC425" s="10">
        <v>0</v>
      </c>
      <c r="AE425" s="10">
        <v>0</v>
      </c>
      <c r="AG425" s="10">
        <v>0</v>
      </c>
      <c r="AI425" s="10">
        <f t="shared" si="15"/>
        <v>0</v>
      </c>
      <c r="AJ425" s="10"/>
    </row>
    <row r="426" spans="1:39" hidden="1">
      <c r="A426" s="1" t="s">
        <v>418</v>
      </c>
      <c r="C426" s="1" t="s">
        <v>416</v>
      </c>
      <c r="E426" s="10">
        <v>0</v>
      </c>
      <c r="G426" s="10">
        <v>0</v>
      </c>
      <c r="I426" s="10">
        <v>0</v>
      </c>
      <c r="K426" s="10">
        <v>0</v>
      </c>
      <c r="M426" s="10">
        <v>0</v>
      </c>
      <c r="O426" s="10">
        <v>0</v>
      </c>
      <c r="Q426" s="10">
        <v>0</v>
      </c>
      <c r="S426" s="10">
        <v>0</v>
      </c>
      <c r="U426" s="10">
        <v>0</v>
      </c>
      <c r="V426" s="24"/>
      <c r="W426" s="10">
        <v>0</v>
      </c>
      <c r="X426" s="24"/>
      <c r="Y426" s="10">
        <v>0</v>
      </c>
      <c r="AA426" s="10">
        <v>0</v>
      </c>
      <c r="AC426" s="10">
        <v>0</v>
      </c>
      <c r="AE426" s="10">
        <v>0</v>
      </c>
      <c r="AG426" s="10">
        <v>0</v>
      </c>
      <c r="AI426" s="10">
        <f t="shared" si="15"/>
        <v>0</v>
      </c>
      <c r="AJ426" s="10"/>
    </row>
    <row r="427" spans="1:39" hidden="1">
      <c r="A427" s="1" t="s">
        <v>293</v>
      </c>
      <c r="C427" s="1" t="s">
        <v>292</v>
      </c>
      <c r="E427" s="10">
        <v>0</v>
      </c>
      <c r="G427" s="10">
        <v>0</v>
      </c>
      <c r="I427" s="10">
        <v>0</v>
      </c>
      <c r="K427" s="10">
        <v>0</v>
      </c>
      <c r="M427" s="10">
        <v>0</v>
      </c>
      <c r="O427" s="10">
        <v>0</v>
      </c>
      <c r="Q427" s="10">
        <v>0</v>
      </c>
      <c r="S427" s="10">
        <v>0</v>
      </c>
      <c r="U427" s="10">
        <v>0</v>
      </c>
      <c r="V427" s="24"/>
      <c r="W427" s="10">
        <v>0</v>
      </c>
      <c r="X427" s="24"/>
      <c r="Y427" s="10">
        <v>0</v>
      </c>
      <c r="AA427" s="10">
        <v>0</v>
      </c>
      <c r="AC427" s="10">
        <v>0</v>
      </c>
      <c r="AE427" s="10">
        <v>0</v>
      </c>
      <c r="AG427" s="10">
        <v>0</v>
      </c>
      <c r="AI427" s="10">
        <f t="shared" si="15"/>
        <v>0</v>
      </c>
      <c r="AJ427" s="10"/>
      <c r="AK427" s="7"/>
      <c r="AL427" s="7"/>
      <c r="AM427" s="7"/>
    </row>
    <row r="428" spans="1:39" s="21" customFormat="1" hidden="1">
      <c r="A428" s="1" t="s">
        <v>692</v>
      </c>
      <c r="B428" s="1"/>
      <c r="C428" s="1" t="s">
        <v>677</v>
      </c>
      <c r="D428" s="1"/>
      <c r="E428" s="10">
        <v>0</v>
      </c>
      <c r="F428" s="10"/>
      <c r="G428" s="10">
        <v>0</v>
      </c>
      <c r="H428" s="10"/>
      <c r="I428" s="10">
        <v>0</v>
      </c>
      <c r="J428" s="10"/>
      <c r="K428" s="10">
        <v>0</v>
      </c>
      <c r="L428" s="10"/>
      <c r="M428" s="10">
        <v>0</v>
      </c>
      <c r="N428" s="10"/>
      <c r="O428" s="10">
        <v>0</v>
      </c>
      <c r="P428" s="10"/>
      <c r="Q428" s="10">
        <v>0</v>
      </c>
      <c r="R428" s="10"/>
      <c r="S428" s="10">
        <v>0</v>
      </c>
      <c r="T428" s="10"/>
      <c r="U428" s="10">
        <v>0</v>
      </c>
      <c r="V428" s="24"/>
      <c r="W428" s="10">
        <v>0</v>
      </c>
      <c r="X428" s="24"/>
      <c r="Y428" s="10">
        <v>0</v>
      </c>
      <c r="Z428" s="10"/>
      <c r="AA428" s="10">
        <v>0</v>
      </c>
      <c r="AB428" s="10"/>
      <c r="AC428" s="10">
        <v>0</v>
      </c>
      <c r="AD428" s="10"/>
      <c r="AE428" s="10">
        <v>0</v>
      </c>
      <c r="AF428" s="10"/>
      <c r="AG428" s="10">
        <v>0</v>
      </c>
      <c r="AH428" s="10"/>
      <c r="AI428" s="10">
        <f t="shared" si="15"/>
        <v>0</v>
      </c>
      <c r="AJ428" s="10"/>
      <c r="AK428" s="22"/>
      <c r="AL428" s="22"/>
      <c r="AM428" s="22"/>
    </row>
    <row r="429" spans="1:39" hidden="1">
      <c r="A429" s="1" t="s">
        <v>289</v>
      </c>
      <c r="C429" s="1" t="s">
        <v>287</v>
      </c>
      <c r="E429" s="10">
        <v>0</v>
      </c>
      <c r="G429" s="10">
        <v>0</v>
      </c>
      <c r="I429" s="10">
        <v>0</v>
      </c>
      <c r="K429" s="10">
        <v>0</v>
      </c>
      <c r="M429" s="10">
        <v>0</v>
      </c>
      <c r="O429" s="10">
        <v>0</v>
      </c>
      <c r="Q429" s="10">
        <v>0</v>
      </c>
      <c r="S429" s="10">
        <v>0</v>
      </c>
      <c r="U429" s="10">
        <v>0</v>
      </c>
      <c r="V429" s="24"/>
      <c r="W429" s="10">
        <v>0</v>
      </c>
      <c r="X429" s="24"/>
      <c r="Y429" s="10">
        <v>0</v>
      </c>
      <c r="AA429" s="10">
        <v>0</v>
      </c>
      <c r="AC429" s="10">
        <v>0</v>
      </c>
      <c r="AE429" s="10">
        <v>0</v>
      </c>
      <c r="AG429" s="10">
        <v>0</v>
      </c>
      <c r="AI429" s="10">
        <f t="shared" si="15"/>
        <v>0</v>
      </c>
      <c r="AJ429" s="10"/>
    </row>
    <row r="430" spans="1:39" s="19" customFormat="1" hidden="1">
      <c r="A430" s="10" t="s">
        <v>124</v>
      </c>
      <c r="B430" s="10"/>
      <c r="C430" s="10" t="s">
        <v>788</v>
      </c>
      <c r="D430" s="10"/>
      <c r="E430" s="10">
        <v>0</v>
      </c>
      <c r="F430" s="10"/>
      <c r="G430" s="10">
        <v>0</v>
      </c>
      <c r="H430" s="10"/>
      <c r="I430" s="10">
        <v>0</v>
      </c>
      <c r="J430" s="10"/>
      <c r="K430" s="10">
        <v>0</v>
      </c>
      <c r="L430" s="10"/>
      <c r="M430" s="10">
        <v>0</v>
      </c>
      <c r="N430" s="10"/>
      <c r="O430" s="10">
        <v>0</v>
      </c>
      <c r="P430" s="10"/>
      <c r="Q430" s="10">
        <v>0</v>
      </c>
      <c r="R430" s="10"/>
      <c r="S430" s="10">
        <v>0</v>
      </c>
      <c r="T430" s="10"/>
      <c r="U430" s="10">
        <v>0</v>
      </c>
      <c r="V430" s="24"/>
      <c r="W430" s="10">
        <v>0</v>
      </c>
      <c r="X430" s="24"/>
      <c r="Y430" s="10">
        <v>0</v>
      </c>
      <c r="Z430" s="10"/>
      <c r="AA430" s="10">
        <v>0</v>
      </c>
      <c r="AB430" s="10"/>
      <c r="AC430" s="10">
        <v>0</v>
      </c>
      <c r="AD430" s="10"/>
      <c r="AE430" s="10">
        <v>0</v>
      </c>
      <c r="AF430" s="10"/>
      <c r="AG430" s="10">
        <v>0</v>
      </c>
      <c r="AH430" s="10"/>
      <c r="AI430" s="10">
        <f t="shared" si="15"/>
        <v>0</v>
      </c>
      <c r="AJ430" s="10"/>
    </row>
    <row r="431" spans="1:39" s="31" customFormat="1" hidden="1">
      <c r="A431" s="15" t="s">
        <v>849</v>
      </c>
      <c r="B431" s="15"/>
      <c r="C431" s="15" t="s">
        <v>766</v>
      </c>
      <c r="D431" s="15"/>
      <c r="E431" s="10">
        <v>0</v>
      </c>
      <c r="F431" s="24"/>
      <c r="G431" s="10">
        <v>0</v>
      </c>
      <c r="H431" s="24"/>
      <c r="I431" s="10">
        <v>0</v>
      </c>
      <c r="J431" s="24"/>
      <c r="K431" s="10">
        <v>0</v>
      </c>
      <c r="L431" s="24"/>
      <c r="M431" s="10">
        <v>0</v>
      </c>
      <c r="N431" s="24"/>
      <c r="O431" s="10">
        <v>0</v>
      </c>
      <c r="P431" s="24"/>
      <c r="Q431" s="10">
        <v>0</v>
      </c>
      <c r="R431" s="24"/>
      <c r="S431" s="10">
        <v>0</v>
      </c>
      <c r="T431" s="24"/>
      <c r="U431" s="10">
        <v>0</v>
      </c>
      <c r="V431" s="24"/>
      <c r="W431" s="10">
        <v>0</v>
      </c>
      <c r="X431" s="24"/>
      <c r="Y431" s="10">
        <v>0</v>
      </c>
      <c r="Z431" s="24"/>
      <c r="AA431" s="10">
        <v>0</v>
      </c>
      <c r="AB431" s="24"/>
      <c r="AC431" s="10">
        <v>0</v>
      </c>
      <c r="AD431" s="24"/>
      <c r="AE431" s="10">
        <v>0</v>
      </c>
      <c r="AF431" s="24"/>
      <c r="AG431" s="10">
        <v>0</v>
      </c>
      <c r="AH431" s="24"/>
      <c r="AI431" s="24">
        <f t="shared" si="15"/>
        <v>0</v>
      </c>
      <c r="AJ431" s="24"/>
      <c r="AK431" s="32"/>
      <c r="AL431" s="32"/>
      <c r="AM431" s="32"/>
    </row>
    <row r="432" spans="1:39" s="21" customFormat="1">
      <c r="A432" s="1" t="s">
        <v>314</v>
      </c>
      <c r="B432" s="1"/>
      <c r="C432" s="1" t="s">
        <v>312</v>
      </c>
      <c r="D432" s="1"/>
      <c r="E432" s="10">
        <v>8568</v>
      </c>
      <c r="F432" s="10"/>
      <c r="G432" s="10">
        <v>0</v>
      </c>
      <c r="H432" s="10"/>
      <c r="I432" s="10">
        <v>14033</v>
      </c>
      <c r="J432" s="10"/>
      <c r="K432" s="10">
        <v>0</v>
      </c>
      <c r="L432" s="10"/>
      <c r="M432" s="10">
        <v>0</v>
      </c>
      <c r="N432" s="10"/>
      <c r="O432" s="10">
        <v>10</v>
      </c>
      <c r="P432" s="10"/>
      <c r="Q432" s="10">
        <v>335</v>
      </c>
      <c r="R432" s="10"/>
      <c r="S432" s="10">
        <v>1031</v>
      </c>
      <c r="T432" s="10"/>
      <c r="U432" s="10">
        <v>0</v>
      </c>
      <c r="V432" s="10"/>
      <c r="W432" s="10">
        <v>0</v>
      </c>
      <c r="X432" s="10"/>
      <c r="Y432" s="10">
        <v>0</v>
      </c>
      <c r="Z432" s="10"/>
      <c r="AA432" s="10">
        <v>0</v>
      </c>
      <c r="AB432" s="10"/>
      <c r="AC432" s="10">
        <v>0</v>
      </c>
      <c r="AD432" s="10"/>
      <c r="AE432" s="10">
        <v>0</v>
      </c>
      <c r="AF432" s="10"/>
      <c r="AG432" s="10">
        <v>0</v>
      </c>
      <c r="AH432" s="10"/>
      <c r="AI432" s="10">
        <f t="shared" si="15"/>
        <v>23977</v>
      </c>
      <c r="AJ432" s="10"/>
      <c r="AK432" s="22"/>
      <c r="AL432" s="22"/>
      <c r="AM432" s="22"/>
    </row>
    <row r="433" spans="1:39">
      <c r="A433" s="1" t="s">
        <v>334</v>
      </c>
      <c r="C433" s="1" t="s">
        <v>329</v>
      </c>
      <c r="E433" s="10">
        <v>1136</v>
      </c>
      <c r="G433" s="10">
        <v>0</v>
      </c>
      <c r="I433" s="10">
        <v>47351</v>
      </c>
      <c r="K433" s="10">
        <v>63541</v>
      </c>
      <c r="M433" s="10">
        <v>2173</v>
      </c>
      <c r="O433" s="10">
        <v>0</v>
      </c>
      <c r="Q433" s="10">
        <v>1897</v>
      </c>
      <c r="S433" s="10">
        <v>6358</v>
      </c>
      <c r="U433" s="10">
        <v>0</v>
      </c>
      <c r="W433" s="10">
        <v>0</v>
      </c>
      <c r="Y433" s="10">
        <v>0</v>
      </c>
      <c r="AA433" s="10">
        <v>0</v>
      </c>
      <c r="AC433" s="10">
        <v>0</v>
      </c>
      <c r="AE433" s="10">
        <v>0</v>
      </c>
      <c r="AG433" s="10">
        <v>0</v>
      </c>
      <c r="AI433" s="10">
        <f t="shared" si="15"/>
        <v>122456</v>
      </c>
      <c r="AJ433" s="10"/>
      <c r="AK433" s="7"/>
      <c r="AL433" s="7"/>
      <c r="AM433" s="7"/>
    </row>
    <row r="434" spans="1:39">
      <c r="A434" s="1" t="s">
        <v>556</v>
      </c>
      <c r="C434" s="1" t="s">
        <v>554</v>
      </c>
      <c r="E434" s="10">
        <v>263940</v>
      </c>
      <c r="G434" s="10">
        <v>1316765</v>
      </c>
      <c r="I434" s="10">
        <v>308744</v>
      </c>
      <c r="K434" s="10">
        <v>0</v>
      </c>
      <c r="M434" s="10">
        <v>0</v>
      </c>
      <c r="O434" s="10">
        <v>251263</v>
      </c>
      <c r="Q434" s="10">
        <v>14929</v>
      </c>
      <c r="S434" s="10">
        <v>108442</v>
      </c>
      <c r="U434" s="10">
        <v>0</v>
      </c>
      <c r="W434" s="10">
        <v>0</v>
      </c>
      <c r="Y434" s="10">
        <v>0</v>
      </c>
      <c r="AA434" s="10">
        <v>0</v>
      </c>
      <c r="AC434" s="10">
        <v>0</v>
      </c>
      <c r="AE434" s="10">
        <v>0</v>
      </c>
      <c r="AG434" s="10">
        <v>0</v>
      </c>
      <c r="AI434" s="10">
        <f t="shared" si="15"/>
        <v>2264083</v>
      </c>
      <c r="AJ434" s="10"/>
    </row>
    <row r="435" spans="1:39" hidden="1">
      <c r="A435" s="1" t="s">
        <v>176</v>
      </c>
      <c r="C435" s="1" t="s">
        <v>805</v>
      </c>
      <c r="E435" s="10">
        <v>0</v>
      </c>
      <c r="G435" s="10">
        <v>0</v>
      </c>
      <c r="I435" s="10">
        <v>0</v>
      </c>
      <c r="K435" s="10">
        <v>0</v>
      </c>
      <c r="M435" s="10">
        <v>0</v>
      </c>
      <c r="O435" s="10">
        <v>0</v>
      </c>
      <c r="Q435" s="10">
        <v>0</v>
      </c>
      <c r="S435" s="10">
        <v>0</v>
      </c>
      <c r="U435" s="10">
        <v>0</v>
      </c>
      <c r="V435" s="24"/>
      <c r="W435" s="10">
        <v>0</v>
      </c>
      <c r="X435" s="24"/>
      <c r="Y435" s="10">
        <v>0</v>
      </c>
      <c r="AA435" s="10">
        <v>0</v>
      </c>
      <c r="AC435" s="10">
        <v>0</v>
      </c>
      <c r="AE435" s="10">
        <v>0</v>
      </c>
      <c r="AG435" s="10">
        <v>0</v>
      </c>
      <c r="AI435" s="10">
        <f t="shared" si="15"/>
        <v>0</v>
      </c>
      <c r="AJ435" s="10"/>
    </row>
    <row r="436" spans="1:39" s="15" customFormat="1">
      <c r="A436" s="15" t="s">
        <v>498</v>
      </c>
      <c r="C436" s="15" t="s">
        <v>207</v>
      </c>
      <c r="E436" s="24">
        <v>137238</v>
      </c>
      <c r="F436" s="24"/>
      <c r="G436" s="24">
        <v>623999</v>
      </c>
      <c r="H436" s="24"/>
      <c r="I436" s="24">
        <v>193255</v>
      </c>
      <c r="J436" s="24"/>
      <c r="K436" s="24">
        <v>622</v>
      </c>
      <c r="L436" s="24"/>
      <c r="M436" s="24">
        <v>99086</v>
      </c>
      <c r="N436" s="24"/>
      <c r="O436" s="24">
        <v>6321</v>
      </c>
      <c r="P436" s="24"/>
      <c r="Q436" s="24">
        <v>192300</v>
      </c>
      <c r="R436" s="24"/>
      <c r="S436" s="24">
        <v>113255</v>
      </c>
      <c r="T436" s="24"/>
      <c r="U436" s="24">
        <v>0</v>
      </c>
      <c r="V436" s="24"/>
      <c r="W436" s="24">
        <v>0</v>
      </c>
      <c r="X436" s="24"/>
      <c r="Y436" s="24">
        <v>0</v>
      </c>
      <c r="Z436" s="24"/>
      <c r="AA436" s="24">
        <v>0</v>
      </c>
      <c r="AB436" s="24"/>
      <c r="AC436" s="24">
        <v>75000</v>
      </c>
      <c r="AD436" s="24"/>
      <c r="AE436" s="24">
        <v>0</v>
      </c>
      <c r="AF436" s="24"/>
      <c r="AG436" s="24">
        <v>0</v>
      </c>
      <c r="AH436" s="24"/>
      <c r="AI436" s="24">
        <f t="shared" si="15"/>
        <v>1441076</v>
      </c>
      <c r="AJ436" s="24"/>
    </row>
    <row r="437" spans="1:39" hidden="1">
      <c r="A437" s="1" t="s">
        <v>114</v>
      </c>
      <c r="C437" s="1" t="s">
        <v>669</v>
      </c>
      <c r="E437" s="10">
        <v>0</v>
      </c>
      <c r="G437" s="10">
        <v>0</v>
      </c>
      <c r="I437" s="10">
        <v>0</v>
      </c>
      <c r="K437" s="10">
        <v>0</v>
      </c>
      <c r="M437" s="10">
        <v>0</v>
      </c>
      <c r="O437" s="10">
        <v>0</v>
      </c>
      <c r="Q437" s="10">
        <v>0</v>
      </c>
      <c r="S437" s="10">
        <v>0</v>
      </c>
      <c r="U437" s="10">
        <v>0</v>
      </c>
      <c r="V437" s="24"/>
      <c r="W437" s="10">
        <v>0</v>
      </c>
      <c r="X437" s="24"/>
      <c r="Y437" s="10">
        <v>0</v>
      </c>
      <c r="AA437" s="10">
        <v>0</v>
      </c>
      <c r="AC437" s="10">
        <v>0</v>
      </c>
      <c r="AE437" s="10">
        <v>0</v>
      </c>
      <c r="AG437" s="10">
        <v>0</v>
      </c>
      <c r="AI437" s="10">
        <f t="shared" si="15"/>
        <v>0</v>
      </c>
      <c r="AJ437" s="10"/>
    </row>
    <row r="438" spans="1:39" s="21" customFormat="1">
      <c r="A438" s="1" t="s">
        <v>325</v>
      </c>
      <c r="B438" s="1"/>
      <c r="C438" s="1" t="s">
        <v>316</v>
      </c>
      <c r="D438" s="1"/>
      <c r="E438" s="10">
        <v>4149282</v>
      </c>
      <c r="F438" s="10"/>
      <c r="G438" s="10">
        <v>0</v>
      </c>
      <c r="H438" s="10"/>
      <c r="I438" s="10">
        <v>288020</v>
      </c>
      <c r="J438" s="10"/>
      <c r="K438" s="10">
        <v>0</v>
      </c>
      <c r="L438" s="10"/>
      <c r="M438" s="10">
        <v>217649</v>
      </c>
      <c r="N438" s="10"/>
      <c r="O438" s="10">
        <v>318063</v>
      </c>
      <c r="P438" s="10"/>
      <c r="Q438" s="10">
        <v>0</v>
      </c>
      <c r="R438" s="10"/>
      <c r="S438" s="10">
        <v>273137</v>
      </c>
      <c r="T438" s="10"/>
      <c r="U438" s="10">
        <v>0</v>
      </c>
      <c r="V438" s="10"/>
      <c r="W438" s="10">
        <v>0</v>
      </c>
      <c r="X438" s="10"/>
      <c r="Y438" s="10">
        <v>0</v>
      </c>
      <c r="Z438" s="10"/>
      <c r="AA438" s="10">
        <v>0</v>
      </c>
      <c r="AB438" s="10"/>
      <c r="AC438" s="10">
        <v>0</v>
      </c>
      <c r="AD438" s="10"/>
      <c r="AE438" s="10">
        <v>0</v>
      </c>
      <c r="AF438" s="10"/>
      <c r="AG438" s="10">
        <v>0</v>
      </c>
      <c r="AH438" s="10"/>
      <c r="AI438" s="10">
        <f t="shared" si="15"/>
        <v>5246151</v>
      </c>
      <c r="AJ438" s="10"/>
      <c r="AK438" s="22"/>
      <c r="AL438" s="22"/>
      <c r="AM438" s="22"/>
    </row>
    <row r="439" spans="1:39">
      <c r="A439" s="1" t="s">
        <v>325</v>
      </c>
      <c r="C439" s="1" t="s">
        <v>500</v>
      </c>
      <c r="E439" s="10">
        <v>8704</v>
      </c>
      <c r="G439" s="10">
        <v>74963</v>
      </c>
      <c r="I439" s="10">
        <v>7669</v>
      </c>
      <c r="K439" s="10">
        <v>0</v>
      </c>
      <c r="M439" s="10">
        <v>0</v>
      </c>
      <c r="O439" s="10">
        <v>6012</v>
      </c>
      <c r="Q439" s="10">
        <v>8220</v>
      </c>
      <c r="S439" s="10">
        <v>5729</v>
      </c>
      <c r="T439" s="24"/>
      <c r="U439" s="10">
        <v>0</v>
      </c>
      <c r="V439" s="24"/>
      <c r="W439" s="10">
        <v>0</v>
      </c>
      <c r="Y439" s="10">
        <v>0</v>
      </c>
      <c r="AA439" s="10">
        <v>0</v>
      </c>
      <c r="AC439" s="10">
        <v>0</v>
      </c>
      <c r="AE439" s="10">
        <v>0</v>
      </c>
      <c r="AG439" s="10">
        <v>0</v>
      </c>
      <c r="AI439" s="10">
        <f t="shared" si="15"/>
        <v>111297</v>
      </c>
      <c r="AJ439" s="10"/>
    </row>
    <row r="440" spans="1:39" hidden="1">
      <c r="A440" s="1" t="s">
        <v>75</v>
      </c>
      <c r="C440" s="1" t="s">
        <v>773</v>
      </c>
      <c r="E440" s="10">
        <v>0</v>
      </c>
      <c r="G440" s="10">
        <v>0</v>
      </c>
      <c r="I440" s="10">
        <v>0</v>
      </c>
      <c r="K440" s="10">
        <v>0</v>
      </c>
      <c r="M440" s="10">
        <v>0</v>
      </c>
      <c r="O440" s="10">
        <v>0</v>
      </c>
      <c r="Q440" s="10">
        <v>0</v>
      </c>
      <c r="S440" s="10">
        <v>0</v>
      </c>
      <c r="T440" s="24"/>
      <c r="U440" s="10">
        <v>0</v>
      </c>
      <c r="V440" s="24"/>
      <c r="W440" s="10">
        <v>0</v>
      </c>
      <c r="Y440" s="10">
        <v>0</v>
      </c>
      <c r="AA440" s="10">
        <v>0</v>
      </c>
      <c r="AC440" s="10">
        <v>0</v>
      </c>
      <c r="AE440" s="10">
        <v>0</v>
      </c>
      <c r="AG440" s="10">
        <v>0</v>
      </c>
      <c r="AI440" s="10">
        <f t="shared" si="15"/>
        <v>0</v>
      </c>
      <c r="AJ440" s="10"/>
    </row>
    <row r="441" spans="1:39" hidden="1">
      <c r="A441" s="1" t="s">
        <v>71</v>
      </c>
      <c r="C441" s="1" t="s">
        <v>772</v>
      </c>
      <c r="E441" s="10">
        <v>0</v>
      </c>
      <c r="G441" s="10">
        <v>0</v>
      </c>
      <c r="I441" s="10">
        <v>0</v>
      </c>
      <c r="K441" s="10">
        <v>0</v>
      </c>
      <c r="M441" s="10">
        <v>0</v>
      </c>
      <c r="O441" s="10">
        <v>0</v>
      </c>
      <c r="Q441" s="10">
        <v>0</v>
      </c>
      <c r="S441" s="10">
        <v>0</v>
      </c>
      <c r="T441" s="24"/>
      <c r="U441" s="10">
        <v>0</v>
      </c>
      <c r="V441" s="24"/>
      <c r="W441" s="10">
        <v>0</v>
      </c>
      <c r="Y441" s="10">
        <v>0</v>
      </c>
      <c r="AA441" s="10">
        <v>0</v>
      </c>
      <c r="AC441" s="10">
        <v>0</v>
      </c>
      <c r="AE441" s="10">
        <v>0</v>
      </c>
      <c r="AG441" s="10">
        <v>0</v>
      </c>
      <c r="AI441" s="10">
        <f t="shared" si="15"/>
        <v>0</v>
      </c>
      <c r="AJ441" s="10"/>
      <c r="AK441" s="7"/>
      <c r="AL441" s="7"/>
      <c r="AM441" s="7"/>
    </row>
    <row r="442" spans="1:39">
      <c r="A442" s="1" t="s">
        <v>578</v>
      </c>
      <c r="C442" s="1" t="s">
        <v>577</v>
      </c>
      <c r="E442" s="10">
        <v>57067</v>
      </c>
      <c r="G442" s="10">
        <v>91230</v>
      </c>
      <c r="I442" s="10">
        <v>47949</v>
      </c>
      <c r="K442" s="10">
        <v>0</v>
      </c>
      <c r="M442" s="10">
        <v>40395</v>
      </c>
      <c r="O442" s="10">
        <v>475</v>
      </c>
      <c r="Q442" s="10">
        <v>12731</v>
      </c>
      <c r="S442" s="10">
        <v>25706</v>
      </c>
      <c r="U442" s="10">
        <v>0</v>
      </c>
      <c r="W442" s="10">
        <v>0</v>
      </c>
      <c r="Y442" s="10">
        <v>1404</v>
      </c>
      <c r="AA442" s="10">
        <v>0</v>
      </c>
      <c r="AC442" s="10">
        <v>0</v>
      </c>
      <c r="AE442" s="10">
        <v>0</v>
      </c>
      <c r="AG442" s="10">
        <v>0</v>
      </c>
      <c r="AI442" s="10">
        <f t="shared" si="15"/>
        <v>276957</v>
      </c>
      <c r="AJ442" s="10"/>
    </row>
    <row r="443" spans="1:39" hidden="1">
      <c r="A443" s="1" t="s">
        <v>229</v>
      </c>
      <c r="C443" s="1" t="s">
        <v>822</v>
      </c>
      <c r="E443" s="10">
        <v>0</v>
      </c>
      <c r="G443" s="10">
        <v>0</v>
      </c>
      <c r="I443" s="10">
        <v>0</v>
      </c>
      <c r="K443" s="10">
        <v>0</v>
      </c>
      <c r="M443" s="10">
        <v>0</v>
      </c>
      <c r="O443" s="10">
        <v>0</v>
      </c>
      <c r="Q443" s="10">
        <v>0</v>
      </c>
      <c r="S443" s="10">
        <v>0</v>
      </c>
      <c r="U443" s="10">
        <v>0</v>
      </c>
      <c r="V443" s="24"/>
      <c r="W443" s="10">
        <v>0</v>
      </c>
      <c r="X443" s="24"/>
      <c r="Y443" s="10">
        <v>0</v>
      </c>
      <c r="AA443" s="10">
        <v>0</v>
      </c>
      <c r="AC443" s="10">
        <v>0</v>
      </c>
      <c r="AE443" s="10">
        <v>0</v>
      </c>
      <c r="AG443" s="10">
        <v>0</v>
      </c>
      <c r="AI443" s="10">
        <f t="shared" si="15"/>
        <v>0</v>
      </c>
      <c r="AJ443" s="10"/>
    </row>
    <row r="444" spans="1:39" hidden="1">
      <c r="A444" s="1" t="s">
        <v>190</v>
      </c>
      <c r="C444" s="1" t="s">
        <v>809</v>
      </c>
      <c r="E444" s="10">
        <v>0</v>
      </c>
      <c r="G444" s="10">
        <v>0</v>
      </c>
      <c r="I444" s="10">
        <v>0</v>
      </c>
      <c r="K444" s="10">
        <v>0</v>
      </c>
      <c r="M444" s="10">
        <v>0</v>
      </c>
      <c r="O444" s="10">
        <v>0</v>
      </c>
      <c r="Q444" s="10">
        <v>0</v>
      </c>
      <c r="S444" s="10">
        <v>0</v>
      </c>
      <c r="U444" s="10">
        <v>0</v>
      </c>
      <c r="V444" s="24"/>
      <c r="W444" s="10">
        <v>0</v>
      </c>
      <c r="X444" s="24"/>
      <c r="Y444" s="10">
        <v>0</v>
      </c>
      <c r="AA444" s="10">
        <v>0</v>
      </c>
      <c r="AC444" s="10">
        <v>0</v>
      </c>
      <c r="AE444" s="10">
        <v>0</v>
      </c>
      <c r="AG444" s="10">
        <v>0</v>
      </c>
      <c r="AI444" s="10">
        <f t="shared" ref="AI444:AI475" si="16">SUM(E444:AG444)</f>
        <v>0</v>
      </c>
      <c r="AJ444" s="10"/>
    </row>
    <row r="445" spans="1:39" s="21" customFormat="1">
      <c r="A445" s="1" t="s">
        <v>681</v>
      </c>
      <c r="B445" s="1"/>
      <c r="C445" s="1" t="s">
        <v>677</v>
      </c>
      <c r="D445" s="1"/>
      <c r="E445" s="10">
        <v>57171</v>
      </c>
      <c r="F445" s="10"/>
      <c r="G445" s="10">
        <v>0</v>
      </c>
      <c r="H445" s="10"/>
      <c r="I445" s="10">
        <v>95194</v>
      </c>
      <c r="J445" s="10"/>
      <c r="K445" s="10">
        <v>0</v>
      </c>
      <c r="L445" s="10"/>
      <c r="M445" s="10">
        <v>47959</v>
      </c>
      <c r="N445" s="10"/>
      <c r="O445" s="10">
        <v>7118</v>
      </c>
      <c r="P445" s="10"/>
      <c r="Q445" s="10">
        <v>18400</v>
      </c>
      <c r="R445" s="10"/>
      <c r="S445" s="10">
        <v>5425</v>
      </c>
      <c r="T445" s="10"/>
      <c r="U445" s="10">
        <v>0</v>
      </c>
      <c r="V445" s="10"/>
      <c r="W445" s="10">
        <v>0</v>
      </c>
      <c r="X445" s="10"/>
      <c r="Y445" s="10">
        <v>0</v>
      </c>
      <c r="Z445" s="10"/>
      <c r="AA445" s="10">
        <v>761946</v>
      </c>
      <c r="AB445" s="10"/>
      <c r="AC445" s="10">
        <v>0</v>
      </c>
      <c r="AD445" s="10"/>
      <c r="AE445" s="10">
        <v>0</v>
      </c>
      <c r="AF445" s="10"/>
      <c r="AG445" s="10">
        <v>0</v>
      </c>
      <c r="AH445" s="10"/>
      <c r="AI445" s="10">
        <f t="shared" si="16"/>
        <v>993213</v>
      </c>
      <c r="AJ445" s="10"/>
      <c r="AK445" s="22"/>
      <c r="AL445" s="22"/>
      <c r="AM445" s="22"/>
    </row>
    <row r="446" spans="1:39">
      <c r="A446" s="1" t="s">
        <v>335</v>
      </c>
      <c r="C446" s="1" t="s">
        <v>329</v>
      </c>
      <c r="E446" s="10">
        <v>8444</v>
      </c>
      <c r="G446" s="10">
        <v>0</v>
      </c>
      <c r="I446" s="10">
        <v>43411</v>
      </c>
      <c r="K446" s="10">
        <v>207</v>
      </c>
      <c r="M446" s="10">
        <v>0</v>
      </c>
      <c r="O446" s="10">
        <v>0</v>
      </c>
      <c r="Q446" s="10">
        <v>8653</v>
      </c>
      <c r="S446" s="10">
        <v>3240</v>
      </c>
      <c r="U446" s="10">
        <v>0</v>
      </c>
      <c r="W446" s="10">
        <v>0</v>
      </c>
      <c r="Y446" s="10">
        <v>0</v>
      </c>
      <c r="AA446" s="10">
        <v>0</v>
      </c>
      <c r="AC446" s="10">
        <v>2500</v>
      </c>
      <c r="AE446" s="10">
        <v>0</v>
      </c>
      <c r="AG446" s="10">
        <v>0</v>
      </c>
      <c r="AI446" s="10">
        <f t="shared" si="16"/>
        <v>66455</v>
      </c>
      <c r="AJ446" s="10"/>
      <c r="AK446" s="7"/>
      <c r="AL446" s="7"/>
      <c r="AM446" s="7"/>
    </row>
    <row r="447" spans="1:39" s="21" customFormat="1">
      <c r="A447" s="1" t="s">
        <v>344</v>
      </c>
      <c r="B447" s="1"/>
      <c r="C447" s="1" t="s">
        <v>343</v>
      </c>
      <c r="D447" s="1"/>
      <c r="E447" s="10">
        <v>15358</v>
      </c>
      <c r="F447" s="10"/>
      <c r="G447" s="10">
        <v>0</v>
      </c>
      <c r="H447" s="10"/>
      <c r="I447" s="10">
        <v>18265</v>
      </c>
      <c r="J447" s="10"/>
      <c r="K447" s="10">
        <v>0</v>
      </c>
      <c r="L447" s="10"/>
      <c r="M447" s="10">
        <v>0</v>
      </c>
      <c r="N447" s="10"/>
      <c r="O447" s="10">
        <v>2500</v>
      </c>
      <c r="P447" s="10"/>
      <c r="Q447" s="10">
        <v>2155</v>
      </c>
      <c r="R447" s="10"/>
      <c r="S447" s="10">
        <v>120</v>
      </c>
      <c r="T447" s="10"/>
      <c r="U447" s="10">
        <v>0</v>
      </c>
      <c r="V447" s="10"/>
      <c r="W447" s="10">
        <v>0</v>
      </c>
      <c r="X447" s="10"/>
      <c r="Y447" s="10">
        <v>0</v>
      </c>
      <c r="Z447" s="10"/>
      <c r="AA447" s="10">
        <v>0</v>
      </c>
      <c r="AB447" s="10"/>
      <c r="AC447" s="10">
        <v>0</v>
      </c>
      <c r="AD447" s="10"/>
      <c r="AE447" s="10">
        <v>0</v>
      </c>
      <c r="AF447" s="10"/>
      <c r="AG447" s="10">
        <v>0</v>
      </c>
      <c r="AH447" s="10"/>
      <c r="AI447" s="10">
        <f t="shared" si="16"/>
        <v>38398</v>
      </c>
      <c r="AJ447" s="10"/>
      <c r="AK447" s="22"/>
      <c r="AL447" s="22"/>
      <c r="AM447" s="22"/>
    </row>
    <row r="448" spans="1:39" hidden="1">
      <c r="A448" s="1" t="s">
        <v>207</v>
      </c>
      <c r="C448" s="1" t="s">
        <v>813</v>
      </c>
      <c r="E448" s="10">
        <v>0</v>
      </c>
      <c r="G448" s="10">
        <v>0</v>
      </c>
      <c r="I448" s="10">
        <v>0</v>
      </c>
      <c r="K448" s="10">
        <v>0</v>
      </c>
      <c r="M448" s="10">
        <v>0</v>
      </c>
      <c r="O448" s="10">
        <v>0</v>
      </c>
      <c r="Q448" s="10">
        <v>0</v>
      </c>
      <c r="S448" s="10">
        <v>0</v>
      </c>
      <c r="U448" s="10">
        <v>0</v>
      </c>
      <c r="V448" s="24"/>
      <c r="W448" s="10">
        <v>0</v>
      </c>
      <c r="X448" s="24"/>
      <c r="Y448" s="10">
        <v>0</v>
      </c>
      <c r="AA448" s="10">
        <v>0</v>
      </c>
      <c r="AC448" s="10">
        <v>0</v>
      </c>
      <c r="AE448" s="10">
        <v>0</v>
      </c>
      <c r="AG448" s="10">
        <v>0</v>
      </c>
      <c r="AI448" s="10">
        <f t="shared" si="16"/>
        <v>0</v>
      </c>
      <c r="AJ448" s="10"/>
    </row>
    <row r="449" spans="1:39">
      <c r="A449" s="1" t="s">
        <v>457</v>
      </c>
      <c r="C449" s="1" t="s">
        <v>456</v>
      </c>
      <c r="E449" s="10">
        <v>560059</v>
      </c>
      <c r="G449" s="10">
        <v>2994807</v>
      </c>
      <c r="I449" s="10">
        <v>1411733</v>
      </c>
      <c r="K449" s="10">
        <v>0</v>
      </c>
      <c r="M449" s="10">
        <v>104989</v>
      </c>
      <c r="O449" s="10">
        <v>58211</v>
      </c>
      <c r="Q449" s="10">
        <v>451195</v>
      </c>
      <c r="S449" s="10">
        <v>142107</v>
      </c>
      <c r="U449" s="10">
        <v>0</v>
      </c>
      <c r="W449" s="10">
        <v>0</v>
      </c>
      <c r="Y449" s="10">
        <v>0</v>
      </c>
      <c r="AA449" s="10">
        <v>1670000</v>
      </c>
      <c r="AC449" s="10">
        <v>0</v>
      </c>
      <c r="AE449" s="10">
        <v>0</v>
      </c>
      <c r="AG449" s="10">
        <v>0</v>
      </c>
      <c r="AI449" s="10">
        <f t="shared" si="16"/>
        <v>7393101</v>
      </c>
      <c r="AJ449" s="10"/>
    </row>
    <row r="450" spans="1:39" hidden="1">
      <c r="A450" s="1" t="s">
        <v>520</v>
      </c>
      <c r="C450" s="1" t="s">
        <v>517</v>
      </c>
      <c r="E450" s="10">
        <v>0</v>
      </c>
      <c r="G450" s="10">
        <v>0</v>
      </c>
      <c r="I450" s="10">
        <v>0</v>
      </c>
      <c r="K450" s="10">
        <v>0</v>
      </c>
      <c r="M450" s="10">
        <v>0</v>
      </c>
      <c r="O450" s="10">
        <v>0</v>
      </c>
      <c r="Q450" s="10">
        <v>0</v>
      </c>
      <c r="S450" s="10">
        <v>0</v>
      </c>
      <c r="U450" s="10">
        <v>0</v>
      </c>
      <c r="V450" s="24"/>
      <c r="W450" s="10">
        <v>0</v>
      </c>
      <c r="X450" s="24"/>
      <c r="Y450" s="10">
        <v>0</v>
      </c>
      <c r="AA450" s="10">
        <v>0</v>
      </c>
      <c r="AC450" s="10">
        <v>0</v>
      </c>
      <c r="AE450" s="10">
        <v>0</v>
      </c>
      <c r="AG450" s="10">
        <v>0</v>
      </c>
      <c r="AI450" s="10">
        <f t="shared" si="16"/>
        <v>0</v>
      </c>
      <c r="AJ450" s="10"/>
    </row>
    <row r="451" spans="1:39" hidden="1">
      <c r="A451" s="1" t="s">
        <v>216</v>
      </c>
      <c r="C451" s="1" t="s">
        <v>817</v>
      </c>
      <c r="E451" s="10">
        <v>0</v>
      </c>
      <c r="G451" s="10">
        <v>0</v>
      </c>
      <c r="I451" s="10">
        <v>0</v>
      </c>
      <c r="K451" s="10">
        <v>0</v>
      </c>
      <c r="M451" s="10">
        <v>0</v>
      </c>
      <c r="O451" s="10">
        <v>0</v>
      </c>
      <c r="Q451" s="10">
        <v>0</v>
      </c>
      <c r="S451" s="10">
        <v>0</v>
      </c>
      <c r="U451" s="10">
        <v>0</v>
      </c>
      <c r="V451" s="24"/>
      <c r="W451" s="10">
        <v>0</v>
      </c>
      <c r="X451" s="24"/>
      <c r="Y451" s="10">
        <v>0</v>
      </c>
      <c r="AA451" s="10">
        <v>0</v>
      </c>
      <c r="AC451" s="10">
        <v>0</v>
      </c>
      <c r="AE451" s="10">
        <v>0</v>
      </c>
      <c r="AG451" s="10">
        <v>0</v>
      </c>
      <c r="AI451" s="10">
        <f t="shared" si="16"/>
        <v>0</v>
      </c>
      <c r="AJ451" s="10"/>
    </row>
    <row r="452" spans="1:39" s="21" customFormat="1" hidden="1">
      <c r="A452" s="1" t="s">
        <v>39</v>
      </c>
      <c r="B452" s="1"/>
      <c r="C452" s="1" t="s">
        <v>761</v>
      </c>
      <c r="D452" s="1"/>
      <c r="E452" s="10">
        <v>0</v>
      </c>
      <c r="F452" s="10"/>
      <c r="G452" s="10">
        <v>0</v>
      </c>
      <c r="H452" s="10"/>
      <c r="I452" s="10">
        <v>0</v>
      </c>
      <c r="J452" s="10"/>
      <c r="K452" s="10">
        <v>0</v>
      </c>
      <c r="L452" s="10"/>
      <c r="M452" s="10">
        <v>0</v>
      </c>
      <c r="N452" s="10"/>
      <c r="O452" s="10">
        <v>0</v>
      </c>
      <c r="P452" s="10"/>
      <c r="Q452" s="10">
        <v>0</v>
      </c>
      <c r="R452" s="10"/>
      <c r="S452" s="10">
        <v>0</v>
      </c>
      <c r="T452" s="10"/>
      <c r="U452" s="10">
        <v>0</v>
      </c>
      <c r="V452" s="24"/>
      <c r="W452" s="10">
        <v>0</v>
      </c>
      <c r="X452" s="24"/>
      <c r="Y452" s="10">
        <v>0</v>
      </c>
      <c r="Z452" s="10"/>
      <c r="AA452" s="10">
        <v>0</v>
      </c>
      <c r="AB452" s="10"/>
      <c r="AC452" s="10">
        <v>0</v>
      </c>
      <c r="AD452" s="10"/>
      <c r="AE452" s="10">
        <v>0</v>
      </c>
      <c r="AF452" s="10"/>
      <c r="AG452" s="10">
        <v>0</v>
      </c>
      <c r="AH452" s="10"/>
      <c r="AI452" s="10">
        <f t="shared" si="16"/>
        <v>0</v>
      </c>
      <c r="AJ452" s="10"/>
      <c r="AK452" s="22"/>
      <c r="AL452" s="22"/>
      <c r="AM452" s="22"/>
    </row>
    <row r="453" spans="1:39">
      <c r="A453" s="1" t="s">
        <v>916</v>
      </c>
      <c r="C453" s="1" t="s">
        <v>329</v>
      </c>
      <c r="E453" s="10">
        <v>7756</v>
      </c>
      <c r="G453" s="10">
        <v>0</v>
      </c>
      <c r="I453" s="10">
        <v>28007</v>
      </c>
      <c r="K453" s="10">
        <v>0</v>
      </c>
      <c r="M453" s="10">
        <v>0</v>
      </c>
      <c r="O453" s="10">
        <v>417</v>
      </c>
      <c r="Q453" s="10">
        <v>0</v>
      </c>
      <c r="S453" s="10">
        <v>9016</v>
      </c>
      <c r="U453" s="10">
        <v>0</v>
      </c>
      <c r="W453" s="10">
        <v>0</v>
      </c>
      <c r="Y453" s="10">
        <v>0</v>
      </c>
      <c r="AA453" s="10">
        <v>0</v>
      </c>
      <c r="AC453" s="10">
        <v>0</v>
      </c>
      <c r="AE453" s="10">
        <v>0</v>
      </c>
      <c r="AG453" s="10">
        <v>0</v>
      </c>
      <c r="AI453" s="10">
        <f t="shared" si="16"/>
        <v>45196</v>
      </c>
      <c r="AJ453" s="10"/>
    </row>
    <row r="454" spans="1:39">
      <c r="A454" s="1" t="s">
        <v>521</v>
      </c>
      <c r="C454" s="1" t="s">
        <v>517</v>
      </c>
      <c r="E454" s="10">
        <v>35896</v>
      </c>
      <c r="G454" s="10">
        <v>170873</v>
      </c>
      <c r="I454" s="10">
        <v>108219</v>
      </c>
      <c r="K454" s="10">
        <v>0</v>
      </c>
      <c r="M454" s="10">
        <v>15091</v>
      </c>
      <c r="O454" s="10">
        <f>2280+3774</f>
        <v>6054</v>
      </c>
      <c r="Q454" s="10">
        <v>24109</v>
      </c>
      <c r="S454" s="10">
        <v>7583</v>
      </c>
      <c r="U454" s="10">
        <v>0</v>
      </c>
      <c r="W454" s="10">
        <v>0</v>
      </c>
      <c r="Y454" s="10">
        <v>0</v>
      </c>
      <c r="AA454" s="10">
        <v>0</v>
      </c>
      <c r="AC454" s="10">
        <v>0</v>
      </c>
      <c r="AE454" s="10">
        <v>0</v>
      </c>
      <c r="AG454" s="10">
        <v>0</v>
      </c>
      <c r="AI454" s="10">
        <f t="shared" si="16"/>
        <v>367825</v>
      </c>
      <c r="AJ454" s="10"/>
    </row>
    <row r="455" spans="1:39">
      <c r="A455" s="1" t="s">
        <v>570</v>
      </c>
      <c r="C455" s="1" t="s">
        <v>565</v>
      </c>
      <c r="E455" s="10">
        <v>10347</v>
      </c>
      <c r="G455" s="10">
        <v>0</v>
      </c>
      <c r="I455" s="10">
        <v>10007</v>
      </c>
      <c r="K455" s="10">
        <v>0</v>
      </c>
      <c r="M455" s="10">
        <v>0</v>
      </c>
      <c r="O455" s="10">
        <v>0</v>
      </c>
      <c r="Q455" s="10">
        <v>1937</v>
      </c>
      <c r="S455" s="10">
        <v>0</v>
      </c>
      <c r="U455" s="10">
        <v>0</v>
      </c>
      <c r="W455" s="10">
        <v>0</v>
      </c>
      <c r="Y455" s="10">
        <v>0</v>
      </c>
      <c r="AA455" s="10">
        <v>0</v>
      </c>
      <c r="AC455" s="10">
        <v>0</v>
      </c>
      <c r="AE455" s="10">
        <v>0</v>
      </c>
      <c r="AG455" s="10">
        <v>0</v>
      </c>
      <c r="AI455" s="10">
        <f t="shared" si="16"/>
        <v>22291</v>
      </c>
      <c r="AJ455" s="10"/>
    </row>
    <row r="456" spans="1:39" s="21" customFormat="1">
      <c r="A456" s="1" t="s">
        <v>400</v>
      </c>
      <c r="B456" s="1"/>
      <c r="C456" s="1" t="s">
        <v>396</v>
      </c>
      <c r="D456" s="1"/>
      <c r="E456" s="10">
        <v>1314</v>
      </c>
      <c r="F456" s="10"/>
      <c r="G456" s="10">
        <v>0</v>
      </c>
      <c r="H456" s="10"/>
      <c r="I456" s="10">
        <v>4056</v>
      </c>
      <c r="J456" s="10"/>
      <c r="K456" s="10">
        <v>0</v>
      </c>
      <c r="L456" s="10"/>
      <c r="M456" s="10">
        <v>0</v>
      </c>
      <c r="N456" s="10"/>
      <c r="O456" s="10">
        <v>0</v>
      </c>
      <c r="P456" s="10"/>
      <c r="Q456" s="10">
        <v>33</v>
      </c>
      <c r="R456" s="10"/>
      <c r="S456" s="10">
        <v>2147</v>
      </c>
      <c r="T456" s="10"/>
      <c r="U456" s="10">
        <v>0</v>
      </c>
      <c r="V456" s="10"/>
      <c r="W456" s="10">
        <v>0</v>
      </c>
      <c r="X456" s="10"/>
      <c r="Y456" s="10">
        <v>0</v>
      </c>
      <c r="Z456" s="10"/>
      <c r="AA456" s="10">
        <v>0</v>
      </c>
      <c r="AB456" s="10"/>
      <c r="AC456" s="10">
        <v>0</v>
      </c>
      <c r="AD456" s="10"/>
      <c r="AE456" s="10">
        <v>0</v>
      </c>
      <c r="AF456" s="10"/>
      <c r="AG456" s="10">
        <v>0</v>
      </c>
      <c r="AH456" s="10"/>
      <c r="AI456" s="10">
        <f t="shared" si="16"/>
        <v>7550</v>
      </c>
      <c r="AJ456" s="10"/>
    </row>
    <row r="457" spans="1:39">
      <c r="A457" s="1" t="s">
        <v>500</v>
      </c>
      <c r="C457" s="1" t="s">
        <v>500</v>
      </c>
      <c r="E457" s="10">
        <v>134498</v>
      </c>
      <c r="G457" s="10">
        <v>436141</v>
      </c>
      <c r="I457" s="10">
        <v>200485</v>
      </c>
      <c r="K457" s="10">
        <v>0</v>
      </c>
      <c r="M457" s="10">
        <v>15888</v>
      </c>
      <c r="O457" s="10">
        <v>22474</v>
      </c>
      <c r="Q457" s="10">
        <v>56457</v>
      </c>
      <c r="S457" s="10">
        <v>149779</v>
      </c>
      <c r="U457" s="10">
        <v>0</v>
      </c>
      <c r="W457" s="10">
        <v>0</v>
      </c>
      <c r="Y457" s="10">
        <v>0</v>
      </c>
      <c r="AA457" s="10">
        <v>0</v>
      </c>
      <c r="AC457" s="10">
        <v>0</v>
      </c>
      <c r="AE457" s="10">
        <v>0</v>
      </c>
      <c r="AG457" s="10">
        <v>0</v>
      </c>
      <c r="AI457" s="10">
        <f t="shared" si="16"/>
        <v>1015722</v>
      </c>
      <c r="AJ457" s="10"/>
    </row>
    <row r="458" spans="1:39" hidden="1">
      <c r="A458" s="1" t="s">
        <v>502</v>
      </c>
      <c r="C458" s="1" t="s">
        <v>500</v>
      </c>
      <c r="E458" s="10">
        <v>0</v>
      </c>
      <c r="G458" s="10">
        <v>0</v>
      </c>
      <c r="I458" s="10">
        <v>0</v>
      </c>
      <c r="K458" s="10">
        <v>0</v>
      </c>
      <c r="M458" s="10">
        <v>0</v>
      </c>
      <c r="O458" s="10">
        <v>0</v>
      </c>
      <c r="Q458" s="10">
        <v>0</v>
      </c>
      <c r="S458" s="10">
        <v>0</v>
      </c>
      <c r="U458" s="10">
        <v>0</v>
      </c>
      <c r="V458" s="24"/>
      <c r="W458" s="10">
        <v>0</v>
      </c>
      <c r="X458" s="24"/>
      <c r="Y458" s="10">
        <v>0</v>
      </c>
      <c r="AA458" s="10">
        <v>0</v>
      </c>
      <c r="AC458" s="10">
        <v>0</v>
      </c>
      <c r="AE458" s="10">
        <v>0</v>
      </c>
      <c r="AG458" s="10">
        <v>0</v>
      </c>
      <c r="AI458" s="10">
        <f t="shared" si="16"/>
        <v>0</v>
      </c>
      <c r="AJ458" s="40"/>
    </row>
    <row r="459" spans="1:39">
      <c r="A459" s="1" t="s">
        <v>682</v>
      </c>
      <c r="C459" s="1" t="s">
        <v>665</v>
      </c>
      <c r="E459" s="10">
        <v>117042</v>
      </c>
      <c r="G459" s="10">
        <v>0</v>
      </c>
      <c r="I459" s="10">
        <v>56279</v>
      </c>
      <c r="K459" s="10">
        <v>0</v>
      </c>
      <c r="M459" s="10">
        <v>5159</v>
      </c>
      <c r="O459" s="10">
        <v>42053</v>
      </c>
      <c r="Q459" s="10">
        <v>0</v>
      </c>
      <c r="S459" s="10">
        <v>9764</v>
      </c>
      <c r="U459" s="10">
        <v>0</v>
      </c>
      <c r="W459" s="10">
        <v>0</v>
      </c>
      <c r="Y459" s="10">
        <v>0</v>
      </c>
      <c r="AA459" s="10">
        <v>0</v>
      </c>
      <c r="AC459" s="10">
        <v>0</v>
      </c>
      <c r="AE459" s="10">
        <v>0</v>
      </c>
      <c r="AG459" s="10">
        <v>0</v>
      </c>
      <c r="AI459" s="10">
        <f t="shared" si="16"/>
        <v>230297</v>
      </c>
      <c r="AJ459" s="10"/>
    </row>
    <row r="460" spans="1:39" hidden="1">
      <c r="A460" s="1" t="s">
        <v>611</v>
      </c>
      <c r="C460" s="1" t="s">
        <v>606</v>
      </c>
      <c r="E460" s="10">
        <v>0</v>
      </c>
      <c r="G460" s="10">
        <v>0</v>
      </c>
      <c r="I460" s="10">
        <v>0</v>
      </c>
      <c r="K460" s="10">
        <v>0</v>
      </c>
      <c r="M460" s="10">
        <v>0</v>
      </c>
      <c r="O460" s="10">
        <v>0</v>
      </c>
      <c r="Q460" s="10">
        <v>0</v>
      </c>
      <c r="S460" s="10">
        <v>0</v>
      </c>
      <c r="U460" s="10">
        <v>0</v>
      </c>
      <c r="V460" s="24"/>
      <c r="W460" s="10">
        <v>0</v>
      </c>
      <c r="X460" s="24"/>
      <c r="Y460" s="10">
        <v>0</v>
      </c>
      <c r="AA460" s="10">
        <v>0</v>
      </c>
      <c r="AC460" s="10">
        <v>0</v>
      </c>
      <c r="AE460" s="10">
        <v>0</v>
      </c>
      <c r="AG460" s="10">
        <v>0</v>
      </c>
      <c r="AI460" s="10">
        <f t="shared" si="16"/>
        <v>0</v>
      </c>
      <c r="AJ460" s="10"/>
    </row>
    <row r="461" spans="1:39" hidden="1">
      <c r="A461" s="1" t="s">
        <v>557</v>
      </c>
      <c r="C461" s="1" t="s">
        <v>554</v>
      </c>
      <c r="E461" s="10">
        <v>0</v>
      </c>
      <c r="G461" s="10">
        <v>0</v>
      </c>
      <c r="I461" s="10">
        <v>0</v>
      </c>
      <c r="K461" s="10">
        <v>0</v>
      </c>
      <c r="M461" s="10">
        <v>0</v>
      </c>
      <c r="O461" s="10">
        <v>0</v>
      </c>
      <c r="Q461" s="10">
        <v>0</v>
      </c>
      <c r="S461" s="10">
        <v>0</v>
      </c>
      <c r="U461" s="10">
        <v>0</v>
      </c>
      <c r="V461" s="24"/>
      <c r="W461" s="10">
        <v>0</v>
      </c>
      <c r="X461" s="24"/>
      <c r="Y461" s="10">
        <v>0</v>
      </c>
      <c r="AA461" s="10">
        <v>0</v>
      </c>
      <c r="AC461" s="10">
        <v>0</v>
      </c>
      <c r="AE461" s="10">
        <v>0</v>
      </c>
      <c r="AG461" s="10">
        <v>0</v>
      </c>
      <c r="AI461" s="10">
        <f t="shared" si="16"/>
        <v>0</v>
      </c>
      <c r="AJ461" s="10"/>
    </row>
    <row r="462" spans="1:39" s="21" customFormat="1">
      <c r="A462" s="1" t="s">
        <v>433</v>
      </c>
      <c r="B462" s="1"/>
      <c r="C462" s="1" t="s">
        <v>430</v>
      </c>
      <c r="D462" s="1"/>
      <c r="E462" s="10">
        <v>91570</v>
      </c>
      <c r="F462" s="10"/>
      <c r="G462" s="10">
        <v>332753</v>
      </c>
      <c r="H462" s="10"/>
      <c r="I462" s="10">
        <v>277523</v>
      </c>
      <c r="J462" s="10"/>
      <c r="K462" s="10">
        <v>0</v>
      </c>
      <c r="L462" s="10"/>
      <c r="M462" s="10">
        <v>9484</v>
      </c>
      <c r="N462" s="10"/>
      <c r="O462" s="10">
        <v>19720</v>
      </c>
      <c r="P462" s="10"/>
      <c r="Q462" s="10">
        <v>61505</v>
      </c>
      <c r="R462" s="10"/>
      <c r="S462" s="10">
        <v>0</v>
      </c>
      <c r="T462" s="10"/>
      <c r="U462" s="10">
        <v>0</v>
      </c>
      <c r="V462" s="10"/>
      <c r="W462" s="10">
        <v>0</v>
      </c>
      <c r="X462" s="10"/>
      <c r="Y462" s="10">
        <v>0</v>
      </c>
      <c r="Z462" s="10"/>
      <c r="AA462" s="10">
        <v>6150</v>
      </c>
      <c r="AB462" s="10"/>
      <c r="AC462" s="10">
        <v>0</v>
      </c>
      <c r="AD462" s="10"/>
      <c r="AE462" s="10">
        <v>0</v>
      </c>
      <c r="AF462" s="10"/>
      <c r="AG462" s="10">
        <v>0</v>
      </c>
      <c r="AH462" s="10"/>
      <c r="AI462" s="10">
        <f t="shared" si="16"/>
        <v>798705</v>
      </c>
      <c r="AJ462" s="10"/>
    </row>
    <row r="463" spans="1:39">
      <c r="A463" s="1" t="s">
        <v>683</v>
      </c>
      <c r="C463" s="1" t="s">
        <v>672</v>
      </c>
      <c r="E463" s="10">
        <v>31859</v>
      </c>
      <c r="G463" s="10">
        <v>188309</v>
      </c>
      <c r="I463" s="10">
        <v>53283</v>
      </c>
      <c r="K463" s="10">
        <v>0</v>
      </c>
      <c r="M463" s="10">
        <v>0</v>
      </c>
      <c r="O463" s="10">
        <v>842</v>
      </c>
      <c r="Q463" s="10">
        <v>981</v>
      </c>
      <c r="S463" s="10">
        <v>8308</v>
      </c>
      <c r="U463" s="10">
        <v>0</v>
      </c>
      <c r="W463" s="10">
        <v>0</v>
      </c>
      <c r="Y463" s="10">
        <v>0</v>
      </c>
      <c r="AA463" s="10">
        <v>0</v>
      </c>
      <c r="AC463" s="10">
        <v>0</v>
      </c>
      <c r="AE463" s="10">
        <v>0</v>
      </c>
      <c r="AG463" s="10">
        <v>0</v>
      </c>
      <c r="AI463" s="10">
        <f t="shared" si="16"/>
        <v>283582</v>
      </c>
      <c r="AJ463" s="10"/>
      <c r="AK463" s="7"/>
      <c r="AL463" s="7"/>
      <c r="AM463" s="7"/>
    </row>
    <row r="464" spans="1:39">
      <c r="A464" s="1" t="s">
        <v>485</v>
      </c>
      <c r="C464" s="1" t="s">
        <v>482</v>
      </c>
      <c r="E464" s="10">
        <v>12873</v>
      </c>
      <c r="G464" s="10">
        <v>91686</v>
      </c>
      <c r="I464" s="10">
        <v>129287</v>
      </c>
      <c r="K464" s="10">
        <v>683</v>
      </c>
      <c r="M464" s="10">
        <v>60</v>
      </c>
      <c r="O464" s="10">
        <v>5458</v>
      </c>
      <c r="Q464" s="10">
        <v>12361</v>
      </c>
      <c r="S464" s="10">
        <v>5268</v>
      </c>
      <c r="U464" s="10">
        <v>0</v>
      </c>
      <c r="W464" s="10">
        <v>0</v>
      </c>
      <c r="Y464" s="10">
        <v>0</v>
      </c>
      <c r="AA464" s="10">
        <v>0</v>
      </c>
      <c r="AC464" s="10">
        <v>0</v>
      </c>
      <c r="AE464" s="10">
        <v>710</v>
      </c>
      <c r="AG464" s="10">
        <v>0</v>
      </c>
      <c r="AI464" s="10">
        <f t="shared" si="16"/>
        <v>258386</v>
      </c>
      <c r="AJ464" s="10"/>
    </row>
    <row r="465" spans="1:39">
      <c r="A465" s="1" t="s">
        <v>491</v>
      </c>
      <c r="C465" s="1" t="s">
        <v>488</v>
      </c>
      <c r="E465" s="10">
        <v>41630</v>
      </c>
      <c r="G465" s="10">
        <v>0</v>
      </c>
      <c r="I465" s="10">
        <v>31118</v>
      </c>
      <c r="K465" s="10">
        <v>0</v>
      </c>
      <c r="M465" s="10">
        <v>0</v>
      </c>
      <c r="O465" s="10">
        <v>0</v>
      </c>
      <c r="Q465" s="10">
        <v>0</v>
      </c>
      <c r="S465" s="10">
        <v>26909</v>
      </c>
      <c r="U465" s="10">
        <v>0</v>
      </c>
      <c r="W465" s="10">
        <v>0</v>
      </c>
      <c r="Y465" s="10">
        <v>0</v>
      </c>
      <c r="AA465" s="10">
        <v>0</v>
      </c>
      <c r="AC465" s="10">
        <v>0</v>
      </c>
      <c r="AE465" s="10">
        <v>0</v>
      </c>
      <c r="AG465" s="10">
        <v>0</v>
      </c>
      <c r="AI465" s="10">
        <f t="shared" si="16"/>
        <v>99657</v>
      </c>
      <c r="AJ465" s="10"/>
    </row>
    <row r="466" spans="1:39" hidden="1">
      <c r="A466" s="1" t="s">
        <v>509</v>
      </c>
      <c r="C466" s="1" t="s">
        <v>510</v>
      </c>
      <c r="E466" s="10">
        <v>0</v>
      </c>
      <c r="G466" s="10">
        <v>0</v>
      </c>
      <c r="I466" s="10">
        <v>0</v>
      </c>
      <c r="K466" s="10">
        <v>0</v>
      </c>
      <c r="M466" s="10">
        <v>0</v>
      </c>
      <c r="O466" s="10">
        <v>0</v>
      </c>
      <c r="Q466" s="10">
        <v>0</v>
      </c>
      <c r="S466" s="10">
        <v>0</v>
      </c>
      <c r="U466" s="10">
        <v>0</v>
      </c>
      <c r="V466" s="24"/>
      <c r="W466" s="10">
        <v>0</v>
      </c>
      <c r="X466" s="24"/>
      <c r="Y466" s="10">
        <v>0</v>
      </c>
      <c r="AA466" s="10">
        <v>0</v>
      </c>
      <c r="AC466" s="10">
        <v>0</v>
      </c>
      <c r="AE466" s="10">
        <v>0</v>
      </c>
      <c r="AG466" s="10">
        <v>0</v>
      </c>
      <c r="AI466" s="10">
        <f t="shared" si="16"/>
        <v>0</v>
      </c>
      <c r="AJ466" s="10"/>
    </row>
    <row r="467" spans="1:39" s="21" customFormat="1">
      <c r="A467" s="1" t="s">
        <v>917</v>
      </c>
      <c r="B467" s="1"/>
      <c r="C467" s="1" t="s">
        <v>601</v>
      </c>
      <c r="D467" s="1"/>
      <c r="E467" s="10">
        <f>68110+146132</f>
        <v>214242</v>
      </c>
      <c r="F467" s="10"/>
      <c r="G467" s="10">
        <v>401110</v>
      </c>
      <c r="H467" s="10"/>
      <c r="I467" s="10">
        <v>124559</v>
      </c>
      <c r="J467" s="10"/>
      <c r="K467" s="10">
        <v>0</v>
      </c>
      <c r="L467" s="10"/>
      <c r="M467" s="10">
        <v>61136</v>
      </c>
      <c r="N467" s="10"/>
      <c r="O467" s="10">
        <f>1244+7239</f>
        <v>8483</v>
      </c>
      <c r="P467" s="10"/>
      <c r="Q467" s="10">
        <v>59597</v>
      </c>
      <c r="R467" s="10"/>
      <c r="S467" s="10">
        <v>21933</v>
      </c>
      <c r="T467" s="10"/>
      <c r="U467" s="10">
        <v>0</v>
      </c>
      <c r="V467" s="24"/>
      <c r="W467" s="10">
        <v>0</v>
      </c>
      <c r="X467" s="24"/>
      <c r="Y467" s="10">
        <v>0</v>
      </c>
      <c r="Z467" s="10"/>
      <c r="AA467" s="10">
        <v>0</v>
      </c>
      <c r="AB467" s="10"/>
      <c r="AC467" s="10">
        <v>0</v>
      </c>
      <c r="AD467" s="10"/>
      <c r="AE467" s="10">
        <v>0</v>
      </c>
      <c r="AF467" s="10"/>
      <c r="AG467" s="10">
        <v>0</v>
      </c>
      <c r="AH467" s="10"/>
      <c r="AI467" s="10">
        <f t="shared" si="16"/>
        <v>891060</v>
      </c>
      <c r="AJ467" s="10"/>
      <c r="AK467" s="22"/>
      <c r="AL467" s="22"/>
      <c r="AM467" s="22"/>
    </row>
    <row r="468" spans="1:39" s="21" customFormat="1" hidden="1">
      <c r="A468" s="1" t="s">
        <v>54</v>
      </c>
      <c r="B468" s="1"/>
      <c r="C468" s="1" t="s">
        <v>767</v>
      </c>
      <c r="D468" s="1"/>
      <c r="E468" s="10">
        <v>0</v>
      </c>
      <c r="F468" s="10"/>
      <c r="G468" s="10">
        <v>0</v>
      </c>
      <c r="H468" s="10"/>
      <c r="I468" s="10">
        <v>0</v>
      </c>
      <c r="J468" s="10"/>
      <c r="K468" s="10">
        <v>0</v>
      </c>
      <c r="L468" s="10"/>
      <c r="M468" s="10">
        <v>0</v>
      </c>
      <c r="N468" s="10"/>
      <c r="O468" s="10">
        <v>0</v>
      </c>
      <c r="P468" s="10"/>
      <c r="Q468" s="10">
        <v>0</v>
      </c>
      <c r="R468" s="10"/>
      <c r="S468" s="10">
        <v>0</v>
      </c>
      <c r="T468" s="10"/>
      <c r="U468" s="10">
        <v>0</v>
      </c>
      <c r="V468" s="24"/>
      <c r="W468" s="10">
        <v>0</v>
      </c>
      <c r="X468" s="24"/>
      <c r="Y468" s="10">
        <v>0</v>
      </c>
      <c r="Z468" s="10"/>
      <c r="AA468" s="10">
        <v>0</v>
      </c>
      <c r="AB468" s="10"/>
      <c r="AC468" s="10">
        <v>0</v>
      </c>
      <c r="AD468" s="10"/>
      <c r="AE468" s="10">
        <v>0</v>
      </c>
      <c r="AF468" s="10"/>
      <c r="AG468" s="10">
        <v>0</v>
      </c>
      <c r="AH468" s="10"/>
      <c r="AI468" s="10">
        <f t="shared" si="16"/>
        <v>0</v>
      </c>
      <c r="AJ468" s="10"/>
      <c r="AK468" s="22"/>
      <c r="AL468" s="22"/>
      <c r="AM468" s="22"/>
    </row>
    <row r="469" spans="1:39" hidden="1">
      <c r="A469" s="1" t="s">
        <v>461</v>
      </c>
      <c r="C469" s="1" t="s">
        <v>432</v>
      </c>
      <c r="E469" s="10">
        <v>0</v>
      </c>
      <c r="G469" s="10">
        <v>0</v>
      </c>
      <c r="I469" s="10">
        <v>0</v>
      </c>
      <c r="K469" s="10">
        <v>0</v>
      </c>
      <c r="M469" s="10">
        <v>0</v>
      </c>
      <c r="O469" s="10">
        <v>0</v>
      </c>
      <c r="Q469" s="10">
        <v>0</v>
      </c>
      <c r="S469" s="10">
        <v>0</v>
      </c>
      <c r="U469" s="10">
        <v>0</v>
      </c>
      <c r="V469" s="24"/>
      <c r="W469" s="10">
        <v>0</v>
      </c>
      <c r="X469" s="24"/>
      <c r="Y469" s="10">
        <v>0</v>
      </c>
      <c r="AA469" s="10">
        <v>0</v>
      </c>
      <c r="AC469" s="10">
        <v>0</v>
      </c>
      <c r="AE469" s="10">
        <v>0</v>
      </c>
      <c r="AG469" s="10">
        <v>0</v>
      </c>
      <c r="AI469" s="10">
        <f t="shared" si="16"/>
        <v>0</v>
      </c>
      <c r="AJ469" s="10"/>
    </row>
    <row r="470" spans="1:39">
      <c r="A470" s="1" t="s">
        <v>918</v>
      </c>
      <c r="C470" s="1" t="s">
        <v>920</v>
      </c>
      <c r="E470" s="10">
        <v>0</v>
      </c>
      <c r="G470" s="10">
        <v>0</v>
      </c>
      <c r="I470" s="10">
        <v>9362</v>
      </c>
      <c r="K470" s="10">
        <v>0</v>
      </c>
      <c r="M470" s="10">
        <v>0</v>
      </c>
      <c r="O470" s="10">
        <v>19</v>
      </c>
      <c r="Q470" s="10">
        <v>3226</v>
      </c>
      <c r="S470" s="10">
        <v>500</v>
      </c>
      <c r="U470" s="10">
        <v>0</v>
      </c>
      <c r="V470" s="24"/>
      <c r="W470" s="10">
        <v>0</v>
      </c>
      <c r="X470" s="24"/>
      <c r="Y470" s="10">
        <v>0</v>
      </c>
      <c r="AA470" s="10">
        <v>0</v>
      </c>
      <c r="AC470" s="10">
        <v>0</v>
      </c>
      <c r="AE470" s="10">
        <v>0</v>
      </c>
      <c r="AG470" s="10">
        <v>0</v>
      </c>
      <c r="AI470" s="10">
        <f t="shared" si="16"/>
        <v>13107</v>
      </c>
      <c r="AJ470" s="10"/>
    </row>
    <row r="471" spans="1:39" hidden="1">
      <c r="A471" s="1" t="s">
        <v>376</v>
      </c>
      <c r="C471" s="1" t="s">
        <v>375</v>
      </c>
      <c r="E471" s="10">
        <v>0</v>
      </c>
      <c r="G471" s="10">
        <v>0</v>
      </c>
      <c r="I471" s="10">
        <v>0</v>
      </c>
      <c r="K471" s="10">
        <v>0</v>
      </c>
      <c r="M471" s="10">
        <v>0</v>
      </c>
      <c r="O471" s="10">
        <v>0</v>
      </c>
      <c r="Q471" s="10">
        <v>0</v>
      </c>
      <c r="S471" s="10">
        <v>0</v>
      </c>
      <c r="U471" s="10">
        <v>0</v>
      </c>
      <c r="V471" s="24"/>
      <c r="W471" s="10">
        <v>0</v>
      </c>
      <c r="X471" s="24"/>
      <c r="Y471" s="10">
        <v>0</v>
      </c>
      <c r="AA471" s="10">
        <v>0</v>
      </c>
      <c r="AC471" s="10">
        <v>0</v>
      </c>
      <c r="AE471" s="10">
        <v>0</v>
      </c>
      <c r="AG471" s="10">
        <v>0</v>
      </c>
      <c r="AI471" s="10">
        <f t="shared" si="16"/>
        <v>0</v>
      </c>
      <c r="AJ471" s="10"/>
    </row>
    <row r="472" spans="1:39" hidden="1">
      <c r="A472" s="1" t="s">
        <v>163</v>
      </c>
      <c r="C472" s="1" t="s">
        <v>800</v>
      </c>
      <c r="E472" s="10">
        <v>0</v>
      </c>
      <c r="G472" s="10">
        <v>0</v>
      </c>
      <c r="I472" s="10">
        <v>0</v>
      </c>
      <c r="K472" s="10">
        <v>0</v>
      </c>
      <c r="M472" s="10">
        <v>0</v>
      </c>
      <c r="O472" s="10">
        <v>0</v>
      </c>
      <c r="Q472" s="10">
        <v>0</v>
      </c>
      <c r="S472" s="10">
        <v>0</v>
      </c>
      <c r="U472" s="10">
        <v>0</v>
      </c>
      <c r="V472" s="24"/>
      <c r="W472" s="10">
        <v>0</v>
      </c>
      <c r="X472" s="24"/>
      <c r="Y472" s="10">
        <v>0</v>
      </c>
      <c r="AA472" s="10">
        <v>0</v>
      </c>
      <c r="AC472" s="10">
        <v>0</v>
      </c>
      <c r="AE472" s="10">
        <v>0</v>
      </c>
      <c r="AG472" s="10">
        <v>0</v>
      </c>
      <c r="AI472" s="10">
        <f t="shared" si="16"/>
        <v>0</v>
      </c>
      <c r="AJ472" s="10"/>
    </row>
    <row r="473" spans="1:39" hidden="1">
      <c r="A473" s="1" t="s">
        <v>244</v>
      </c>
      <c r="C473" s="1" t="s">
        <v>826</v>
      </c>
      <c r="E473" s="10">
        <v>0</v>
      </c>
      <c r="G473" s="10">
        <v>0</v>
      </c>
      <c r="I473" s="10">
        <v>0</v>
      </c>
      <c r="K473" s="10">
        <v>0</v>
      </c>
      <c r="M473" s="10">
        <v>0</v>
      </c>
      <c r="O473" s="10">
        <v>0</v>
      </c>
      <c r="Q473" s="10">
        <v>0</v>
      </c>
      <c r="S473" s="10">
        <v>0</v>
      </c>
      <c r="U473" s="10">
        <v>0</v>
      </c>
      <c r="V473" s="24"/>
      <c r="W473" s="10">
        <v>0</v>
      </c>
      <c r="X473" s="24"/>
      <c r="Y473" s="10">
        <v>0</v>
      </c>
      <c r="AA473" s="10">
        <v>0</v>
      </c>
      <c r="AC473" s="10">
        <v>0</v>
      </c>
      <c r="AE473" s="10">
        <v>0</v>
      </c>
      <c r="AG473" s="10">
        <v>0</v>
      </c>
      <c r="AI473" s="10">
        <f t="shared" si="16"/>
        <v>0</v>
      </c>
      <c r="AJ473" s="10"/>
    </row>
    <row r="474" spans="1:39" s="21" customFormat="1" hidden="1">
      <c r="A474" s="1" t="s">
        <v>64</v>
      </c>
      <c r="B474" s="1"/>
      <c r="C474" s="1" t="s">
        <v>771</v>
      </c>
      <c r="D474" s="1"/>
      <c r="E474" s="10">
        <v>0</v>
      </c>
      <c r="F474" s="10"/>
      <c r="G474" s="10">
        <v>0</v>
      </c>
      <c r="H474" s="10"/>
      <c r="I474" s="10">
        <v>0</v>
      </c>
      <c r="J474" s="10"/>
      <c r="K474" s="10">
        <v>0</v>
      </c>
      <c r="L474" s="10"/>
      <c r="M474" s="10">
        <v>0</v>
      </c>
      <c r="N474" s="10"/>
      <c r="O474" s="10">
        <v>0</v>
      </c>
      <c r="P474" s="10"/>
      <c r="Q474" s="10">
        <v>0</v>
      </c>
      <c r="R474" s="10"/>
      <c r="S474" s="10">
        <v>0</v>
      </c>
      <c r="T474" s="10"/>
      <c r="U474" s="10">
        <v>0</v>
      </c>
      <c r="V474" s="24"/>
      <c r="W474" s="10">
        <v>0</v>
      </c>
      <c r="X474" s="24"/>
      <c r="Y474" s="10">
        <v>0</v>
      </c>
      <c r="Z474" s="10"/>
      <c r="AA474" s="10">
        <v>0</v>
      </c>
      <c r="AB474" s="10"/>
      <c r="AC474" s="10">
        <v>0</v>
      </c>
      <c r="AD474" s="10"/>
      <c r="AE474" s="10">
        <v>0</v>
      </c>
      <c r="AF474" s="10"/>
      <c r="AG474" s="10">
        <v>0</v>
      </c>
      <c r="AH474" s="10"/>
      <c r="AI474" s="10">
        <f t="shared" si="16"/>
        <v>0</v>
      </c>
      <c r="AJ474" s="10"/>
      <c r="AK474" s="22"/>
      <c r="AL474" s="22"/>
      <c r="AM474" s="22"/>
    </row>
    <row r="475" spans="1:39" hidden="1">
      <c r="A475" s="1" t="s">
        <v>209</v>
      </c>
      <c r="C475" s="1" t="s">
        <v>814</v>
      </c>
      <c r="E475" s="10">
        <v>0</v>
      </c>
      <c r="G475" s="10">
        <v>0</v>
      </c>
      <c r="I475" s="10">
        <v>0</v>
      </c>
      <c r="K475" s="10">
        <v>0</v>
      </c>
      <c r="M475" s="10">
        <v>0</v>
      </c>
      <c r="O475" s="10">
        <v>0</v>
      </c>
      <c r="Q475" s="10">
        <v>0</v>
      </c>
      <c r="S475" s="10">
        <v>0</v>
      </c>
      <c r="U475" s="10">
        <v>0</v>
      </c>
      <c r="V475" s="24"/>
      <c r="W475" s="10">
        <v>0</v>
      </c>
      <c r="X475" s="24"/>
      <c r="Y475" s="10">
        <v>0</v>
      </c>
      <c r="AA475" s="10">
        <v>0</v>
      </c>
      <c r="AC475" s="10">
        <v>0</v>
      </c>
      <c r="AE475" s="10">
        <v>0</v>
      </c>
      <c r="AG475" s="10">
        <v>0</v>
      </c>
      <c r="AI475" s="10">
        <f t="shared" si="16"/>
        <v>0</v>
      </c>
      <c r="AJ475" s="10"/>
    </row>
    <row r="476" spans="1:39" hidden="1">
      <c r="A476" s="1" t="s">
        <v>146</v>
      </c>
      <c r="C476" s="1" t="s">
        <v>795</v>
      </c>
      <c r="E476" s="10">
        <v>0</v>
      </c>
      <c r="G476" s="10">
        <v>0</v>
      </c>
      <c r="I476" s="10">
        <v>0</v>
      </c>
      <c r="K476" s="10">
        <v>0</v>
      </c>
      <c r="M476" s="10">
        <v>0</v>
      </c>
      <c r="O476" s="10">
        <v>0</v>
      </c>
      <c r="Q476" s="10">
        <v>0</v>
      </c>
      <c r="S476" s="10">
        <v>0</v>
      </c>
      <c r="U476" s="10">
        <v>0</v>
      </c>
      <c r="V476" s="24"/>
      <c r="W476" s="10">
        <v>0</v>
      </c>
      <c r="X476" s="24"/>
      <c r="Y476" s="10">
        <v>0</v>
      </c>
      <c r="AA476" s="10">
        <v>0</v>
      </c>
      <c r="AC476" s="10">
        <v>0</v>
      </c>
      <c r="AE476" s="10">
        <v>0</v>
      </c>
      <c r="AG476" s="10">
        <v>0</v>
      </c>
      <c r="AI476" s="10">
        <f t="shared" ref="AI476:AI493" si="17">SUM(E476:AG476)</f>
        <v>0</v>
      </c>
      <c r="AJ476" s="10"/>
    </row>
    <row r="477" spans="1:39" s="21" customFormat="1" hidden="1">
      <c r="A477" s="1" t="s">
        <v>512</v>
      </c>
      <c r="B477" s="1"/>
      <c r="C477" s="1" t="s">
        <v>513</v>
      </c>
      <c r="D477" s="1"/>
      <c r="E477" s="10">
        <v>0</v>
      </c>
      <c r="F477" s="10"/>
      <c r="G477" s="10">
        <v>0</v>
      </c>
      <c r="H477" s="10"/>
      <c r="I477" s="10">
        <v>0</v>
      </c>
      <c r="J477" s="10"/>
      <c r="K477" s="10">
        <v>0</v>
      </c>
      <c r="L477" s="10"/>
      <c r="M477" s="10">
        <v>0</v>
      </c>
      <c r="N477" s="10"/>
      <c r="O477" s="10">
        <v>0</v>
      </c>
      <c r="P477" s="10"/>
      <c r="Q477" s="10">
        <v>0</v>
      </c>
      <c r="R477" s="10"/>
      <c r="S477" s="10">
        <v>0</v>
      </c>
      <c r="T477" s="10"/>
      <c r="U477" s="10">
        <v>0</v>
      </c>
      <c r="V477" s="10"/>
      <c r="W477" s="10">
        <v>0</v>
      </c>
      <c r="X477" s="10"/>
      <c r="Y477" s="10">
        <v>0</v>
      </c>
      <c r="Z477" s="10"/>
      <c r="AA477" s="10">
        <v>0</v>
      </c>
      <c r="AB477" s="10"/>
      <c r="AC477" s="10">
        <v>0</v>
      </c>
      <c r="AD477" s="10"/>
      <c r="AE477" s="10">
        <v>0</v>
      </c>
      <c r="AF477" s="10"/>
      <c r="AG477" s="10">
        <v>0</v>
      </c>
      <c r="AH477" s="10"/>
      <c r="AI477" s="10">
        <f t="shared" si="17"/>
        <v>0</v>
      </c>
      <c r="AJ477" s="10"/>
    </row>
    <row r="478" spans="1:39" hidden="1">
      <c r="A478" s="1" t="s">
        <v>684</v>
      </c>
      <c r="C478" s="1" t="s">
        <v>672</v>
      </c>
      <c r="E478" s="10">
        <v>0</v>
      </c>
      <c r="G478" s="10">
        <v>0</v>
      </c>
      <c r="I478" s="10">
        <v>0</v>
      </c>
      <c r="K478" s="10">
        <v>0</v>
      </c>
      <c r="M478" s="10">
        <v>0</v>
      </c>
      <c r="O478" s="10">
        <v>0</v>
      </c>
      <c r="Q478" s="10">
        <v>0</v>
      </c>
      <c r="S478" s="10">
        <v>0</v>
      </c>
      <c r="U478" s="10">
        <v>0</v>
      </c>
      <c r="V478" s="24"/>
      <c r="W478" s="10">
        <v>0</v>
      </c>
      <c r="X478" s="24"/>
      <c r="Y478" s="10">
        <v>0</v>
      </c>
      <c r="AA478" s="10">
        <v>0</v>
      </c>
      <c r="AC478" s="10">
        <v>0</v>
      </c>
      <c r="AE478" s="10">
        <v>0</v>
      </c>
      <c r="AG478" s="10">
        <v>0</v>
      </c>
      <c r="AI478" s="10">
        <f t="shared" si="17"/>
        <v>0</v>
      </c>
      <c r="AJ478" s="10"/>
      <c r="AK478" s="7"/>
      <c r="AL478" s="7"/>
      <c r="AM478" s="7"/>
    </row>
    <row r="479" spans="1:39" hidden="1">
      <c r="A479" s="1" t="s">
        <v>157</v>
      </c>
      <c r="C479" s="1" t="s">
        <v>798</v>
      </c>
      <c r="E479" s="10">
        <v>0</v>
      </c>
      <c r="G479" s="10">
        <v>0</v>
      </c>
      <c r="I479" s="10">
        <v>0</v>
      </c>
      <c r="K479" s="10">
        <v>0</v>
      </c>
      <c r="M479" s="10">
        <v>0</v>
      </c>
      <c r="O479" s="10">
        <v>0</v>
      </c>
      <c r="Q479" s="10">
        <v>0</v>
      </c>
      <c r="S479" s="10">
        <v>0</v>
      </c>
      <c r="U479" s="10">
        <v>0</v>
      </c>
      <c r="V479" s="24"/>
      <c r="W479" s="10">
        <v>0</v>
      </c>
      <c r="X479" s="24"/>
      <c r="Y479" s="10">
        <v>0</v>
      </c>
      <c r="AA479" s="10">
        <v>0</v>
      </c>
      <c r="AC479" s="10">
        <v>0</v>
      </c>
      <c r="AE479" s="10">
        <v>0</v>
      </c>
      <c r="AG479" s="10">
        <v>0</v>
      </c>
      <c r="AI479" s="10">
        <f t="shared" si="17"/>
        <v>0</v>
      </c>
      <c r="AJ479" s="10"/>
    </row>
    <row r="480" spans="1:39">
      <c r="A480" s="1" t="s">
        <v>921</v>
      </c>
      <c r="C480" s="1" t="s">
        <v>541</v>
      </c>
      <c r="E480" s="10">
        <v>7968</v>
      </c>
      <c r="G480" s="10">
        <v>0</v>
      </c>
      <c r="I480" s="10">
        <v>25456</v>
      </c>
      <c r="K480" s="10">
        <v>0</v>
      </c>
      <c r="M480" s="10">
        <v>5313</v>
      </c>
      <c r="O480" s="10">
        <v>24214</v>
      </c>
      <c r="Q480" s="10">
        <v>3683</v>
      </c>
      <c r="S480" s="10">
        <v>3375</v>
      </c>
      <c r="U480" s="10">
        <v>0</v>
      </c>
      <c r="W480" s="10">
        <v>0</v>
      </c>
      <c r="Y480" s="10">
        <v>0</v>
      </c>
      <c r="AA480" s="10">
        <v>0</v>
      </c>
      <c r="AC480" s="10">
        <v>0</v>
      </c>
      <c r="AE480" s="10">
        <v>0</v>
      </c>
      <c r="AG480" s="10">
        <v>0</v>
      </c>
      <c r="AI480" s="10">
        <f t="shared" si="17"/>
        <v>70009</v>
      </c>
      <c r="AJ480" s="10"/>
    </row>
    <row r="481" spans="1:39">
      <c r="A481" s="1" t="s">
        <v>685</v>
      </c>
      <c r="C481" s="1" t="s">
        <v>565</v>
      </c>
      <c r="E481" s="10">
        <v>24225</v>
      </c>
      <c r="G481" s="10">
        <v>46465</v>
      </c>
      <c r="I481" s="10">
        <f>2372+18356+19+549</f>
        <v>21296</v>
      </c>
      <c r="K481" s="10">
        <v>0</v>
      </c>
      <c r="M481" s="10">
        <v>0</v>
      </c>
      <c r="O481" s="10">
        <f>9025+330</f>
        <v>9355</v>
      </c>
      <c r="Q481" s="10">
        <v>522</v>
      </c>
      <c r="S481" s="10">
        <v>439</v>
      </c>
      <c r="U481" s="10">
        <v>0</v>
      </c>
      <c r="W481" s="10">
        <v>0</v>
      </c>
      <c r="Y481" s="10">
        <v>0</v>
      </c>
      <c r="AA481" s="10">
        <v>0</v>
      </c>
      <c r="AC481" s="10">
        <v>0</v>
      </c>
      <c r="AE481" s="10">
        <v>0</v>
      </c>
      <c r="AG481" s="10">
        <v>0</v>
      </c>
      <c r="AI481" s="10">
        <f t="shared" si="17"/>
        <v>102302</v>
      </c>
      <c r="AJ481" s="10"/>
    </row>
    <row r="482" spans="1:39" s="21" customFormat="1" hidden="1">
      <c r="A482" s="1" t="s">
        <v>303</v>
      </c>
      <c r="B482" s="1"/>
      <c r="C482" s="1" t="s">
        <v>299</v>
      </c>
      <c r="D482" s="1"/>
      <c r="E482" s="10">
        <v>0</v>
      </c>
      <c r="F482" s="10"/>
      <c r="G482" s="10">
        <v>0</v>
      </c>
      <c r="H482" s="10"/>
      <c r="I482" s="10">
        <v>0</v>
      </c>
      <c r="J482" s="10"/>
      <c r="K482" s="10">
        <v>0</v>
      </c>
      <c r="L482" s="10"/>
      <c r="M482" s="10">
        <v>0</v>
      </c>
      <c r="N482" s="10"/>
      <c r="O482" s="10">
        <v>0</v>
      </c>
      <c r="P482" s="10"/>
      <c r="Q482" s="10">
        <v>0</v>
      </c>
      <c r="R482" s="10"/>
      <c r="S482" s="10">
        <v>0</v>
      </c>
      <c r="T482" s="10"/>
      <c r="U482" s="10">
        <v>0</v>
      </c>
      <c r="V482" s="24"/>
      <c r="W482" s="10">
        <v>0</v>
      </c>
      <c r="X482" s="24"/>
      <c r="Y482" s="10">
        <v>0</v>
      </c>
      <c r="Z482" s="10"/>
      <c r="AA482" s="10">
        <v>0</v>
      </c>
      <c r="AB482" s="10"/>
      <c r="AC482" s="10">
        <v>0</v>
      </c>
      <c r="AD482" s="10"/>
      <c r="AE482" s="10">
        <v>0</v>
      </c>
      <c r="AF482" s="10"/>
      <c r="AG482" s="10">
        <v>0</v>
      </c>
      <c r="AH482" s="10"/>
      <c r="AI482" s="10">
        <f t="shared" si="17"/>
        <v>0</v>
      </c>
      <c r="AJ482" s="10"/>
      <c r="AK482" s="22"/>
      <c r="AL482" s="22"/>
      <c r="AM482" s="22"/>
    </row>
    <row r="483" spans="1:39" hidden="1">
      <c r="A483" s="1" t="s">
        <v>259</v>
      </c>
      <c r="C483" s="1" t="s">
        <v>830</v>
      </c>
      <c r="E483" s="10">
        <v>0</v>
      </c>
      <c r="G483" s="10">
        <v>0</v>
      </c>
      <c r="I483" s="10">
        <v>0</v>
      </c>
      <c r="K483" s="10">
        <v>0</v>
      </c>
      <c r="M483" s="10">
        <v>0</v>
      </c>
      <c r="O483" s="10">
        <v>0</v>
      </c>
      <c r="Q483" s="10">
        <v>0</v>
      </c>
      <c r="S483" s="10">
        <v>0</v>
      </c>
      <c r="U483" s="10">
        <v>0</v>
      </c>
      <c r="V483" s="24"/>
      <c r="W483" s="10">
        <v>0</v>
      </c>
      <c r="X483" s="24"/>
      <c r="Y483" s="10">
        <v>0</v>
      </c>
      <c r="AA483" s="10">
        <v>0</v>
      </c>
      <c r="AC483" s="10">
        <v>0</v>
      </c>
      <c r="AE483" s="10">
        <v>0</v>
      </c>
      <c r="AG483" s="10">
        <v>0</v>
      </c>
      <c r="AI483" s="10">
        <f t="shared" si="17"/>
        <v>0</v>
      </c>
      <c r="AJ483" s="10"/>
    </row>
    <row r="484" spans="1:39" hidden="1">
      <c r="A484" s="1" t="s">
        <v>474</v>
      </c>
      <c r="C484" s="1" t="s">
        <v>473</v>
      </c>
      <c r="E484" s="10">
        <v>0</v>
      </c>
      <c r="G484" s="10">
        <v>0</v>
      </c>
      <c r="I484" s="10">
        <v>0</v>
      </c>
      <c r="K484" s="10">
        <v>0</v>
      </c>
      <c r="M484" s="10">
        <v>0</v>
      </c>
      <c r="O484" s="10">
        <v>0</v>
      </c>
      <c r="Q484" s="10">
        <v>0</v>
      </c>
      <c r="S484" s="10">
        <v>0</v>
      </c>
      <c r="U484" s="10">
        <v>0</v>
      </c>
      <c r="V484" s="24"/>
      <c r="W484" s="10">
        <v>0</v>
      </c>
      <c r="X484" s="24"/>
      <c r="Y484" s="10">
        <v>0</v>
      </c>
      <c r="AA484" s="10">
        <v>0</v>
      </c>
      <c r="AC484" s="10">
        <v>0</v>
      </c>
      <c r="AE484" s="10">
        <v>0</v>
      </c>
      <c r="AG484" s="10">
        <v>0</v>
      </c>
      <c r="AI484" s="10">
        <f t="shared" si="17"/>
        <v>0</v>
      </c>
      <c r="AJ484" s="10"/>
    </row>
    <row r="485" spans="1:39" s="21" customFormat="1" hidden="1">
      <c r="A485" s="1" t="s">
        <v>19</v>
      </c>
      <c r="B485" s="1"/>
      <c r="C485" s="1" t="s">
        <v>755</v>
      </c>
      <c r="D485" s="1"/>
      <c r="E485" s="10">
        <v>0</v>
      </c>
      <c r="F485" s="10"/>
      <c r="G485" s="10">
        <v>0</v>
      </c>
      <c r="H485" s="10"/>
      <c r="I485" s="10">
        <v>0</v>
      </c>
      <c r="J485" s="10"/>
      <c r="K485" s="10">
        <v>0</v>
      </c>
      <c r="L485" s="10"/>
      <c r="M485" s="10">
        <v>0</v>
      </c>
      <c r="N485" s="10"/>
      <c r="O485" s="10">
        <v>0</v>
      </c>
      <c r="P485" s="10"/>
      <c r="Q485" s="10">
        <v>0</v>
      </c>
      <c r="R485" s="10"/>
      <c r="S485" s="10">
        <v>0</v>
      </c>
      <c r="T485" s="10"/>
      <c r="U485" s="10">
        <v>0</v>
      </c>
      <c r="V485" s="24"/>
      <c r="W485" s="10">
        <v>0</v>
      </c>
      <c r="X485" s="24"/>
      <c r="Y485" s="10">
        <v>0</v>
      </c>
      <c r="Z485" s="10"/>
      <c r="AA485" s="10">
        <v>0</v>
      </c>
      <c r="AB485" s="10"/>
      <c r="AC485" s="10">
        <v>0</v>
      </c>
      <c r="AD485" s="10"/>
      <c r="AE485" s="10">
        <v>0</v>
      </c>
      <c r="AF485" s="10"/>
      <c r="AG485" s="10">
        <v>0</v>
      </c>
      <c r="AH485" s="10"/>
      <c r="AI485" s="10">
        <f t="shared" si="17"/>
        <v>0</v>
      </c>
      <c r="AJ485" s="10"/>
      <c r="AK485" s="22"/>
      <c r="AL485" s="22"/>
      <c r="AM485" s="22"/>
    </row>
    <row r="486" spans="1:39" hidden="1">
      <c r="A486" s="1" t="s">
        <v>127</v>
      </c>
      <c r="C486" s="1" t="s">
        <v>437</v>
      </c>
      <c r="E486" s="10">
        <v>0</v>
      </c>
      <c r="G486" s="10">
        <v>0</v>
      </c>
      <c r="I486" s="10">
        <v>0</v>
      </c>
      <c r="K486" s="10">
        <v>0</v>
      </c>
      <c r="M486" s="10">
        <v>0</v>
      </c>
      <c r="O486" s="10">
        <v>0</v>
      </c>
      <c r="Q486" s="10">
        <v>0</v>
      </c>
      <c r="S486" s="10">
        <v>0</v>
      </c>
      <c r="U486" s="10">
        <v>0</v>
      </c>
      <c r="V486" s="24"/>
      <c r="W486" s="10">
        <v>0</v>
      </c>
      <c r="X486" s="24"/>
      <c r="Y486" s="10">
        <v>0</v>
      </c>
      <c r="AA486" s="10">
        <v>0</v>
      </c>
      <c r="AC486" s="10">
        <v>0</v>
      </c>
      <c r="AE486" s="10">
        <v>0</v>
      </c>
      <c r="AG486" s="10">
        <v>0</v>
      </c>
      <c r="AI486" s="10">
        <f t="shared" si="17"/>
        <v>0</v>
      </c>
      <c r="AJ486" s="10"/>
    </row>
    <row r="487" spans="1:39" hidden="1">
      <c r="A487" s="1" t="s">
        <v>150</v>
      </c>
      <c r="C487" s="1" t="s">
        <v>796</v>
      </c>
      <c r="E487" s="10">
        <v>0</v>
      </c>
      <c r="G487" s="10">
        <v>0</v>
      </c>
      <c r="I487" s="10">
        <v>0</v>
      </c>
      <c r="K487" s="10">
        <v>0</v>
      </c>
      <c r="M487" s="10">
        <v>0</v>
      </c>
      <c r="O487" s="10">
        <v>0</v>
      </c>
      <c r="Q487" s="10">
        <v>0</v>
      </c>
      <c r="S487" s="10">
        <v>0</v>
      </c>
      <c r="U487" s="10">
        <v>0</v>
      </c>
      <c r="V487" s="24"/>
      <c r="W487" s="10">
        <v>0</v>
      </c>
      <c r="X487" s="24"/>
      <c r="Y487" s="10">
        <v>0</v>
      </c>
      <c r="AA487" s="10">
        <v>0</v>
      </c>
      <c r="AC487" s="10">
        <v>0</v>
      </c>
      <c r="AE487" s="10">
        <v>0</v>
      </c>
      <c r="AG487" s="10">
        <v>0</v>
      </c>
      <c r="AI487" s="10">
        <f t="shared" si="17"/>
        <v>0</v>
      </c>
      <c r="AJ487" s="10"/>
    </row>
    <row r="488" spans="1:39" hidden="1">
      <c r="A488" s="1" t="s">
        <v>181</v>
      </c>
      <c r="C488" s="1" t="s">
        <v>807</v>
      </c>
      <c r="E488" s="10">
        <v>0</v>
      </c>
      <c r="G488" s="10">
        <v>0</v>
      </c>
      <c r="I488" s="10">
        <v>0</v>
      </c>
      <c r="K488" s="10">
        <v>0</v>
      </c>
      <c r="M488" s="10">
        <v>0</v>
      </c>
      <c r="O488" s="10">
        <v>0</v>
      </c>
      <c r="Q488" s="10">
        <v>0</v>
      </c>
      <c r="S488" s="10">
        <v>0</v>
      </c>
      <c r="U488" s="10">
        <v>0</v>
      </c>
      <c r="V488" s="24"/>
      <c r="W488" s="10">
        <v>0</v>
      </c>
      <c r="X488" s="24"/>
      <c r="Y488" s="10">
        <v>0</v>
      </c>
      <c r="AA488" s="10">
        <v>0</v>
      </c>
      <c r="AC488" s="10">
        <v>0</v>
      </c>
      <c r="AE488" s="10">
        <v>0</v>
      </c>
      <c r="AG488" s="10">
        <v>0</v>
      </c>
      <c r="AI488" s="10">
        <f t="shared" si="17"/>
        <v>0</v>
      </c>
      <c r="AJ488" s="10"/>
    </row>
    <row r="489" spans="1:39" hidden="1">
      <c r="A489" s="1" t="s">
        <v>89</v>
      </c>
      <c r="C489" s="1" t="s">
        <v>777</v>
      </c>
      <c r="E489" s="10">
        <v>0</v>
      </c>
      <c r="G489" s="10">
        <v>0</v>
      </c>
      <c r="I489" s="10">
        <v>0</v>
      </c>
      <c r="K489" s="10">
        <v>0</v>
      </c>
      <c r="M489" s="10">
        <v>0</v>
      </c>
      <c r="O489" s="10">
        <v>0</v>
      </c>
      <c r="Q489" s="10">
        <v>0</v>
      </c>
      <c r="S489" s="10">
        <v>0</v>
      </c>
      <c r="U489" s="10">
        <v>0</v>
      </c>
      <c r="V489" s="24"/>
      <c r="W489" s="10">
        <v>0</v>
      </c>
      <c r="X489" s="24"/>
      <c r="Y489" s="10">
        <v>0</v>
      </c>
      <c r="AA489" s="10">
        <v>0</v>
      </c>
      <c r="AC489" s="10">
        <v>0</v>
      </c>
      <c r="AE489" s="10">
        <v>0</v>
      </c>
      <c r="AG489" s="10">
        <v>0</v>
      </c>
      <c r="AI489" s="10">
        <f t="shared" si="17"/>
        <v>0</v>
      </c>
      <c r="AJ489" s="10"/>
    </row>
    <row r="490" spans="1:39" s="21" customFormat="1" hidden="1">
      <c r="A490" s="1" t="s">
        <v>134</v>
      </c>
      <c r="B490" s="1"/>
      <c r="C490" s="1" t="s">
        <v>791</v>
      </c>
      <c r="D490" s="1"/>
      <c r="E490" s="10">
        <v>0</v>
      </c>
      <c r="F490" s="10"/>
      <c r="G490" s="10">
        <v>0</v>
      </c>
      <c r="H490" s="10"/>
      <c r="I490" s="10">
        <v>0</v>
      </c>
      <c r="J490" s="10"/>
      <c r="K490" s="10">
        <v>0</v>
      </c>
      <c r="L490" s="10"/>
      <c r="M490" s="10">
        <v>0</v>
      </c>
      <c r="N490" s="10"/>
      <c r="O490" s="10">
        <v>0</v>
      </c>
      <c r="P490" s="10"/>
      <c r="Q490" s="10">
        <v>0</v>
      </c>
      <c r="R490" s="10"/>
      <c r="S490" s="10">
        <v>0</v>
      </c>
      <c r="T490" s="10"/>
      <c r="U490" s="10">
        <v>0</v>
      </c>
      <c r="V490" s="24"/>
      <c r="W490" s="10">
        <v>0</v>
      </c>
      <c r="X490" s="24"/>
      <c r="Y490" s="10">
        <v>0</v>
      </c>
      <c r="Z490" s="10"/>
      <c r="AA490" s="10">
        <v>0</v>
      </c>
      <c r="AB490" s="10"/>
      <c r="AC490" s="10">
        <v>0</v>
      </c>
      <c r="AD490" s="10"/>
      <c r="AE490" s="10">
        <v>0</v>
      </c>
      <c r="AF490" s="10"/>
      <c r="AG490" s="10">
        <v>0</v>
      </c>
      <c r="AH490" s="10"/>
      <c r="AI490" s="10">
        <f t="shared" si="17"/>
        <v>0</v>
      </c>
      <c r="AJ490" s="10"/>
    </row>
    <row r="491" spans="1:39" hidden="1">
      <c r="A491" s="1" t="s">
        <v>158</v>
      </c>
      <c r="C491" s="1" t="s">
        <v>798</v>
      </c>
      <c r="E491" s="10">
        <v>0</v>
      </c>
      <c r="G491" s="10">
        <v>0</v>
      </c>
      <c r="I491" s="10">
        <v>0</v>
      </c>
      <c r="K491" s="10">
        <v>0</v>
      </c>
      <c r="M491" s="10">
        <v>0</v>
      </c>
      <c r="O491" s="10">
        <v>0</v>
      </c>
      <c r="Q491" s="10">
        <v>0</v>
      </c>
      <c r="S491" s="10">
        <v>0</v>
      </c>
      <c r="U491" s="10">
        <v>0</v>
      </c>
      <c r="V491" s="24"/>
      <c r="W491" s="10">
        <v>0</v>
      </c>
      <c r="X491" s="24"/>
      <c r="Y491" s="10">
        <v>0</v>
      </c>
      <c r="AA491" s="10">
        <v>0</v>
      </c>
      <c r="AC491" s="10">
        <v>0</v>
      </c>
      <c r="AE491" s="10">
        <v>0</v>
      </c>
      <c r="AG491" s="10">
        <v>0</v>
      </c>
      <c r="AI491" s="10">
        <f t="shared" si="17"/>
        <v>0</v>
      </c>
      <c r="AJ491" s="10"/>
    </row>
    <row r="492" spans="1:39">
      <c r="A492" s="1" t="s">
        <v>535</v>
      </c>
      <c r="C492" s="1" t="s">
        <v>534</v>
      </c>
      <c r="E492" s="10">
        <v>1562</v>
      </c>
      <c r="G492" s="10">
        <v>0</v>
      </c>
      <c r="I492" s="10">
        <v>2391</v>
      </c>
      <c r="K492" s="10">
        <v>0</v>
      </c>
      <c r="M492" s="10">
        <v>10200</v>
      </c>
      <c r="O492" s="10">
        <v>1695</v>
      </c>
      <c r="Q492" s="10">
        <v>0</v>
      </c>
      <c r="S492" s="10">
        <v>12170</v>
      </c>
      <c r="U492" s="10">
        <v>0</v>
      </c>
      <c r="W492" s="10">
        <v>0</v>
      </c>
      <c r="Y492" s="10">
        <v>0</v>
      </c>
      <c r="AA492" s="10">
        <v>0</v>
      </c>
      <c r="AC492" s="10">
        <v>0</v>
      </c>
      <c r="AE492" s="10">
        <v>0</v>
      </c>
      <c r="AG492" s="10">
        <v>0</v>
      </c>
      <c r="AI492" s="10">
        <f t="shared" si="17"/>
        <v>28018</v>
      </c>
      <c r="AJ492" s="10"/>
    </row>
    <row r="493" spans="1:39" s="21" customFormat="1" hidden="1">
      <c r="A493" s="1" t="s">
        <v>392</v>
      </c>
      <c r="B493" s="1"/>
      <c r="C493" s="1" t="s">
        <v>388</v>
      </c>
      <c r="D493" s="1"/>
      <c r="E493" s="10">
        <v>0</v>
      </c>
      <c r="F493" s="10"/>
      <c r="G493" s="10">
        <v>0</v>
      </c>
      <c r="H493" s="10"/>
      <c r="I493" s="10">
        <v>0</v>
      </c>
      <c r="J493" s="10"/>
      <c r="K493" s="10">
        <v>0</v>
      </c>
      <c r="L493" s="10"/>
      <c r="M493" s="10">
        <v>0</v>
      </c>
      <c r="N493" s="10"/>
      <c r="O493" s="10">
        <v>0</v>
      </c>
      <c r="P493" s="10"/>
      <c r="Q493" s="10">
        <v>0</v>
      </c>
      <c r="R493" s="10"/>
      <c r="S493" s="10">
        <v>0</v>
      </c>
      <c r="T493" s="10"/>
      <c r="U493" s="10">
        <v>0</v>
      </c>
      <c r="V493" s="24"/>
      <c r="W493" s="10">
        <v>0</v>
      </c>
      <c r="X493" s="24"/>
      <c r="Y493" s="10">
        <v>0</v>
      </c>
      <c r="Z493" s="10"/>
      <c r="AA493" s="10">
        <v>0</v>
      </c>
      <c r="AB493" s="10"/>
      <c r="AC493" s="10">
        <v>0</v>
      </c>
      <c r="AD493" s="10"/>
      <c r="AE493" s="10">
        <v>0</v>
      </c>
      <c r="AF493" s="10"/>
      <c r="AG493" s="10">
        <v>0</v>
      </c>
      <c r="AH493" s="10"/>
      <c r="AI493" s="10">
        <f t="shared" si="17"/>
        <v>0</v>
      </c>
      <c r="AJ493" s="10"/>
    </row>
    <row r="494" spans="1:39" s="21" customFormat="1" hidden="1">
      <c r="A494" s="1"/>
      <c r="B494" s="1"/>
      <c r="C494" s="1"/>
      <c r="D494" s="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24"/>
      <c r="W494" s="10"/>
      <c r="X494" s="24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 t="s">
        <v>869</v>
      </c>
      <c r="AJ494" s="10"/>
    </row>
    <row r="495" spans="1:39" s="54" customFormat="1" hidden="1">
      <c r="A495" s="40" t="s">
        <v>392</v>
      </c>
      <c r="B495" s="40"/>
      <c r="C495" s="40" t="s">
        <v>779</v>
      </c>
      <c r="D495" s="40"/>
      <c r="E495" s="40">
        <v>0</v>
      </c>
      <c r="F495" s="40"/>
      <c r="G495" s="40">
        <v>0</v>
      </c>
      <c r="H495" s="40"/>
      <c r="I495" s="40">
        <v>0</v>
      </c>
      <c r="J495" s="40"/>
      <c r="K495" s="40">
        <v>0</v>
      </c>
      <c r="L495" s="40"/>
      <c r="M495" s="40">
        <v>0</v>
      </c>
      <c r="N495" s="40"/>
      <c r="O495" s="40">
        <v>0</v>
      </c>
      <c r="P495" s="40"/>
      <c r="Q495" s="40">
        <v>0</v>
      </c>
      <c r="R495" s="40"/>
      <c r="S495" s="40">
        <v>0</v>
      </c>
      <c r="T495" s="40"/>
      <c r="U495" s="40">
        <v>0</v>
      </c>
      <c r="V495" s="41"/>
      <c r="W495" s="40">
        <v>0</v>
      </c>
      <c r="X495" s="41"/>
      <c r="Y495" s="40">
        <v>0</v>
      </c>
      <c r="Z495" s="40"/>
      <c r="AA495" s="40">
        <v>0</v>
      </c>
      <c r="AB495" s="40"/>
      <c r="AC495" s="40">
        <v>0</v>
      </c>
      <c r="AD495" s="40"/>
      <c r="AE495" s="40">
        <v>0</v>
      </c>
      <c r="AF495" s="40"/>
      <c r="AG495" s="40">
        <v>0</v>
      </c>
      <c r="AH495" s="40"/>
      <c r="AI495" s="40">
        <f t="shared" ref="AI495:AI526" si="18">SUM(E495:AG495)</f>
        <v>0</v>
      </c>
      <c r="AJ495" s="40"/>
    </row>
    <row r="496" spans="1:39" hidden="1">
      <c r="A496" s="1" t="s">
        <v>228</v>
      </c>
      <c r="C496" s="1" t="s">
        <v>554</v>
      </c>
      <c r="E496" s="10">
        <v>0</v>
      </c>
      <c r="G496" s="10">
        <v>0</v>
      </c>
      <c r="I496" s="10">
        <v>0</v>
      </c>
      <c r="K496" s="10">
        <v>0</v>
      </c>
      <c r="M496" s="10">
        <v>0</v>
      </c>
      <c r="O496" s="10">
        <v>0</v>
      </c>
      <c r="Q496" s="10">
        <v>0</v>
      </c>
      <c r="S496" s="10">
        <v>0</v>
      </c>
      <c r="U496" s="10">
        <v>0</v>
      </c>
      <c r="V496" s="24"/>
      <c r="W496" s="10">
        <v>0</v>
      </c>
      <c r="X496" s="24"/>
      <c r="Y496" s="10">
        <v>0</v>
      </c>
      <c r="AA496" s="10">
        <v>0</v>
      </c>
      <c r="AC496" s="10">
        <v>0</v>
      </c>
      <c r="AE496" s="10">
        <v>0</v>
      </c>
      <c r="AG496" s="10">
        <v>0</v>
      </c>
      <c r="AI496" s="10">
        <f t="shared" si="18"/>
        <v>0</v>
      </c>
      <c r="AJ496" s="10"/>
    </row>
    <row r="497" spans="1:39" hidden="1">
      <c r="A497" s="1" t="s">
        <v>539</v>
      </c>
      <c r="C497" s="1" t="s">
        <v>537</v>
      </c>
      <c r="E497" s="10">
        <v>0</v>
      </c>
      <c r="G497" s="10">
        <v>0</v>
      </c>
      <c r="I497" s="10">
        <v>0</v>
      </c>
      <c r="K497" s="10">
        <v>0</v>
      </c>
      <c r="M497" s="10">
        <v>0</v>
      </c>
      <c r="O497" s="10">
        <v>0</v>
      </c>
      <c r="Q497" s="10">
        <v>0</v>
      </c>
      <c r="S497" s="10">
        <v>0</v>
      </c>
      <c r="U497" s="10">
        <v>0</v>
      </c>
      <c r="V497" s="24"/>
      <c r="W497" s="10">
        <v>0</v>
      </c>
      <c r="X497" s="24"/>
      <c r="Y497" s="10">
        <v>0</v>
      </c>
      <c r="AA497" s="10">
        <v>0</v>
      </c>
      <c r="AC497" s="10">
        <v>0</v>
      </c>
      <c r="AE497" s="10">
        <v>0</v>
      </c>
      <c r="AG497" s="10">
        <v>0</v>
      </c>
      <c r="AI497" s="10">
        <f t="shared" si="18"/>
        <v>0</v>
      </c>
      <c r="AJ497" s="10"/>
    </row>
    <row r="498" spans="1:39" hidden="1">
      <c r="A498" s="1" t="s">
        <v>558</v>
      </c>
      <c r="C498" s="1" t="s">
        <v>554</v>
      </c>
      <c r="E498" s="10">
        <v>0</v>
      </c>
      <c r="G498" s="10">
        <v>0</v>
      </c>
      <c r="I498" s="10">
        <v>0</v>
      </c>
      <c r="K498" s="10">
        <v>0</v>
      </c>
      <c r="M498" s="10">
        <v>0</v>
      </c>
      <c r="O498" s="10">
        <v>0</v>
      </c>
      <c r="Q498" s="10">
        <v>0</v>
      </c>
      <c r="S498" s="10">
        <v>0</v>
      </c>
      <c r="U498" s="10">
        <v>0</v>
      </c>
      <c r="W498" s="10">
        <v>0</v>
      </c>
      <c r="Y498" s="10">
        <v>0</v>
      </c>
      <c r="AA498" s="10">
        <v>0</v>
      </c>
      <c r="AC498" s="10">
        <v>0</v>
      </c>
      <c r="AE498" s="10">
        <v>0</v>
      </c>
      <c r="AG498" s="10">
        <v>0</v>
      </c>
      <c r="AI498" s="10">
        <f t="shared" si="18"/>
        <v>0</v>
      </c>
      <c r="AJ498" s="10"/>
    </row>
    <row r="499" spans="1:39" s="21" customFormat="1" hidden="1">
      <c r="A499" s="1" t="s">
        <v>119</v>
      </c>
      <c r="B499" s="1"/>
      <c r="C499" s="1" t="s">
        <v>786</v>
      </c>
      <c r="D499" s="1"/>
      <c r="E499" s="10">
        <v>0</v>
      </c>
      <c r="F499" s="10"/>
      <c r="G499" s="10">
        <v>0</v>
      </c>
      <c r="H499" s="10"/>
      <c r="I499" s="10">
        <v>0</v>
      </c>
      <c r="J499" s="10"/>
      <c r="K499" s="10">
        <v>0</v>
      </c>
      <c r="L499" s="10"/>
      <c r="M499" s="10">
        <v>0</v>
      </c>
      <c r="N499" s="10"/>
      <c r="O499" s="10">
        <v>0</v>
      </c>
      <c r="P499" s="10"/>
      <c r="Q499" s="10">
        <v>0</v>
      </c>
      <c r="R499" s="10"/>
      <c r="S499" s="10">
        <v>0</v>
      </c>
      <c r="T499" s="10"/>
      <c r="U499" s="10">
        <v>0</v>
      </c>
      <c r="V499" s="24"/>
      <c r="W499" s="10">
        <v>0</v>
      </c>
      <c r="X499" s="24"/>
      <c r="Y499" s="10">
        <v>0</v>
      </c>
      <c r="Z499" s="10"/>
      <c r="AA499" s="10">
        <v>0</v>
      </c>
      <c r="AB499" s="10"/>
      <c r="AC499" s="10">
        <v>0</v>
      </c>
      <c r="AD499" s="10"/>
      <c r="AE499" s="10">
        <v>0</v>
      </c>
      <c r="AF499" s="10"/>
      <c r="AG499" s="10">
        <v>0</v>
      </c>
      <c r="AH499" s="10"/>
      <c r="AI499" s="10">
        <f t="shared" si="18"/>
        <v>0</v>
      </c>
      <c r="AJ499" s="10"/>
    </row>
    <row r="500" spans="1:39" s="10" customFormat="1" hidden="1">
      <c r="A500" s="10" t="s">
        <v>238</v>
      </c>
      <c r="C500" s="10" t="s">
        <v>824</v>
      </c>
      <c r="E500" s="10">
        <v>0</v>
      </c>
      <c r="G500" s="10">
        <v>0</v>
      </c>
      <c r="I500" s="10">
        <v>0</v>
      </c>
      <c r="K500" s="10">
        <v>0</v>
      </c>
      <c r="M500" s="10">
        <v>0</v>
      </c>
      <c r="O500" s="10">
        <v>0</v>
      </c>
      <c r="Q500" s="10">
        <v>0</v>
      </c>
      <c r="S500" s="10">
        <v>0</v>
      </c>
      <c r="U500" s="10">
        <v>0</v>
      </c>
      <c r="V500" s="24"/>
      <c r="W500" s="10">
        <v>0</v>
      </c>
      <c r="X500" s="24"/>
      <c r="Y500" s="10">
        <v>0</v>
      </c>
      <c r="AA500" s="10">
        <v>0</v>
      </c>
      <c r="AC500" s="10">
        <v>0</v>
      </c>
      <c r="AE500" s="10">
        <v>0</v>
      </c>
      <c r="AG500" s="10">
        <v>0</v>
      </c>
      <c r="AI500" s="10">
        <f t="shared" si="18"/>
        <v>0</v>
      </c>
    </row>
    <row r="501" spans="1:39" s="19" customFormat="1" hidden="1">
      <c r="A501" s="10" t="s">
        <v>401</v>
      </c>
      <c r="B501" s="10"/>
      <c r="C501" s="10" t="s">
        <v>396</v>
      </c>
      <c r="D501" s="10"/>
      <c r="E501" s="10">
        <v>0</v>
      </c>
      <c r="F501" s="10"/>
      <c r="G501" s="10">
        <v>0</v>
      </c>
      <c r="H501" s="10"/>
      <c r="I501" s="10">
        <v>0</v>
      </c>
      <c r="J501" s="10"/>
      <c r="K501" s="10">
        <v>0</v>
      </c>
      <c r="L501" s="10"/>
      <c r="M501" s="10">
        <v>0</v>
      </c>
      <c r="N501" s="10"/>
      <c r="O501" s="10">
        <v>0</v>
      </c>
      <c r="P501" s="10"/>
      <c r="Q501" s="10">
        <v>0</v>
      </c>
      <c r="R501" s="10"/>
      <c r="S501" s="10">
        <v>0</v>
      </c>
      <c r="T501" s="10"/>
      <c r="U501" s="10">
        <v>0</v>
      </c>
      <c r="V501" s="24"/>
      <c r="W501" s="10">
        <v>0</v>
      </c>
      <c r="X501" s="24"/>
      <c r="Y501" s="10">
        <v>0</v>
      </c>
      <c r="Z501" s="10"/>
      <c r="AA501" s="10">
        <v>0</v>
      </c>
      <c r="AB501" s="10"/>
      <c r="AC501" s="10">
        <v>0</v>
      </c>
      <c r="AD501" s="10"/>
      <c r="AE501" s="10">
        <v>0</v>
      </c>
      <c r="AF501" s="10"/>
      <c r="AG501" s="10">
        <v>0</v>
      </c>
      <c r="AH501" s="10"/>
      <c r="AI501" s="10">
        <f t="shared" si="18"/>
        <v>0</v>
      </c>
      <c r="AJ501" s="10"/>
    </row>
    <row r="502" spans="1:39" hidden="1">
      <c r="A502" s="1" t="s">
        <v>81</v>
      </c>
      <c r="C502" s="1" t="s">
        <v>775</v>
      </c>
      <c r="E502" s="10">
        <v>0</v>
      </c>
      <c r="G502" s="10">
        <v>0</v>
      </c>
      <c r="I502" s="10">
        <v>0</v>
      </c>
      <c r="K502" s="10">
        <v>0</v>
      </c>
      <c r="M502" s="10">
        <v>0</v>
      </c>
      <c r="O502" s="10">
        <v>0</v>
      </c>
      <c r="Q502" s="10">
        <v>0</v>
      </c>
      <c r="S502" s="10">
        <v>0</v>
      </c>
      <c r="T502" s="24"/>
      <c r="U502" s="10">
        <v>0</v>
      </c>
      <c r="V502" s="24"/>
      <c r="W502" s="10">
        <v>0</v>
      </c>
      <c r="Y502" s="10">
        <v>0</v>
      </c>
      <c r="AA502" s="10">
        <v>0</v>
      </c>
      <c r="AC502" s="10">
        <v>0</v>
      </c>
      <c r="AE502" s="10">
        <v>0</v>
      </c>
      <c r="AG502" s="10">
        <v>0</v>
      </c>
      <c r="AI502" s="10">
        <f t="shared" si="18"/>
        <v>0</v>
      </c>
      <c r="AJ502" s="10"/>
    </row>
    <row r="503" spans="1:39" s="21" customFormat="1" hidden="1">
      <c r="A503" s="1" t="s">
        <v>284</v>
      </c>
      <c r="B503" s="1"/>
      <c r="C503" s="1" t="s">
        <v>283</v>
      </c>
      <c r="D503" s="1"/>
      <c r="E503" s="10">
        <v>0</v>
      </c>
      <c r="F503" s="10"/>
      <c r="G503" s="10">
        <v>0</v>
      </c>
      <c r="H503" s="10"/>
      <c r="I503" s="10">
        <v>0</v>
      </c>
      <c r="J503" s="10"/>
      <c r="K503" s="10">
        <v>0</v>
      </c>
      <c r="L503" s="10"/>
      <c r="M503" s="10">
        <v>0</v>
      </c>
      <c r="N503" s="10"/>
      <c r="O503" s="10">
        <v>0</v>
      </c>
      <c r="P503" s="10"/>
      <c r="Q503" s="10">
        <v>0</v>
      </c>
      <c r="R503" s="10"/>
      <c r="S503" s="10">
        <v>0</v>
      </c>
      <c r="T503" s="10"/>
      <c r="U503" s="10">
        <v>0</v>
      </c>
      <c r="V503" s="24"/>
      <c r="W503" s="10">
        <v>0</v>
      </c>
      <c r="X503" s="24"/>
      <c r="Y503" s="10">
        <v>0</v>
      </c>
      <c r="Z503" s="10"/>
      <c r="AA503" s="10">
        <v>0</v>
      </c>
      <c r="AB503" s="10"/>
      <c r="AC503" s="10">
        <v>0</v>
      </c>
      <c r="AD503" s="10"/>
      <c r="AE503" s="10">
        <v>0</v>
      </c>
      <c r="AF503" s="10"/>
      <c r="AG503" s="10">
        <v>0</v>
      </c>
      <c r="AH503" s="10"/>
      <c r="AI503" s="10">
        <f t="shared" si="18"/>
        <v>0</v>
      </c>
      <c r="AJ503" s="10"/>
      <c r="AK503" s="22"/>
      <c r="AL503" s="22"/>
      <c r="AM503" s="22"/>
    </row>
    <row r="504" spans="1:39" ht="14.25" hidden="1" customHeight="1">
      <c r="A504" s="1" t="s">
        <v>260</v>
      </c>
      <c r="C504" s="1" t="s">
        <v>830</v>
      </c>
      <c r="E504" s="10">
        <v>0</v>
      </c>
      <c r="G504" s="10">
        <v>0</v>
      </c>
      <c r="I504" s="10">
        <v>0</v>
      </c>
      <c r="K504" s="10">
        <v>0</v>
      </c>
      <c r="M504" s="10">
        <v>0</v>
      </c>
      <c r="O504" s="10">
        <v>0</v>
      </c>
      <c r="Q504" s="10">
        <v>0</v>
      </c>
      <c r="S504" s="10">
        <v>0</v>
      </c>
      <c r="U504" s="10">
        <v>0</v>
      </c>
      <c r="V504" s="24"/>
      <c r="W504" s="10">
        <v>0</v>
      </c>
      <c r="X504" s="24"/>
      <c r="Y504" s="10">
        <v>0</v>
      </c>
      <c r="AA504" s="10">
        <v>0</v>
      </c>
      <c r="AC504" s="10">
        <v>0</v>
      </c>
      <c r="AE504" s="10">
        <v>0</v>
      </c>
      <c r="AG504" s="10">
        <v>0</v>
      </c>
      <c r="AI504" s="10">
        <f t="shared" si="18"/>
        <v>0</v>
      </c>
      <c r="AJ504" s="40"/>
    </row>
    <row r="505" spans="1:39" s="21" customFormat="1" ht="14.25" customHeight="1">
      <c r="A505" s="1" t="s">
        <v>356</v>
      </c>
      <c r="B505" s="1"/>
      <c r="C505" s="1" t="s">
        <v>353</v>
      </c>
      <c r="D505" s="1"/>
      <c r="E505" s="10">
        <v>133665</v>
      </c>
      <c r="F505" s="10"/>
      <c r="G505" s="10">
        <v>0</v>
      </c>
      <c r="H505" s="10"/>
      <c r="I505" s="10">
        <v>46839</v>
      </c>
      <c r="J505" s="10"/>
      <c r="K505" s="10">
        <v>0</v>
      </c>
      <c r="L505" s="10"/>
      <c r="M505" s="10">
        <v>0</v>
      </c>
      <c r="N505" s="10"/>
      <c r="O505" s="10">
        <v>548</v>
      </c>
      <c r="P505" s="10"/>
      <c r="Q505" s="10">
        <v>14401</v>
      </c>
      <c r="R505" s="10"/>
      <c r="S505" s="10">
        <v>0</v>
      </c>
      <c r="T505" s="10"/>
      <c r="U505" s="10">
        <v>0</v>
      </c>
      <c r="V505" s="10"/>
      <c r="W505" s="10">
        <v>0</v>
      </c>
      <c r="X505" s="10"/>
      <c r="Y505" s="10">
        <v>0</v>
      </c>
      <c r="Z505" s="10"/>
      <c r="AA505" s="10">
        <v>0</v>
      </c>
      <c r="AB505" s="10"/>
      <c r="AC505" s="10">
        <v>0</v>
      </c>
      <c r="AD505" s="10"/>
      <c r="AE505" s="10">
        <v>0</v>
      </c>
      <c r="AF505" s="10"/>
      <c r="AG505" s="10">
        <v>0</v>
      </c>
      <c r="AH505" s="10"/>
      <c r="AI505" s="10">
        <f t="shared" si="18"/>
        <v>195453</v>
      </c>
      <c r="AJ505" s="10"/>
      <c r="AK505" s="22"/>
      <c r="AL505" s="22"/>
      <c r="AM505" s="22"/>
    </row>
    <row r="506" spans="1:39" s="21" customFormat="1" ht="14.25" customHeight="1">
      <c r="A506" s="1" t="s">
        <v>676</v>
      </c>
      <c r="B506" s="1"/>
      <c r="C506" s="1" t="s">
        <v>677</v>
      </c>
      <c r="D506" s="1"/>
      <c r="E506" s="10">
        <v>112562</v>
      </c>
      <c r="F506" s="10"/>
      <c r="G506" s="10">
        <v>0</v>
      </c>
      <c r="H506" s="10"/>
      <c r="I506" s="10">
        <v>30006</v>
      </c>
      <c r="J506" s="10"/>
      <c r="K506" s="10">
        <v>0</v>
      </c>
      <c r="L506" s="10"/>
      <c r="M506" s="10">
        <v>0</v>
      </c>
      <c r="N506" s="10"/>
      <c r="O506" s="10">
        <v>10483</v>
      </c>
      <c r="P506" s="10"/>
      <c r="Q506" s="10">
        <v>33768</v>
      </c>
      <c r="R506" s="10"/>
      <c r="S506" s="10">
        <v>12918</v>
      </c>
      <c r="T506" s="10"/>
      <c r="U506" s="10">
        <v>0</v>
      </c>
      <c r="V506" s="10"/>
      <c r="W506" s="10">
        <v>0</v>
      </c>
      <c r="X506" s="10"/>
      <c r="Y506" s="10">
        <v>0</v>
      </c>
      <c r="Z506" s="10"/>
      <c r="AA506" s="10">
        <v>0</v>
      </c>
      <c r="AB506" s="10"/>
      <c r="AC506" s="10">
        <v>5520</v>
      </c>
      <c r="AD506" s="10"/>
      <c r="AE506" s="10">
        <v>0</v>
      </c>
      <c r="AF506" s="10"/>
      <c r="AG506" s="10">
        <v>0</v>
      </c>
      <c r="AH506" s="10"/>
      <c r="AI506" s="10">
        <f t="shared" si="18"/>
        <v>205257</v>
      </c>
      <c r="AJ506" s="10"/>
      <c r="AK506" s="22"/>
      <c r="AL506" s="22"/>
      <c r="AM506" s="22"/>
    </row>
    <row r="507" spans="1:39" s="21" customFormat="1" ht="14.25" hidden="1" customHeight="1">
      <c r="A507" s="1" t="s">
        <v>138</v>
      </c>
      <c r="B507" s="1"/>
      <c r="C507" s="1" t="s">
        <v>792</v>
      </c>
      <c r="D507" s="1"/>
      <c r="E507" s="10">
        <v>0</v>
      </c>
      <c r="F507" s="10"/>
      <c r="G507" s="10">
        <v>0</v>
      </c>
      <c r="H507" s="10"/>
      <c r="I507" s="10">
        <v>0</v>
      </c>
      <c r="J507" s="10"/>
      <c r="K507" s="10">
        <v>0</v>
      </c>
      <c r="L507" s="10"/>
      <c r="M507" s="10">
        <v>0</v>
      </c>
      <c r="N507" s="10"/>
      <c r="O507" s="10">
        <v>0</v>
      </c>
      <c r="P507" s="10"/>
      <c r="Q507" s="10">
        <v>0</v>
      </c>
      <c r="R507" s="10"/>
      <c r="S507" s="10">
        <v>0</v>
      </c>
      <c r="T507" s="10"/>
      <c r="U507" s="10">
        <v>0</v>
      </c>
      <c r="V507" s="24"/>
      <c r="W507" s="10">
        <v>0</v>
      </c>
      <c r="X507" s="24"/>
      <c r="Y507" s="10">
        <v>0</v>
      </c>
      <c r="Z507" s="10"/>
      <c r="AA507" s="10">
        <v>0</v>
      </c>
      <c r="AB507" s="10"/>
      <c r="AC507" s="10">
        <v>0</v>
      </c>
      <c r="AD507" s="10"/>
      <c r="AE507" s="10">
        <v>0</v>
      </c>
      <c r="AF507" s="10"/>
      <c r="AG507" s="10">
        <v>0</v>
      </c>
      <c r="AH507" s="10"/>
      <c r="AI507" s="10">
        <f t="shared" si="18"/>
        <v>0</v>
      </c>
      <c r="AJ507" s="10"/>
    </row>
    <row r="508" spans="1:39" s="21" customFormat="1" ht="14.25" customHeight="1">
      <c r="A508" s="1" t="s">
        <v>678</v>
      </c>
      <c r="B508" s="1"/>
      <c r="C508" s="1" t="s">
        <v>677</v>
      </c>
      <c r="D508" s="1"/>
      <c r="E508" s="10">
        <v>22000</v>
      </c>
      <c r="F508" s="10"/>
      <c r="G508" s="10">
        <v>75423</v>
      </c>
      <c r="H508" s="10"/>
      <c r="I508" s="10">
        <v>29028</v>
      </c>
      <c r="J508" s="10"/>
      <c r="K508" s="10">
        <v>0</v>
      </c>
      <c r="L508" s="10"/>
      <c r="M508" s="10">
        <v>0</v>
      </c>
      <c r="N508" s="10"/>
      <c r="O508" s="10">
        <v>83</v>
      </c>
      <c r="P508" s="10"/>
      <c r="Q508" s="10">
        <v>9054</v>
      </c>
      <c r="R508" s="10"/>
      <c r="S508" s="10">
        <v>5576</v>
      </c>
      <c r="T508" s="10"/>
      <c r="U508" s="10">
        <v>0</v>
      </c>
      <c r="V508" s="10"/>
      <c r="W508" s="10">
        <v>0</v>
      </c>
      <c r="X508" s="10"/>
      <c r="Y508" s="10">
        <v>0</v>
      </c>
      <c r="Z508" s="10"/>
      <c r="AA508" s="10">
        <v>0</v>
      </c>
      <c r="AB508" s="10"/>
      <c r="AC508" s="10">
        <v>0</v>
      </c>
      <c r="AD508" s="10"/>
      <c r="AE508" s="10">
        <v>0</v>
      </c>
      <c r="AF508" s="10"/>
      <c r="AG508" s="10">
        <v>0</v>
      </c>
      <c r="AH508" s="10"/>
      <c r="AI508" s="10">
        <f t="shared" si="18"/>
        <v>141164</v>
      </c>
      <c r="AJ508" s="10"/>
      <c r="AK508" s="22"/>
      <c r="AL508" s="22"/>
      <c r="AM508" s="22"/>
    </row>
    <row r="509" spans="1:39" ht="14.25" hidden="1" customHeight="1">
      <c r="A509" s="1" t="s">
        <v>471</v>
      </c>
      <c r="C509" s="1" t="s">
        <v>469</v>
      </c>
      <c r="E509" s="10">
        <v>0</v>
      </c>
      <c r="G509" s="10">
        <v>0</v>
      </c>
      <c r="I509" s="10">
        <v>0</v>
      </c>
      <c r="K509" s="10">
        <v>0</v>
      </c>
      <c r="M509" s="10">
        <v>0</v>
      </c>
      <c r="O509" s="10">
        <v>0</v>
      </c>
      <c r="Q509" s="10">
        <v>0</v>
      </c>
      <c r="S509" s="10">
        <v>0</v>
      </c>
      <c r="U509" s="10">
        <v>0</v>
      </c>
      <c r="V509" s="24"/>
      <c r="W509" s="10">
        <v>0</v>
      </c>
      <c r="X509" s="24"/>
      <c r="Y509" s="10">
        <v>0</v>
      </c>
      <c r="AA509" s="10">
        <v>0</v>
      </c>
      <c r="AC509" s="10">
        <v>0</v>
      </c>
      <c r="AE509" s="10">
        <v>0</v>
      </c>
      <c r="AG509" s="10">
        <v>0</v>
      </c>
      <c r="AI509" s="10">
        <f t="shared" si="18"/>
        <v>0</v>
      </c>
      <c r="AJ509" s="10"/>
    </row>
    <row r="510" spans="1:39" ht="14.25" customHeight="1">
      <c r="A510" s="1" t="s">
        <v>836</v>
      </c>
      <c r="C510" s="1" t="s">
        <v>807</v>
      </c>
      <c r="E510" s="10">
        <v>9102</v>
      </c>
      <c r="G510" s="10">
        <v>0</v>
      </c>
      <c r="I510" s="10">
        <v>24217</v>
      </c>
      <c r="K510" s="10">
        <v>0</v>
      </c>
      <c r="M510" s="10">
        <v>1938</v>
      </c>
      <c r="O510" s="10">
        <v>48</v>
      </c>
      <c r="Q510" s="10">
        <v>31</v>
      </c>
      <c r="S510" s="10">
        <v>1112</v>
      </c>
      <c r="U510" s="10">
        <v>0</v>
      </c>
      <c r="W510" s="10">
        <v>0</v>
      </c>
      <c r="Y510" s="10">
        <v>0</v>
      </c>
      <c r="AA510" s="10">
        <v>0</v>
      </c>
      <c r="AC510" s="10">
        <v>0</v>
      </c>
      <c r="AE510" s="10">
        <v>0</v>
      </c>
      <c r="AG510" s="10">
        <v>0</v>
      </c>
      <c r="AI510" s="10">
        <f t="shared" si="18"/>
        <v>36448</v>
      </c>
      <c r="AJ510" s="10"/>
    </row>
    <row r="511" spans="1:39" s="21" customFormat="1" ht="14.25" hidden="1" customHeight="1">
      <c r="A511" s="1" t="s">
        <v>45</v>
      </c>
      <c r="B511" s="1"/>
      <c r="C511" s="1" t="s">
        <v>763</v>
      </c>
      <c r="D511" s="1"/>
      <c r="E511" s="10">
        <v>0</v>
      </c>
      <c r="F511" s="10"/>
      <c r="G511" s="10">
        <v>0</v>
      </c>
      <c r="H511" s="10"/>
      <c r="I511" s="10">
        <v>0</v>
      </c>
      <c r="J511" s="10"/>
      <c r="K511" s="10">
        <v>0</v>
      </c>
      <c r="L511" s="10"/>
      <c r="M511" s="10">
        <v>0</v>
      </c>
      <c r="N511" s="10"/>
      <c r="O511" s="10">
        <v>0</v>
      </c>
      <c r="P511" s="10"/>
      <c r="Q511" s="10">
        <v>0</v>
      </c>
      <c r="R511" s="10"/>
      <c r="S511" s="10">
        <v>0</v>
      </c>
      <c r="T511" s="10"/>
      <c r="U511" s="10">
        <v>0</v>
      </c>
      <c r="V511" s="24"/>
      <c r="W511" s="10">
        <v>0</v>
      </c>
      <c r="X511" s="24"/>
      <c r="Y511" s="10">
        <v>0</v>
      </c>
      <c r="Z511" s="10"/>
      <c r="AA511" s="10">
        <v>0</v>
      </c>
      <c r="AB511" s="10"/>
      <c r="AC511" s="10">
        <v>0</v>
      </c>
      <c r="AD511" s="10"/>
      <c r="AE511" s="10">
        <v>0</v>
      </c>
      <c r="AF511" s="10"/>
      <c r="AG511" s="10">
        <v>0</v>
      </c>
      <c r="AH511" s="10"/>
      <c r="AI511" s="10">
        <f t="shared" si="18"/>
        <v>0</v>
      </c>
      <c r="AJ511" s="10"/>
      <c r="AK511" s="22"/>
      <c r="AL511" s="22"/>
      <c r="AM511" s="22"/>
    </row>
    <row r="512" spans="1:39">
      <c r="A512" s="1" t="s">
        <v>837</v>
      </c>
      <c r="C512" s="1" t="s">
        <v>665</v>
      </c>
      <c r="E512" s="10">
        <v>2293</v>
      </c>
      <c r="G512" s="10">
        <v>0</v>
      </c>
      <c r="I512" s="10">
        <v>1644</v>
      </c>
      <c r="K512" s="10">
        <v>0</v>
      </c>
      <c r="M512" s="10">
        <v>0</v>
      </c>
      <c r="O512" s="10">
        <v>0</v>
      </c>
      <c r="Q512" s="10">
        <v>0</v>
      </c>
      <c r="S512" s="10">
        <v>0</v>
      </c>
      <c r="U512" s="10">
        <v>0</v>
      </c>
      <c r="W512" s="10">
        <v>0</v>
      </c>
      <c r="Y512" s="10">
        <v>0</v>
      </c>
      <c r="AA512" s="10">
        <v>0</v>
      </c>
      <c r="AC512" s="10">
        <v>0</v>
      </c>
      <c r="AE512" s="10">
        <v>0</v>
      </c>
      <c r="AG512" s="10">
        <v>0</v>
      </c>
      <c r="AI512" s="10">
        <f t="shared" si="18"/>
        <v>3937</v>
      </c>
      <c r="AJ512" s="10"/>
    </row>
    <row r="513" spans="1:39" hidden="1">
      <c r="A513" s="1" t="s">
        <v>492</v>
      </c>
      <c r="C513" s="1" t="s">
        <v>488</v>
      </c>
      <c r="E513" s="10">
        <v>0</v>
      </c>
      <c r="G513" s="10">
        <v>0</v>
      </c>
      <c r="I513" s="10">
        <v>0</v>
      </c>
      <c r="K513" s="10">
        <v>0</v>
      </c>
      <c r="M513" s="10">
        <v>0</v>
      </c>
      <c r="O513" s="10">
        <v>0</v>
      </c>
      <c r="Q513" s="10">
        <v>0</v>
      </c>
      <c r="S513" s="10">
        <v>0</v>
      </c>
      <c r="U513" s="10">
        <v>0</v>
      </c>
      <c r="V513" s="24"/>
      <c r="W513" s="10">
        <v>0</v>
      </c>
      <c r="X513" s="24"/>
      <c r="Y513" s="10">
        <v>0</v>
      </c>
      <c r="AA513" s="10">
        <v>0</v>
      </c>
      <c r="AC513" s="10">
        <v>0</v>
      </c>
      <c r="AE513" s="10">
        <v>0</v>
      </c>
      <c r="AG513" s="10">
        <v>0</v>
      </c>
      <c r="AI513" s="10">
        <f t="shared" si="18"/>
        <v>0</v>
      </c>
      <c r="AJ513" s="10"/>
    </row>
    <row r="514" spans="1:39" s="21" customFormat="1">
      <c r="A514" s="1" t="s">
        <v>336</v>
      </c>
      <c r="B514" s="1"/>
      <c r="C514" s="1" t="s">
        <v>329</v>
      </c>
      <c r="D514" s="1"/>
      <c r="E514" s="10">
        <v>9414</v>
      </c>
      <c r="F514" s="10"/>
      <c r="G514" s="10">
        <v>0</v>
      </c>
      <c r="H514" s="10"/>
      <c r="I514" s="10">
        <v>34017</v>
      </c>
      <c r="J514" s="10"/>
      <c r="K514" s="10">
        <v>0</v>
      </c>
      <c r="L514" s="10"/>
      <c r="M514" s="10">
        <v>0</v>
      </c>
      <c r="N514" s="10"/>
      <c r="O514" s="10">
        <v>150</v>
      </c>
      <c r="P514" s="10"/>
      <c r="Q514" s="10">
        <v>94</v>
      </c>
      <c r="R514" s="10"/>
      <c r="S514" s="10">
        <v>1943</v>
      </c>
      <c r="T514" s="10"/>
      <c r="U514" s="10">
        <v>0</v>
      </c>
      <c r="V514" s="10"/>
      <c r="W514" s="10">
        <v>0</v>
      </c>
      <c r="X514" s="10"/>
      <c r="Y514" s="10">
        <v>0</v>
      </c>
      <c r="Z514" s="10"/>
      <c r="AA514" s="10">
        <v>2072</v>
      </c>
      <c r="AB514" s="10"/>
      <c r="AC514" s="10">
        <v>0</v>
      </c>
      <c r="AD514" s="10"/>
      <c r="AE514" s="10">
        <v>0</v>
      </c>
      <c r="AF514" s="10"/>
      <c r="AG514" s="10">
        <v>0</v>
      </c>
      <c r="AH514" s="10"/>
      <c r="AI514" s="10">
        <f t="shared" si="18"/>
        <v>47690</v>
      </c>
      <c r="AJ514" s="10"/>
      <c r="AK514" s="22"/>
      <c r="AL514" s="22"/>
      <c r="AM514" s="22"/>
    </row>
    <row r="515" spans="1:39" s="21" customFormat="1">
      <c r="A515" s="1" t="s">
        <v>922</v>
      </c>
      <c r="B515" s="1"/>
      <c r="C515" s="1" t="s">
        <v>565</v>
      </c>
      <c r="D515" s="1"/>
      <c r="E515" s="10">
        <v>16582</v>
      </c>
      <c r="F515" s="10"/>
      <c r="G515" s="10">
        <v>13695</v>
      </c>
      <c r="H515" s="10"/>
      <c r="I515" s="10">
        <v>10930</v>
      </c>
      <c r="J515" s="10"/>
      <c r="K515" s="10">
        <v>0</v>
      </c>
      <c r="L515" s="10"/>
      <c r="M515" s="10">
        <v>250</v>
      </c>
      <c r="N515" s="10"/>
      <c r="O515" s="10">
        <v>142</v>
      </c>
      <c r="P515" s="10"/>
      <c r="Q515" s="10">
        <v>194</v>
      </c>
      <c r="R515" s="10"/>
      <c r="S515" s="10">
        <v>6742</v>
      </c>
      <c r="T515" s="10"/>
      <c r="U515" s="10">
        <v>0</v>
      </c>
      <c r="V515" s="24"/>
      <c r="W515" s="10">
        <v>0</v>
      </c>
      <c r="X515" s="24"/>
      <c r="Y515" s="10">
        <v>0</v>
      </c>
      <c r="Z515" s="10"/>
      <c r="AA515" s="10">
        <v>0</v>
      </c>
      <c r="AB515" s="10"/>
      <c r="AC515" s="10">
        <v>0</v>
      </c>
      <c r="AD515" s="10"/>
      <c r="AE515" s="10">
        <v>0</v>
      </c>
      <c r="AF515" s="10"/>
      <c r="AG515" s="10">
        <v>0</v>
      </c>
      <c r="AH515" s="10"/>
      <c r="AI515" s="10">
        <f t="shared" si="18"/>
        <v>48535</v>
      </c>
      <c r="AJ515" s="10"/>
    </row>
    <row r="516" spans="1:39" s="21" customFormat="1" hidden="1">
      <c r="A516" s="1" t="s">
        <v>860</v>
      </c>
      <c r="B516" s="1"/>
      <c r="C516" s="1" t="s">
        <v>791</v>
      </c>
      <c r="D516" s="1"/>
      <c r="E516" s="10">
        <v>0</v>
      </c>
      <c r="F516" s="10"/>
      <c r="G516" s="10">
        <v>0</v>
      </c>
      <c r="H516" s="10"/>
      <c r="I516" s="10">
        <v>0</v>
      </c>
      <c r="J516" s="10"/>
      <c r="K516" s="10">
        <v>0</v>
      </c>
      <c r="L516" s="10"/>
      <c r="M516" s="10">
        <v>0</v>
      </c>
      <c r="N516" s="10"/>
      <c r="O516" s="10">
        <v>0</v>
      </c>
      <c r="P516" s="10"/>
      <c r="Q516" s="10">
        <v>0</v>
      </c>
      <c r="R516" s="10"/>
      <c r="S516" s="10">
        <v>0</v>
      </c>
      <c r="T516" s="10"/>
      <c r="U516" s="10">
        <v>0</v>
      </c>
      <c r="V516" s="24"/>
      <c r="W516" s="10">
        <v>0</v>
      </c>
      <c r="X516" s="24"/>
      <c r="Y516" s="10">
        <v>0</v>
      </c>
      <c r="Z516" s="10"/>
      <c r="AA516" s="10">
        <v>0</v>
      </c>
      <c r="AB516" s="10"/>
      <c r="AC516" s="10">
        <v>0</v>
      </c>
      <c r="AD516" s="10"/>
      <c r="AE516" s="10">
        <v>0</v>
      </c>
      <c r="AF516" s="10"/>
      <c r="AG516" s="10">
        <v>0</v>
      </c>
      <c r="AH516" s="10"/>
      <c r="AI516" s="10">
        <f t="shared" si="18"/>
        <v>0</v>
      </c>
      <c r="AJ516" s="10"/>
    </row>
    <row r="517" spans="1:39" s="21" customFormat="1" hidden="1">
      <c r="A517" s="1" t="s">
        <v>65</v>
      </c>
      <c r="B517" s="1"/>
      <c r="C517" s="1" t="s">
        <v>771</v>
      </c>
      <c r="D517" s="1"/>
      <c r="E517" s="10">
        <v>0</v>
      </c>
      <c r="F517" s="10"/>
      <c r="G517" s="10">
        <v>0</v>
      </c>
      <c r="H517" s="10"/>
      <c r="I517" s="10">
        <v>0</v>
      </c>
      <c r="J517" s="10"/>
      <c r="K517" s="10">
        <v>0</v>
      </c>
      <c r="L517" s="10"/>
      <c r="M517" s="10">
        <v>0</v>
      </c>
      <c r="N517" s="10"/>
      <c r="O517" s="10">
        <v>0</v>
      </c>
      <c r="P517" s="10"/>
      <c r="Q517" s="10">
        <v>0</v>
      </c>
      <c r="R517" s="10"/>
      <c r="S517" s="10">
        <v>0</v>
      </c>
      <c r="T517" s="10"/>
      <c r="U517" s="10">
        <v>0</v>
      </c>
      <c r="V517" s="24"/>
      <c r="W517" s="10">
        <v>0</v>
      </c>
      <c r="X517" s="24"/>
      <c r="Y517" s="10">
        <v>0</v>
      </c>
      <c r="Z517" s="10"/>
      <c r="AA517" s="10">
        <v>0</v>
      </c>
      <c r="AB517" s="10"/>
      <c r="AC517" s="10">
        <v>0</v>
      </c>
      <c r="AD517" s="10"/>
      <c r="AE517" s="10">
        <v>0</v>
      </c>
      <c r="AF517" s="10"/>
      <c r="AG517" s="10">
        <v>0</v>
      </c>
      <c r="AH517" s="10"/>
      <c r="AI517" s="10">
        <f t="shared" si="18"/>
        <v>0</v>
      </c>
      <c r="AJ517" s="10"/>
      <c r="AK517" s="22"/>
      <c r="AL517" s="22"/>
      <c r="AM517" s="22"/>
    </row>
    <row r="518" spans="1:39" s="21" customFormat="1" hidden="1">
      <c r="A518" s="1" t="s">
        <v>448</v>
      </c>
      <c r="B518" s="1"/>
      <c r="C518" s="1" t="s">
        <v>447</v>
      </c>
      <c r="D518" s="1"/>
      <c r="E518" s="10">
        <v>0</v>
      </c>
      <c r="F518" s="10"/>
      <c r="G518" s="10">
        <v>0</v>
      </c>
      <c r="H518" s="10"/>
      <c r="I518" s="10">
        <v>0</v>
      </c>
      <c r="J518" s="10"/>
      <c r="K518" s="10">
        <v>0</v>
      </c>
      <c r="L518" s="10"/>
      <c r="M518" s="10">
        <v>0</v>
      </c>
      <c r="N518" s="10"/>
      <c r="O518" s="10">
        <v>0</v>
      </c>
      <c r="P518" s="10"/>
      <c r="Q518" s="10">
        <v>0</v>
      </c>
      <c r="R518" s="10"/>
      <c r="S518" s="10">
        <v>0</v>
      </c>
      <c r="T518" s="10"/>
      <c r="U518" s="10">
        <v>0</v>
      </c>
      <c r="V518" s="24"/>
      <c r="W518" s="10">
        <v>0</v>
      </c>
      <c r="X518" s="24"/>
      <c r="Y518" s="10">
        <v>0</v>
      </c>
      <c r="Z518" s="10"/>
      <c r="AA518" s="10">
        <v>0</v>
      </c>
      <c r="AB518" s="10"/>
      <c r="AC518" s="10">
        <v>0</v>
      </c>
      <c r="AD518" s="10"/>
      <c r="AE518" s="10">
        <v>0</v>
      </c>
      <c r="AF518" s="10"/>
      <c r="AG518" s="10">
        <v>0</v>
      </c>
      <c r="AH518" s="10"/>
      <c r="AI518" s="10">
        <f t="shared" si="18"/>
        <v>0</v>
      </c>
      <c r="AJ518" s="10"/>
    </row>
    <row r="519" spans="1:39">
      <c r="A519" s="15" t="s">
        <v>543</v>
      </c>
      <c r="B519" s="15"/>
      <c r="C519" s="15" t="s">
        <v>541</v>
      </c>
      <c r="D519" s="15"/>
      <c r="E519" s="10">
        <v>21192</v>
      </c>
      <c r="F519" s="24"/>
      <c r="G519" s="10">
        <v>259475</v>
      </c>
      <c r="H519" s="24"/>
      <c r="I519" s="10">
        <v>41090</v>
      </c>
      <c r="J519" s="24"/>
      <c r="K519" s="10">
        <v>0</v>
      </c>
      <c r="L519" s="24"/>
      <c r="M519" s="10">
        <v>0</v>
      </c>
      <c r="N519" s="24"/>
      <c r="O519" s="10">
        <v>1978</v>
      </c>
      <c r="P519" s="24"/>
      <c r="Q519" s="10">
        <v>29493</v>
      </c>
      <c r="R519" s="24"/>
      <c r="S519" s="10">
        <v>6456</v>
      </c>
      <c r="T519" s="24"/>
      <c r="U519" s="10">
        <v>0</v>
      </c>
      <c r="V519" s="24"/>
      <c r="W519" s="10">
        <v>0</v>
      </c>
      <c r="X519" s="24"/>
      <c r="Y519" s="10">
        <v>0</v>
      </c>
      <c r="Z519" s="24"/>
      <c r="AA519" s="10">
        <v>130913</v>
      </c>
      <c r="AB519" s="24"/>
      <c r="AC519" s="10">
        <v>0</v>
      </c>
      <c r="AD519" s="24"/>
      <c r="AE519" s="10">
        <v>0</v>
      </c>
      <c r="AF519" s="24"/>
      <c r="AG519" s="10">
        <v>0</v>
      </c>
      <c r="AH519" s="24"/>
      <c r="AI519" s="10">
        <f t="shared" si="18"/>
        <v>490597</v>
      </c>
      <c r="AJ519" s="10"/>
    </row>
    <row r="520" spans="1:39" hidden="1">
      <c r="A520" s="1" t="s">
        <v>711</v>
      </c>
      <c r="C520" s="1" t="s">
        <v>467</v>
      </c>
      <c r="E520" s="10">
        <v>0</v>
      </c>
      <c r="G520" s="10">
        <v>0</v>
      </c>
      <c r="I520" s="10">
        <v>0</v>
      </c>
      <c r="K520" s="10">
        <v>0</v>
      </c>
      <c r="M520" s="10">
        <v>0</v>
      </c>
      <c r="O520" s="10">
        <v>0</v>
      </c>
      <c r="Q520" s="10">
        <v>0</v>
      </c>
      <c r="S520" s="10">
        <v>0</v>
      </c>
      <c r="U520" s="10">
        <v>0</v>
      </c>
      <c r="V520" s="24"/>
      <c r="W520" s="10">
        <v>0</v>
      </c>
      <c r="X520" s="24"/>
      <c r="Y520" s="10">
        <v>0</v>
      </c>
      <c r="AA520" s="10">
        <v>0</v>
      </c>
      <c r="AC520" s="10">
        <v>0</v>
      </c>
      <c r="AE520" s="10">
        <v>0</v>
      </c>
      <c r="AG520" s="10">
        <v>0</v>
      </c>
      <c r="AI520" s="10">
        <f t="shared" si="18"/>
        <v>0</v>
      </c>
      <c r="AJ520" s="10"/>
    </row>
    <row r="521" spans="1:39" hidden="1">
      <c r="A521" s="1" t="s">
        <v>304</v>
      </c>
      <c r="C521" s="1" t="s">
        <v>299</v>
      </c>
      <c r="E521" s="10">
        <v>0</v>
      </c>
      <c r="G521" s="10">
        <v>0</v>
      </c>
      <c r="I521" s="10">
        <v>0</v>
      </c>
      <c r="K521" s="10">
        <v>0</v>
      </c>
      <c r="M521" s="10">
        <v>0</v>
      </c>
      <c r="O521" s="10">
        <v>0</v>
      </c>
      <c r="Q521" s="10">
        <v>0</v>
      </c>
      <c r="S521" s="10">
        <v>0</v>
      </c>
      <c r="U521" s="10">
        <v>0</v>
      </c>
      <c r="V521" s="24"/>
      <c r="W521" s="10">
        <v>0</v>
      </c>
      <c r="X521" s="24"/>
      <c r="Y521" s="10">
        <v>0</v>
      </c>
      <c r="AA521" s="10">
        <v>0</v>
      </c>
      <c r="AC521" s="10">
        <v>0</v>
      </c>
      <c r="AE521" s="10">
        <v>0</v>
      </c>
      <c r="AG521" s="10">
        <v>0</v>
      </c>
      <c r="AI521" s="10">
        <f t="shared" si="18"/>
        <v>0</v>
      </c>
      <c r="AJ521" s="10"/>
      <c r="AK521" s="7"/>
      <c r="AL521" s="7"/>
      <c r="AM521" s="7"/>
    </row>
    <row r="522" spans="1:39" hidden="1">
      <c r="A522" s="1" t="s">
        <v>161</v>
      </c>
      <c r="C522" s="1" t="s">
        <v>799</v>
      </c>
      <c r="E522" s="10">
        <v>0</v>
      </c>
      <c r="G522" s="10">
        <v>0</v>
      </c>
      <c r="I522" s="10">
        <v>0</v>
      </c>
      <c r="K522" s="10">
        <v>0</v>
      </c>
      <c r="M522" s="10">
        <v>0</v>
      </c>
      <c r="O522" s="10">
        <v>0</v>
      </c>
      <c r="Q522" s="10">
        <v>0</v>
      </c>
      <c r="S522" s="10">
        <v>0</v>
      </c>
      <c r="U522" s="10">
        <v>0</v>
      </c>
      <c r="V522" s="24"/>
      <c r="W522" s="10">
        <v>0</v>
      </c>
      <c r="X522" s="24"/>
      <c r="Y522" s="10">
        <v>0</v>
      </c>
      <c r="AA522" s="10">
        <v>0</v>
      </c>
      <c r="AC522" s="10">
        <v>0</v>
      </c>
      <c r="AE522" s="10">
        <v>0</v>
      </c>
      <c r="AG522" s="10">
        <v>0</v>
      </c>
      <c r="AI522" s="10">
        <f t="shared" si="18"/>
        <v>0</v>
      </c>
      <c r="AJ522" s="10"/>
    </row>
    <row r="523" spans="1:39" hidden="1">
      <c r="A523" s="1" t="s">
        <v>46</v>
      </c>
      <c r="C523" s="1" t="s">
        <v>763</v>
      </c>
      <c r="E523" s="10">
        <v>0</v>
      </c>
      <c r="G523" s="10">
        <v>0</v>
      </c>
      <c r="I523" s="10">
        <v>0</v>
      </c>
      <c r="K523" s="10">
        <v>0</v>
      </c>
      <c r="M523" s="10">
        <v>0</v>
      </c>
      <c r="O523" s="10">
        <v>0</v>
      </c>
      <c r="Q523" s="10">
        <v>0</v>
      </c>
      <c r="S523" s="10">
        <v>0</v>
      </c>
      <c r="U523" s="10">
        <v>0</v>
      </c>
      <c r="V523" s="24"/>
      <c r="W523" s="10">
        <v>0</v>
      </c>
      <c r="X523" s="24"/>
      <c r="Y523" s="10">
        <v>0</v>
      </c>
      <c r="AA523" s="10">
        <v>0</v>
      </c>
      <c r="AC523" s="10">
        <v>0</v>
      </c>
      <c r="AE523" s="10">
        <v>0</v>
      </c>
      <c r="AG523" s="10">
        <v>0</v>
      </c>
      <c r="AI523" s="10">
        <f t="shared" si="18"/>
        <v>0</v>
      </c>
      <c r="AJ523" s="10"/>
      <c r="AK523" s="7"/>
      <c r="AL523" s="7"/>
      <c r="AM523" s="7"/>
    </row>
    <row r="524" spans="1:39" hidden="1">
      <c r="A524" s="1" t="s">
        <v>25</v>
      </c>
      <c r="C524" s="1" t="s">
        <v>756</v>
      </c>
      <c r="E524" s="10">
        <v>0</v>
      </c>
      <c r="G524" s="10">
        <v>0</v>
      </c>
      <c r="I524" s="10">
        <v>0</v>
      </c>
      <c r="K524" s="10">
        <v>0</v>
      </c>
      <c r="M524" s="10">
        <v>0</v>
      </c>
      <c r="O524" s="10">
        <v>0</v>
      </c>
      <c r="Q524" s="10">
        <v>0</v>
      </c>
      <c r="S524" s="10">
        <v>0</v>
      </c>
      <c r="U524" s="10">
        <v>0</v>
      </c>
      <c r="V524" s="24"/>
      <c r="W524" s="10">
        <v>0</v>
      </c>
      <c r="X524" s="24"/>
      <c r="Y524" s="10">
        <v>0</v>
      </c>
      <c r="AA524" s="10">
        <v>0</v>
      </c>
      <c r="AC524" s="10">
        <v>0</v>
      </c>
      <c r="AE524" s="10">
        <v>0</v>
      </c>
      <c r="AG524" s="10">
        <v>0</v>
      </c>
      <c r="AI524" s="10">
        <f t="shared" si="18"/>
        <v>0</v>
      </c>
      <c r="AJ524" s="10"/>
      <c r="AK524" s="7"/>
      <c r="AL524" s="7"/>
      <c r="AM524" s="7"/>
    </row>
    <row r="525" spans="1:39" s="21" customFormat="1">
      <c r="A525" s="1" t="s">
        <v>679</v>
      </c>
      <c r="B525" s="1"/>
      <c r="C525" s="1" t="s">
        <v>672</v>
      </c>
      <c r="D525" s="1"/>
      <c r="E525" s="10">
        <v>6803</v>
      </c>
      <c r="F525" s="10"/>
      <c r="G525" s="10">
        <v>0</v>
      </c>
      <c r="H525" s="10"/>
      <c r="I525" s="10">
        <v>37616</v>
      </c>
      <c r="J525" s="10"/>
      <c r="K525" s="10">
        <v>0</v>
      </c>
      <c r="L525" s="10"/>
      <c r="M525" s="10">
        <v>0</v>
      </c>
      <c r="N525" s="10"/>
      <c r="O525" s="10">
        <v>4935</v>
      </c>
      <c r="P525" s="10"/>
      <c r="Q525" s="10">
        <v>2215</v>
      </c>
      <c r="R525" s="10"/>
      <c r="S525" s="10">
        <v>298</v>
      </c>
      <c r="T525" s="10"/>
      <c r="U525" s="10">
        <v>0</v>
      </c>
      <c r="V525" s="10"/>
      <c r="W525" s="10">
        <v>0</v>
      </c>
      <c r="X525" s="10"/>
      <c r="Y525" s="10">
        <v>0</v>
      </c>
      <c r="Z525" s="10"/>
      <c r="AA525" s="10">
        <v>0</v>
      </c>
      <c r="AB525" s="10"/>
      <c r="AC525" s="10">
        <v>0</v>
      </c>
      <c r="AD525" s="10"/>
      <c r="AE525" s="10">
        <v>0</v>
      </c>
      <c r="AF525" s="10"/>
      <c r="AG525" s="10">
        <v>0</v>
      </c>
      <c r="AH525" s="10"/>
      <c r="AI525" s="10">
        <f t="shared" si="18"/>
        <v>51867</v>
      </c>
      <c r="AJ525" s="10"/>
      <c r="AK525" s="22"/>
      <c r="AL525" s="22"/>
      <c r="AM525" s="22"/>
    </row>
    <row r="526" spans="1:39" s="21" customFormat="1">
      <c r="A526" s="1" t="s">
        <v>406</v>
      </c>
      <c r="B526" s="1"/>
      <c r="C526" s="1" t="s">
        <v>403</v>
      </c>
      <c r="D526" s="1"/>
      <c r="E526" s="10">
        <v>34847</v>
      </c>
      <c r="F526" s="10"/>
      <c r="G526" s="10">
        <v>14458</v>
      </c>
      <c r="H526" s="10"/>
      <c r="I526" s="10">
        <v>24497</v>
      </c>
      <c r="J526" s="10"/>
      <c r="K526" s="10">
        <v>0</v>
      </c>
      <c r="L526" s="10"/>
      <c r="M526" s="10">
        <v>0</v>
      </c>
      <c r="N526" s="10"/>
      <c r="O526" s="10">
        <v>630</v>
      </c>
      <c r="P526" s="10"/>
      <c r="Q526" s="10">
        <v>3892</v>
      </c>
      <c r="R526" s="10"/>
      <c r="S526" s="10">
        <v>3363</v>
      </c>
      <c r="T526" s="10"/>
      <c r="U526" s="10">
        <v>0</v>
      </c>
      <c r="V526" s="10"/>
      <c r="W526" s="10">
        <v>0</v>
      </c>
      <c r="X526" s="10"/>
      <c r="Y526" s="10">
        <v>0</v>
      </c>
      <c r="Z526" s="10"/>
      <c r="AA526" s="10">
        <v>0</v>
      </c>
      <c r="AB526" s="10"/>
      <c r="AC526" s="10">
        <v>0</v>
      </c>
      <c r="AD526" s="10"/>
      <c r="AE526" s="10">
        <v>0</v>
      </c>
      <c r="AF526" s="10"/>
      <c r="AG526" s="10">
        <v>0</v>
      </c>
      <c r="AH526" s="10"/>
      <c r="AI526" s="10">
        <f t="shared" si="18"/>
        <v>81687</v>
      </c>
      <c r="AJ526" s="10"/>
    </row>
    <row r="527" spans="1:39" hidden="1">
      <c r="A527" s="1" t="s">
        <v>579</v>
      </c>
      <c r="C527" s="1" t="s">
        <v>577</v>
      </c>
      <c r="E527" s="10">
        <v>0</v>
      </c>
      <c r="G527" s="10">
        <v>0</v>
      </c>
      <c r="I527" s="10">
        <v>0</v>
      </c>
      <c r="K527" s="10">
        <v>0</v>
      </c>
      <c r="M527" s="10">
        <v>0</v>
      </c>
      <c r="O527" s="10">
        <v>0</v>
      </c>
      <c r="Q527" s="10">
        <v>0</v>
      </c>
      <c r="S527" s="10">
        <v>0</v>
      </c>
      <c r="U527" s="10">
        <v>0</v>
      </c>
      <c r="V527" s="24"/>
      <c r="W527" s="10">
        <v>0</v>
      </c>
      <c r="X527" s="24"/>
      <c r="Y527" s="10">
        <v>0</v>
      </c>
      <c r="AA527" s="10">
        <v>0</v>
      </c>
      <c r="AC527" s="10">
        <v>0</v>
      </c>
      <c r="AE527" s="10">
        <v>0</v>
      </c>
      <c r="AG527" s="10">
        <v>0</v>
      </c>
      <c r="AI527" s="10">
        <f t="shared" ref="AI527:AI558" si="19">SUM(E527:AG527)</f>
        <v>0</v>
      </c>
      <c r="AJ527" s="10"/>
    </row>
    <row r="528" spans="1:39">
      <c r="A528" s="1" t="s">
        <v>680</v>
      </c>
      <c r="C528" s="1" t="s">
        <v>665</v>
      </c>
      <c r="E528" s="10">
        <v>109125</v>
      </c>
      <c r="G528" s="10">
        <v>0</v>
      </c>
      <c r="I528" s="10">
        <v>34746</v>
      </c>
      <c r="K528" s="10">
        <v>0</v>
      </c>
      <c r="M528" s="10">
        <v>8427</v>
      </c>
      <c r="O528" s="10">
        <v>19893</v>
      </c>
      <c r="Q528" s="10">
        <v>833</v>
      </c>
      <c r="S528" s="10">
        <v>5019</v>
      </c>
      <c r="U528" s="10">
        <v>0</v>
      </c>
      <c r="W528" s="10">
        <v>0</v>
      </c>
      <c r="Y528" s="10">
        <v>0</v>
      </c>
      <c r="AA528" s="10">
        <v>0</v>
      </c>
      <c r="AC528" s="10">
        <v>7000</v>
      </c>
      <c r="AE528" s="10">
        <v>0</v>
      </c>
      <c r="AG528" s="10">
        <v>0</v>
      </c>
      <c r="AI528" s="10">
        <f t="shared" si="19"/>
        <v>185043</v>
      </c>
      <c r="AJ528" s="10"/>
    </row>
    <row r="529" spans="1:39">
      <c r="A529" s="1" t="s">
        <v>462</v>
      </c>
      <c r="C529" s="1" t="s">
        <v>463</v>
      </c>
      <c r="E529" s="10">
        <v>1299173</v>
      </c>
      <c r="G529" s="10">
        <v>0</v>
      </c>
      <c r="I529" s="10">
        <f>192619+1156</f>
        <v>193775</v>
      </c>
      <c r="K529" s="10">
        <v>0</v>
      </c>
      <c r="M529" s="10">
        <v>65182</v>
      </c>
      <c r="O529" s="10">
        <v>53782</v>
      </c>
      <c r="Q529" s="10">
        <v>8340</v>
      </c>
      <c r="S529" s="10">
        <v>1773</v>
      </c>
      <c r="U529" s="10">
        <v>0</v>
      </c>
      <c r="W529" s="10">
        <v>0</v>
      </c>
      <c r="Y529" s="10">
        <v>0</v>
      </c>
      <c r="AA529" s="10">
        <v>0</v>
      </c>
      <c r="AC529" s="10">
        <v>0</v>
      </c>
      <c r="AE529" s="10">
        <v>0</v>
      </c>
      <c r="AG529" s="10">
        <v>0</v>
      </c>
      <c r="AI529" s="10">
        <f t="shared" si="19"/>
        <v>1622025</v>
      </c>
      <c r="AJ529" s="10"/>
    </row>
    <row r="530" spans="1:39" hidden="1">
      <c r="A530" s="1" t="s">
        <v>90</v>
      </c>
      <c r="C530" s="1" t="s">
        <v>777</v>
      </c>
      <c r="E530" s="10">
        <v>0</v>
      </c>
      <c r="G530" s="10">
        <v>0</v>
      </c>
      <c r="I530" s="10">
        <v>0</v>
      </c>
      <c r="K530" s="10">
        <v>0</v>
      </c>
      <c r="M530" s="10">
        <v>0</v>
      </c>
      <c r="O530" s="10">
        <v>0</v>
      </c>
      <c r="Q530" s="10">
        <v>0</v>
      </c>
      <c r="S530" s="10">
        <v>0</v>
      </c>
      <c r="U530" s="10">
        <v>0</v>
      </c>
      <c r="V530" s="24"/>
      <c r="W530" s="10">
        <v>0</v>
      </c>
      <c r="X530" s="24"/>
      <c r="Y530" s="10">
        <v>0</v>
      </c>
      <c r="AA530" s="10">
        <v>0</v>
      </c>
      <c r="AC530" s="10">
        <v>0</v>
      </c>
      <c r="AE530" s="10">
        <v>0</v>
      </c>
      <c r="AG530" s="10">
        <v>0</v>
      </c>
      <c r="AI530" s="10">
        <f t="shared" si="19"/>
        <v>0</v>
      </c>
      <c r="AJ530" s="10"/>
    </row>
    <row r="531" spans="1:39" hidden="1">
      <c r="A531" s="1" t="s">
        <v>27</v>
      </c>
      <c r="C531" s="1" t="s">
        <v>757</v>
      </c>
      <c r="E531" s="10">
        <v>0</v>
      </c>
      <c r="G531" s="10">
        <v>0</v>
      </c>
      <c r="I531" s="10">
        <v>0</v>
      </c>
      <c r="K531" s="10">
        <v>0</v>
      </c>
      <c r="M531" s="10">
        <v>0</v>
      </c>
      <c r="O531" s="10">
        <v>0</v>
      </c>
      <c r="Q531" s="10">
        <v>0</v>
      </c>
      <c r="S531" s="10">
        <v>0</v>
      </c>
      <c r="U531" s="10">
        <v>0</v>
      </c>
      <c r="V531" s="24"/>
      <c r="W531" s="10">
        <v>0</v>
      </c>
      <c r="X531" s="24"/>
      <c r="Y531" s="10">
        <v>0</v>
      </c>
      <c r="AA531" s="10">
        <v>0</v>
      </c>
      <c r="AC531" s="10">
        <v>0</v>
      </c>
      <c r="AE531" s="10">
        <v>0</v>
      </c>
      <c r="AG531" s="10">
        <v>0</v>
      </c>
      <c r="AI531" s="10">
        <f t="shared" si="19"/>
        <v>0</v>
      </c>
      <c r="AJ531" s="10"/>
      <c r="AK531" s="7"/>
      <c r="AL531" s="7"/>
      <c r="AM531" s="7"/>
    </row>
    <row r="532" spans="1:39" hidden="1">
      <c r="A532" s="1" t="s">
        <v>154</v>
      </c>
      <c r="C532" s="1" t="s">
        <v>797</v>
      </c>
      <c r="E532" s="10">
        <v>0</v>
      </c>
      <c r="G532" s="10">
        <v>0</v>
      </c>
      <c r="I532" s="10">
        <v>0</v>
      </c>
      <c r="K532" s="10">
        <v>0</v>
      </c>
      <c r="M532" s="10">
        <v>0</v>
      </c>
      <c r="O532" s="10">
        <v>0</v>
      </c>
      <c r="Q532" s="10">
        <v>0</v>
      </c>
      <c r="S532" s="10">
        <v>0</v>
      </c>
      <c r="U532" s="10">
        <v>0</v>
      </c>
      <c r="V532" s="24"/>
      <c r="W532" s="10">
        <v>0</v>
      </c>
      <c r="X532" s="24"/>
      <c r="Y532" s="10">
        <v>0</v>
      </c>
      <c r="AA532" s="10">
        <v>0</v>
      </c>
      <c r="AC532" s="10">
        <v>0</v>
      </c>
      <c r="AE532" s="10">
        <v>0</v>
      </c>
      <c r="AG532" s="10">
        <v>0</v>
      </c>
      <c r="AI532" s="10">
        <f t="shared" si="19"/>
        <v>0</v>
      </c>
      <c r="AJ532" s="10"/>
    </row>
    <row r="533" spans="1:39" s="21" customFormat="1" hidden="1">
      <c r="A533" s="1" t="s">
        <v>20</v>
      </c>
      <c r="B533" s="1"/>
      <c r="C533" s="1" t="s">
        <v>755</v>
      </c>
      <c r="D533" s="1"/>
      <c r="E533" s="10">
        <v>0</v>
      </c>
      <c r="F533" s="10"/>
      <c r="G533" s="10">
        <v>0</v>
      </c>
      <c r="H533" s="10"/>
      <c r="I533" s="10">
        <v>0</v>
      </c>
      <c r="J533" s="10"/>
      <c r="K533" s="10">
        <v>0</v>
      </c>
      <c r="L533" s="10"/>
      <c r="M533" s="10">
        <v>0</v>
      </c>
      <c r="N533" s="10"/>
      <c r="O533" s="10">
        <v>0</v>
      </c>
      <c r="P533" s="10"/>
      <c r="Q533" s="10">
        <v>0</v>
      </c>
      <c r="R533" s="10"/>
      <c r="S533" s="10">
        <v>0</v>
      </c>
      <c r="T533" s="10"/>
      <c r="U533" s="10">
        <v>0</v>
      </c>
      <c r="V533" s="24"/>
      <c r="W533" s="10">
        <v>0</v>
      </c>
      <c r="X533" s="24"/>
      <c r="Y533" s="10">
        <v>0</v>
      </c>
      <c r="Z533" s="10"/>
      <c r="AA533" s="10">
        <v>0</v>
      </c>
      <c r="AB533" s="10"/>
      <c r="AC533" s="10">
        <v>0</v>
      </c>
      <c r="AD533" s="10"/>
      <c r="AE533" s="10">
        <v>0</v>
      </c>
      <c r="AF533" s="10"/>
      <c r="AG533" s="10">
        <v>0</v>
      </c>
      <c r="AH533" s="10"/>
      <c r="AI533" s="10">
        <f t="shared" si="19"/>
        <v>0</v>
      </c>
      <c r="AJ533" s="10"/>
      <c r="AK533" s="22"/>
      <c r="AL533" s="22"/>
      <c r="AM533" s="22"/>
    </row>
    <row r="534" spans="1:39" hidden="1">
      <c r="A534" s="1" t="s">
        <v>187</v>
      </c>
      <c r="C534" s="1" t="s">
        <v>433</v>
      </c>
      <c r="E534" s="10">
        <v>0</v>
      </c>
      <c r="G534" s="10">
        <v>0</v>
      </c>
      <c r="I534" s="10">
        <v>0</v>
      </c>
      <c r="K534" s="10">
        <v>0</v>
      </c>
      <c r="M534" s="10">
        <v>0</v>
      </c>
      <c r="O534" s="10">
        <v>0</v>
      </c>
      <c r="Q534" s="10">
        <v>0</v>
      </c>
      <c r="S534" s="10">
        <v>0</v>
      </c>
      <c r="U534" s="10">
        <v>0</v>
      </c>
      <c r="V534" s="24"/>
      <c r="W534" s="10">
        <v>0</v>
      </c>
      <c r="X534" s="24"/>
      <c r="Y534" s="10">
        <v>0</v>
      </c>
      <c r="AA534" s="10">
        <v>0</v>
      </c>
      <c r="AC534" s="10">
        <v>0</v>
      </c>
      <c r="AE534" s="10">
        <v>0</v>
      </c>
      <c r="AG534" s="10">
        <v>0</v>
      </c>
      <c r="AI534" s="10">
        <f t="shared" si="19"/>
        <v>0</v>
      </c>
      <c r="AJ534" s="10"/>
    </row>
    <row r="535" spans="1:39" s="21" customFormat="1" hidden="1">
      <c r="A535" s="1" t="s">
        <v>345</v>
      </c>
      <c r="B535" s="1"/>
      <c r="C535" s="1" t="s">
        <v>343</v>
      </c>
      <c r="D535" s="1"/>
      <c r="E535" s="10">
        <v>0</v>
      </c>
      <c r="F535" s="10"/>
      <c r="G535" s="10">
        <v>0</v>
      </c>
      <c r="H535" s="10"/>
      <c r="I535" s="10">
        <v>0</v>
      </c>
      <c r="J535" s="10"/>
      <c r="K535" s="10">
        <v>0</v>
      </c>
      <c r="L535" s="10"/>
      <c r="M535" s="10">
        <v>0</v>
      </c>
      <c r="N535" s="10"/>
      <c r="O535" s="10">
        <v>0</v>
      </c>
      <c r="P535" s="10"/>
      <c r="Q535" s="10">
        <v>0</v>
      </c>
      <c r="R535" s="10"/>
      <c r="S535" s="10">
        <v>0</v>
      </c>
      <c r="T535" s="10"/>
      <c r="U535" s="10">
        <v>0</v>
      </c>
      <c r="V535" s="24"/>
      <c r="W535" s="10">
        <v>0</v>
      </c>
      <c r="X535" s="24"/>
      <c r="Y535" s="10">
        <v>0</v>
      </c>
      <c r="Z535" s="10"/>
      <c r="AA535" s="10">
        <v>0</v>
      </c>
      <c r="AB535" s="10"/>
      <c r="AC535" s="10">
        <v>0</v>
      </c>
      <c r="AD535" s="10"/>
      <c r="AE535" s="10">
        <v>0</v>
      </c>
      <c r="AF535" s="10"/>
      <c r="AG535" s="10">
        <v>0</v>
      </c>
      <c r="AH535" s="10"/>
      <c r="AI535" s="10">
        <f t="shared" si="19"/>
        <v>0</v>
      </c>
      <c r="AJ535" s="10"/>
      <c r="AK535" s="22"/>
      <c r="AL535" s="22"/>
      <c r="AM535" s="22"/>
    </row>
    <row r="536" spans="1:39">
      <c r="A536" s="1" t="s">
        <v>453</v>
      </c>
      <c r="C536" s="1" t="s">
        <v>452</v>
      </c>
      <c r="E536" s="10">
        <v>3169778</v>
      </c>
      <c r="G536" s="10">
        <v>0</v>
      </c>
      <c r="I536" s="10">
        <v>262810</v>
      </c>
      <c r="K536" s="10">
        <v>0</v>
      </c>
      <c r="M536" s="10">
        <v>227449</v>
      </c>
      <c r="O536" s="10">
        <v>440855</v>
      </c>
      <c r="Q536" s="10">
        <v>16935</v>
      </c>
      <c r="S536" s="10">
        <v>52981</v>
      </c>
      <c r="U536" s="10">
        <v>0</v>
      </c>
      <c r="W536" s="10">
        <v>0</v>
      </c>
      <c r="Y536" s="10">
        <v>0</v>
      </c>
      <c r="AA536" s="10">
        <v>0</v>
      </c>
      <c r="AC536" s="10">
        <v>0</v>
      </c>
      <c r="AE536" s="10">
        <v>0</v>
      </c>
      <c r="AG536" s="10">
        <v>0</v>
      </c>
      <c r="AI536" s="10">
        <f t="shared" si="19"/>
        <v>4170808</v>
      </c>
      <c r="AJ536" s="10"/>
    </row>
    <row r="537" spans="1:39" s="21" customFormat="1" hidden="1">
      <c r="A537" s="1" t="s">
        <v>31</v>
      </c>
      <c r="B537" s="1"/>
      <c r="C537" s="1" t="s">
        <v>758</v>
      </c>
      <c r="D537" s="1"/>
      <c r="E537" s="10">
        <v>0</v>
      </c>
      <c r="F537" s="10"/>
      <c r="G537" s="10">
        <v>0</v>
      </c>
      <c r="H537" s="10"/>
      <c r="I537" s="10">
        <v>0</v>
      </c>
      <c r="J537" s="10"/>
      <c r="K537" s="10">
        <v>0</v>
      </c>
      <c r="L537" s="10"/>
      <c r="M537" s="10">
        <v>0</v>
      </c>
      <c r="N537" s="10"/>
      <c r="O537" s="10">
        <v>0</v>
      </c>
      <c r="P537" s="10"/>
      <c r="Q537" s="10">
        <v>0</v>
      </c>
      <c r="R537" s="10"/>
      <c r="S537" s="10">
        <v>0</v>
      </c>
      <c r="T537" s="10"/>
      <c r="U537" s="10">
        <v>0</v>
      </c>
      <c r="V537" s="24"/>
      <c r="W537" s="10">
        <v>0</v>
      </c>
      <c r="X537" s="24"/>
      <c r="Y537" s="10">
        <v>0</v>
      </c>
      <c r="Z537" s="10"/>
      <c r="AA537" s="10">
        <v>0</v>
      </c>
      <c r="AB537" s="10"/>
      <c r="AC537" s="10">
        <v>0</v>
      </c>
      <c r="AD537" s="10"/>
      <c r="AE537" s="10">
        <v>0</v>
      </c>
      <c r="AF537" s="10"/>
      <c r="AG537" s="10">
        <v>0</v>
      </c>
      <c r="AH537" s="10"/>
      <c r="AI537" s="10">
        <f t="shared" si="19"/>
        <v>0</v>
      </c>
      <c r="AJ537" s="10"/>
      <c r="AK537" s="22"/>
      <c r="AL537" s="22"/>
      <c r="AM537" s="22"/>
    </row>
    <row r="538" spans="1:39" hidden="1">
      <c r="A538" s="1" t="s">
        <v>56</v>
      </c>
      <c r="C538" s="1" t="s">
        <v>768</v>
      </c>
      <c r="E538" s="10">
        <v>0</v>
      </c>
      <c r="G538" s="10">
        <v>0</v>
      </c>
      <c r="I538" s="10">
        <v>0</v>
      </c>
      <c r="K538" s="10">
        <v>0</v>
      </c>
      <c r="M538" s="10">
        <v>0</v>
      </c>
      <c r="O538" s="10">
        <v>0</v>
      </c>
      <c r="Q538" s="10">
        <v>0</v>
      </c>
      <c r="S538" s="10">
        <v>0</v>
      </c>
      <c r="U538" s="10">
        <v>0</v>
      </c>
      <c r="V538" s="24"/>
      <c r="W538" s="10">
        <v>0</v>
      </c>
      <c r="X538" s="24"/>
      <c r="Y538" s="10">
        <v>0</v>
      </c>
      <c r="AA538" s="10">
        <v>0</v>
      </c>
      <c r="AC538" s="10">
        <v>0</v>
      </c>
      <c r="AE538" s="10">
        <v>0</v>
      </c>
      <c r="AG538" s="10">
        <v>0</v>
      </c>
      <c r="AI538" s="10">
        <f t="shared" si="19"/>
        <v>0</v>
      </c>
      <c r="AJ538" s="10"/>
      <c r="AK538" s="7"/>
      <c r="AL538" s="7"/>
      <c r="AM538" s="7"/>
    </row>
    <row r="539" spans="1:39">
      <c r="A539" s="1" t="s">
        <v>526</v>
      </c>
      <c r="C539" s="1" t="s">
        <v>523</v>
      </c>
      <c r="E539" s="10">
        <v>21160</v>
      </c>
      <c r="G539" s="10">
        <v>0</v>
      </c>
      <c r="I539" s="10">
        <v>37118</v>
      </c>
      <c r="K539" s="10">
        <v>0</v>
      </c>
      <c r="M539" s="10">
        <v>0</v>
      </c>
      <c r="O539" s="10">
        <v>6277</v>
      </c>
      <c r="Q539" s="10">
        <v>25570</v>
      </c>
      <c r="S539" s="10">
        <v>7950</v>
      </c>
      <c r="U539" s="10">
        <v>0</v>
      </c>
      <c r="W539" s="10">
        <v>0</v>
      </c>
      <c r="Y539" s="10">
        <v>0</v>
      </c>
      <c r="AA539" s="10">
        <v>0</v>
      </c>
      <c r="AC539" s="10">
        <v>0</v>
      </c>
      <c r="AE539" s="10">
        <v>21553</v>
      </c>
      <c r="AG539" s="10">
        <v>0</v>
      </c>
      <c r="AI539" s="10">
        <f t="shared" si="19"/>
        <v>119628</v>
      </c>
      <c r="AJ539" s="10"/>
    </row>
    <row r="540" spans="1:39" s="15" customFormat="1">
      <c r="A540" s="15" t="s">
        <v>923</v>
      </c>
      <c r="C540" s="15" t="s">
        <v>593</v>
      </c>
      <c r="E540" s="24">
        <v>53534</v>
      </c>
      <c r="F540" s="24"/>
      <c r="G540" s="24">
        <v>0</v>
      </c>
      <c r="H540" s="24"/>
      <c r="I540" s="24">
        <v>79898</v>
      </c>
      <c r="J540" s="24"/>
      <c r="K540" s="24">
        <v>9163</v>
      </c>
      <c r="L540" s="24"/>
      <c r="M540" s="24">
        <v>52694</v>
      </c>
      <c r="N540" s="24"/>
      <c r="O540" s="24">
        <v>13997</v>
      </c>
      <c r="P540" s="24"/>
      <c r="Q540" s="24">
        <v>0</v>
      </c>
      <c r="R540" s="24"/>
      <c r="S540" s="24">
        <v>30137</v>
      </c>
      <c r="T540" s="24"/>
      <c r="U540" s="24">
        <v>0</v>
      </c>
      <c r="V540" s="24"/>
      <c r="W540" s="24">
        <v>0</v>
      </c>
      <c r="X540" s="24"/>
      <c r="Y540" s="24">
        <v>0</v>
      </c>
      <c r="Z540" s="24"/>
      <c r="AA540" s="24">
        <v>225000</v>
      </c>
      <c r="AB540" s="24"/>
      <c r="AC540" s="24">
        <v>0</v>
      </c>
      <c r="AD540" s="24"/>
      <c r="AE540" s="24">
        <v>0</v>
      </c>
      <c r="AF540" s="24"/>
      <c r="AG540" s="24">
        <v>0</v>
      </c>
      <c r="AH540" s="24"/>
      <c r="AI540" s="24">
        <f t="shared" si="19"/>
        <v>464423</v>
      </c>
      <c r="AJ540" s="24"/>
    </row>
    <row r="541" spans="1:39">
      <c r="A541" s="1" t="s">
        <v>559</v>
      </c>
      <c r="C541" s="1" t="s">
        <v>554</v>
      </c>
      <c r="E541" s="10">
        <v>974902</v>
      </c>
      <c r="G541" s="10">
        <v>509685</v>
      </c>
      <c r="I541" s="10">
        <v>492269</v>
      </c>
      <c r="K541" s="10">
        <v>704</v>
      </c>
      <c r="M541" s="10">
        <v>1668</v>
      </c>
      <c r="O541" s="10">
        <v>40660</v>
      </c>
      <c r="Q541" s="10">
        <v>78084</v>
      </c>
      <c r="S541" s="10">
        <v>12220</v>
      </c>
      <c r="U541" s="10">
        <v>0</v>
      </c>
      <c r="W541" s="10">
        <v>0</v>
      </c>
      <c r="Y541" s="10">
        <v>0</v>
      </c>
      <c r="AA541" s="10">
        <v>0</v>
      </c>
      <c r="AC541" s="10">
        <v>0</v>
      </c>
      <c r="AE541" s="10">
        <v>4326</v>
      </c>
      <c r="AG541" s="10">
        <v>0</v>
      </c>
      <c r="AI541" s="10">
        <f t="shared" si="19"/>
        <v>2114518</v>
      </c>
      <c r="AJ541" s="10"/>
    </row>
    <row r="542" spans="1:39" s="21" customFormat="1">
      <c r="A542" s="1" t="s">
        <v>411</v>
      </c>
      <c r="B542" s="1"/>
      <c r="C542" s="1" t="s">
        <v>409</v>
      </c>
      <c r="D542" s="1"/>
      <c r="E542" s="10">
        <v>6907</v>
      </c>
      <c r="F542" s="10"/>
      <c r="G542" s="10">
        <v>0</v>
      </c>
      <c r="H542" s="10"/>
      <c r="I542" s="10">
        <v>25778</v>
      </c>
      <c r="J542" s="10"/>
      <c r="K542" s="10">
        <v>0</v>
      </c>
      <c r="L542" s="10"/>
      <c r="M542" s="10">
        <v>0</v>
      </c>
      <c r="N542" s="10"/>
      <c r="O542" s="10">
        <v>0</v>
      </c>
      <c r="P542" s="10"/>
      <c r="Q542" s="10">
        <v>0</v>
      </c>
      <c r="R542" s="10"/>
      <c r="S542" s="10">
        <v>460</v>
      </c>
      <c r="T542" s="10"/>
      <c r="U542" s="10">
        <v>0</v>
      </c>
      <c r="V542" s="10"/>
      <c r="W542" s="10">
        <v>0</v>
      </c>
      <c r="X542" s="10"/>
      <c r="Y542" s="10">
        <v>0</v>
      </c>
      <c r="Z542" s="10"/>
      <c r="AA542" s="10">
        <v>0</v>
      </c>
      <c r="AB542" s="10"/>
      <c r="AC542" s="10">
        <v>0</v>
      </c>
      <c r="AD542" s="10"/>
      <c r="AE542" s="10">
        <v>0</v>
      </c>
      <c r="AF542" s="10"/>
      <c r="AG542" s="10">
        <v>0</v>
      </c>
      <c r="AH542" s="10"/>
      <c r="AI542" s="10">
        <f t="shared" si="19"/>
        <v>33145</v>
      </c>
      <c r="AJ542" s="10"/>
    </row>
    <row r="543" spans="1:39" s="15" customFormat="1">
      <c r="A543" s="15" t="s">
        <v>599</v>
      </c>
      <c r="C543" s="15" t="s">
        <v>593</v>
      </c>
      <c r="E543" s="10">
        <v>59599</v>
      </c>
      <c r="F543" s="24"/>
      <c r="G543" s="10">
        <v>538958</v>
      </c>
      <c r="H543" s="24"/>
      <c r="I543" s="10">
        <v>54572</v>
      </c>
      <c r="J543" s="24"/>
      <c r="K543" s="10">
        <v>0</v>
      </c>
      <c r="L543" s="24"/>
      <c r="M543" s="10">
        <v>13505</v>
      </c>
      <c r="N543" s="24"/>
      <c r="O543" s="10">
        <v>21037</v>
      </c>
      <c r="P543" s="24"/>
      <c r="Q543" s="10">
        <v>34960</v>
      </c>
      <c r="R543" s="24"/>
      <c r="S543" s="10">
        <v>5299</v>
      </c>
      <c r="T543" s="24"/>
      <c r="U543" s="10">
        <v>0</v>
      </c>
      <c r="V543" s="24"/>
      <c r="W543" s="10">
        <v>0</v>
      </c>
      <c r="X543" s="24"/>
      <c r="Y543" s="10">
        <v>0</v>
      </c>
      <c r="Z543" s="24"/>
      <c r="AA543" s="10">
        <v>0</v>
      </c>
      <c r="AB543" s="24"/>
      <c r="AC543" s="10">
        <v>0</v>
      </c>
      <c r="AD543" s="24"/>
      <c r="AE543" s="10">
        <v>0</v>
      </c>
      <c r="AF543" s="24"/>
      <c r="AG543" s="10">
        <v>0</v>
      </c>
      <c r="AH543" s="24"/>
      <c r="AI543" s="24">
        <f t="shared" si="19"/>
        <v>727930</v>
      </c>
      <c r="AJ543" s="24"/>
    </row>
    <row r="544" spans="1:39">
      <c r="A544" s="1" t="s">
        <v>506</v>
      </c>
      <c r="C544" s="1" t="s">
        <v>504</v>
      </c>
      <c r="E544" s="10">
        <v>121157</v>
      </c>
      <c r="G544" s="10">
        <v>0</v>
      </c>
      <c r="I544" s="10">
        <v>0</v>
      </c>
      <c r="K544" s="10">
        <v>0</v>
      </c>
      <c r="M544" s="10">
        <v>0</v>
      </c>
      <c r="O544" s="10">
        <v>13824</v>
      </c>
      <c r="Q544" s="10">
        <v>19305</v>
      </c>
      <c r="S544" s="10">
        <v>18347</v>
      </c>
      <c r="U544" s="10">
        <v>0</v>
      </c>
      <c r="W544" s="10">
        <v>0</v>
      </c>
      <c r="Y544" s="10">
        <v>0</v>
      </c>
      <c r="AA544" s="10">
        <v>0</v>
      </c>
      <c r="AC544" s="10">
        <v>0</v>
      </c>
      <c r="AE544" s="10">
        <v>0</v>
      </c>
      <c r="AG544" s="10">
        <v>0</v>
      </c>
      <c r="AI544" s="10">
        <f t="shared" si="19"/>
        <v>172633</v>
      </c>
      <c r="AJ544" s="10"/>
    </row>
    <row r="545" spans="1:39" s="15" customFormat="1">
      <c r="A545" s="15" t="s">
        <v>926</v>
      </c>
      <c r="C545" s="15" t="s">
        <v>452</v>
      </c>
      <c r="E545" s="24">
        <v>93263</v>
      </c>
      <c r="F545" s="24"/>
      <c r="G545" s="24">
        <v>0</v>
      </c>
      <c r="H545" s="24"/>
      <c r="I545" s="24">
        <v>197373</v>
      </c>
      <c r="J545" s="24"/>
      <c r="K545" s="24">
        <v>0</v>
      </c>
      <c r="L545" s="24"/>
      <c r="M545" s="24">
        <v>138755</v>
      </c>
      <c r="N545" s="24"/>
      <c r="O545" s="24">
        <v>7423</v>
      </c>
      <c r="P545" s="24"/>
      <c r="Q545" s="24">
        <v>12398</v>
      </c>
      <c r="R545" s="24"/>
      <c r="S545" s="24">
        <v>927</v>
      </c>
      <c r="T545" s="24"/>
      <c r="U545" s="24">
        <v>0</v>
      </c>
      <c r="V545" s="24"/>
      <c r="W545" s="24">
        <v>0</v>
      </c>
      <c r="X545" s="24"/>
      <c r="Y545" s="24">
        <v>0</v>
      </c>
      <c r="Z545" s="24"/>
      <c r="AA545" s="24">
        <v>52059</v>
      </c>
      <c r="AB545" s="24"/>
      <c r="AC545" s="24">
        <v>0</v>
      </c>
      <c r="AD545" s="24"/>
      <c r="AE545" s="24">
        <v>0</v>
      </c>
      <c r="AF545" s="24"/>
      <c r="AG545" s="24">
        <v>0</v>
      </c>
      <c r="AH545" s="24"/>
      <c r="AI545" s="24">
        <f t="shared" si="19"/>
        <v>502198</v>
      </c>
      <c r="AJ545" s="24"/>
      <c r="AK545" s="30"/>
      <c r="AL545" s="30"/>
      <c r="AM545" s="30"/>
    </row>
    <row r="546" spans="1:39" hidden="1">
      <c r="A546" s="1" t="s">
        <v>839</v>
      </c>
      <c r="C546" s="1" t="s">
        <v>760</v>
      </c>
      <c r="E546" s="10">
        <v>0</v>
      </c>
      <c r="G546" s="10">
        <v>0</v>
      </c>
      <c r="I546" s="10">
        <v>0</v>
      </c>
      <c r="K546" s="10">
        <v>0</v>
      </c>
      <c r="M546" s="10">
        <v>0</v>
      </c>
      <c r="O546" s="10">
        <v>0</v>
      </c>
      <c r="Q546" s="10">
        <v>0</v>
      </c>
      <c r="S546" s="10">
        <v>0</v>
      </c>
      <c r="U546" s="10">
        <v>0</v>
      </c>
      <c r="V546" s="24"/>
      <c r="W546" s="10">
        <v>0</v>
      </c>
      <c r="X546" s="24"/>
      <c r="Y546" s="10">
        <v>0</v>
      </c>
      <c r="AA546" s="10">
        <v>0</v>
      </c>
      <c r="AC546" s="10">
        <v>0</v>
      </c>
      <c r="AE546" s="10">
        <v>0</v>
      </c>
      <c r="AG546" s="10">
        <v>0</v>
      </c>
      <c r="AI546" s="10">
        <f t="shared" si="19"/>
        <v>0</v>
      </c>
      <c r="AJ546" s="10"/>
      <c r="AK546" s="7"/>
      <c r="AL546" s="7"/>
      <c r="AM546" s="7"/>
    </row>
    <row r="547" spans="1:39" hidden="1">
      <c r="A547" s="1" t="s">
        <v>587</v>
      </c>
      <c r="C547" s="1" t="s">
        <v>586</v>
      </c>
      <c r="E547" s="10">
        <v>0</v>
      </c>
      <c r="G547" s="10">
        <v>0</v>
      </c>
      <c r="I547" s="10">
        <v>0</v>
      </c>
      <c r="K547" s="10">
        <v>0</v>
      </c>
      <c r="M547" s="10">
        <v>0</v>
      </c>
      <c r="O547" s="10">
        <v>0</v>
      </c>
      <c r="Q547" s="10">
        <v>0</v>
      </c>
      <c r="S547" s="10">
        <v>0</v>
      </c>
      <c r="U547" s="10">
        <v>0</v>
      </c>
      <c r="V547" s="24"/>
      <c r="W547" s="10">
        <v>0</v>
      </c>
      <c r="X547" s="24"/>
      <c r="Y547" s="10">
        <v>0</v>
      </c>
      <c r="AA547" s="10">
        <v>0</v>
      </c>
      <c r="AC547" s="10">
        <v>0</v>
      </c>
      <c r="AE547" s="10">
        <v>0</v>
      </c>
      <c r="AG547" s="10">
        <v>0</v>
      </c>
      <c r="AI547" s="10">
        <f t="shared" si="19"/>
        <v>0</v>
      </c>
      <c r="AJ547" s="10"/>
    </row>
    <row r="548" spans="1:39">
      <c r="A548" s="1" t="s">
        <v>369</v>
      </c>
      <c r="C548" s="1" t="s">
        <v>368</v>
      </c>
      <c r="E548" s="10">
        <v>466347</v>
      </c>
      <c r="G548" s="10">
        <v>0</v>
      </c>
      <c r="I548" s="10">
        <v>209917</v>
      </c>
      <c r="K548" s="10">
        <v>0</v>
      </c>
      <c r="M548" s="10">
        <v>52867</v>
      </c>
      <c r="O548" s="10">
        <v>66091</v>
      </c>
      <c r="Q548" s="10">
        <v>33935</v>
      </c>
      <c r="S548" s="10">
        <v>19891</v>
      </c>
      <c r="U548" s="10">
        <v>0</v>
      </c>
      <c r="V548" s="24"/>
      <c r="W548" s="10">
        <v>0</v>
      </c>
      <c r="X548" s="24"/>
      <c r="Y548" s="10">
        <v>0</v>
      </c>
      <c r="AA548" s="10">
        <v>50000</v>
      </c>
      <c r="AC548" s="10">
        <v>0</v>
      </c>
      <c r="AE548" s="10">
        <v>0</v>
      </c>
      <c r="AG548" s="10">
        <v>0</v>
      </c>
      <c r="AI548" s="10">
        <f t="shared" si="19"/>
        <v>899048</v>
      </c>
      <c r="AJ548" s="40"/>
    </row>
    <row r="549" spans="1:39" ht="12.75">
      <c r="A549" s="1" t="s">
        <v>142</v>
      </c>
      <c r="C549" s="23" t="s">
        <v>794</v>
      </c>
      <c r="E549" s="10">
        <v>10904</v>
      </c>
      <c r="G549" s="10">
        <v>31705</v>
      </c>
      <c r="I549" s="10">
        <v>40643</v>
      </c>
      <c r="K549" s="10">
        <v>0</v>
      </c>
      <c r="M549" s="10">
        <v>285</v>
      </c>
      <c r="O549" s="10">
        <v>980</v>
      </c>
      <c r="Q549" s="10">
        <v>34</v>
      </c>
      <c r="S549" s="10">
        <v>2271</v>
      </c>
      <c r="U549" s="10">
        <v>0</v>
      </c>
      <c r="V549" s="24"/>
      <c r="W549" s="10">
        <v>0</v>
      </c>
      <c r="X549" s="24"/>
      <c r="Y549" s="10">
        <v>0</v>
      </c>
      <c r="AA549" s="10">
        <v>0</v>
      </c>
      <c r="AC549" s="10">
        <v>0</v>
      </c>
      <c r="AE549" s="10">
        <v>0</v>
      </c>
      <c r="AG549" s="10">
        <v>0</v>
      </c>
      <c r="AI549" s="10">
        <f t="shared" si="19"/>
        <v>86822</v>
      </c>
      <c r="AJ549" s="40"/>
    </row>
    <row r="550" spans="1:39" hidden="1">
      <c r="A550" s="1" t="s">
        <v>861</v>
      </c>
      <c r="C550" s="1" t="s">
        <v>797</v>
      </c>
      <c r="E550" s="10">
        <v>0</v>
      </c>
      <c r="G550" s="10">
        <v>0</v>
      </c>
      <c r="I550" s="10">
        <v>0</v>
      </c>
      <c r="K550" s="10">
        <v>0</v>
      </c>
      <c r="M550" s="10">
        <v>0</v>
      </c>
      <c r="O550" s="10">
        <v>0</v>
      </c>
      <c r="Q550" s="10">
        <v>0</v>
      </c>
      <c r="S550" s="10">
        <v>0</v>
      </c>
      <c r="U550" s="10">
        <v>0</v>
      </c>
      <c r="V550" s="24"/>
      <c r="W550" s="10">
        <v>0</v>
      </c>
      <c r="X550" s="24"/>
      <c r="Y550" s="10">
        <v>0</v>
      </c>
      <c r="AA550" s="10">
        <v>0</v>
      </c>
      <c r="AC550" s="10">
        <v>0</v>
      </c>
      <c r="AE550" s="10">
        <v>0</v>
      </c>
      <c r="AG550" s="10">
        <v>0</v>
      </c>
      <c r="AI550" s="10">
        <f t="shared" si="19"/>
        <v>0</v>
      </c>
      <c r="AJ550" s="40"/>
    </row>
    <row r="551" spans="1:39" s="21" customFormat="1" hidden="1">
      <c r="A551" s="1" t="s">
        <v>6</v>
      </c>
      <c r="B551" s="1"/>
      <c r="C551" s="1" t="s">
        <v>751</v>
      </c>
      <c r="D551" s="1"/>
      <c r="E551" s="10">
        <v>0</v>
      </c>
      <c r="F551" s="10"/>
      <c r="G551" s="10">
        <v>0</v>
      </c>
      <c r="H551" s="10"/>
      <c r="I551" s="10">
        <v>0</v>
      </c>
      <c r="J551" s="10"/>
      <c r="K551" s="10">
        <v>0</v>
      </c>
      <c r="L551" s="10"/>
      <c r="M551" s="10">
        <v>0</v>
      </c>
      <c r="N551" s="10"/>
      <c r="O551" s="10">
        <v>0</v>
      </c>
      <c r="P551" s="10"/>
      <c r="Q551" s="10">
        <v>0</v>
      </c>
      <c r="R551" s="10"/>
      <c r="S551" s="10">
        <v>0</v>
      </c>
      <c r="T551" s="10"/>
      <c r="U551" s="10">
        <v>0</v>
      </c>
      <c r="V551" s="24"/>
      <c r="W551" s="10">
        <v>0</v>
      </c>
      <c r="X551" s="24"/>
      <c r="Y551" s="10">
        <v>0</v>
      </c>
      <c r="Z551" s="10"/>
      <c r="AA551" s="10">
        <v>0</v>
      </c>
      <c r="AB551" s="10"/>
      <c r="AC551" s="10">
        <v>0</v>
      </c>
      <c r="AD551" s="10"/>
      <c r="AE551" s="10">
        <v>0</v>
      </c>
      <c r="AF551" s="10"/>
      <c r="AG551" s="10">
        <v>0</v>
      </c>
      <c r="AH551" s="10"/>
      <c r="AI551" s="10">
        <f t="shared" si="19"/>
        <v>0</v>
      </c>
      <c r="AJ551" s="10"/>
    </row>
    <row r="552" spans="1:39" s="21" customFormat="1" hidden="1">
      <c r="A552" s="1" t="s">
        <v>85</v>
      </c>
      <c r="B552" s="1"/>
      <c r="C552" s="1" t="s">
        <v>776</v>
      </c>
      <c r="D552" s="1"/>
      <c r="E552" s="10">
        <v>0</v>
      </c>
      <c r="F552" s="10"/>
      <c r="G552" s="10">
        <v>0</v>
      </c>
      <c r="H552" s="10"/>
      <c r="I552" s="10">
        <v>0</v>
      </c>
      <c r="J552" s="10"/>
      <c r="K552" s="10">
        <v>0</v>
      </c>
      <c r="L552" s="10"/>
      <c r="M552" s="10">
        <v>0</v>
      </c>
      <c r="N552" s="10"/>
      <c r="O552" s="10">
        <v>0</v>
      </c>
      <c r="P552" s="10"/>
      <c r="Q552" s="10">
        <v>0</v>
      </c>
      <c r="R552" s="10"/>
      <c r="S552" s="10">
        <v>0</v>
      </c>
      <c r="T552" s="10"/>
      <c r="U552" s="10">
        <v>0</v>
      </c>
      <c r="V552" s="10"/>
      <c r="W552" s="10">
        <v>0</v>
      </c>
      <c r="X552" s="10"/>
      <c r="Y552" s="10">
        <v>0</v>
      </c>
      <c r="Z552" s="10"/>
      <c r="AA552" s="10">
        <v>0</v>
      </c>
      <c r="AB552" s="10"/>
      <c r="AC552" s="10">
        <v>0</v>
      </c>
      <c r="AD552" s="10"/>
      <c r="AE552" s="10">
        <v>0</v>
      </c>
      <c r="AF552" s="10"/>
      <c r="AG552" s="10">
        <v>0</v>
      </c>
      <c r="AH552" s="10"/>
      <c r="AI552" s="10">
        <f t="shared" si="19"/>
        <v>0</v>
      </c>
      <c r="AJ552" s="10"/>
    </row>
    <row r="553" spans="1:39" s="21" customFormat="1">
      <c r="A553" s="1" t="s">
        <v>444</v>
      </c>
      <c r="B553" s="1"/>
      <c r="C553" s="1" t="s">
        <v>439</v>
      </c>
      <c r="D553" s="1"/>
      <c r="E553" s="10">
        <v>6036</v>
      </c>
      <c r="F553" s="10"/>
      <c r="G553" s="10">
        <v>0</v>
      </c>
      <c r="H553" s="10"/>
      <c r="I553" s="10">
        <v>45320</v>
      </c>
      <c r="J553" s="10"/>
      <c r="K553" s="10">
        <v>0</v>
      </c>
      <c r="L553" s="10"/>
      <c r="M553" s="10">
        <v>0</v>
      </c>
      <c r="N553" s="10"/>
      <c r="O553" s="10">
        <v>28519</v>
      </c>
      <c r="P553" s="10"/>
      <c r="Q553" s="10">
        <v>0</v>
      </c>
      <c r="R553" s="10"/>
      <c r="S553" s="10">
        <v>27541</v>
      </c>
      <c r="T553" s="10"/>
      <c r="U553" s="10">
        <v>0</v>
      </c>
      <c r="V553" s="10"/>
      <c r="W553" s="10">
        <v>0</v>
      </c>
      <c r="X553" s="10"/>
      <c r="Y553" s="10">
        <v>0</v>
      </c>
      <c r="Z553" s="10"/>
      <c r="AA553" s="10">
        <v>0</v>
      </c>
      <c r="AB553" s="10"/>
      <c r="AC553" s="10">
        <v>0</v>
      </c>
      <c r="AD553" s="10"/>
      <c r="AE553" s="10">
        <v>0</v>
      </c>
      <c r="AF553" s="10"/>
      <c r="AG553" s="10">
        <v>0</v>
      </c>
      <c r="AH553" s="10"/>
      <c r="AI553" s="10">
        <f t="shared" si="19"/>
        <v>107416</v>
      </c>
      <c r="AJ553" s="10"/>
    </row>
    <row r="554" spans="1:39" s="21" customFormat="1" hidden="1">
      <c r="A554" s="1" t="s">
        <v>33</v>
      </c>
      <c r="B554" s="1"/>
      <c r="C554" s="1" t="s">
        <v>759</v>
      </c>
      <c r="D554" s="1"/>
      <c r="E554" s="10">
        <v>0</v>
      </c>
      <c r="F554" s="10"/>
      <c r="G554" s="10">
        <v>0</v>
      </c>
      <c r="H554" s="10"/>
      <c r="I554" s="10">
        <v>0</v>
      </c>
      <c r="J554" s="10"/>
      <c r="K554" s="10">
        <v>0</v>
      </c>
      <c r="L554" s="10"/>
      <c r="M554" s="10">
        <v>0</v>
      </c>
      <c r="N554" s="10"/>
      <c r="O554" s="10">
        <v>0</v>
      </c>
      <c r="P554" s="10"/>
      <c r="Q554" s="10">
        <v>0</v>
      </c>
      <c r="R554" s="10"/>
      <c r="S554" s="10">
        <v>0</v>
      </c>
      <c r="T554" s="10"/>
      <c r="U554" s="10">
        <v>0</v>
      </c>
      <c r="V554" s="24"/>
      <c r="W554" s="10">
        <v>0</v>
      </c>
      <c r="X554" s="24"/>
      <c r="Y554" s="10">
        <v>0</v>
      </c>
      <c r="Z554" s="10"/>
      <c r="AA554" s="10">
        <v>0</v>
      </c>
      <c r="AB554" s="10"/>
      <c r="AC554" s="10">
        <v>0</v>
      </c>
      <c r="AD554" s="10"/>
      <c r="AE554" s="10">
        <v>0</v>
      </c>
      <c r="AF554" s="10"/>
      <c r="AG554" s="10">
        <v>0</v>
      </c>
      <c r="AH554" s="10"/>
      <c r="AI554" s="10">
        <f t="shared" si="19"/>
        <v>0</v>
      </c>
      <c r="AJ554" s="10"/>
      <c r="AK554" s="22"/>
      <c r="AL554" s="22"/>
      <c r="AM554" s="22"/>
    </row>
    <row r="555" spans="1:39">
      <c r="A555" s="1" t="s">
        <v>480</v>
      </c>
      <c r="C555" s="1" t="s">
        <v>477</v>
      </c>
      <c r="E555" s="10">
        <v>3703</v>
      </c>
      <c r="G555" s="10">
        <v>0</v>
      </c>
      <c r="I555" s="10">
        <v>4365</v>
      </c>
      <c r="K555" s="10">
        <v>0</v>
      </c>
      <c r="M555" s="10">
        <v>0</v>
      </c>
      <c r="O555" s="10">
        <v>0</v>
      </c>
      <c r="Q555" s="10">
        <v>0</v>
      </c>
      <c r="S555" s="10">
        <v>113</v>
      </c>
      <c r="U555" s="10">
        <v>0</v>
      </c>
      <c r="W555" s="10">
        <v>0</v>
      </c>
      <c r="Y555" s="10">
        <v>0</v>
      </c>
      <c r="AA555" s="10">
        <v>0</v>
      </c>
      <c r="AC555" s="10">
        <v>0</v>
      </c>
      <c r="AE555" s="10">
        <v>0</v>
      </c>
      <c r="AG555" s="10">
        <v>0</v>
      </c>
      <c r="AI555" s="10">
        <f t="shared" si="19"/>
        <v>8181</v>
      </c>
      <c r="AJ555" s="10"/>
    </row>
    <row r="556" spans="1:39" s="21" customFormat="1" hidden="1">
      <c r="A556" s="1" t="s">
        <v>169</v>
      </c>
      <c r="B556" s="1"/>
      <c r="C556" s="1" t="s">
        <v>803</v>
      </c>
      <c r="D556" s="1"/>
      <c r="E556" s="10">
        <v>0</v>
      </c>
      <c r="F556" s="10"/>
      <c r="G556" s="10">
        <v>0</v>
      </c>
      <c r="H556" s="10"/>
      <c r="I556" s="10">
        <v>0</v>
      </c>
      <c r="J556" s="10"/>
      <c r="K556" s="10">
        <v>0</v>
      </c>
      <c r="L556" s="10"/>
      <c r="M556" s="10">
        <v>0</v>
      </c>
      <c r="N556" s="10"/>
      <c r="O556" s="10">
        <v>0</v>
      </c>
      <c r="P556" s="10"/>
      <c r="Q556" s="10">
        <v>0</v>
      </c>
      <c r="R556" s="10"/>
      <c r="S556" s="10">
        <v>0</v>
      </c>
      <c r="T556" s="10"/>
      <c r="U556" s="10">
        <v>0</v>
      </c>
      <c r="V556" s="24"/>
      <c r="W556" s="10">
        <v>0</v>
      </c>
      <c r="X556" s="24"/>
      <c r="Y556" s="10">
        <v>0</v>
      </c>
      <c r="Z556" s="10"/>
      <c r="AA556" s="10">
        <v>0</v>
      </c>
      <c r="AB556" s="10"/>
      <c r="AC556" s="10">
        <v>0</v>
      </c>
      <c r="AD556" s="10"/>
      <c r="AE556" s="10">
        <v>0</v>
      </c>
      <c r="AF556" s="10"/>
      <c r="AG556" s="10">
        <v>0</v>
      </c>
      <c r="AH556" s="10"/>
      <c r="AI556" s="10">
        <f t="shared" si="19"/>
        <v>0</v>
      </c>
      <c r="AJ556" s="10"/>
    </row>
    <row r="557" spans="1:39" hidden="1">
      <c r="A557" s="1" t="s">
        <v>571</v>
      </c>
      <c r="C557" s="1" t="s">
        <v>565</v>
      </c>
      <c r="E557" s="10">
        <v>0</v>
      </c>
      <c r="G557" s="10">
        <v>0</v>
      </c>
      <c r="I557" s="10">
        <v>0</v>
      </c>
      <c r="K557" s="10">
        <v>0</v>
      </c>
      <c r="M557" s="10">
        <v>0</v>
      </c>
      <c r="O557" s="10">
        <v>0</v>
      </c>
      <c r="Q557" s="10">
        <v>0</v>
      </c>
      <c r="S557" s="10">
        <v>0</v>
      </c>
      <c r="U557" s="10">
        <v>0</v>
      </c>
      <c r="V557" s="24"/>
      <c r="W557" s="10">
        <v>0</v>
      </c>
      <c r="X557" s="24"/>
      <c r="Y557" s="10">
        <v>0</v>
      </c>
      <c r="AA557" s="10">
        <v>0</v>
      </c>
      <c r="AC557" s="10">
        <v>0</v>
      </c>
      <c r="AE557" s="10">
        <v>0</v>
      </c>
      <c r="AG557" s="10">
        <v>0</v>
      </c>
      <c r="AI557" s="10">
        <f t="shared" si="19"/>
        <v>0</v>
      </c>
      <c r="AJ557" s="10"/>
    </row>
    <row r="558" spans="1:39">
      <c r="A558" s="1" t="s">
        <v>572</v>
      </c>
      <c r="C558" s="1" t="s">
        <v>565</v>
      </c>
      <c r="E558" s="10">
        <v>109468</v>
      </c>
      <c r="G558" s="10">
        <v>0</v>
      </c>
      <c r="I558" s="10">
        <v>143953</v>
      </c>
      <c r="K558" s="10">
        <v>0</v>
      </c>
      <c r="M558" s="10">
        <v>70332</v>
      </c>
      <c r="O558" s="10">
        <v>8509</v>
      </c>
      <c r="Q558" s="10">
        <v>45629</v>
      </c>
      <c r="S558" s="10">
        <v>134912</v>
      </c>
      <c r="U558" s="10">
        <v>0</v>
      </c>
      <c r="W558" s="10">
        <v>0</v>
      </c>
      <c r="Y558" s="10">
        <v>0</v>
      </c>
      <c r="AA558" s="10">
        <v>240000</v>
      </c>
      <c r="AC558" s="10">
        <v>0</v>
      </c>
      <c r="AE558" s="10">
        <v>0</v>
      </c>
      <c r="AG558" s="10">
        <v>0</v>
      </c>
      <c r="AI558" s="10">
        <f t="shared" si="19"/>
        <v>752803</v>
      </c>
      <c r="AJ558" s="10"/>
    </row>
    <row r="559" spans="1:39" s="21" customFormat="1" hidden="1">
      <c r="A559" s="1" t="s">
        <v>424</v>
      </c>
      <c r="B559" s="1"/>
      <c r="C559" s="1" t="s">
        <v>420</v>
      </c>
      <c r="D559" s="1"/>
      <c r="E559" s="10">
        <v>0</v>
      </c>
      <c r="F559" s="10"/>
      <c r="G559" s="10">
        <v>0</v>
      </c>
      <c r="H559" s="10"/>
      <c r="I559" s="10">
        <v>0</v>
      </c>
      <c r="J559" s="10"/>
      <c r="K559" s="10">
        <v>0</v>
      </c>
      <c r="L559" s="10"/>
      <c r="M559" s="10">
        <v>0</v>
      </c>
      <c r="N559" s="10"/>
      <c r="O559" s="10">
        <v>0</v>
      </c>
      <c r="P559" s="10"/>
      <c r="Q559" s="10">
        <v>0</v>
      </c>
      <c r="R559" s="10"/>
      <c r="S559" s="10">
        <v>0</v>
      </c>
      <c r="T559" s="10"/>
      <c r="U559" s="10">
        <v>0</v>
      </c>
      <c r="V559" s="10"/>
      <c r="W559" s="10">
        <v>0</v>
      </c>
      <c r="X559" s="10"/>
      <c r="Y559" s="10">
        <v>0</v>
      </c>
      <c r="Z559" s="10"/>
      <c r="AA559" s="10">
        <v>0</v>
      </c>
      <c r="AB559" s="10"/>
      <c r="AC559" s="10">
        <v>0</v>
      </c>
      <c r="AD559" s="10"/>
      <c r="AE559" s="10">
        <v>0</v>
      </c>
      <c r="AF559" s="10"/>
      <c r="AG559" s="10">
        <v>0</v>
      </c>
      <c r="AH559" s="10"/>
      <c r="AI559" s="10">
        <f t="shared" ref="AI559:AI574" si="20">SUM(E559:AG559)</f>
        <v>0</v>
      </c>
      <c r="AJ559" s="10"/>
    </row>
    <row r="560" spans="1:39">
      <c r="A560" s="1" t="s">
        <v>603</v>
      </c>
      <c r="C560" s="1" t="s">
        <v>601</v>
      </c>
      <c r="E560" s="10">
        <v>345589</v>
      </c>
      <c r="G560" s="10">
        <v>10737</v>
      </c>
      <c r="I560" s="10">
        <v>175906</v>
      </c>
      <c r="K560" s="10">
        <v>0</v>
      </c>
      <c r="M560" s="10">
        <v>1508</v>
      </c>
      <c r="O560" s="10">
        <v>3836</v>
      </c>
      <c r="Q560" s="10">
        <v>27040</v>
      </c>
      <c r="S560" s="10">
        <v>19473</v>
      </c>
      <c r="U560" s="10">
        <v>0</v>
      </c>
      <c r="W560" s="10">
        <v>0</v>
      </c>
      <c r="Y560" s="10">
        <v>0</v>
      </c>
      <c r="AA560" s="10">
        <v>0</v>
      </c>
      <c r="AC560" s="10">
        <v>0</v>
      </c>
      <c r="AE560" s="10">
        <v>0</v>
      </c>
      <c r="AG560" s="10">
        <v>0</v>
      </c>
      <c r="AI560" s="10">
        <f t="shared" si="20"/>
        <v>584089</v>
      </c>
      <c r="AJ560" s="10"/>
    </row>
    <row r="561" spans="1:39" hidden="1">
      <c r="A561" s="1" t="s">
        <v>196</v>
      </c>
      <c r="C561" s="1" t="s">
        <v>811</v>
      </c>
      <c r="E561" s="10">
        <v>0</v>
      </c>
      <c r="G561" s="10">
        <v>0</v>
      </c>
      <c r="I561" s="10">
        <v>0</v>
      </c>
      <c r="K561" s="10">
        <v>0</v>
      </c>
      <c r="M561" s="10">
        <v>0</v>
      </c>
      <c r="O561" s="10">
        <v>0</v>
      </c>
      <c r="Q561" s="10">
        <v>0</v>
      </c>
      <c r="S561" s="10">
        <v>0</v>
      </c>
      <c r="U561" s="10">
        <v>0</v>
      </c>
      <c r="V561" s="24"/>
      <c r="W561" s="10">
        <v>0</v>
      </c>
      <c r="X561" s="24"/>
      <c r="Y561" s="10">
        <v>0</v>
      </c>
      <c r="AA561" s="10">
        <v>0</v>
      </c>
      <c r="AC561" s="10">
        <v>0</v>
      </c>
      <c r="AE561" s="10">
        <v>0</v>
      </c>
      <c r="AG561" s="10">
        <v>0</v>
      </c>
      <c r="AI561" s="10">
        <f t="shared" si="20"/>
        <v>0</v>
      </c>
      <c r="AJ561" s="10"/>
    </row>
    <row r="562" spans="1:39" s="21" customFormat="1" hidden="1">
      <c r="A562" s="1" t="s">
        <v>66</v>
      </c>
      <c r="B562" s="1"/>
      <c r="C562" s="1" t="s">
        <v>771</v>
      </c>
      <c r="D562" s="1"/>
      <c r="E562" s="10">
        <v>0</v>
      </c>
      <c r="F562" s="10"/>
      <c r="G562" s="10">
        <v>0</v>
      </c>
      <c r="H562" s="10"/>
      <c r="I562" s="10">
        <v>0</v>
      </c>
      <c r="J562" s="10"/>
      <c r="K562" s="10">
        <v>0</v>
      </c>
      <c r="L562" s="10"/>
      <c r="M562" s="10">
        <v>0</v>
      </c>
      <c r="N562" s="10"/>
      <c r="O562" s="10">
        <v>0</v>
      </c>
      <c r="P562" s="10"/>
      <c r="Q562" s="10">
        <v>0</v>
      </c>
      <c r="R562" s="10"/>
      <c r="S562" s="10">
        <v>0</v>
      </c>
      <c r="T562" s="24"/>
      <c r="U562" s="10">
        <v>0</v>
      </c>
      <c r="V562" s="24"/>
      <c r="W562" s="10">
        <v>0</v>
      </c>
      <c r="X562" s="10"/>
      <c r="Y562" s="10">
        <v>0</v>
      </c>
      <c r="Z562" s="10"/>
      <c r="AA562" s="10">
        <v>0</v>
      </c>
      <c r="AB562" s="10"/>
      <c r="AC562" s="10">
        <v>0</v>
      </c>
      <c r="AD562" s="10"/>
      <c r="AE562" s="10">
        <v>0</v>
      </c>
      <c r="AF562" s="10"/>
      <c r="AG562" s="10">
        <v>0</v>
      </c>
      <c r="AH562" s="10"/>
      <c r="AI562" s="10">
        <f t="shared" si="20"/>
        <v>0</v>
      </c>
      <c r="AJ562" s="10"/>
      <c r="AK562" s="22"/>
      <c r="AL562" s="22"/>
      <c r="AM562" s="22"/>
    </row>
    <row r="563" spans="1:39">
      <c r="A563" s="1" t="s">
        <v>573</v>
      </c>
      <c r="C563" s="1" t="s">
        <v>565</v>
      </c>
      <c r="E563" s="10">
        <v>276995</v>
      </c>
      <c r="G563" s="10">
        <v>532518</v>
      </c>
      <c r="I563" s="10">
        <v>128570</v>
      </c>
      <c r="K563" s="10">
        <v>0</v>
      </c>
      <c r="M563" s="10">
        <v>68010</v>
      </c>
      <c r="O563" s="10">
        <v>5654</v>
      </c>
      <c r="Q563" s="10">
        <v>81311</v>
      </c>
      <c r="S563" s="10">
        <v>74087</v>
      </c>
      <c r="U563" s="10">
        <v>0</v>
      </c>
      <c r="W563" s="10">
        <v>0</v>
      </c>
      <c r="Y563" s="10">
        <v>5594</v>
      </c>
      <c r="AA563" s="10">
        <v>0</v>
      </c>
      <c r="AC563" s="10">
        <v>0</v>
      </c>
      <c r="AE563" s="10">
        <v>0</v>
      </c>
      <c r="AG563" s="10">
        <v>0</v>
      </c>
      <c r="AI563" s="10">
        <f t="shared" si="20"/>
        <v>1172739</v>
      </c>
      <c r="AJ563" s="10"/>
    </row>
    <row r="564" spans="1:39" hidden="1">
      <c r="A564" s="1" t="s">
        <v>178</v>
      </c>
      <c r="C564" s="1" t="s">
        <v>806</v>
      </c>
      <c r="E564" s="10">
        <v>0</v>
      </c>
      <c r="G564" s="10">
        <v>0</v>
      </c>
      <c r="I564" s="10">
        <v>0</v>
      </c>
      <c r="K564" s="10">
        <v>0</v>
      </c>
      <c r="M564" s="10">
        <v>0</v>
      </c>
      <c r="O564" s="10">
        <v>0</v>
      </c>
      <c r="Q564" s="10">
        <v>0</v>
      </c>
      <c r="S564" s="10">
        <v>0</v>
      </c>
      <c r="U564" s="10">
        <v>0</v>
      </c>
      <c r="V564" s="24"/>
      <c r="W564" s="10">
        <v>0</v>
      </c>
      <c r="X564" s="24"/>
      <c r="Y564" s="10">
        <v>0</v>
      </c>
      <c r="AA564" s="10">
        <v>0</v>
      </c>
      <c r="AC564" s="10">
        <v>0</v>
      </c>
      <c r="AE564" s="10">
        <v>0</v>
      </c>
      <c r="AG564" s="10">
        <v>0</v>
      </c>
      <c r="AI564" s="10">
        <f t="shared" si="20"/>
        <v>0</v>
      </c>
      <c r="AJ564" s="10"/>
    </row>
    <row r="565" spans="1:39" hidden="1">
      <c r="A565" s="1" t="s">
        <v>47</v>
      </c>
      <c r="C565" s="1" t="s">
        <v>305</v>
      </c>
      <c r="E565" s="10">
        <v>0</v>
      </c>
      <c r="G565" s="10">
        <v>0</v>
      </c>
      <c r="I565" s="10">
        <v>0</v>
      </c>
      <c r="K565" s="10">
        <v>0</v>
      </c>
      <c r="M565" s="10">
        <v>0</v>
      </c>
      <c r="O565" s="10">
        <v>0</v>
      </c>
      <c r="Q565" s="10">
        <v>0</v>
      </c>
      <c r="S565" s="10">
        <v>0</v>
      </c>
      <c r="U565" s="10">
        <v>0</v>
      </c>
      <c r="V565" s="24"/>
      <c r="W565" s="10">
        <v>0</v>
      </c>
      <c r="X565" s="24"/>
      <c r="Y565" s="10">
        <v>0</v>
      </c>
      <c r="AA565" s="10">
        <v>0</v>
      </c>
      <c r="AC565" s="10">
        <v>0</v>
      </c>
      <c r="AE565" s="10">
        <v>0</v>
      </c>
      <c r="AG565" s="10">
        <v>0</v>
      </c>
      <c r="AI565" s="10">
        <f t="shared" si="20"/>
        <v>0</v>
      </c>
      <c r="AJ565" s="10"/>
      <c r="AK565" s="7"/>
      <c r="AL565" s="7"/>
      <c r="AM565" s="7"/>
    </row>
    <row r="566" spans="1:39" hidden="1">
      <c r="A566" s="1" t="s">
        <v>47</v>
      </c>
      <c r="C566" s="1" t="s">
        <v>763</v>
      </c>
      <c r="E566" s="10">
        <v>0</v>
      </c>
      <c r="G566" s="10">
        <v>0</v>
      </c>
      <c r="I566" s="10">
        <v>0</v>
      </c>
      <c r="K566" s="10">
        <v>0</v>
      </c>
      <c r="M566" s="10">
        <v>0</v>
      </c>
      <c r="O566" s="10">
        <v>0</v>
      </c>
      <c r="Q566" s="10">
        <v>0</v>
      </c>
      <c r="S566" s="10">
        <v>0</v>
      </c>
      <c r="U566" s="10">
        <v>0</v>
      </c>
      <c r="V566" s="24"/>
      <c r="W566" s="10">
        <v>0</v>
      </c>
      <c r="X566" s="24"/>
      <c r="Y566" s="10">
        <v>0</v>
      </c>
      <c r="AA566" s="10">
        <v>0</v>
      </c>
      <c r="AC566" s="10">
        <v>0</v>
      </c>
      <c r="AE566" s="10">
        <v>0</v>
      </c>
      <c r="AG566" s="10">
        <v>0</v>
      </c>
      <c r="AI566" s="10">
        <f t="shared" si="20"/>
        <v>0</v>
      </c>
      <c r="AJ566" s="10"/>
      <c r="AK566" s="7"/>
      <c r="AL566" s="7"/>
      <c r="AM566" s="7"/>
    </row>
    <row r="567" spans="1:39" s="21" customFormat="1">
      <c r="A567" s="1" t="s">
        <v>346</v>
      </c>
      <c r="B567" s="1"/>
      <c r="C567" s="1" t="s">
        <v>343</v>
      </c>
      <c r="D567" s="1"/>
      <c r="E567" s="10">
        <v>291033</v>
      </c>
      <c r="F567" s="10"/>
      <c r="G567" s="10">
        <v>1753603</v>
      </c>
      <c r="H567" s="10"/>
      <c r="I567" s="10">
        <f>183075+11564</f>
        <v>194639</v>
      </c>
      <c r="J567" s="10"/>
      <c r="K567" s="10">
        <v>0</v>
      </c>
      <c r="L567" s="10"/>
      <c r="M567" s="10">
        <v>73750</v>
      </c>
      <c r="N567" s="10"/>
      <c r="O567" s="10">
        <v>273146</v>
      </c>
      <c r="P567" s="10"/>
      <c r="Q567" s="10">
        <v>135684</v>
      </c>
      <c r="R567" s="10"/>
      <c r="S567" s="10">
        <v>42435</v>
      </c>
      <c r="T567" s="10"/>
      <c r="U567" s="10">
        <v>0</v>
      </c>
      <c r="V567" s="10"/>
      <c r="W567" s="10">
        <v>2656000</v>
      </c>
      <c r="X567" s="10"/>
      <c r="Y567" s="10">
        <v>0</v>
      </c>
      <c r="Z567" s="10"/>
      <c r="AA567" s="10">
        <v>0</v>
      </c>
      <c r="AB567" s="10"/>
      <c r="AC567" s="10">
        <v>0</v>
      </c>
      <c r="AD567" s="10"/>
      <c r="AE567" s="10">
        <v>0</v>
      </c>
      <c r="AF567" s="10"/>
      <c r="AG567" s="10">
        <v>0</v>
      </c>
      <c r="AH567" s="10"/>
      <c r="AI567" s="10">
        <f t="shared" si="20"/>
        <v>5420290</v>
      </c>
      <c r="AJ567" s="10"/>
      <c r="AK567" s="22"/>
      <c r="AL567" s="22"/>
      <c r="AM567" s="22"/>
    </row>
    <row r="568" spans="1:39" s="21" customFormat="1" hidden="1">
      <c r="A568" s="1" t="s">
        <v>362</v>
      </c>
      <c r="B568" s="1"/>
      <c r="C568" s="1" t="s">
        <v>358</v>
      </c>
      <c r="D568" s="1"/>
      <c r="E568" s="10">
        <v>0</v>
      </c>
      <c r="F568" s="10"/>
      <c r="G568" s="10">
        <v>0</v>
      </c>
      <c r="H568" s="10"/>
      <c r="I568" s="10">
        <v>0</v>
      </c>
      <c r="J568" s="10"/>
      <c r="K568" s="10">
        <v>0</v>
      </c>
      <c r="L568" s="10"/>
      <c r="M568" s="10">
        <v>0</v>
      </c>
      <c r="N568" s="10"/>
      <c r="O568" s="10">
        <v>0</v>
      </c>
      <c r="P568" s="10"/>
      <c r="Q568" s="10">
        <v>0</v>
      </c>
      <c r="R568" s="10"/>
      <c r="S568" s="10">
        <v>0</v>
      </c>
      <c r="T568" s="10"/>
      <c r="U568" s="10">
        <v>0</v>
      </c>
      <c r="V568" s="24"/>
      <c r="W568" s="10">
        <v>0</v>
      </c>
      <c r="X568" s="24"/>
      <c r="Y568" s="10">
        <v>0</v>
      </c>
      <c r="Z568" s="10"/>
      <c r="AA568" s="10">
        <v>0</v>
      </c>
      <c r="AB568" s="10"/>
      <c r="AC568" s="10">
        <v>0</v>
      </c>
      <c r="AD568" s="10"/>
      <c r="AE568" s="10">
        <v>0</v>
      </c>
      <c r="AF568" s="10"/>
      <c r="AG568" s="10">
        <v>0</v>
      </c>
      <c r="AH568" s="10"/>
      <c r="AI568" s="10">
        <f t="shared" si="20"/>
        <v>0</v>
      </c>
      <c r="AJ568" s="10"/>
    </row>
    <row r="569" spans="1:39" hidden="1">
      <c r="A569" s="1" t="s">
        <v>266</v>
      </c>
      <c r="C569" s="1" t="s">
        <v>831</v>
      </c>
      <c r="E569" s="10">
        <v>0</v>
      </c>
      <c r="G569" s="10">
        <v>0</v>
      </c>
      <c r="I569" s="10">
        <v>0</v>
      </c>
      <c r="K569" s="10">
        <v>0</v>
      </c>
      <c r="M569" s="10">
        <v>0</v>
      </c>
      <c r="O569" s="10">
        <v>0</v>
      </c>
      <c r="Q569" s="10">
        <v>0</v>
      </c>
      <c r="S569" s="10">
        <v>0</v>
      </c>
      <c r="U569" s="10">
        <v>0</v>
      </c>
      <c r="V569" s="24"/>
      <c r="W569" s="10">
        <v>0</v>
      </c>
      <c r="X569" s="24"/>
      <c r="Y569" s="10">
        <v>0</v>
      </c>
      <c r="AA569" s="10">
        <v>0</v>
      </c>
      <c r="AC569" s="10">
        <v>0</v>
      </c>
      <c r="AE569" s="10">
        <v>0</v>
      </c>
      <c r="AG569" s="10">
        <v>0</v>
      </c>
      <c r="AI569" s="10">
        <f t="shared" si="20"/>
        <v>0</v>
      </c>
      <c r="AJ569" s="10"/>
    </row>
    <row r="570" spans="1:39" hidden="1">
      <c r="A570" s="1" t="s">
        <v>159</v>
      </c>
      <c r="C570" s="1" t="s">
        <v>798</v>
      </c>
      <c r="E570" s="10">
        <v>0</v>
      </c>
      <c r="G570" s="10">
        <v>0</v>
      </c>
      <c r="I570" s="10">
        <v>0</v>
      </c>
      <c r="K570" s="10">
        <v>0</v>
      </c>
      <c r="M570" s="10">
        <v>0</v>
      </c>
      <c r="O570" s="10">
        <v>0</v>
      </c>
      <c r="Q570" s="10">
        <v>0</v>
      </c>
      <c r="S570" s="10">
        <v>0</v>
      </c>
      <c r="U570" s="10">
        <v>0</v>
      </c>
      <c r="V570" s="24"/>
      <c r="W570" s="10">
        <v>0</v>
      </c>
      <c r="X570" s="24"/>
      <c r="Y570" s="10">
        <v>0</v>
      </c>
      <c r="AA570" s="10">
        <v>0</v>
      </c>
      <c r="AC570" s="10">
        <v>0</v>
      </c>
      <c r="AE570" s="10">
        <v>0</v>
      </c>
      <c r="AG570" s="10">
        <v>0</v>
      </c>
      <c r="AI570" s="10">
        <f t="shared" si="20"/>
        <v>0</v>
      </c>
      <c r="AJ570" s="10"/>
    </row>
    <row r="571" spans="1:39" hidden="1">
      <c r="A571" s="1" t="s">
        <v>191</v>
      </c>
      <c r="C571" s="1" t="s">
        <v>809</v>
      </c>
      <c r="E571" s="10">
        <v>0</v>
      </c>
      <c r="G571" s="10">
        <v>0</v>
      </c>
      <c r="I571" s="10">
        <v>0</v>
      </c>
      <c r="K571" s="10">
        <v>0</v>
      </c>
      <c r="M571" s="10">
        <v>0</v>
      </c>
      <c r="O571" s="10">
        <v>0</v>
      </c>
      <c r="Q571" s="10">
        <v>0</v>
      </c>
      <c r="S571" s="10">
        <v>0</v>
      </c>
      <c r="U571" s="10">
        <v>0</v>
      </c>
      <c r="V571" s="24"/>
      <c r="W571" s="10">
        <v>0</v>
      </c>
      <c r="X571" s="24"/>
      <c r="Y571" s="10">
        <v>0</v>
      </c>
      <c r="AA571" s="10">
        <v>0</v>
      </c>
      <c r="AC571" s="10">
        <v>0</v>
      </c>
      <c r="AE571" s="10">
        <v>0</v>
      </c>
      <c r="AG571" s="10">
        <v>0</v>
      </c>
      <c r="AI571" s="10">
        <f t="shared" si="20"/>
        <v>0</v>
      </c>
      <c r="AJ571" s="10"/>
    </row>
    <row r="572" spans="1:39" s="21" customFormat="1">
      <c r="A572" s="1" t="s">
        <v>385</v>
      </c>
      <c r="B572" s="1"/>
      <c r="C572" s="1" t="s">
        <v>378</v>
      </c>
      <c r="D572" s="1"/>
      <c r="E572" s="10">
        <f>1101004+254576</f>
        <v>1355580</v>
      </c>
      <c r="F572" s="10"/>
      <c r="G572" s="10">
        <v>0</v>
      </c>
      <c r="H572" s="10"/>
      <c r="I572" s="10">
        <f>62356+184939</f>
        <v>247295</v>
      </c>
      <c r="J572" s="10"/>
      <c r="K572" s="10">
        <v>0</v>
      </c>
      <c r="L572" s="10"/>
      <c r="M572" s="10">
        <v>0</v>
      </c>
      <c r="N572" s="10"/>
      <c r="O572" s="10">
        <f>43205+23815</f>
        <v>67020</v>
      </c>
      <c r="P572" s="10"/>
      <c r="Q572" s="10">
        <v>46589</v>
      </c>
      <c r="R572" s="10"/>
      <c r="S572" s="10">
        <v>2366</v>
      </c>
      <c r="T572" s="10"/>
      <c r="U572" s="10">
        <v>0</v>
      </c>
      <c r="V572" s="10"/>
      <c r="W572" s="10">
        <v>0</v>
      </c>
      <c r="X572" s="10"/>
      <c r="Y572" s="10">
        <v>0</v>
      </c>
      <c r="Z572" s="10"/>
      <c r="AA572" s="10">
        <v>0</v>
      </c>
      <c r="AB572" s="10"/>
      <c r="AC572" s="10">
        <v>0</v>
      </c>
      <c r="AD572" s="10"/>
      <c r="AE572" s="10">
        <v>14708</v>
      </c>
      <c r="AF572" s="10"/>
      <c r="AG572" s="10">
        <v>0</v>
      </c>
      <c r="AH572" s="35"/>
      <c r="AI572" s="10">
        <f t="shared" si="20"/>
        <v>1733558</v>
      </c>
      <c r="AJ572" s="10"/>
    </row>
    <row r="573" spans="1:39" hidden="1">
      <c r="A573" s="1" t="s">
        <v>507</v>
      </c>
      <c r="C573" s="1" t="s">
        <v>504</v>
      </c>
      <c r="E573" s="10">
        <v>0</v>
      </c>
      <c r="G573" s="10">
        <v>0</v>
      </c>
      <c r="I573" s="10">
        <v>0</v>
      </c>
      <c r="K573" s="10">
        <v>0</v>
      </c>
      <c r="M573" s="10">
        <v>0</v>
      </c>
      <c r="O573" s="10">
        <v>0</v>
      </c>
      <c r="Q573" s="10">
        <v>0</v>
      </c>
      <c r="S573" s="10">
        <v>0</v>
      </c>
      <c r="U573" s="10">
        <v>0</v>
      </c>
      <c r="V573" s="24"/>
      <c r="W573" s="10">
        <v>0</v>
      </c>
      <c r="X573" s="24"/>
      <c r="Y573" s="10">
        <v>0</v>
      </c>
      <c r="AA573" s="10">
        <v>0</v>
      </c>
      <c r="AC573" s="10">
        <v>0</v>
      </c>
      <c r="AE573" s="10">
        <v>0</v>
      </c>
      <c r="AG573" s="10">
        <v>0</v>
      </c>
      <c r="AI573" s="10">
        <f t="shared" si="20"/>
        <v>0</v>
      </c>
      <c r="AJ573" s="10"/>
    </row>
    <row r="574" spans="1:39" s="21" customFormat="1" hidden="1">
      <c r="A574" s="1" t="s">
        <v>67</v>
      </c>
      <c r="B574" s="1"/>
      <c r="C574" s="1" t="s">
        <v>771</v>
      </c>
      <c r="D574" s="1"/>
      <c r="E574" s="10">
        <v>0</v>
      </c>
      <c r="F574" s="10"/>
      <c r="G574" s="10">
        <v>0</v>
      </c>
      <c r="H574" s="10"/>
      <c r="I574" s="10">
        <v>0</v>
      </c>
      <c r="J574" s="10"/>
      <c r="K574" s="10">
        <v>0</v>
      </c>
      <c r="L574" s="10"/>
      <c r="M574" s="10">
        <v>0</v>
      </c>
      <c r="N574" s="10"/>
      <c r="O574" s="10">
        <v>0</v>
      </c>
      <c r="P574" s="10"/>
      <c r="Q574" s="10">
        <v>0</v>
      </c>
      <c r="R574" s="10"/>
      <c r="S574" s="10">
        <v>0</v>
      </c>
      <c r="T574" s="10"/>
      <c r="U574" s="10">
        <v>0</v>
      </c>
      <c r="V574" s="24"/>
      <c r="W574" s="10">
        <v>0</v>
      </c>
      <c r="X574" s="24"/>
      <c r="Y574" s="10">
        <v>0</v>
      </c>
      <c r="Z574" s="10"/>
      <c r="AA574" s="10">
        <v>0</v>
      </c>
      <c r="AB574" s="10"/>
      <c r="AC574" s="10">
        <v>0</v>
      </c>
      <c r="AD574" s="10"/>
      <c r="AE574" s="10">
        <v>0</v>
      </c>
      <c r="AF574" s="10"/>
      <c r="AG574" s="10">
        <v>0</v>
      </c>
      <c r="AH574" s="10"/>
      <c r="AI574" s="10">
        <f t="shared" si="20"/>
        <v>0</v>
      </c>
      <c r="AJ574" s="10"/>
      <c r="AK574" s="22"/>
      <c r="AL574" s="22"/>
      <c r="AM574" s="22"/>
    </row>
    <row r="575" spans="1:39" s="54" customFormat="1" hidden="1">
      <c r="A575" s="40" t="s">
        <v>120</v>
      </c>
      <c r="B575" s="40"/>
      <c r="C575" s="40" t="s">
        <v>786</v>
      </c>
      <c r="D575" s="40"/>
      <c r="E575" s="40">
        <v>0</v>
      </c>
      <c r="F575" s="40"/>
      <c r="G575" s="40">
        <v>0</v>
      </c>
      <c r="H575" s="40"/>
      <c r="I575" s="40">
        <v>0</v>
      </c>
      <c r="J575" s="40"/>
      <c r="K575" s="40">
        <v>0</v>
      </c>
      <c r="L575" s="40"/>
      <c r="M575" s="40">
        <v>0</v>
      </c>
      <c r="N575" s="40"/>
      <c r="O575" s="40">
        <v>0</v>
      </c>
      <c r="P575" s="40"/>
      <c r="Q575" s="40">
        <v>0</v>
      </c>
      <c r="R575" s="40"/>
      <c r="S575" s="40">
        <v>0</v>
      </c>
      <c r="T575" s="40"/>
      <c r="U575" s="40">
        <v>0</v>
      </c>
      <c r="V575" s="41"/>
      <c r="W575" s="40">
        <v>0</v>
      </c>
      <c r="X575" s="41"/>
      <c r="Y575" s="40">
        <v>0</v>
      </c>
      <c r="Z575" s="40"/>
      <c r="AA575" s="40">
        <v>0</v>
      </c>
      <c r="AB575" s="40"/>
      <c r="AC575" s="40">
        <v>0</v>
      </c>
      <c r="AD575" s="40"/>
      <c r="AE575" s="40">
        <v>0</v>
      </c>
      <c r="AF575" s="40"/>
      <c r="AG575" s="40">
        <v>0</v>
      </c>
      <c r="AH575" s="40"/>
      <c r="AI575" s="40">
        <f t="shared" ref="AI575:AI607" si="21">SUM(E575:AG575)</f>
        <v>0</v>
      </c>
      <c r="AJ575" s="40"/>
    </row>
    <row r="576" spans="1:39" s="21" customFormat="1">
      <c r="A576" s="1" t="s">
        <v>434</v>
      </c>
      <c r="B576" s="1"/>
      <c r="C576" s="1" t="s">
        <v>430</v>
      </c>
      <c r="D576" s="1"/>
      <c r="E576" s="10">
        <v>281525</v>
      </c>
      <c r="F576" s="10"/>
      <c r="G576" s="10">
        <v>85270</v>
      </c>
      <c r="H576" s="10"/>
      <c r="I576" s="10">
        <v>67511</v>
      </c>
      <c r="J576" s="10"/>
      <c r="K576" s="10">
        <v>0</v>
      </c>
      <c r="L576" s="10"/>
      <c r="M576" s="10">
        <v>0</v>
      </c>
      <c r="N576" s="10"/>
      <c r="O576" s="10">
        <v>29456</v>
      </c>
      <c r="P576" s="10"/>
      <c r="Q576" s="10">
        <v>13206</v>
      </c>
      <c r="R576" s="10"/>
      <c r="S576" s="10">
        <v>8105</v>
      </c>
      <c r="T576" s="10"/>
      <c r="U576" s="10">
        <v>0</v>
      </c>
      <c r="V576" s="10"/>
      <c r="W576" s="10">
        <v>0</v>
      </c>
      <c r="X576" s="10"/>
      <c r="Y576" s="10">
        <v>0</v>
      </c>
      <c r="Z576" s="10"/>
      <c r="AA576" s="10">
        <v>0</v>
      </c>
      <c r="AB576" s="10"/>
      <c r="AC576" s="10">
        <v>0</v>
      </c>
      <c r="AD576" s="10"/>
      <c r="AE576" s="10">
        <v>0</v>
      </c>
      <c r="AF576" s="10"/>
      <c r="AG576" s="10">
        <v>0</v>
      </c>
      <c r="AH576" s="10"/>
      <c r="AI576" s="10">
        <f t="shared" si="21"/>
        <v>485073</v>
      </c>
      <c r="AJ576" s="10"/>
    </row>
    <row r="577" spans="1:39" s="21" customFormat="1" hidden="1">
      <c r="A577" s="1" t="s">
        <v>862</v>
      </c>
      <c r="B577" s="1"/>
      <c r="C577" s="1" t="s">
        <v>765</v>
      </c>
      <c r="D577" s="1"/>
      <c r="E577" s="10">
        <v>0</v>
      </c>
      <c r="F577" s="10"/>
      <c r="G577" s="10">
        <v>0</v>
      </c>
      <c r="H577" s="10"/>
      <c r="I577" s="10">
        <v>0</v>
      </c>
      <c r="J577" s="10"/>
      <c r="K577" s="10">
        <v>0</v>
      </c>
      <c r="L577" s="10"/>
      <c r="M577" s="10">
        <v>0</v>
      </c>
      <c r="N577" s="10"/>
      <c r="O577" s="10">
        <v>0</v>
      </c>
      <c r="P577" s="10"/>
      <c r="Q577" s="10">
        <v>0</v>
      </c>
      <c r="R577" s="10"/>
      <c r="S577" s="10">
        <v>0</v>
      </c>
      <c r="T577" s="10"/>
      <c r="U577" s="10">
        <v>0</v>
      </c>
      <c r="V577" s="24"/>
      <c r="W577" s="10">
        <v>0</v>
      </c>
      <c r="X577" s="24"/>
      <c r="Y577" s="10">
        <v>0</v>
      </c>
      <c r="Z577" s="10"/>
      <c r="AA577" s="10">
        <v>0</v>
      </c>
      <c r="AB577" s="10"/>
      <c r="AC577" s="10">
        <v>0</v>
      </c>
      <c r="AD577" s="10"/>
      <c r="AE577" s="10">
        <v>0</v>
      </c>
      <c r="AF577" s="10"/>
      <c r="AG577" s="10">
        <v>0</v>
      </c>
      <c r="AH577" s="10"/>
      <c r="AI577" s="10">
        <f t="shared" si="21"/>
        <v>0</v>
      </c>
      <c r="AJ577" s="10"/>
      <c r="AK577" s="22"/>
      <c r="AL577" s="22"/>
      <c r="AM577" s="22"/>
    </row>
    <row r="578" spans="1:39" hidden="1">
      <c r="A578" s="1" t="s">
        <v>612</v>
      </c>
      <c r="C578" s="1" t="s">
        <v>606</v>
      </c>
      <c r="E578" s="10">
        <v>0</v>
      </c>
      <c r="G578" s="10">
        <v>0</v>
      </c>
      <c r="I578" s="10">
        <v>0</v>
      </c>
      <c r="K578" s="10">
        <v>0</v>
      </c>
      <c r="M578" s="10">
        <v>0</v>
      </c>
      <c r="O578" s="10">
        <v>0</v>
      </c>
      <c r="Q578" s="10">
        <v>0</v>
      </c>
      <c r="S578" s="10">
        <v>0</v>
      </c>
      <c r="U578" s="10">
        <v>0</v>
      </c>
      <c r="V578" s="24"/>
      <c r="W578" s="10">
        <v>0</v>
      </c>
      <c r="X578" s="24"/>
      <c r="Y578" s="10">
        <v>0</v>
      </c>
      <c r="AA578" s="10">
        <v>0</v>
      </c>
      <c r="AC578" s="10">
        <v>0</v>
      </c>
      <c r="AE578" s="10">
        <v>0</v>
      </c>
      <c r="AG578" s="10">
        <v>0</v>
      </c>
      <c r="AI578" s="10">
        <f t="shared" si="21"/>
        <v>0</v>
      </c>
      <c r="AJ578" s="10"/>
    </row>
    <row r="579" spans="1:39" hidden="1">
      <c r="A579" s="1" t="s">
        <v>565</v>
      </c>
      <c r="C579" s="1" t="s">
        <v>565</v>
      </c>
      <c r="E579" s="10">
        <v>0</v>
      </c>
      <c r="G579" s="10">
        <v>0</v>
      </c>
      <c r="I579" s="10">
        <v>0</v>
      </c>
      <c r="K579" s="10">
        <v>0</v>
      </c>
      <c r="M579" s="10">
        <v>0</v>
      </c>
      <c r="O579" s="10">
        <v>0</v>
      </c>
      <c r="Q579" s="10">
        <v>0</v>
      </c>
      <c r="S579" s="10">
        <v>0</v>
      </c>
      <c r="U579" s="10">
        <v>0</v>
      </c>
      <c r="V579" s="24"/>
      <c r="W579" s="10">
        <v>0</v>
      </c>
      <c r="X579" s="24"/>
      <c r="Y579" s="10">
        <v>0</v>
      </c>
      <c r="AA579" s="10">
        <v>0</v>
      </c>
      <c r="AC579" s="10">
        <v>0</v>
      </c>
      <c r="AE579" s="10">
        <v>0</v>
      </c>
      <c r="AG579" s="10">
        <v>0</v>
      </c>
      <c r="AI579" s="10">
        <f t="shared" si="21"/>
        <v>0</v>
      </c>
      <c r="AJ579" s="10"/>
    </row>
    <row r="580" spans="1:39">
      <c r="A580" s="1" t="s">
        <v>337</v>
      </c>
      <c r="C580" s="1" t="s">
        <v>329</v>
      </c>
      <c r="E580" s="10">
        <v>200479</v>
      </c>
      <c r="G580" s="10">
        <v>235937</v>
      </c>
      <c r="I580" s="10">
        <v>31030</v>
      </c>
      <c r="K580" s="10">
        <v>0</v>
      </c>
      <c r="M580" s="10">
        <v>70833</v>
      </c>
      <c r="O580" s="10">
        <v>32330</v>
      </c>
      <c r="Q580" s="10">
        <v>9521</v>
      </c>
      <c r="S580" s="10">
        <v>20171</v>
      </c>
      <c r="U580" s="10">
        <v>0</v>
      </c>
      <c r="W580" s="10">
        <v>277000</v>
      </c>
      <c r="Y580" s="10">
        <v>0</v>
      </c>
      <c r="AA580" s="10">
        <v>0</v>
      </c>
      <c r="AC580" s="10">
        <v>0</v>
      </c>
      <c r="AE580" s="10">
        <v>0</v>
      </c>
      <c r="AG580" s="10">
        <v>0</v>
      </c>
      <c r="AI580" s="10">
        <f t="shared" si="21"/>
        <v>877301</v>
      </c>
      <c r="AJ580" s="10"/>
      <c r="AK580" s="7"/>
      <c r="AL580" s="7"/>
      <c r="AM580" s="7"/>
    </row>
    <row r="581" spans="1:39" s="10" customFormat="1" hidden="1">
      <c r="A581" s="10" t="s">
        <v>574</v>
      </c>
      <c r="C581" s="10" t="s">
        <v>575</v>
      </c>
      <c r="E581" s="10">
        <v>0</v>
      </c>
      <c r="G581" s="10">
        <v>0</v>
      </c>
      <c r="I581" s="10">
        <v>0</v>
      </c>
      <c r="K581" s="10">
        <v>0</v>
      </c>
      <c r="M581" s="10">
        <v>0</v>
      </c>
      <c r="O581" s="10">
        <v>0</v>
      </c>
      <c r="Q581" s="10">
        <v>0</v>
      </c>
      <c r="S581" s="10">
        <v>0</v>
      </c>
      <c r="U581" s="10">
        <v>0</v>
      </c>
      <c r="V581" s="24"/>
      <c r="W581" s="10">
        <v>0</v>
      </c>
      <c r="X581" s="24"/>
      <c r="Y581" s="10">
        <v>0</v>
      </c>
      <c r="AA581" s="10">
        <v>0</v>
      </c>
      <c r="AC581" s="10">
        <v>0</v>
      </c>
      <c r="AE581" s="10">
        <v>0</v>
      </c>
      <c r="AG581" s="10">
        <v>0</v>
      </c>
      <c r="AI581" s="10">
        <f t="shared" si="21"/>
        <v>0</v>
      </c>
    </row>
    <row r="582" spans="1:39" hidden="1">
      <c r="A582" s="1" t="s">
        <v>13</v>
      </c>
      <c r="C582" s="1" t="s">
        <v>754</v>
      </c>
      <c r="E582" s="10">
        <v>0</v>
      </c>
      <c r="G582" s="10">
        <v>0</v>
      </c>
      <c r="I582" s="10">
        <v>0</v>
      </c>
      <c r="K582" s="10">
        <v>0</v>
      </c>
      <c r="M582" s="10">
        <v>0</v>
      </c>
      <c r="O582" s="10">
        <v>0</v>
      </c>
      <c r="Q582" s="10">
        <v>0</v>
      </c>
      <c r="S582" s="10">
        <v>0</v>
      </c>
      <c r="U582" s="10">
        <v>0</v>
      </c>
      <c r="V582" s="24"/>
      <c r="W582" s="10">
        <v>0</v>
      </c>
      <c r="X582" s="24"/>
      <c r="Y582" s="10">
        <v>0</v>
      </c>
      <c r="AA582" s="10">
        <v>0</v>
      </c>
      <c r="AC582" s="10">
        <v>0</v>
      </c>
      <c r="AE582" s="10">
        <v>0</v>
      </c>
      <c r="AG582" s="10">
        <v>0</v>
      </c>
      <c r="AI582" s="10">
        <f t="shared" si="21"/>
        <v>0</v>
      </c>
      <c r="AJ582" s="10"/>
      <c r="AK582" s="7"/>
      <c r="AL582" s="7"/>
      <c r="AM582" s="7"/>
    </row>
    <row r="583" spans="1:39" s="21" customFormat="1" hidden="1">
      <c r="A583" s="1" t="s">
        <v>76</v>
      </c>
      <c r="B583" s="1"/>
      <c r="C583" s="1" t="s">
        <v>773</v>
      </c>
      <c r="D583" s="1"/>
      <c r="E583" s="10">
        <v>0</v>
      </c>
      <c r="F583" s="10"/>
      <c r="G583" s="10">
        <v>0</v>
      </c>
      <c r="H583" s="10"/>
      <c r="I583" s="10">
        <v>0</v>
      </c>
      <c r="J583" s="10"/>
      <c r="K583" s="10">
        <v>0</v>
      </c>
      <c r="L583" s="10"/>
      <c r="M583" s="10">
        <v>0</v>
      </c>
      <c r="N583" s="10"/>
      <c r="O583" s="10">
        <v>0</v>
      </c>
      <c r="P583" s="10"/>
      <c r="Q583" s="10">
        <v>0</v>
      </c>
      <c r="R583" s="10"/>
      <c r="S583" s="10">
        <v>0</v>
      </c>
      <c r="T583" s="24"/>
      <c r="U583" s="10">
        <v>0</v>
      </c>
      <c r="V583" s="24"/>
      <c r="W583" s="10">
        <v>0</v>
      </c>
      <c r="X583" s="10"/>
      <c r="Y583" s="10">
        <v>0</v>
      </c>
      <c r="Z583" s="10"/>
      <c r="AA583" s="10">
        <v>0</v>
      </c>
      <c r="AB583" s="10"/>
      <c r="AC583" s="10">
        <v>0</v>
      </c>
      <c r="AD583" s="10"/>
      <c r="AE583" s="10">
        <v>0</v>
      </c>
      <c r="AF583" s="10"/>
      <c r="AG583" s="10">
        <v>0</v>
      </c>
      <c r="AH583" s="10"/>
      <c r="AI583" s="10">
        <f t="shared" si="21"/>
        <v>0</v>
      </c>
      <c r="AJ583" s="10"/>
    </row>
    <row r="584" spans="1:39" s="21" customFormat="1">
      <c r="A584" s="1" t="s">
        <v>445</v>
      </c>
      <c r="B584" s="1"/>
      <c r="C584" s="1" t="s">
        <v>439</v>
      </c>
      <c r="D584" s="1"/>
      <c r="E584" s="10">
        <v>109918</v>
      </c>
      <c r="F584" s="10"/>
      <c r="G584" s="10">
        <v>188709</v>
      </c>
      <c r="H584" s="10"/>
      <c r="I584" s="10">
        <v>85579</v>
      </c>
      <c r="J584" s="10"/>
      <c r="K584" s="10">
        <v>0</v>
      </c>
      <c r="L584" s="10"/>
      <c r="M584" s="10">
        <v>0</v>
      </c>
      <c r="N584" s="10"/>
      <c r="O584" s="10">
        <v>13379</v>
      </c>
      <c r="P584" s="10"/>
      <c r="Q584" s="10">
        <v>0</v>
      </c>
      <c r="R584" s="10"/>
      <c r="S584" s="10">
        <v>29323</v>
      </c>
      <c r="T584" s="10"/>
      <c r="U584" s="10">
        <v>0</v>
      </c>
      <c r="V584" s="10"/>
      <c r="W584" s="10">
        <v>0</v>
      </c>
      <c r="X584" s="10"/>
      <c r="Y584" s="10">
        <v>0</v>
      </c>
      <c r="Z584" s="10"/>
      <c r="AA584" s="10">
        <v>0</v>
      </c>
      <c r="AB584" s="10"/>
      <c r="AC584" s="10">
        <v>0</v>
      </c>
      <c r="AD584" s="10"/>
      <c r="AE584" s="10">
        <v>0</v>
      </c>
      <c r="AF584" s="10"/>
      <c r="AG584" s="10">
        <v>0</v>
      </c>
      <c r="AH584" s="10"/>
      <c r="AI584" s="10">
        <f t="shared" si="21"/>
        <v>426908</v>
      </c>
      <c r="AJ584" s="10"/>
    </row>
    <row r="585" spans="1:39">
      <c r="A585" s="1" t="s">
        <v>449</v>
      </c>
      <c r="C585" s="1" t="s">
        <v>447</v>
      </c>
      <c r="E585" s="10">
        <v>3211</v>
      </c>
      <c r="G585" s="10">
        <v>31427</v>
      </c>
      <c r="I585" s="10">
        <v>2971</v>
      </c>
      <c r="K585" s="10">
        <v>0</v>
      </c>
      <c r="M585" s="10">
        <v>0</v>
      </c>
      <c r="O585" s="10">
        <v>1248</v>
      </c>
      <c r="Q585" s="10">
        <v>1585</v>
      </c>
      <c r="S585" s="10">
        <v>0</v>
      </c>
      <c r="U585" s="10">
        <v>0</v>
      </c>
      <c r="W585" s="10">
        <v>0</v>
      </c>
      <c r="Y585" s="10">
        <v>0</v>
      </c>
      <c r="AA585" s="10">
        <v>0</v>
      </c>
      <c r="AC585" s="10">
        <v>0</v>
      </c>
      <c r="AE585" s="10">
        <v>0</v>
      </c>
      <c r="AF585" s="35"/>
      <c r="AG585" s="10">
        <v>0</v>
      </c>
      <c r="AH585" s="35"/>
      <c r="AI585" s="10">
        <f t="shared" si="21"/>
        <v>40442</v>
      </c>
      <c r="AJ585" s="10"/>
    </row>
    <row r="586" spans="1:39">
      <c r="A586" s="1" t="s">
        <v>326</v>
      </c>
      <c r="C586" s="1" t="s">
        <v>316</v>
      </c>
      <c r="E586" s="10">
        <v>927687</v>
      </c>
      <c r="G586" s="10">
        <v>6781799</v>
      </c>
      <c r="I586" s="10">
        <v>518539</v>
      </c>
      <c r="K586" s="10">
        <v>0</v>
      </c>
      <c r="M586" s="10">
        <v>181064</v>
      </c>
      <c r="O586" s="10">
        <v>80195</v>
      </c>
      <c r="Q586" s="10">
        <v>80538</v>
      </c>
      <c r="S586" s="10">
        <v>76134</v>
      </c>
      <c r="U586" s="10">
        <v>0</v>
      </c>
      <c r="W586" s="10">
        <v>0</v>
      </c>
      <c r="Y586" s="10">
        <v>0</v>
      </c>
      <c r="AA586" s="10">
        <v>0</v>
      </c>
      <c r="AC586" s="10">
        <v>0</v>
      </c>
      <c r="AE586" s="10">
        <v>0</v>
      </c>
      <c r="AG586" s="10">
        <v>0</v>
      </c>
      <c r="AI586" s="10">
        <f t="shared" si="21"/>
        <v>8645956</v>
      </c>
      <c r="AJ586" s="10"/>
      <c r="AK586" s="7"/>
      <c r="AL586" s="7"/>
      <c r="AM586" s="7"/>
    </row>
    <row r="587" spans="1:39" s="21" customFormat="1" hidden="1">
      <c r="A587" s="1" t="s">
        <v>77</v>
      </c>
      <c r="B587" s="1"/>
      <c r="C587" s="1" t="s">
        <v>773</v>
      </c>
      <c r="D587" s="1"/>
      <c r="E587" s="10">
        <v>0</v>
      </c>
      <c r="F587" s="10"/>
      <c r="G587" s="10">
        <v>0</v>
      </c>
      <c r="H587" s="10"/>
      <c r="I587" s="10">
        <v>0</v>
      </c>
      <c r="J587" s="10"/>
      <c r="K587" s="10">
        <v>0</v>
      </c>
      <c r="L587" s="10"/>
      <c r="M587" s="10">
        <v>0</v>
      </c>
      <c r="N587" s="10"/>
      <c r="O587" s="10">
        <v>0</v>
      </c>
      <c r="P587" s="10"/>
      <c r="Q587" s="10">
        <v>0</v>
      </c>
      <c r="R587" s="10"/>
      <c r="S587" s="10">
        <v>0</v>
      </c>
      <c r="T587" s="10"/>
      <c r="U587" s="10">
        <v>0</v>
      </c>
      <c r="V587" s="24"/>
      <c r="W587" s="10">
        <v>0</v>
      </c>
      <c r="X587" s="24"/>
      <c r="Y587" s="10">
        <v>0</v>
      </c>
      <c r="Z587" s="10"/>
      <c r="AA587" s="10">
        <v>0</v>
      </c>
      <c r="AB587" s="10"/>
      <c r="AC587" s="10">
        <v>0</v>
      </c>
      <c r="AD587" s="10"/>
      <c r="AE587" s="10">
        <v>0</v>
      </c>
      <c r="AF587" s="10"/>
      <c r="AG587" s="10">
        <v>0</v>
      </c>
      <c r="AH587" s="10"/>
      <c r="AI587" s="10">
        <f t="shared" si="21"/>
        <v>0</v>
      </c>
      <c r="AJ587" s="10"/>
    </row>
    <row r="588" spans="1:39" s="21" customFormat="1">
      <c r="A588" s="1" t="s">
        <v>393</v>
      </c>
      <c r="B588" s="1"/>
      <c r="C588" s="1" t="s">
        <v>388</v>
      </c>
      <c r="D588" s="1"/>
      <c r="E588" s="10">
        <v>22115</v>
      </c>
      <c r="F588" s="10"/>
      <c r="G588" s="10">
        <v>0</v>
      </c>
      <c r="H588" s="10"/>
      <c r="I588" s="10">
        <v>45937</v>
      </c>
      <c r="J588" s="10"/>
      <c r="K588" s="10">
        <v>0</v>
      </c>
      <c r="L588" s="10"/>
      <c r="M588" s="10">
        <v>0</v>
      </c>
      <c r="N588" s="10"/>
      <c r="O588" s="10">
        <v>600</v>
      </c>
      <c r="P588" s="10"/>
      <c r="Q588" s="10">
        <v>5296</v>
      </c>
      <c r="R588" s="10"/>
      <c r="S588" s="10">
        <v>1294</v>
      </c>
      <c r="T588" s="10"/>
      <c r="U588" s="10">
        <v>0</v>
      </c>
      <c r="V588" s="10"/>
      <c r="W588" s="10">
        <v>0</v>
      </c>
      <c r="X588" s="10"/>
      <c r="Y588" s="10">
        <v>0</v>
      </c>
      <c r="Z588" s="10"/>
      <c r="AA588" s="10">
        <v>0</v>
      </c>
      <c r="AB588" s="10"/>
      <c r="AC588" s="10">
        <v>0</v>
      </c>
      <c r="AD588" s="10"/>
      <c r="AE588" s="10">
        <v>0</v>
      </c>
      <c r="AF588" s="10"/>
      <c r="AG588" s="10">
        <v>0</v>
      </c>
      <c r="AH588" s="10"/>
      <c r="AI588" s="10">
        <f t="shared" si="21"/>
        <v>75242</v>
      </c>
      <c r="AJ588" s="10"/>
    </row>
    <row r="589" spans="1:39" hidden="1">
      <c r="A589" s="1" t="s">
        <v>394</v>
      </c>
      <c r="C589" s="1" t="s">
        <v>388</v>
      </c>
      <c r="E589" s="10">
        <v>0</v>
      </c>
      <c r="G589" s="10">
        <v>0</v>
      </c>
      <c r="I589" s="10">
        <v>0</v>
      </c>
      <c r="K589" s="10">
        <v>0</v>
      </c>
      <c r="M589" s="10">
        <v>0</v>
      </c>
      <c r="O589" s="10">
        <v>0</v>
      </c>
      <c r="Q589" s="10">
        <v>0</v>
      </c>
      <c r="S589" s="10">
        <v>0</v>
      </c>
      <c r="U589" s="10">
        <v>0</v>
      </c>
      <c r="V589" s="24"/>
      <c r="W589" s="10">
        <v>0</v>
      </c>
      <c r="X589" s="24"/>
      <c r="Y589" s="10">
        <v>0</v>
      </c>
      <c r="AA589" s="10">
        <v>0</v>
      </c>
      <c r="AC589" s="10">
        <v>0</v>
      </c>
      <c r="AE589" s="10">
        <v>0</v>
      </c>
      <c r="AG589" s="10">
        <v>0</v>
      </c>
      <c r="AI589" s="10">
        <f t="shared" si="21"/>
        <v>0</v>
      </c>
      <c r="AJ589" s="10"/>
    </row>
    <row r="590" spans="1:39" hidden="1">
      <c r="A590" s="1" t="s">
        <v>580</v>
      </c>
      <c r="C590" s="1" t="s">
        <v>577</v>
      </c>
      <c r="E590" s="10">
        <v>0</v>
      </c>
      <c r="G590" s="10">
        <v>0</v>
      </c>
      <c r="I590" s="10">
        <v>0</v>
      </c>
      <c r="K590" s="10">
        <v>0</v>
      </c>
      <c r="M590" s="10">
        <v>0</v>
      </c>
      <c r="O590" s="10">
        <v>0</v>
      </c>
      <c r="Q590" s="10">
        <v>0</v>
      </c>
      <c r="S590" s="10">
        <v>0</v>
      </c>
      <c r="U590" s="10">
        <v>0</v>
      </c>
      <c r="V590" s="24"/>
      <c r="W590" s="10">
        <v>0</v>
      </c>
      <c r="X590" s="24"/>
      <c r="Y590" s="10">
        <v>0</v>
      </c>
      <c r="AA590" s="10">
        <v>0</v>
      </c>
      <c r="AC590" s="10">
        <v>0</v>
      </c>
      <c r="AE590" s="10">
        <v>0</v>
      </c>
      <c r="AG590" s="10">
        <v>0</v>
      </c>
      <c r="AI590" s="10">
        <f t="shared" si="21"/>
        <v>0</v>
      </c>
      <c r="AJ590" s="10"/>
    </row>
    <row r="591" spans="1:39" s="15" customFormat="1">
      <c r="A591" s="15" t="s">
        <v>515</v>
      </c>
      <c r="C591" s="15" t="s">
        <v>513</v>
      </c>
      <c r="E591" s="24">
        <v>63365</v>
      </c>
      <c r="F591" s="24"/>
      <c r="G591" s="24">
        <v>0</v>
      </c>
      <c r="H591" s="24"/>
      <c r="I591" s="24">
        <v>4342</v>
      </c>
      <c r="J591" s="24"/>
      <c r="K591" s="24">
        <v>0</v>
      </c>
      <c r="L591" s="24"/>
      <c r="M591" s="24">
        <v>0</v>
      </c>
      <c r="N591" s="24"/>
      <c r="O591" s="24">
        <v>165</v>
      </c>
      <c r="P591" s="24"/>
      <c r="Q591" s="24">
        <v>9519</v>
      </c>
      <c r="R591" s="24"/>
      <c r="S591" s="24">
        <v>1273</v>
      </c>
      <c r="T591" s="24"/>
      <c r="U591" s="24">
        <v>0</v>
      </c>
      <c r="V591" s="24"/>
      <c r="W591" s="24">
        <v>0</v>
      </c>
      <c r="X591" s="24"/>
      <c r="Y591" s="24">
        <v>0</v>
      </c>
      <c r="Z591" s="24"/>
      <c r="AA591" s="24">
        <v>0</v>
      </c>
      <c r="AB591" s="24"/>
      <c r="AC591" s="24">
        <v>145</v>
      </c>
      <c r="AD591" s="24"/>
      <c r="AE591" s="24">
        <v>0</v>
      </c>
      <c r="AF591" s="24"/>
      <c r="AG591" s="24">
        <v>0</v>
      </c>
      <c r="AH591" s="24"/>
      <c r="AI591" s="24">
        <f t="shared" si="21"/>
        <v>78809</v>
      </c>
      <c r="AJ591" s="24"/>
    </row>
    <row r="592" spans="1:39">
      <c r="A592" s="1" t="s">
        <v>338</v>
      </c>
      <c r="C592" s="1" t="s">
        <v>329</v>
      </c>
      <c r="E592" s="10">
        <v>79694</v>
      </c>
      <c r="G592" s="10">
        <v>2025714</v>
      </c>
      <c r="I592" s="10">
        <v>377236</v>
      </c>
      <c r="K592" s="10">
        <v>0</v>
      </c>
      <c r="M592" s="10">
        <v>214619</v>
      </c>
      <c r="O592" s="10">
        <v>35192</v>
      </c>
      <c r="Q592" s="10">
        <v>332312</v>
      </c>
      <c r="S592" s="10">
        <v>14141</v>
      </c>
      <c r="U592" s="10">
        <v>0</v>
      </c>
      <c r="W592" s="10">
        <v>0</v>
      </c>
      <c r="Y592" s="10">
        <v>0</v>
      </c>
      <c r="AA592" s="10">
        <v>0</v>
      </c>
      <c r="AC592" s="10">
        <v>0</v>
      </c>
      <c r="AE592" s="10">
        <v>0</v>
      </c>
      <c r="AG592" s="10">
        <v>0</v>
      </c>
      <c r="AI592" s="10">
        <f t="shared" si="21"/>
        <v>3078908</v>
      </c>
      <c r="AJ592" s="40"/>
      <c r="AK592" s="7"/>
      <c r="AL592" s="7"/>
      <c r="AM592" s="7"/>
    </row>
    <row r="593" spans="1:39" s="21" customFormat="1">
      <c r="A593" s="1" t="s">
        <v>435</v>
      </c>
      <c r="B593" s="1"/>
      <c r="C593" s="1" t="s">
        <v>430</v>
      </c>
      <c r="D593" s="1"/>
      <c r="E593" s="10">
        <v>654578</v>
      </c>
      <c r="F593" s="10"/>
      <c r="G593" s="10">
        <v>0</v>
      </c>
      <c r="H593" s="10"/>
      <c r="I593" s="10">
        <v>346048</v>
      </c>
      <c r="J593" s="10"/>
      <c r="K593" s="10">
        <v>0</v>
      </c>
      <c r="L593" s="10"/>
      <c r="M593" s="10">
        <v>0</v>
      </c>
      <c r="N593" s="10"/>
      <c r="O593" s="10">
        <v>7374</v>
      </c>
      <c r="P593" s="10"/>
      <c r="Q593" s="10">
        <v>436272</v>
      </c>
      <c r="R593" s="10"/>
      <c r="S593" s="10">
        <v>11469</v>
      </c>
      <c r="T593" s="10"/>
      <c r="U593" s="10">
        <v>0</v>
      </c>
      <c r="V593" s="10"/>
      <c r="W593" s="10">
        <v>0</v>
      </c>
      <c r="X593" s="10"/>
      <c r="Y593" s="10">
        <v>0</v>
      </c>
      <c r="Z593" s="10"/>
      <c r="AA593" s="10">
        <v>0</v>
      </c>
      <c r="AB593" s="10"/>
      <c r="AC593" s="10">
        <v>0</v>
      </c>
      <c r="AD593" s="10"/>
      <c r="AE593" s="10">
        <v>0</v>
      </c>
      <c r="AF593" s="10"/>
      <c r="AG593" s="10">
        <v>0</v>
      </c>
      <c r="AH593" s="10"/>
      <c r="AI593" s="10">
        <f t="shared" si="21"/>
        <v>1455741</v>
      </c>
      <c r="AJ593" s="10"/>
    </row>
    <row r="594" spans="1:39" s="21" customFormat="1">
      <c r="A594" s="1" t="s">
        <v>458</v>
      </c>
      <c r="B594" s="1"/>
      <c r="C594" s="1" t="s">
        <v>456</v>
      </c>
      <c r="D594" s="1"/>
      <c r="E594" s="10">
        <v>2279149</v>
      </c>
      <c r="F594" s="10"/>
      <c r="G594" s="10">
        <v>0</v>
      </c>
      <c r="H594" s="10"/>
      <c r="I594" s="10">
        <v>629670</v>
      </c>
      <c r="J594" s="10"/>
      <c r="K594" s="10">
        <v>8257</v>
      </c>
      <c r="L594" s="10"/>
      <c r="M594" s="10">
        <v>171288</v>
      </c>
      <c r="N594" s="10"/>
      <c r="O594" s="10">
        <v>29391</v>
      </c>
      <c r="P594" s="10"/>
      <c r="Q594" s="10">
        <v>87116</v>
      </c>
      <c r="R594" s="10"/>
      <c r="S594" s="10">
        <v>57952</v>
      </c>
      <c r="T594" s="10"/>
      <c r="U594" s="10">
        <v>0</v>
      </c>
      <c r="V594" s="10"/>
      <c r="W594" s="10">
        <v>0</v>
      </c>
      <c r="X594" s="10"/>
      <c r="Y594" s="10">
        <v>0</v>
      </c>
      <c r="Z594" s="10"/>
      <c r="AA594" s="10">
        <v>0</v>
      </c>
      <c r="AB594" s="10"/>
      <c r="AC594" s="10">
        <v>85000</v>
      </c>
      <c r="AD594" s="10"/>
      <c r="AE594" s="10">
        <v>0</v>
      </c>
      <c r="AF594" s="10"/>
      <c r="AG594" s="10">
        <v>0</v>
      </c>
      <c r="AH594" s="10"/>
      <c r="AI594" s="10">
        <f t="shared" si="21"/>
        <v>3347823</v>
      </c>
      <c r="AJ594" s="10"/>
    </row>
    <row r="595" spans="1:39">
      <c r="A595" s="1" t="s">
        <v>828</v>
      </c>
      <c r="C595" s="1" t="s">
        <v>606</v>
      </c>
      <c r="E595" s="10">
        <v>24449</v>
      </c>
      <c r="G595" s="10">
        <v>0</v>
      </c>
      <c r="I595" s="10">
        <v>33053</v>
      </c>
      <c r="K595" s="10">
        <v>0</v>
      </c>
      <c r="M595" s="10">
        <v>529</v>
      </c>
      <c r="O595" s="10">
        <v>6849</v>
      </c>
      <c r="Q595" s="10">
        <v>6574</v>
      </c>
      <c r="S595" s="10">
        <v>4518</v>
      </c>
      <c r="U595" s="10">
        <v>0</v>
      </c>
      <c r="W595" s="10">
        <v>0</v>
      </c>
      <c r="Y595" s="10">
        <v>0</v>
      </c>
      <c r="AA595" s="10">
        <v>0</v>
      </c>
      <c r="AC595" s="10">
        <v>0</v>
      </c>
      <c r="AE595" s="10">
        <v>0</v>
      </c>
      <c r="AG595" s="10">
        <v>0</v>
      </c>
      <c r="AI595" s="10">
        <f t="shared" si="21"/>
        <v>75972</v>
      </c>
      <c r="AJ595" s="10"/>
      <c r="AK595" s="7"/>
      <c r="AL595" s="7"/>
      <c r="AM595" s="7"/>
    </row>
    <row r="596" spans="1:39" hidden="1">
      <c r="A596" s="1" t="s">
        <v>339</v>
      </c>
      <c r="C596" s="1" t="s">
        <v>329</v>
      </c>
      <c r="E596" s="10">
        <v>0</v>
      </c>
      <c r="G596" s="10">
        <v>0</v>
      </c>
      <c r="I596" s="10">
        <v>0</v>
      </c>
      <c r="K596" s="10">
        <v>0</v>
      </c>
      <c r="M596" s="10">
        <v>0</v>
      </c>
      <c r="O596" s="10">
        <v>0</v>
      </c>
      <c r="Q596" s="10">
        <v>0</v>
      </c>
      <c r="S596" s="10">
        <v>0</v>
      </c>
      <c r="U596" s="10">
        <v>0</v>
      </c>
      <c r="W596" s="10">
        <v>0</v>
      </c>
      <c r="Y596" s="10">
        <v>0</v>
      </c>
      <c r="AA596" s="10">
        <v>0</v>
      </c>
      <c r="AC596" s="10">
        <v>0</v>
      </c>
      <c r="AE596" s="10">
        <v>0</v>
      </c>
      <c r="AG596" s="10">
        <v>0</v>
      </c>
      <c r="AI596" s="10">
        <f t="shared" si="21"/>
        <v>0</v>
      </c>
      <c r="AJ596" s="10"/>
      <c r="AK596" s="7"/>
      <c r="AL596" s="7"/>
      <c r="AM596" s="7"/>
    </row>
    <row r="597" spans="1:39" s="21" customFormat="1">
      <c r="A597" s="1"/>
      <c r="B597" s="1"/>
      <c r="C597" s="1"/>
      <c r="D597" s="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24"/>
      <c r="W597" s="10"/>
      <c r="X597" s="24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 t="s">
        <v>869</v>
      </c>
      <c r="AJ597" s="10"/>
      <c r="AK597" s="22"/>
      <c r="AL597" s="22"/>
      <c r="AM597" s="22"/>
    </row>
    <row r="598" spans="1:39" s="40" customFormat="1">
      <c r="A598" s="40" t="s">
        <v>552</v>
      </c>
      <c r="C598" s="40" t="s">
        <v>545</v>
      </c>
      <c r="E598" s="40">
        <v>24105</v>
      </c>
      <c r="G598" s="40">
        <v>0</v>
      </c>
      <c r="I598" s="40">
        <v>31136</v>
      </c>
      <c r="K598" s="40">
        <v>0</v>
      </c>
      <c r="M598" s="40">
        <v>0</v>
      </c>
      <c r="O598" s="40">
        <v>1268</v>
      </c>
      <c r="Q598" s="40">
        <v>16925</v>
      </c>
      <c r="S598" s="40">
        <v>14710</v>
      </c>
      <c r="U598" s="40">
        <v>0</v>
      </c>
      <c r="W598" s="40">
        <v>0</v>
      </c>
      <c r="Y598" s="40">
        <v>0</v>
      </c>
      <c r="AA598" s="40">
        <v>0</v>
      </c>
      <c r="AC598" s="40">
        <v>0</v>
      </c>
      <c r="AE598" s="40">
        <v>0</v>
      </c>
      <c r="AG598" s="40">
        <v>0</v>
      </c>
      <c r="AI598" s="40">
        <f t="shared" si="21"/>
        <v>88144</v>
      </c>
    </row>
    <row r="599" spans="1:39" s="21" customFormat="1" hidden="1">
      <c r="A599" s="1" t="s">
        <v>14</v>
      </c>
      <c r="B599" s="1"/>
      <c r="C599" s="1" t="s">
        <v>754</v>
      </c>
      <c r="D599" s="1"/>
      <c r="E599" s="10">
        <v>0</v>
      </c>
      <c r="F599" s="10"/>
      <c r="G599" s="10">
        <v>0</v>
      </c>
      <c r="H599" s="10"/>
      <c r="I599" s="10">
        <v>0</v>
      </c>
      <c r="J599" s="10"/>
      <c r="K599" s="10">
        <v>0</v>
      </c>
      <c r="L599" s="10"/>
      <c r="M599" s="10">
        <v>0</v>
      </c>
      <c r="N599" s="10"/>
      <c r="O599" s="10">
        <v>0</v>
      </c>
      <c r="P599" s="10"/>
      <c r="Q599" s="10">
        <v>0</v>
      </c>
      <c r="R599" s="10"/>
      <c r="S599" s="10">
        <v>0</v>
      </c>
      <c r="T599" s="10"/>
      <c r="U599" s="10">
        <v>0</v>
      </c>
      <c r="V599" s="24"/>
      <c r="W599" s="10">
        <v>0</v>
      </c>
      <c r="X599" s="24"/>
      <c r="Y599" s="10">
        <v>0</v>
      </c>
      <c r="Z599" s="10"/>
      <c r="AA599" s="10">
        <v>0</v>
      </c>
      <c r="AB599" s="10"/>
      <c r="AC599" s="10">
        <v>0</v>
      </c>
      <c r="AD599" s="10"/>
      <c r="AE599" s="10">
        <v>0</v>
      </c>
      <c r="AF599" s="10"/>
      <c r="AG599" s="10">
        <v>0</v>
      </c>
      <c r="AH599" s="10"/>
      <c r="AI599" s="10">
        <f t="shared" si="21"/>
        <v>0</v>
      </c>
      <c r="AJ599" s="10"/>
      <c r="AK599" s="22"/>
      <c r="AL599" s="22"/>
      <c r="AM599" s="22"/>
    </row>
    <row r="600" spans="1:39">
      <c r="A600" s="1" t="s">
        <v>588</v>
      </c>
      <c r="C600" s="1" t="s">
        <v>586</v>
      </c>
      <c r="E600" s="10">
        <v>100658</v>
      </c>
      <c r="G600" s="10">
        <v>0</v>
      </c>
      <c r="I600" s="10">
        <v>146826</v>
      </c>
      <c r="K600" s="10">
        <v>0</v>
      </c>
      <c r="M600" s="10">
        <v>28983</v>
      </c>
      <c r="O600" s="10">
        <f>65248+40339</f>
        <v>105587</v>
      </c>
      <c r="Q600" s="10">
        <v>31558</v>
      </c>
      <c r="S600" s="10">
        <v>16722</v>
      </c>
      <c r="U600" s="10">
        <v>0</v>
      </c>
      <c r="W600" s="10">
        <v>352000</v>
      </c>
      <c r="Y600" s="10">
        <v>0</v>
      </c>
      <c r="AA600" s="10">
        <v>0</v>
      </c>
      <c r="AC600" s="10">
        <v>0</v>
      </c>
      <c r="AE600" s="10">
        <v>0</v>
      </c>
      <c r="AG600" s="10">
        <v>0</v>
      </c>
      <c r="AI600" s="10">
        <f t="shared" si="21"/>
        <v>782334</v>
      </c>
      <c r="AJ600" s="10"/>
    </row>
    <row r="601" spans="1:39" s="21" customFormat="1">
      <c r="A601" s="1" t="s">
        <v>454</v>
      </c>
      <c r="B601" s="1"/>
      <c r="C601" s="1" t="s">
        <v>452</v>
      </c>
      <c r="D601" s="1"/>
      <c r="E601" s="10">
        <v>672997</v>
      </c>
      <c r="F601" s="10"/>
      <c r="G601" s="10">
        <v>1093699</v>
      </c>
      <c r="H601" s="10"/>
      <c r="I601" s="10">
        <v>306641</v>
      </c>
      <c r="J601" s="10"/>
      <c r="K601" s="10">
        <v>0</v>
      </c>
      <c r="L601" s="10"/>
      <c r="M601" s="10">
        <v>50190</v>
      </c>
      <c r="N601" s="10"/>
      <c r="O601" s="10">
        <v>48154</v>
      </c>
      <c r="P601" s="10"/>
      <c r="Q601" s="10">
        <v>180674</v>
      </c>
      <c r="R601" s="10"/>
      <c r="S601" s="10">
        <f>2775+29753</f>
        <v>32528</v>
      </c>
      <c r="T601" s="10"/>
      <c r="U601" s="10">
        <v>0</v>
      </c>
      <c r="V601" s="10"/>
      <c r="W601" s="10">
        <v>0</v>
      </c>
      <c r="X601" s="10"/>
      <c r="Y601" s="10">
        <v>0</v>
      </c>
      <c r="Z601" s="10"/>
      <c r="AA601" s="10">
        <v>0</v>
      </c>
      <c r="AB601" s="10"/>
      <c r="AC601" s="10">
        <v>0</v>
      </c>
      <c r="AD601" s="10"/>
      <c r="AE601" s="10">
        <v>0</v>
      </c>
      <c r="AF601" s="10"/>
      <c r="AG601" s="10">
        <v>0</v>
      </c>
      <c r="AH601" s="10"/>
      <c r="AI601" s="10">
        <f t="shared" si="21"/>
        <v>2384883</v>
      </c>
      <c r="AJ601" s="10"/>
    </row>
    <row r="602" spans="1:39" s="21" customFormat="1" hidden="1">
      <c r="A602" s="1" t="s">
        <v>306</v>
      </c>
      <c r="B602" s="1"/>
      <c r="C602" s="1" t="s">
        <v>305</v>
      </c>
      <c r="D602" s="1"/>
      <c r="E602" s="10">
        <v>0</v>
      </c>
      <c r="F602" s="10"/>
      <c r="G602" s="10">
        <v>0</v>
      </c>
      <c r="H602" s="10"/>
      <c r="I602" s="10">
        <v>0</v>
      </c>
      <c r="J602" s="10"/>
      <c r="K602" s="10">
        <v>0</v>
      </c>
      <c r="L602" s="10"/>
      <c r="M602" s="10">
        <v>0</v>
      </c>
      <c r="N602" s="10"/>
      <c r="O602" s="10">
        <v>0</v>
      </c>
      <c r="P602" s="10"/>
      <c r="Q602" s="10">
        <v>0</v>
      </c>
      <c r="R602" s="10"/>
      <c r="S602" s="10">
        <v>0</v>
      </c>
      <c r="T602" s="10"/>
      <c r="U602" s="10">
        <v>0</v>
      </c>
      <c r="V602" s="24"/>
      <c r="W602" s="10">
        <v>0</v>
      </c>
      <c r="X602" s="24"/>
      <c r="Y602" s="10">
        <v>0</v>
      </c>
      <c r="Z602" s="10"/>
      <c r="AA602" s="10">
        <v>0</v>
      </c>
      <c r="AB602" s="10"/>
      <c r="AC602" s="10">
        <v>0</v>
      </c>
      <c r="AD602" s="10"/>
      <c r="AE602" s="10">
        <v>0</v>
      </c>
      <c r="AF602" s="10"/>
      <c r="AG602" s="10">
        <v>0</v>
      </c>
      <c r="AH602" s="10"/>
      <c r="AI602" s="10">
        <f t="shared" si="21"/>
        <v>0</v>
      </c>
      <c r="AJ602" s="10"/>
      <c r="AK602" s="22"/>
      <c r="AL602" s="22"/>
      <c r="AM602" s="22"/>
    </row>
    <row r="603" spans="1:39">
      <c r="A603" s="1" t="s">
        <v>516</v>
      </c>
      <c r="C603" s="1" t="s">
        <v>513</v>
      </c>
      <c r="E603" s="10">
        <v>134287</v>
      </c>
      <c r="G603" s="10">
        <v>0</v>
      </c>
      <c r="I603" s="10">
        <v>155189</v>
      </c>
      <c r="K603" s="10">
        <v>0</v>
      </c>
      <c r="M603" s="10">
        <v>0</v>
      </c>
      <c r="O603" s="10">
        <v>2766</v>
      </c>
      <c r="Q603" s="10">
        <v>16897</v>
      </c>
      <c r="S603" s="10">
        <v>20212</v>
      </c>
      <c r="U603" s="10">
        <v>0</v>
      </c>
      <c r="W603" s="10">
        <v>0</v>
      </c>
      <c r="Y603" s="10">
        <v>0</v>
      </c>
      <c r="AA603" s="10">
        <v>0</v>
      </c>
      <c r="AC603" s="10">
        <v>0</v>
      </c>
      <c r="AE603" s="10">
        <v>155000</v>
      </c>
      <c r="AG603" s="10">
        <v>0</v>
      </c>
      <c r="AI603" s="10">
        <f t="shared" si="21"/>
        <v>484351</v>
      </c>
      <c r="AJ603" s="10"/>
    </row>
    <row r="604" spans="1:39" hidden="1">
      <c r="A604" s="1" t="s">
        <v>230</v>
      </c>
      <c r="C604" s="1" t="s">
        <v>822</v>
      </c>
      <c r="E604" s="10">
        <v>0</v>
      </c>
      <c r="G604" s="10">
        <v>0</v>
      </c>
      <c r="I604" s="10">
        <v>0</v>
      </c>
      <c r="K604" s="10">
        <v>0</v>
      </c>
      <c r="M604" s="10">
        <v>0</v>
      </c>
      <c r="O604" s="10">
        <v>0</v>
      </c>
      <c r="Q604" s="10">
        <v>0</v>
      </c>
      <c r="S604" s="10">
        <v>0</v>
      </c>
      <c r="U604" s="10">
        <v>0</v>
      </c>
      <c r="V604" s="24"/>
      <c r="W604" s="10">
        <v>0</v>
      </c>
      <c r="X604" s="24"/>
      <c r="Y604" s="10">
        <v>0</v>
      </c>
      <c r="AA604" s="10">
        <v>0</v>
      </c>
      <c r="AC604" s="10">
        <v>0</v>
      </c>
      <c r="AE604" s="10">
        <v>0</v>
      </c>
      <c r="AG604" s="10">
        <v>0</v>
      </c>
      <c r="AI604" s="10">
        <f t="shared" si="21"/>
        <v>0</v>
      </c>
      <c r="AJ604" s="10"/>
    </row>
    <row r="605" spans="1:39" s="21" customFormat="1">
      <c r="A605" s="1" t="s">
        <v>310</v>
      </c>
      <c r="B605" s="1"/>
      <c r="C605" s="1" t="s">
        <v>308</v>
      </c>
      <c r="D605" s="1"/>
      <c r="E605" s="10">
        <v>116858</v>
      </c>
      <c r="F605" s="10"/>
      <c r="G605" s="10">
        <v>305629</v>
      </c>
      <c r="H605" s="10"/>
      <c r="I605" s="10">
        <v>64385</v>
      </c>
      <c r="J605" s="10"/>
      <c r="K605" s="10">
        <v>0</v>
      </c>
      <c r="L605" s="10"/>
      <c r="M605" s="10">
        <v>78490</v>
      </c>
      <c r="N605" s="10"/>
      <c r="O605" s="10">
        <v>9160</v>
      </c>
      <c r="P605" s="10"/>
      <c r="Q605" s="10">
        <v>20575</v>
      </c>
      <c r="R605" s="10"/>
      <c r="S605" s="10">
        <v>0</v>
      </c>
      <c r="T605" s="10"/>
      <c r="U605" s="10">
        <v>0</v>
      </c>
      <c r="V605" s="10"/>
      <c r="W605" s="10">
        <v>0</v>
      </c>
      <c r="X605" s="10"/>
      <c r="Y605" s="10">
        <v>0</v>
      </c>
      <c r="Z605" s="10"/>
      <c r="AA605" s="10">
        <v>0</v>
      </c>
      <c r="AB605" s="10"/>
      <c r="AC605" s="10">
        <v>0</v>
      </c>
      <c r="AD605" s="10"/>
      <c r="AE605" s="10">
        <v>0</v>
      </c>
      <c r="AF605" s="10"/>
      <c r="AG605" s="10">
        <v>0</v>
      </c>
      <c r="AH605" s="10"/>
      <c r="AI605" s="10">
        <f t="shared" si="21"/>
        <v>595097</v>
      </c>
      <c r="AJ605" s="10"/>
      <c r="AK605" s="22"/>
      <c r="AL605" s="22"/>
      <c r="AM605" s="22"/>
    </row>
    <row r="606" spans="1:39" s="15" customFormat="1">
      <c r="A606" s="15" t="s">
        <v>927</v>
      </c>
      <c r="C606" s="15" t="s">
        <v>517</v>
      </c>
      <c r="E606" s="24">
        <v>3323</v>
      </c>
      <c r="F606" s="24"/>
      <c r="G606" s="24">
        <v>0</v>
      </c>
      <c r="H606" s="24"/>
      <c r="I606" s="24">
        <v>44150</v>
      </c>
      <c r="J606" s="24"/>
      <c r="K606" s="24">
        <v>0</v>
      </c>
      <c r="L606" s="24"/>
      <c r="M606" s="24">
        <v>0</v>
      </c>
      <c r="N606" s="24"/>
      <c r="O606" s="24">
        <v>0</v>
      </c>
      <c r="P606" s="24"/>
      <c r="Q606" s="24">
        <v>90</v>
      </c>
      <c r="R606" s="24"/>
      <c r="S606" s="24">
        <v>6223</v>
      </c>
      <c r="T606" s="24"/>
      <c r="U606" s="24">
        <v>0</v>
      </c>
      <c r="V606" s="24"/>
      <c r="W606" s="24">
        <v>0</v>
      </c>
      <c r="X606" s="24"/>
      <c r="Y606" s="24">
        <v>0</v>
      </c>
      <c r="Z606" s="24"/>
      <c r="AA606" s="24">
        <v>0</v>
      </c>
      <c r="AB606" s="24"/>
      <c r="AC606" s="24">
        <v>0</v>
      </c>
      <c r="AD606" s="24"/>
      <c r="AE606" s="24">
        <v>0</v>
      </c>
      <c r="AF606" s="24"/>
      <c r="AG606" s="24">
        <v>0</v>
      </c>
      <c r="AH606" s="24"/>
      <c r="AI606" s="24">
        <f t="shared" si="21"/>
        <v>53786</v>
      </c>
      <c r="AJ606" s="24"/>
    </row>
    <row r="607" spans="1:39" s="21" customFormat="1" hidden="1">
      <c r="A607" s="1" t="s">
        <v>135</v>
      </c>
      <c r="B607" s="1"/>
      <c r="C607" s="1" t="s">
        <v>791</v>
      </c>
      <c r="D607" s="1"/>
      <c r="E607" s="10">
        <v>0</v>
      </c>
      <c r="F607" s="10"/>
      <c r="G607" s="10">
        <v>0</v>
      </c>
      <c r="H607" s="10"/>
      <c r="I607" s="10">
        <v>0</v>
      </c>
      <c r="J607" s="10"/>
      <c r="K607" s="10">
        <v>0</v>
      </c>
      <c r="L607" s="10"/>
      <c r="M607" s="10">
        <v>0</v>
      </c>
      <c r="N607" s="10"/>
      <c r="O607" s="10">
        <v>0</v>
      </c>
      <c r="P607" s="10"/>
      <c r="Q607" s="10">
        <v>0</v>
      </c>
      <c r="R607" s="10"/>
      <c r="S607" s="10">
        <v>0</v>
      </c>
      <c r="T607" s="10"/>
      <c r="U607" s="10">
        <v>0</v>
      </c>
      <c r="V607" s="24"/>
      <c r="W607" s="10">
        <v>0</v>
      </c>
      <c r="X607" s="24"/>
      <c r="Y607" s="10">
        <v>0</v>
      </c>
      <c r="Z607" s="10"/>
      <c r="AA607" s="10">
        <v>0</v>
      </c>
      <c r="AB607" s="10"/>
      <c r="AC607" s="10">
        <v>0</v>
      </c>
      <c r="AD607" s="10"/>
      <c r="AE607" s="10">
        <v>0</v>
      </c>
      <c r="AF607" s="10"/>
      <c r="AG607" s="10">
        <v>0</v>
      </c>
      <c r="AH607" s="10"/>
      <c r="AI607" s="10">
        <f t="shared" si="21"/>
        <v>0</v>
      </c>
      <c r="AJ607" s="10"/>
    </row>
    <row r="608" spans="1:39">
      <c r="A608" s="1" t="s">
        <v>928</v>
      </c>
      <c r="C608" s="1" t="s">
        <v>513</v>
      </c>
      <c r="E608" s="10">
        <v>49447</v>
      </c>
      <c r="G608" s="10">
        <v>0</v>
      </c>
      <c r="I608" s="10">
        <f>107+821</f>
        <v>928</v>
      </c>
      <c r="K608" s="10">
        <v>0</v>
      </c>
      <c r="M608" s="10">
        <v>24444</v>
      </c>
      <c r="O608" s="10">
        <v>0</v>
      </c>
      <c r="Q608" s="10">
        <v>8314</v>
      </c>
      <c r="S608" s="10">
        <v>393</v>
      </c>
      <c r="U608" s="10">
        <v>0</v>
      </c>
      <c r="V608" s="24"/>
      <c r="W608" s="10">
        <v>0</v>
      </c>
      <c r="X608" s="24"/>
      <c r="Y608" s="10">
        <v>0</v>
      </c>
      <c r="AA608" s="10">
        <v>0</v>
      </c>
      <c r="AC608" s="10">
        <v>0</v>
      </c>
      <c r="AE608" s="10">
        <v>0</v>
      </c>
      <c r="AG608" s="10">
        <v>0</v>
      </c>
      <c r="AI608" s="10">
        <f t="shared" ref="AI608:AI642" si="22">SUM(E608:AG608)</f>
        <v>83526</v>
      </c>
      <c r="AJ608" s="10"/>
    </row>
    <row r="609" spans="1:39" hidden="1">
      <c r="A609" s="1" t="s">
        <v>262</v>
      </c>
      <c r="C609" s="1" t="s">
        <v>830</v>
      </c>
      <c r="E609" s="10">
        <v>0</v>
      </c>
      <c r="G609" s="10">
        <v>0</v>
      </c>
      <c r="I609" s="10">
        <v>0</v>
      </c>
      <c r="K609" s="10">
        <v>0</v>
      </c>
      <c r="M609" s="10">
        <v>0</v>
      </c>
      <c r="O609" s="10">
        <v>0</v>
      </c>
      <c r="Q609" s="10">
        <v>0</v>
      </c>
      <c r="S609" s="10">
        <v>0</v>
      </c>
      <c r="U609" s="10">
        <v>0</v>
      </c>
      <c r="V609" s="24"/>
      <c r="W609" s="10">
        <v>0</v>
      </c>
      <c r="X609" s="24"/>
      <c r="Y609" s="10">
        <v>0</v>
      </c>
      <c r="AA609" s="10">
        <v>0</v>
      </c>
      <c r="AC609" s="10">
        <v>0</v>
      </c>
      <c r="AE609" s="10">
        <v>0</v>
      </c>
      <c r="AG609" s="10">
        <v>0</v>
      </c>
      <c r="AI609" s="10">
        <f t="shared" si="22"/>
        <v>0</v>
      </c>
      <c r="AJ609" s="10"/>
    </row>
    <row r="610" spans="1:39" s="21" customFormat="1">
      <c r="A610" s="1" t="s">
        <v>475</v>
      </c>
      <c r="B610" s="1"/>
      <c r="C610" s="1" t="s">
        <v>473</v>
      </c>
      <c r="D610" s="1"/>
      <c r="E610" s="10">
        <v>268711</v>
      </c>
      <c r="F610" s="10"/>
      <c r="G610" s="10">
        <v>854492</v>
      </c>
      <c r="H610" s="10"/>
      <c r="I610" s="10">
        <v>308747</v>
      </c>
      <c r="J610" s="10"/>
      <c r="K610" s="10">
        <v>0</v>
      </c>
      <c r="L610" s="10"/>
      <c r="M610" s="10">
        <v>250</v>
      </c>
      <c r="N610" s="10"/>
      <c r="O610" s="10">
        <v>2903</v>
      </c>
      <c r="P610" s="10"/>
      <c r="Q610" s="10">
        <v>69758</v>
      </c>
      <c r="R610" s="10"/>
      <c r="S610" s="10">
        <v>35472</v>
      </c>
      <c r="T610" s="10"/>
      <c r="U610" s="10">
        <v>0</v>
      </c>
      <c r="V610" s="10"/>
      <c r="W610" s="10">
        <v>0</v>
      </c>
      <c r="X610" s="10"/>
      <c r="Y610" s="10">
        <v>3079</v>
      </c>
      <c r="Z610" s="10"/>
      <c r="AA610" s="10">
        <v>0</v>
      </c>
      <c r="AB610" s="10"/>
      <c r="AC610" s="10">
        <v>0</v>
      </c>
      <c r="AD610" s="10"/>
      <c r="AE610" s="10">
        <v>0</v>
      </c>
      <c r="AF610" s="10"/>
      <c r="AG610" s="10">
        <v>0</v>
      </c>
      <c r="AH610" s="10"/>
      <c r="AI610" s="10">
        <f t="shared" si="22"/>
        <v>1543412</v>
      </c>
      <c r="AJ610" s="10"/>
    </row>
    <row r="611" spans="1:39" hidden="1">
      <c r="A611" s="1" t="s">
        <v>351</v>
      </c>
      <c r="C611" s="1" t="s">
        <v>350</v>
      </c>
      <c r="E611" s="10">
        <v>0</v>
      </c>
      <c r="G611" s="10">
        <v>0</v>
      </c>
      <c r="I611" s="10">
        <v>0</v>
      </c>
      <c r="K611" s="10">
        <v>0</v>
      </c>
      <c r="M611" s="10">
        <v>0</v>
      </c>
      <c r="O611" s="10">
        <v>0</v>
      </c>
      <c r="Q611" s="10">
        <v>0</v>
      </c>
      <c r="S611" s="10">
        <v>0</v>
      </c>
      <c r="U611" s="10">
        <v>0</v>
      </c>
      <c r="W611" s="10">
        <v>0</v>
      </c>
      <c r="Y611" s="10">
        <v>0</v>
      </c>
      <c r="AA611" s="10">
        <v>0</v>
      </c>
      <c r="AC611" s="10">
        <v>0</v>
      </c>
      <c r="AE611" s="10">
        <v>0</v>
      </c>
      <c r="AG611" s="10">
        <v>0</v>
      </c>
      <c r="AI611" s="10">
        <f t="shared" si="22"/>
        <v>0</v>
      </c>
      <c r="AJ611" s="10"/>
      <c r="AK611" s="7"/>
      <c r="AL611" s="7"/>
      <c r="AM611" s="7"/>
    </row>
    <row r="612" spans="1:39" hidden="1">
      <c r="A612" s="1" t="s">
        <v>250</v>
      </c>
      <c r="C612" s="1" t="s">
        <v>828</v>
      </c>
      <c r="E612" s="10">
        <v>0</v>
      </c>
      <c r="G612" s="10">
        <v>0</v>
      </c>
      <c r="I612" s="10">
        <v>0</v>
      </c>
      <c r="K612" s="10">
        <v>0</v>
      </c>
      <c r="M612" s="10">
        <v>0</v>
      </c>
      <c r="O612" s="10">
        <v>0</v>
      </c>
      <c r="Q612" s="10">
        <v>0</v>
      </c>
      <c r="S612" s="10">
        <v>0</v>
      </c>
      <c r="U612" s="10">
        <v>0</v>
      </c>
      <c r="V612" s="24"/>
      <c r="W612" s="10">
        <v>0</v>
      </c>
      <c r="X612" s="24"/>
      <c r="Y612" s="10">
        <v>0</v>
      </c>
      <c r="AA612" s="10">
        <v>0</v>
      </c>
      <c r="AC612" s="10">
        <v>0</v>
      </c>
      <c r="AE612" s="10">
        <v>0</v>
      </c>
      <c r="AG612" s="10">
        <v>0</v>
      </c>
      <c r="AI612" s="10">
        <f t="shared" si="22"/>
        <v>0</v>
      </c>
      <c r="AJ612" s="10"/>
    </row>
    <row r="613" spans="1:39" s="21" customFormat="1" hidden="1">
      <c r="A613" s="1" t="s">
        <v>0</v>
      </c>
      <c r="B613" s="1"/>
      <c r="C613" s="1" t="s">
        <v>667</v>
      </c>
      <c r="D613" s="1"/>
      <c r="E613" s="10">
        <v>0</v>
      </c>
      <c r="F613" s="10"/>
      <c r="G613" s="10">
        <v>0</v>
      </c>
      <c r="H613" s="10"/>
      <c r="I613" s="10">
        <v>0</v>
      </c>
      <c r="J613" s="10"/>
      <c r="K613" s="10">
        <v>0</v>
      </c>
      <c r="L613" s="10"/>
      <c r="M613" s="10">
        <v>0</v>
      </c>
      <c r="N613" s="10"/>
      <c r="O613" s="10">
        <v>0</v>
      </c>
      <c r="P613" s="10"/>
      <c r="Q613" s="10">
        <v>0</v>
      </c>
      <c r="R613" s="10"/>
      <c r="S613" s="10">
        <v>0</v>
      </c>
      <c r="T613" s="10"/>
      <c r="U613" s="10">
        <v>0</v>
      </c>
      <c r="V613" s="24"/>
      <c r="W613" s="10">
        <v>0</v>
      </c>
      <c r="X613" s="24"/>
      <c r="Y613" s="10">
        <v>0</v>
      </c>
      <c r="Z613" s="10"/>
      <c r="AA613" s="10">
        <v>0</v>
      </c>
      <c r="AB613" s="10"/>
      <c r="AC613" s="10">
        <v>0</v>
      </c>
      <c r="AD613" s="10"/>
      <c r="AE613" s="10">
        <v>0</v>
      </c>
      <c r="AF613" s="10"/>
      <c r="AG613" s="10">
        <v>0</v>
      </c>
      <c r="AH613" s="10"/>
      <c r="AI613" s="10">
        <f t="shared" si="22"/>
        <v>0</v>
      </c>
      <c r="AJ613" s="10"/>
      <c r="AK613" s="22"/>
      <c r="AL613" s="22"/>
      <c r="AM613" s="22"/>
    </row>
    <row r="614" spans="1:39" hidden="1">
      <c r="A614" s="1" t="s">
        <v>604</v>
      </c>
      <c r="C614" s="1" t="s">
        <v>601</v>
      </c>
      <c r="E614" s="10">
        <v>0</v>
      </c>
      <c r="G614" s="10">
        <v>0</v>
      </c>
      <c r="I614" s="10">
        <v>0</v>
      </c>
      <c r="K614" s="10">
        <v>0</v>
      </c>
      <c r="M614" s="10">
        <v>0</v>
      </c>
      <c r="O614" s="10">
        <v>0</v>
      </c>
      <c r="Q614" s="10">
        <v>0</v>
      </c>
      <c r="S614" s="10">
        <v>0</v>
      </c>
      <c r="U614" s="10">
        <v>0</v>
      </c>
      <c r="V614" s="24"/>
      <c r="W614" s="10">
        <v>0</v>
      </c>
      <c r="X614" s="24"/>
      <c r="Y614" s="10">
        <v>0</v>
      </c>
      <c r="AA614" s="10">
        <v>0</v>
      </c>
      <c r="AC614" s="10">
        <v>0</v>
      </c>
      <c r="AE614" s="10">
        <v>0</v>
      </c>
      <c r="AG614" s="10">
        <v>0</v>
      </c>
      <c r="AI614" s="10">
        <f t="shared" si="22"/>
        <v>0</v>
      </c>
      <c r="AJ614" s="10"/>
    </row>
    <row r="615" spans="1:39" hidden="1">
      <c r="A615" s="1" t="s">
        <v>155</v>
      </c>
      <c r="C615" s="1" t="s">
        <v>797</v>
      </c>
      <c r="E615" s="10">
        <v>0</v>
      </c>
      <c r="G615" s="10">
        <v>0</v>
      </c>
      <c r="I615" s="10">
        <v>0</v>
      </c>
      <c r="K615" s="10">
        <v>0</v>
      </c>
      <c r="M615" s="10">
        <v>0</v>
      </c>
      <c r="O615" s="10">
        <v>0</v>
      </c>
      <c r="Q615" s="10">
        <v>0</v>
      </c>
      <c r="S615" s="10">
        <v>0</v>
      </c>
      <c r="U615" s="10">
        <v>0</v>
      </c>
      <c r="V615" s="24"/>
      <c r="W615" s="10">
        <v>0</v>
      </c>
      <c r="X615" s="24"/>
      <c r="Y615" s="10">
        <v>0</v>
      </c>
      <c r="AA615" s="10">
        <v>0</v>
      </c>
      <c r="AC615" s="10">
        <v>0</v>
      </c>
      <c r="AE615" s="10">
        <v>0</v>
      </c>
      <c r="AG615" s="10">
        <v>0</v>
      </c>
      <c r="AI615" s="10">
        <f t="shared" si="22"/>
        <v>0</v>
      </c>
      <c r="AJ615" s="10"/>
    </row>
    <row r="616" spans="1:39" s="15" customFormat="1" hidden="1">
      <c r="A616" s="15" t="s">
        <v>263</v>
      </c>
      <c r="C616" s="15" t="s">
        <v>606</v>
      </c>
      <c r="E616" s="10">
        <v>0</v>
      </c>
      <c r="F616" s="24"/>
      <c r="G616" s="10">
        <v>0</v>
      </c>
      <c r="H616" s="24"/>
      <c r="I616" s="10">
        <v>0</v>
      </c>
      <c r="J616" s="24"/>
      <c r="K616" s="10">
        <v>0</v>
      </c>
      <c r="L616" s="24"/>
      <c r="M616" s="10">
        <v>0</v>
      </c>
      <c r="N616" s="24"/>
      <c r="O616" s="10">
        <v>0</v>
      </c>
      <c r="P616" s="24"/>
      <c r="Q616" s="10">
        <v>0</v>
      </c>
      <c r="R616" s="24"/>
      <c r="S616" s="10">
        <v>0</v>
      </c>
      <c r="T616" s="24"/>
      <c r="U616" s="10">
        <v>0</v>
      </c>
      <c r="V616" s="24"/>
      <c r="W616" s="10">
        <v>0</v>
      </c>
      <c r="X616" s="24"/>
      <c r="Y616" s="10">
        <v>0</v>
      </c>
      <c r="Z616" s="24"/>
      <c r="AA616" s="10">
        <v>0</v>
      </c>
      <c r="AB616" s="24"/>
      <c r="AC616" s="10">
        <v>0</v>
      </c>
      <c r="AD616" s="24"/>
      <c r="AE616" s="10">
        <v>0</v>
      </c>
      <c r="AF616" s="24"/>
      <c r="AG616" s="10">
        <v>0</v>
      </c>
      <c r="AH616" s="24"/>
      <c r="AI616" s="24">
        <f t="shared" si="22"/>
        <v>0</v>
      </c>
      <c r="AJ616" s="24"/>
    </row>
    <row r="617" spans="1:39" hidden="1">
      <c r="A617" s="1" t="s">
        <v>263</v>
      </c>
      <c r="C617" s="1" t="s">
        <v>830</v>
      </c>
      <c r="E617" s="10">
        <v>0</v>
      </c>
      <c r="G617" s="10">
        <v>0</v>
      </c>
      <c r="I617" s="10">
        <v>0</v>
      </c>
      <c r="K617" s="10">
        <v>0</v>
      </c>
      <c r="M617" s="10">
        <v>0</v>
      </c>
      <c r="O617" s="10">
        <v>0</v>
      </c>
      <c r="Q617" s="10">
        <v>0</v>
      </c>
      <c r="S617" s="10">
        <v>0</v>
      </c>
      <c r="U617" s="10">
        <v>0</v>
      </c>
      <c r="V617" s="24"/>
      <c r="W617" s="10">
        <v>0</v>
      </c>
      <c r="X617" s="24"/>
      <c r="Y617" s="10">
        <v>0</v>
      </c>
      <c r="AA617" s="10">
        <v>0</v>
      </c>
      <c r="AC617" s="10">
        <v>0</v>
      </c>
      <c r="AE617" s="10">
        <v>0</v>
      </c>
      <c r="AG617" s="10">
        <v>0</v>
      </c>
      <c r="AI617" s="10">
        <f t="shared" si="22"/>
        <v>0</v>
      </c>
      <c r="AJ617" s="10"/>
    </row>
    <row r="618" spans="1:39">
      <c r="A618" s="1" t="s">
        <v>929</v>
      </c>
      <c r="C618" s="1" t="s">
        <v>614</v>
      </c>
      <c r="E618" s="10">
        <v>6478</v>
      </c>
      <c r="G618" s="10">
        <v>0</v>
      </c>
      <c r="I618" s="10">
        <v>25318</v>
      </c>
      <c r="K618" s="10">
        <v>0</v>
      </c>
      <c r="M618" s="10">
        <v>0</v>
      </c>
      <c r="O618" s="10">
        <v>0</v>
      </c>
      <c r="Q618" s="10">
        <v>3769</v>
      </c>
      <c r="S618" s="10">
        <v>631</v>
      </c>
      <c r="U618" s="10">
        <v>0</v>
      </c>
      <c r="W618" s="10">
        <v>0</v>
      </c>
      <c r="Y618" s="10">
        <v>0</v>
      </c>
      <c r="AA618" s="10">
        <v>0</v>
      </c>
      <c r="AC618" s="10">
        <v>0</v>
      </c>
      <c r="AE618" s="10">
        <v>0</v>
      </c>
      <c r="AG618" s="10">
        <v>0</v>
      </c>
      <c r="AI618" s="10">
        <f t="shared" si="22"/>
        <v>36196</v>
      </c>
      <c r="AJ618" s="10"/>
    </row>
    <row r="619" spans="1:39">
      <c r="A619" s="1" t="s">
        <v>459</v>
      </c>
      <c r="C619" s="1" t="s">
        <v>456</v>
      </c>
      <c r="E619" s="10">
        <v>390946</v>
      </c>
      <c r="G619" s="10">
        <v>0</v>
      </c>
      <c r="I619" s="10">
        <v>457528</v>
      </c>
      <c r="K619" s="10">
        <v>0</v>
      </c>
      <c r="M619" s="10">
        <v>282893</v>
      </c>
      <c r="O619" s="10">
        <v>64267</v>
      </c>
      <c r="Q619" s="10">
        <v>0</v>
      </c>
      <c r="S619" s="10">
        <v>199661</v>
      </c>
      <c r="U619" s="10">
        <v>0</v>
      </c>
      <c r="W619" s="10">
        <v>0</v>
      </c>
      <c r="Y619" s="10">
        <v>11300</v>
      </c>
      <c r="AA619" s="10">
        <v>968716</v>
      </c>
      <c r="AC619" s="10">
        <v>0</v>
      </c>
      <c r="AE619" s="10">
        <v>0</v>
      </c>
      <c r="AG619" s="10">
        <v>0</v>
      </c>
      <c r="AI619" s="10">
        <f t="shared" si="22"/>
        <v>2375311</v>
      </c>
      <c r="AJ619" s="10"/>
    </row>
    <row r="620" spans="1:39">
      <c r="A620" s="1" t="s">
        <v>582</v>
      </c>
      <c r="C620" s="1" t="s">
        <v>82</v>
      </c>
      <c r="E620" s="10">
        <v>2558</v>
      </c>
      <c r="G620" s="10">
        <v>0</v>
      </c>
      <c r="I620" s="10">
        <v>10037</v>
      </c>
      <c r="K620" s="10">
        <v>0</v>
      </c>
      <c r="M620" s="10">
        <v>0</v>
      </c>
      <c r="O620" s="10">
        <v>0</v>
      </c>
      <c r="Q620" s="10">
        <v>45</v>
      </c>
      <c r="S620" s="10">
        <v>160</v>
      </c>
      <c r="U620" s="10">
        <v>0</v>
      </c>
      <c r="W620" s="10">
        <v>0</v>
      </c>
      <c r="Y620" s="10">
        <v>0</v>
      </c>
      <c r="AA620" s="10">
        <v>0</v>
      </c>
      <c r="AC620" s="10">
        <v>0</v>
      </c>
      <c r="AE620" s="10">
        <v>0</v>
      </c>
      <c r="AG620" s="10">
        <v>0</v>
      </c>
      <c r="AI620" s="10">
        <f t="shared" si="22"/>
        <v>12800</v>
      </c>
      <c r="AJ620" s="10"/>
    </row>
    <row r="621" spans="1:39" s="21" customFormat="1" hidden="1">
      <c r="A621" s="1" t="s">
        <v>40</v>
      </c>
      <c r="B621" s="1"/>
      <c r="C621" s="1" t="s">
        <v>761</v>
      </c>
      <c r="D621" s="1"/>
      <c r="E621" s="10">
        <v>0</v>
      </c>
      <c r="F621" s="10"/>
      <c r="G621" s="10">
        <v>0</v>
      </c>
      <c r="H621" s="10"/>
      <c r="I621" s="10">
        <v>0</v>
      </c>
      <c r="J621" s="10"/>
      <c r="K621" s="10">
        <v>0</v>
      </c>
      <c r="L621" s="10"/>
      <c r="M621" s="10">
        <v>0</v>
      </c>
      <c r="N621" s="10"/>
      <c r="O621" s="10">
        <v>0</v>
      </c>
      <c r="P621" s="10"/>
      <c r="Q621" s="10">
        <v>0</v>
      </c>
      <c r="R621" s="10"/>
      <c r="S621" s="10">
        <v>0</v>
      </c>
      <c r="T621" s="10"/>
      <c r="U621" s="10">
        <v>0</v>
      </c>
      <c r="V621" s="24"/>
      <c r="W621" s="10">
        <v>0</v>
      </c>
      <c r="X621" s="24"/>
      <c r="Y621" s="10">
        <v>0</v>
      </c>
      <c r="Z621" s="10"/>
      <c r="AA621" s="10">
        <v>0</v>
      </c>
      <c r="AB621" s="10"/>
      <c r="AC621" s="10">
        <v>0</v>
      </c>
      <c r="AD621" s="10"/>
      <c r="AE621" s="10">
        <v>0</v>
      </c>
      <c r="AF621" s="10"/>
      <c r="AG621" s="10">
        <v>0</v>
      </c>
      <c r="AH621" s="10"/>
      <c r="AI621" s="10">
        <f t="shared" si="22"/>
        <v>0</v>
      </c>
      <c r="AJ621" s="10"/>
      <c r="AK621" s="22"/>
      <c r="AL621" s="22"/>
      <c r="AM621" s="22"/>
    </row>
    <row r="622" spans="1:39" hidden="1">
      <c r="A622" s="1" t="s">
        <v>192</v>
      </c>
      <c r="C622" s="1" t="s">
        <v>809</v>
      </c>
      <c r="E622" s="10">
        <v>0</v>
      </c>
      <c r="G622" s="10">
        <v>0</v>
      </c>
      <c r="I622" s="10">
        <v>0</v>
      </c>
      <c r="K622" s="10">
        <v>0</v>
      </c>
      <c r="M622" s="10">
        <v>0</v>
      </c>
      <c r="O622" s="10">
        <v>0</v>
      </c>
      <c r="Q622" s="10">
        <v>0</v>
      </c>
      <c r="S622" s="10">
        <v>0</v>
      </c>
      <c r="U622" s="10">
        <v>0</v>
      </c>
      <c r="V622" s="24"/>
      <c r="W622" s="10">
        <v>0</v>
      </c>
      <c r="X622" s="24"/>
      <c r="Y622" s="10">
        <v>0</v>
      </c>
      <c r="AA622" s="10">
        <v>0</v>
      </c>
      <c r="AC622" s="10">
        <v>0</v>
      </c>
      <c r="AE622" s="10">
        <v>0</v>
      </c>
      <c r="AG622" s="10">
        <v>0</v>
      </c>
      <c r="AI622" s="10">
        <f t="shared" si="22"/>
        <v>0</v>
      </c>
      <c r="AJ622" s="10"/>
    </row>
    <row r="623" spans="1:39" hidden="1">
      <c r="A623" s="1" t="s">
        <v>581</v>
      </c>
      <c r="C623" s="1" t="s">
        <v>577</v>
      </c>
      <c r="E623" s="10">
        <v>0</v>
      </c>
      <c r="G623" s="10">
        <v>0</v>
      </c>
      <c r="I623" s="10">
        <v>0</v>
      </c>
      <c r="K623" s="10">
        <v>0</v>
      </c>
      <c r="M623" s="10">
        <v>0</v>
      </c>
      <c r="O623" s="10">
        <v>0</v>
      </c>
      <c r="Q623" s="10">
        <v>0</v>
      </c>
      <c r="S623" s="10">
        <v>0</v>
      </c>
      <c r="U623" s="10">
        <v>0</v>
      </c>
      <c r="V623" s="24"/>
      <c r="W623" s="10">
        <v>0</v>
      </c>
      <c r="X623" s="24"/>
      <c r="Y623" s="10">
        <v>0</v>
      </c>
      <c r="AA623" s="10">
        <v>0</v>
      </c>
      <c r="AC623" s="10">
        <v>0</v>
      </c>
      <c r="AE623" s="10">
        <v>0</v>
      </c>
      <c r="AG623" s="10">
        <v>0</v>
      </c>
      <c r="AI623" s="10">
        <f t="shared" si="22"/>
        <v>0</v>
      </c>
      <c r="AJ623" s="10"/>
    </row>
    <row r="624" spans="1:39" s="21" customFormat="1" hidden="1">
      <c r="A624" s="1" t="s">
        <v>863</v>
      </c>
      <c r="B624" s="1"/>
      <c r="C624" s="1" t="s">
        <v>820</v>
      </c>
      <c r="D624" s="1"/>
      <c r="E624" s="10">
        <v>0</v>
      </c>
      <c r="F624" s="10"/>
      <c r="G624" s="10">
        <v>0</v>
      </c>
      <c r="H624" s="10"/>
      <c r="I624" s="10">
        <v>0</v>
      </c>
      <c r="J624" s="10"/>
      <c r="K624" s="10">
        <v>0</v>
      </c>
      <c r="L624" s="10"/>
      <c r="M624" s="10">
        <v>0</v>
      </c>
      <c r="N624" s="10"/>
      <c r="O624" s="10">
        <v>0</v>
      </c>
      <c r="P624" s="10"/>
      <c r="Q624" s="10">
        <v>0</v>
      </c>
      <c r="R624" s="10"/>
      <c r="S624" s="10">
        <v>0</v>
      </c>
      <c r="T624" s="10"/>
      <c r="U624" s="10">
        <v>0</v>
      </c>
      <c r="V624" s="24"/>
      <c r="W624" s="10">
        <v>0</v>
      </c>
      <c r="X624" s="24"/>
      <c r="Y624" s="10">
        <v>0</v>
      </c>
      <c r="Z624" s="10"/>
      <c r="AA624" s="10">
        <v>0</v>
      </c>
      <c r="AB624" s="10"/>
      <c r="AC624" s="10">
        <v>0</v>
      </c>
      <c r="AD624" s="10"/>
      <c r="AE624" s="10">
        <v>0</v>
      </c>
      <c r="AF624" s="10"/>
      <c r="AG624" s="10">
        <v>0</v>
      </c>
      <c r="AH624" s="10"/>
      <c r="AI624" s="10">
        <f t="shared" si="22"/>
        <v>0</v>
      </c>
      <c r="AJ624" s="10"/>
    </row>
    <row r="625" spans="1:39">
      <c r="A625" s="1" t="s">
        <v>481</v>
      </c>
      <c r="C625" s="1" t="s">
        <v>477</v>
      </c>
      <c r="E625" s="10">
        <v>2531</v>
      </c>
      <c r="G625" s="10">
        <v>0</v>
      </c>
      <c r="I625" s="10">
        <v>9220</v>
      </c>
      <c r="K625" s="10">
        <v>0</v>
      </c>
      <c r="M625" s="10">
        <v>0</v>
      </c>
      <c r="O625" s="10">
        <v>0</v>
      </c>
      <c r="Q625" s="10">
        <v>22</v>
      </c>
      <c r="S625" s="10">
        <v>0</v>
      </c>
      <c r="U625" s="10">
        <v>0</v>
      </c>
      <c r="W625" s="10">
        <v>0</v>
      </c>
      <c r="Y625" s="10">
        <v>0</v>
      </c>
      <c r="AA625" s="10">
        <v>0</v>
      </c>
      <c r="AC625" s="10">
        <v>0</v>
      </c>
      <c r="AE625" s="10">
        <v>0</v>
      </c>
      <c r="AG625" s="10">
        <v>0</v>
      </c>
      <c r="AI625" s="10">
        <f t="shared" si="22"/>
        <v>11773</v>
      </c>
      <c r="AJ625" s="10"/>
    </row>
    <row r="626" spans="1:39" s="21" customFormat="1" hidden="1">
      <c r="A626" s="1" t="s">
        <v>1</v>
      </c>
      <c r="B626" s="1"/>
      <c r="C626" s="1" t="s">
        <v>667</v>
      </c>
      <c r="D626" s="1"/>
      <c r="E626" s="10">
        <v>0</v>
      </c>
      <c r="F626" s="10"/>
      <c r="G626" s="10">
        <v>0</v>
      </c>
      <c r="H626" s="10"/>
      <c r="I626" s="10">
        <v>0</v>
      </c>
      <c r="J626" s="10"/>
      <c r="K626" s="10">
        <v>0</v>
      </c>
      <c r="L626" s="10"/>
      <c r="M626" s="10">
        <v>0</v>
      </c>
      <c r="N626" s="10"/>
      <c r="O626" s="10">
        <v>0</v>
      </c>
      <c r="P626" s="10"/>
      <c r="Q626" s="10">
        <v>0</v>
      </c>
      <c r="R626" s="10"/>
      <c r="S626" s="10">
        <v>0</v>
      </c>
      <c r="T626" s="10"/>
      <c r="U626" s="10">
        <v>0</v>
      </c>
      <c r="V626" s="24"/>
      <c r="W626" s="10">
        <v>0</v>
      </c>
      <c r="X626" s="24"/>
      <c r="Y626" s="10">
        <v>0</v>
      </c>
      <c r="Z626" s="10"/>
      <c r="AA626" s="10">
        <v>0</v>
      </c>
      <c r="AB626" s="10"/>
      <c r="AC626" s="10">
        <v>0</v>
      </c>
      <c r="AD626" s="10"/>
      <c r="AE626" s="10">
        <v>0</v>
      </c>
      <c r="AF626" s="10"/>
      <c r="AG626" s="10">
        <v>0</v>
      </c>
      <c r="AH626" s="10"/>
      <c r="AI626" s="10">
        <f t="shared" si="22"/>
        <v>0</v>
      </c>
      <c r="AJ626" s="10"/>
    </row>
    <row r="627" spans="1:39" hidden="1">
      <c r="A627" s="1" t="s">
        <v>197</v>
      </c>
      <c r="C627" s="1" t="s">
        <v>811</v>
      </c>
      <c r="E627" s="10">
        <v>0</v>
      </c>
      <c r="G627" s="10">
        <v>0</v>
      </c>
      <c r="I627" s="10">
        <v>0</v>
      </c>
      <c r="K627" s="10">
        <v>0</v>
      </c>
      <c r="M627" s="10">
        <v>0</v>
      </c>
      <c r="O627" s="10">
        <v>0</v>
      </c>
      <c r="Q627" s="10">
        <v>0</v>
      </c>
      <c r="S627" s="10">
        <v>0</v>
      </c>
      <c r="U627" s="10">
        <v>0</v>
      </c>
      <c r="V627" s="24"/>
      <c r="W627" s="10">
        <v>0</v>
      </c>
      <c r="X627" s="24"/>
      <c r="Y627" s="10">
        <v>0</v>
      </c>
      <c r="AA627" s="10">
        <v>0</v>
      </c>
      <c r="AC627" s="10">
        <v>0</v>
      </c>
      <c r="AE627" s="10">
        <v>0</v>
      </c>
      <c r="AG627" s="10">
        <v>0</v>
      </c>
      <c r="AI627" s="10">
        <f t="shared" si="22"/>
        <v>0</v>
      </c>
      <c r="AJ627" s="10"/>
    </row>
    <row r="628" spans="1:39" hidden="1">
      <c r="A628" s="1" t="s">
        <v>864</v>
      </c>
      <c r="C628" s="1" t="s">
        <v>786</v>
      </c>
      <c r="E628" s="10">
        <v>0</v>
      </c>
      <c r="G628" s="10">
        <v>0</v>
      </c>
      <c r="I628" s="10">
        <v>0</v>
      </c>
      <c r="K628" s="10">
        <v>0</v>
      </c>
      <c r="M628" s="10">
        <v>0</v>
      </c>
      <c r="O628" s="10">
        <v>0</v>
      </c>
      <c r="Q628" s="10">
        <v>0</v>
      </c>
      <c r="S628" s="10">
        <v>0</v>
      </c>
      <c r="U628" s="10">
        <v>0</v>
      </c>
      <c r="V628" s="24"/>
      <c r="W628" s="10">
        <v>0</v>
      </c>
      <c r="X628" s="24"/>
      <c r="Y628" s="10">
        <v>0</v>
      </c>
      <c r="AA628" s="10">
        <v>0</v>
      </c>
      <c r="AC628" s="10">
        <v>0</v>
      </c>
      <c r="AE628" s="10">
        <v>0</v>
      </c>
      <c r="AG628" s="10">
        <v>0</v>
      </c>
      <c r="AI628" s="10">
        <f t="shared" si="22"/>
        <v>0</v>
      </c>
      <c r="AJ628" s="10"/>
    </row>
    <row r="629" spans="1:39" s="21" customFormat="1">
      <c r="A629" s="1" t="s">
        <v>386</v>
      </c>
      <c r="B629" s="1"/>
      <c r="C629" s="1" t="s">
        <v>378</v>
      </c>
      <c r="D629" s="1"/>
      <c r="E629" s="10">
        <v>410564</v>
      </c>
      <c r="F629" s="10"/>
      <c r="G629" s="10">
        <v>4299264</v>
      </c>
      <c r="H629" s="10"/>
      <c r="I629" s="10">
        <v>131855</v>
      </c>
      <c r="J629" s="10"/>
      <c r="K629" s="10">
        <v>0</v>
      </c>
      <c r="L629" s="10"/>
      <c r="M629" s="10">
        <v>361870</v>
      </c>
      <c r="N629" s="10"/>
      <c r="O629" s="10">
        <v>156414</v>
      </c>
      <c r="P629" s="10"/>
      <c r="Q629" s="10">
        <v>26185</v>
      </c>
      <c r="R629" s="10"/>
      <c r="S629" s="10">
        <f>43754+34288</f>
        <v>78042</v>
      </c>
      <c r="T629" s="10"/>
      <c r="U629" s="10">
        <v>0</v>
      </c>
      <c r="V629" s="10"/>
      <c r="W629" s="10">
        <v>0</v>
      </c>
      <c r="X629" s="10"/>
      <c r="Y629" s="10">
        <v>0</v>
      </c>
      <c r="Z629" s="10"/>
      <c r="AA629" s="10">
        <v>36</v>
      </c>
      <c r="AB629" s="10"/>
      <c r="AC629" s="10">
        <v>0</v>
      </c>
      <c r="AD629" s="10"/>
      <c r="AE629" s="10">
        <v>0</v>
      </c>
      <c r="AF629" s="10"/>
      <c r="AG629" s="10">
        <v>0</v>
      </c>
      <c r="AH629" s="10"/>
      <c r="AI629" s="10">
        <f t="shared" si="22"/>
        <v>5464230</v>
      </c>
      <c r="AJ629" s="10"/>
    </row>
    <row r="630" spans="1:39">
      <c r="A630" s="1" t="s">
        <v>327</v>
      </c>
      <c r="C630" s="1" t="s">
        <v>316</v>
      </c>
      <c r="E630" s="10">
        <v>1974215</v>
      </c>
      <c r="G630" s="10">
        <v>0</v>
      </c>
      <c r="I630" s="10">
        <v>98709</v>
      </c>
      <c r="K630" s="10">
        <v>0</v>
      </c>
      <c r="M630" s="10">
        <v>17280</v>
      </c>
      <c r="O630" s="10">
        <v>114193</v>
      </c>
      <c r="Q630" s="10">
        <v>0</v>
      </c>
      <c r="S630" s="10">
        <v>18038</v>
      </c>
      <c r="U630" s="10">
        <v>0</v>
      </c>
      <c r="W630" s="10">
        <v>0</v>
      </c>
      <c r="Y630" s="10">
        <v>0</v>
      </c>
      <c r="AA630" s="10">
        <v>0</v>
      </c>
      <c r="AC630" s="10">
        <v>0</v>
      </c>
      <c r="AE630" s="10">
        <v>34592</v>
      </c>
      <c r="AG630" s="10">
        <v>0</v>
      </c>
      <c r="AI630" s="10">
        <f t="shared" si="22"/>
        <v>2257027</v>
      </c>
      <c r="AJ630" s="10"/>
      <c r="AK630" s="7"/>
      <c r="AL630" s="7"/>
      <c r="AM630" s="7"/>
    </row>
    <row r="631" spans="1:39" hidden="1">
      <c r="A631" s="1" t="s">
        <v>166</v>
      </c>
      <c r="C631" s="1" t="s">
        <v>801</v>
      </c>
      <c r="E631" s="10">
        <v>0</v>
      </c>
      <c r="G631" s="10">
        <v>0</v>
      </c>
      <c r="I631" s="10">
        <v>0</v>
      </c>
      <c r="K631" s="10">
        <v>0</v>
      </c>
      <c r="M631" s="10">
        <v>0</v>
      </c>
      <c r="O631" s="10">
        <v>0</v>
      </c>
      <c r="Q631" s="10">
        <v>0</v>
      </c>
      <c r="S631" s="10">
        <v>0</v>
      </c>
      <c r="U631" s="10">
        <v>0</v>
      </c>
      <c r="V631" s="24"/>
      <c r="W631" s="10">
        <v>0</v>
      </c>
      <c r="X631" s="24"/>
      <c r="Y631" s="10">
        <v>0</v>
      </c>
      <c r="AA631" s="10">
        <v>0</v>
      </c>
      <c r="AC631" s="10">
        <v>0</v>
      </c>
      <c r="AE631" s="10">
        <v>0</v>
      </c>
      <c r="AG631" s="10">
        <v>0</v>
      </c>
      <c r="AI631" s="10">
        <f t="shared" si="22"/>
        <v>0</v>
      </c>
      <c r="AJ631" s="10"/>
    </row>
    <row r="632" spans="1:39" s="21" customFormat="1" hidden="1">
      <c r="A632" s="1" t="s">
        <v>290</v>
      </c>
      <c r="B632" s="1"/>
      <c r="C632" s="1" t="s">
        <v>287</v>
      </c>
      <c r="D632" s="1"/>
      <c r="E632" s="10">
        <v>0</v>
      </c>
      <c r="F632" s="10"/>
      <c r="G632" s="10">
        <v>0</v>
      </c>
      <c r="H632" s="10"/>
      <c r="I632" s="10">
        <v>0</v>
      </c>
      <c r="J632" s="10"/>
      <c r="K632" s="10">
        <v>0</v>
      </c>
      <c r="L632" s="10"/>
      <c r="M632" s="10">
        <v>0</v>
      </c>
      <c r="N632" s="10"/>
      <c r="O632" s="10">
        <v>0</v>
      </c>
      <c r="P632" s="10"/>
      <c r="Q632" s="10">
        <v>0</v>
      </c>
      <c r="R632" s="10"/>
      <c r="S632" s="10">
        <v>0</v>
      </c>
      <c r="T632" s="10"/>
      <c r="U632" s="10">
        <v>0</v>
      </c>
      <c r="V632" s="24"/>
      <c r="W632" s="10">
        <v>0</v>
      </c>
      <c r="X632" s="24"/>
      <c r="Y632" s="10">
        <v>0</v>
      </c>
      <c r="Z632" s="10"/>
      <c r="AA632" s="10">
        <v>0</v>
      </c>
      <c r="AB632" s="10"/>
      <c r="AC632" s="10">
        <v>0</v>
      </c>
      <c r="AD632" s="10"/>
      <c r="AE632" s="10">
        <v>0</v>
      </c>
      <c r="AF632" s="10"/>
      <c r="AG632" s="10">
        <v>0</v>
      </c>
      <c r="AH632" s="10"/>
      <c r="AI632" s="10">
        <f t="shared" si="22"/>
        <v>0</v>
      </c>
      <c r="AJ632" s="10"/>
      <c r="AK632" s="22"/>
      <c r="AL632" s="22"/>
      <c r="AM632" s="22"/>
    </row>
    <row r="633" spans="1:39">
      <c r="A633" s="1" t="s">
        <v>532</v>
      </c>
      <c r="C633" s="1" t="s">
        <v>530</v>
      </c>
      <c r="E633" s="10">
        <v>348115</v>
      </c>
      <c r="G633" s="10">
        <v>0</v>
      </c>
      <c r="I633" s="10">
        <v>238982</v>
      </c>
      <c r="K633" s="10">
        <v>0</v>
      </c>
      <c r="M633" s="10">
        <v>22307</v>
      </c>
      <c r="O633" s="10">
        <v>50890</v>
      </c>
      <c r="Q633" s="10">
        <v>32225</v>
      </c>
      <c r="S633" s="10">
        <v>10572</v>
      </c>
      <c r="U633" s="10">
        <v>0</v>
      </c>
      <c r="W633" s="10">
        <v>0</v>
      </c>
      <c r="Y633" s="10">
        <v>0</v>
      </c>
      <c r="AA633" s="10">
        <v>0</v>
      </c>
      <c r="AC633" s="10">
        <v>0</v>
      </c>
      <c r="AE633" s="10">
        <v>0</v>
      </c>
      <c r="AG633" s="10">
        <v>0</v>
      </c>
      <c r="AI633" s="10">
        <f t="shared" si="22"/>
        <v>703091</v>
      </c>
      <c r="AJ633" s="10"/>
    </row>
    <row r="634" spans="1:39" hidden="1">
      <c r="A634" s="1" t="s">
        <v>240</v>
      </c>
      <c r="C634" s="1" t="s">
        <v>825</v>
      </c>
      <c r="E634" s="10">
        <v>0</v>
      </c>
      <c r="G634" s="10">
        <v>0</v>
      </c>
      <c r="I634" s="10">
        <v>0</v>
      </c>
      <c r="K634" s="10">
        <v>0</v>
      </c>
      <c r="M634" s="10">
        <v>0</v>
      </c>
      <c r="O634" s="10">
        <v>0</v>
      </c>
      <c r="Q634" s="10">
        <v>0</v>
      </c>
      <c r="S634" s="10">
        <v>0</v>
      </c>
      <c r="U634" s="10">
        <v>0</v>
      </c>
      <c r="V634" s="24"/>
      <c r="W634" s="10">
        <v>0</v>
      </c>
      <c r="X634" s="24"/>
      <c r="Y634" s="10">
        <v>0</v>
      </c>
      <c r="AA634" s="10">
        <v>0</v>
      </c>
      <c r="AC634" s="10">
        <v>0</v>
      </c>
      <c r="AE634" s="10">
        <v>0</v>
      </c>
      <c r="AG634" s="10">
        <v>0</v>
      </c>
      <c r="AI634" s="10">
        <f t="shared" si="22"/>
        <v>0</v>
      </c>
      <c r="AJ634" s="10"/>
    </row>
    <row r="635" spans="1:39" s="21" customFormat="1" hidden="1">
      <c r="A635" s="1" t="s">
        <v>231</v>
      </c>
      <c r="B635" s="1"/>
      <c r="C635" s="1" t="s">
        <v>561</v>
      </c>
      <c r="D635" s="1"/>
      <c r="E635" s="10">
        <v>0</v>
      </c>
      <c r="F635" s="10"/>
      <c r="G635" s="10">
        <v>0</v>
      </c>
      <c r="H635" s="10"/>
      <c r="I635" s="10">
        <v>0</v>
      </c>
      <c r="J635" s="10"/>
      <c r="K635" s="10">
        <v>0</v>
      </c>
      <c r="L635" s="10"/>
      <c r="M635" s="10">
        <v>0</v>
      </c>
      <c r="N635" s="10"/>
      <c r="O635" s="10">
        <v>0</v>
      </c>
      <c r="P635" s="10"/>
      <c r="Q635" s="10">
        <v>0</v>
      </c>
      <c r="R635" s="10"/>
      <c r="S635" s="10">
        <v>0</v>
      </c>
      <c r="T635" s="10"/>
      <c r="U635" s="10">
        <v>0</v>
      </c>
      <c r="V635" s="24"/>
      <c r="W635" s="10">
        <v>0</v>
      </c>
      <c r="X635" s="24"/>
      <c r="Y635" s="10">
        <v>0</v>
      </c>
      <c r="Z635" s="10"/>
      <c r="AA635" s="10">
        <v>0</v>
      </c>
      <c r="AB635" s="10"/>
      <c r="AC635" s="10">
        <v>0</v>
      </c>
      <c r="AD635" s="10"/>
      <c r="AE635" s="10">
        <v>0</v>
      </c>
      <c r="AF635" s="10"/>
      <c r="AG635" s="10">
        <v>0</v>
      </c>
      <c r="AH635" s="10"/>
      <c r="AI635" s="10">
        <f t="shared" si="22"/>
        <v>0</v>
      </c>
      <c r="AJ635" s="10"/>
    </row>
    <row r="636" spans="1:39" hidden="1">
      <c r="A636" s="1" t="s">
        <v>231</v>
      </c>
      <c r="C636" s="1" t="s">
        <v>822</v>
      </c>
      <c r="E636" s="10">
        <v>0</v>
      </c>
      <c r="G636" s="10">
        <v>0</v>
      </c>
      <c r="I636" s="10">
        <v>0</v>
      </c>
      <c r="K636" s="10">
        <v>0</v>
      </c>
      <c r="M636" s="10">
        <v>0</v>
      </c>
      <c r="O636" s="10">
        <v>0</v>
      </c>
      <c r="Q636" s="10">
        <v>0</v>
      </c>
      <c r="S636" s="10">
        <v>0</v>
      </c>
      <c r="U636" s="10">
        <v>0</v>
      </c>
      <c r="V636" s="24"/>
      <c r="W636" s="10">
        <v>0</v>
      </c>
      <c r="X636" s="24"/>
      <c r="Y636" s="10">
        <v>0</v>
      </c>
      <c r="AA636" s="10">
        <v>0</v>
      </c>
      <c r="AC636" s="10">
        <v>0</v>
      </c>
      <c r="AE636" s="10">
        <v>0</v>
      </c>
      <c r="AG636" s="10">
        <v>0</v>
      </c>
      <c r="AI636" s="10">
        <f t="shared" si="22"/>
        <v>0</v>
      </c>
      <c r="AJ636" s="10"/>
    </row>
    <row r="637" spans="1:39">
      <c r="A637" s="1" t="s">
        <v>374</v>
      </c>
      <c r="C637" s="1" t="s">
        <v>371</v>
      </c>
      <c r="E637" s="10">
        <v>1009602</v>
      </c>
      <c r="G637" s="10">
        <v>1414802</v>
      </c>
      <c r="I637" s="10">
        <v>657189</v>
      </c>
      <c r="K637" s="10">
        <v>0</v>
      </c>
      <c r="M637" s="10">
        <v>0</v>
      </c>
      <c r="O637" s="10">
        <v>76019</v>
      </c>
      <c r="Q637" s="10">
        <v>85621</v>
      </c>
      <c r="S637" s="10">
        <v>131410</v>
      </c>
      <c r="U637" s="10">
        <v>0</v>
      </c>
      <c r="W637" s="10">
        <v>0</v>
      </c>
      <c r="Y637" s="10">
        <v>0</v>
      </c>
      <c r="AA637" s="10">
        <v>0</v>
      </c>
      <c r="AC637" s="10">
        <v>0</v>
      </c>
      <c r="AE637" s="10">
        <v>0</v>
      </c>
      <c r="AG637" s="10">
        <v>0</v>
      </c>
      <c r="AI637" s="10">
        <f t="shared" si="22"/>
        <v>3374643</v>
      </c>
      <c r="AJ637" s="10"/>
    </row>
    <row r="638" spans="1:39">
      <c r="A638" s="1" t="s">
        <v>340</v>
      </c>
      <c r="C638" s="1" t="s">
        <v>329</v>
      </c>
      <c r="E638" s="10">
        <v>2707</v>
      </c>
      <c r="F638" s="40"/>
      <c r="G638" s="10">
        <v>0</v>
      </c>
      <c r="H638" s="40"/>
      <c r="I638" s="10">
        <v>26785</v>
      </c>
      <c r="K638" s="10">
        <v>0</v>
      </c>
      <c r="M638" s="10">
        <v>0</v>
      </c>
      <c r="O638" s="10">
        <v>0</v>
      </c>
      <c r="Q638" s="10">
        <v>339</v>
      </c>
      <c r="S638" s="10">
        <v>762</v>
      </c>
      <c r="U638" s="10">
        <v>0</v>
      </c>
      <c r="W638" s="10">
        <v>0</v>
      </c>
      <c r="Y638" s="10">
        <v>0</v>
      </c>
      <c r="AA638" s="10">
        <v>0</v>
      </c>
      <c r="AC638" s="10">
        <v>0</v>
      </c>
      <c r="AE638" s="10">
        <v>0</v>
      </c>
      <c r="AG638" s="10">
        <v>0</v>
      </c>
      <c r="AI638" s="10">
        <f t="shared" si="22"/>
        <v>30593</v>
      </c>
      <c r="AJ638" s="40"/>
      <c r="AK638" s="7"/>
      <c r="AL638" s="7"/>
      <c r="AM638" s="7"/>
    </row>
    <row r="639" spans="1:39">
      <c r="A639" s="1" t="s">
        <v>425</v>
      </c>
      <c r="C639" s="1" t="s">
        <v>420</v>
      </c>
      <c r="E639" s="10">
        <v>247296</v>
      </c>
      <c r="G639" s="10">
        <v>0</v>
      </c>
      <c r="I639" s="10">
        <v>20194</v>
      </c>
      <c r="K639" s="10">
        <v>0</v>
      </c>
      <c r="M639" s="10">
        <v>16834</v>
      </c>
      <c r="O639" s="10">
        <v>6766</v>
      </c>
      <c r="Q639" s="10">
        <v>21370</v>
      </c>
      <c r="S639" s="10">
        <v>21158</v>
      </c>
      <c r="U639" s="10">
        <v>0</v>
      </c>
      <c r="W639" s="10">
        <v>0</v>
      </c>
      <c r="Y639" s="10">
        <v>0</v>
      </c>
      <c r="AA639" s="10">
        <v>0</v>
      </c>
      <c r="AC639" s="10">
        <v>0</v>
      </c>
      <c r="AE639" s="10">
        <v>0</v>
      </c>
      <c r="AG639" s="10">
        <v>0</v>
      </c>
      <c r="AI639" s="10">
        <f t="shared" si="22"/>
        <v>333618</v>
      </c>
      <c r="AJ639" s="10"/>
    </row>
    <row r="640" spans="1:39">
      <c r="A640" s="1" t="s">
        <v>583</v>
      </c>
      <c r="C640" s="1" t="s">
        <v>82</v>
      </c>
      <c r="E640" s="10">
        <v>4939</v>
      </c>
      <c r="G640" s="10">
        <v>0</v>
      </c>
      <c r="I640" s="10">
        <v>12025</v>
      </c>
      <c r="K640" s="10">
        <v>0</v>
      </c>
      <c r="M640" s="10">
        <v>0</v>
      </c>
      <c r="O640" s="10">
        <v>0</v>
      </c>
      <c r="Q640" s="10">
        <v>555</v>
      </c>
      <c r="S640" s="10">
        <v>1446</v>
      </c>
      <c r="U640" s="10">
        <v>0</v>
      </c>
      <c r="W640" s="10">
        <v>0</v>
      </c>
      <c r="Y640" s="10">
        <v>0</v>
      </c>
      <c r="AA640" s="10">
        <v>0</v>
      </c>
      <c r="AC640" s="10">
        <v>0</v>
      </c>
      <c r="AE640" s="10">
        <v>0</v>
      </c>
      <c r="AF640" s="35"/>
      <c r="AG640" s="10">
        <v>0</v>
      </c>
      <c r="AH640" s="35"/>
      <c r="AI640" s="10">
        <f t="shared" si="22"/>
        <v>18965</v>
      </c>
      <c r="AJ640" s="10"/>
    </row>
    <row r="641" spans="1:36">
      <c r="A641" s="1" t="s">
        <v>450</v>
      </c>
      <c r="C641" s="1" t="s">
        <v>447</v>
      </c>
      <c r="E641" s="10">
        <v>7322</v>
      </c>
      <c r="G641" s="10">
        <v>0</v>
      </c>
      <c r="I641" s="10">
        <v>12254</v>
      </c>
      <c r="K641" s="10">
        <v>0</v>
      </c>
      <c r="M641" s="10">
        <v>0</v>
      </c>
      <c r="O641" s="10">
        <v>0</v>
      </c>
      <c r="Q641" s="10">
        <v>998</v>
      </c>
      <c r="S641" s="10">
        <v>895</v>
      </c>
      <c r="U641" s="10">
        <v>0</v>
      </c>
      <c r="W641" s="10">
        <v>0</v>
      </c>
      <c r="Y641" s="10">
        <v>0</v>
      </c>
      <c r="AA641" s="10">
        <v>0</v>
      </c>
      <c r="AC641" s="10">
        <v>0</v>
      </c>
      <c r="AE641" s="10">
        <v>0</v>
      </c>
      <c r="AG641" s="10">
        <v>0</v>
      </c>
      <c r="AI641" s="10">
        <f t="shared" si="22"/>
        <v>21469</v>
      </c>
      <c r="AJ641" s="10"/>
    </row>
    <row r="642" spans="1:36" hidden="1">
      <c r="A642" s="1" t="s">
        <v>235</v>
      </c>
      <c r="C642" s="1" t="s">
        <v>823</v>
      </c>
      <c r="E642" s="10">
        <v>0</v>
      </c>
      <c r="G642" s="10">
        <v>0</v>
      </c>
      <c r="I642" s="10">
        <v>0</v>
      </c>
      <c r="K642" s="10">
        <v>0</v>
      </c>
      <c r="M642" s="10">
        <v>0</v>
      </c>
      <c r="O642" s="10">
        <v>0</v>
      </c>
      <c r="Q642" s="10">
        <v>0</v>
      </c>
      <c r="S642" s="10">
        <v>0</v>
      </c>
      <c r="U642" s="10">
        <v>0</v>
      </c>
      <c r="V642" s="24"/>
      <c r="W642" s="10">
        <v>0</v>
      </c>
      <c r="X642" s="24"/>
      <c r="Y642" s="10">
        <v>0</v>
      </c>
      <c r="AA642" s="10">
        <v>0</v>
      </c>
      <c r="AC642" s="10">
        <v>0</v>
      </c>
      <c r="AE642" s="10">
        <v>0</v>
      </c>
      <c r="AG642" s="10">
        <v>0</v>
      </c>
      <c r="AI642" s="10">
        <f t="shared" si="22"/>
        <v>0</v>
      </c>
      <c r="AJ642" s="10"/>
    </row>
    <row r="643" spans="1:36">
      <c r="A643" s="1" t="s">
        <v>621</v>
      </c>
    </row>
    <row r="645" spans="1:36">
      <c r="A645" s="21"/>
      <c r="B645" s="21"/>
      <c r="C645" s="21"/>
      <c r="D645" s="21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</row>
    <row r="646" spans="1:36">
      <c r="A646" s="21"/>
      <c r="B646" s="21"/>
      <c r="C646" s="21"/>
      <c r="D646" s="21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</row>
    <row r="647" spans="1:36">
      <c r="A647" s="21"/>
      <c r="B647" s="21"/>
      <c r="C647" s="21"/>
      <c r="D647" s="21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</row>
    <row r="648" spans="1:36">
      <c r="A648" s="21"/>
      <c r="B648" s="21"/>
      <c r="C648" s="21"/>
      <c r="D648" s="21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</row>
    <row r="649" spans="1:36">
      <c r="A649" s="21"/>
      <c r="B649" s="21"/>
      <c r="C649" s="21"/>
      <c r="D649" s="21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</row>
    <row r="650" spans="1:36">
      <c r="A650" s="21"/>
      <c r="B650" s="21"/>
      <c r="C650" s="21"/>
      <c r="D650" s="21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</row>
    <row r="651" spans="1:36">
      <c r="A651" s="21"/>
      <c r="B651" s="21"/>
      <c r="C651" s="21"/>
      <c r="D651" s="21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</row>
    <row r="652" spans="1:36">
      <c r="A652" s="21"/>
      <c r="B652" s="21"/>
      <c r="C652" s="21"/>
      <c r="D652" s="21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</row>
    <row r="653" spans="1:36">
      <c r="A653" s="21"/>
      <c r="B653" s="21"/>
      <c r="C653" s="21"/>
      <c r="D653" s="21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</row>
    <row r="654" spans="1:36">
      <c r="A654" s="21"/>
      <c r="B654" s="21"/>
      <c r="C654" s="21"/>
      <c r="D654" s="21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</row>
    <row r="655" spans="1:36">
      <c r="A655" s="21"/>
      <c r="B655" s="21"/>
      <c r="C655" s="21"/>
      <c r="D655" s="21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</row>
    <row r="656" spans="1:36">
      <c r="A656" s="21"/>
      <c r="B656" s="21"/>
      <c r="C656" s="21"/>
      <c r="D656" s="21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</row>
    <row r="657" spans="1:34">
      <c r="A657" s="21"/>
      <c r="B657" s="21"/>
      <c r="C657" s="21"/>
      <c r="D657" s="21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</row>
    <row r="658" spans="1:34">
      <c r="A658" s="21"/>
      <c r="B658" s="21"/>
      <c r="C658" s="21"/>
      <c r="D658" s="21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</row>
    <row r="659" spans="1:34">
      <c r="A659" s="21"/>
      <c r="B659" s="21"/>
      <c r="C659" s="21"/>
      <c r="D659" s="21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</row>
    <row r="660" spans="1:34">
      <c r="A660" s="21"/>
      <c r="B660" s="21"/>
      <c r="C660" s="21"/>
      <c r="D660" s="21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</row>
    <row r="661" spans="1:34">
      <c r="A661" s="21"/>
      <c r="B661" s="21"/>
      <c r="C661" s="21"/>
      <c r="D661" s="21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</row>
    <row r="662" spans="1:34">
      <c r="A662" s="21"/>
      <c r="B662" s="21"/>
      <c r="C662" s="21"/>
      <c r="D662" s="21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</row>
    <row r="663" spans="1:34">
      <c r="A663" s="21"/>
      <c r="B663" s="21"/>
      <c r="C663" s="21"/>
      <c r="D663" s="21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</row>
    <row r="664" spans="1:34">
      <c r="A664" s="21"/>
      <c r="B664" s="21"/>
      <c r="C664" s="21"/>
      <c r="D664" s="21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</row>
    <row r="665" spans="1:34">
      <c r="A665" s="21"/>
      <c r="B665" s="21"/>
      <c r="C665" s="21"/>
      <c r="D665" s="21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</row>
    <row r="666" spans="1:34">
      <c r="A666" s="21"/>
      <c r="B666" s="21"/>
      <c r="C666" s="21"/>
      <c r="D666" s="21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</row>
    <row r="667" spans="1:34">
      <c r="A667" s="21"/>
      <c r="B667" s="21"/>
      <c r="C667" s="21"/>
      <c r="D667" s="21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</row>
    <row r="668" spans="1:34">
      <c r="A668" s="21"/>
      <c r="B668" s="21"/>
      <c r="C668" s="21"/>
      <c r="D668" s="21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</row>
    <row r="669" spans="1:34">
      <c r="A669" s="21"/>
      <c r="B669" s="21"/>
      <c r="C669" s="21"/>
      <c r="D669" s="21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</row>
    <row r="670" spans="1:34">
      <c r="A670" s="21"/>
      <c r="B670" s="21"/>
      <c r="C670" s="21"/>
      <c r="D670" s="21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</row>
    <row r="671" spans="1:34">
      <c r="A671" s="21"/>
      <c r="B671" s="21"/>
      <c r="C671" s="21"/>
      <c r="D671" s="21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</row>
    <row r="672" spans="1:34">
      <c r="A672" s="21"/>
      <c r="B672" s="21"/>
      <c r="C672" s="21"/>
      <c r="D672" s="21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</row>
    <row r="673" spans="1:34">
      <c r="A673" s="21"/>
      <c r="B673" s="21"/>
      <c r="C673" s="21"/>
      <c r="D673" s="21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</row>
    <row r="674" spans="1:34">
      <c r="A674" s="21"/>
      <c r="B674" s="21"/>
      <c r="C674" s="21"/>
      <c r="D674" s="21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</row>
    <row r="675" spans="1:34">
      <c r="A675" s="21"/>
      <c r="B675" s="21"/>
      <c r="C675" s="21"/>
      <c r="D675" s="21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</row>
    <row r="676" spans="1:34">
      <c r="A676" s="21"/>
      <c r="B676" s="21"/>
      <c r="C676" s="21"/>
      <c r="D676" s="21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</row>
    <row r="677" spans="1:34">
      <c r="A677" s="21"/>
      <c r="B677" s="21"/>
      <c r="C677" s="21"/>
      <c r="D677" s="21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</row>
    <row r="678" spans="1:34">
      <c r="A678" s="21"/>
      <c r="B678" s="21"/>
      <c r="C678" s="21"/>
      <c r="D678" s="21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</row>
    <row r="679" spans="1:34">
      <c r="A679" s="21"/>
      <c r="B679" s="21"/>
      <c r="C679" s="21"/>
      <c r="D679" s="21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</row>
    <row r="680" spans="1:34">
      <c r="A680" s="21"/>
      <c r="B680" s="21"/>
      <c r="C680" s="21"/>
      <c r="D680" s="21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</row>
    <row r="681" spans="1:34">
      <c r="A681" s="21"/>
      <c r="B681" s="21"/>
      <c r="C681" s="21"/>
      <c r="D681" s="21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</row>
    <row r="682" spans="1:34">
      <c r="A682" s="21"/>
      <c r="B682" s="21"/>
      <c r="C682" s="21"/>
      <c r="D682" s="21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</row>
    <row r="683" spans="1:34">
      <c r="A683" s="21"/>
      <c r="B683" s="21"/>
      <c r="C683" s="21"/>
      <c r="D683" s="21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</row>
    <row r="684" spans="1:34">
      <c r="A684" s="21"/>
      <c r="B684" s="21"/>
      <c r="C684" s="21"/>
      <c r="D684" s="21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</row>
    <row r="685" spans="1:34">
      <c r="A685" s="21"/>
      <c r="B685" s="21"/>
      <c r="C685" s="21"/>
      <c r="D685" s="21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</row>
    <row r="686" spans="1:34">
      <c r="A686" s="21"/>
      <c r="B686" s="21"/>
      <c r="C686" s="21"/>
      <c r="D686" s="21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</row>
    <row r="687" spans="1:34">
      <c r="A687" s="21"/>
      <c r="B687" s="21"/>
      <c r="C687" s="21"/>
      <c r="D687" s="21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</row>
    <row r="688" spans="1:34">
      <c r="A688" s="21"/>
      <c r="B688" s="21"/>
      <c r="C688" s="21"/>
      <c r="D688" s="21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</row>
    <row r="689" spans="1:34">
      <c r="A689" s="21"/>
      <c r="B689" s="21"/>
      <c r="C689" s="21"/>
      <c r="D689" s="21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</row>
    <row r="690" spans="1:34">
      <c r="A690" s="21"/>
      <c r="B690" s="21"/>
      <c r="C690" s="21"/>
      <c r="D690" s="21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</row>
    <row r="691" spans="1:34">
      <c r="A691" s="21"/>
      <c r="B691" s="21"/>
      <c r="C691" s="21"/>
      <c r="D691" s="21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</row>
    <row r="692" spans="1:34">
      <c r="A692" s="21"/>
      <c r="B692" s="21"/>
      <c r="C692" s="21"/>
      <c r="D692" s="21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</row>
    <row r="693" spans="1:34">
      <c r="A693" s="21"/>
      <c r="B693" s="21"/>
      <c r="C693" s="21"/>
      <c r="D693" s="21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</row>
    <row r="694" spans="1:34">
      <c r="A694" s="21"/>
      <c r="B694" s="21"/>
      <c r="C694" s="21"/>
      <c r="D694" s="21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</row>
    <row r="695" spans="1:34">
      <c r="A695" s="21"/>
      <c r="B695" s="21"/>
      <c r="C695" s="21"/>
      <c r="D695" s="21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</row>
    <row r="696" spans="1:34">
      <c r="A696" s="21"/>
      <c r="B696" s="21"/>
      <c r="C696" s="21"/>
      <c r="D696" s="21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</row>
    <row r="697" spans="1:34">
      <c r="A697" s="21"/>
      <c r="B697" s="21"/>
      <c r="C697" s="21"/>
      <c r="D697" s="21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</row>
    <row r="698" spans="1:34">
      <c r="A698" s="21"/>
      <c r="B698" s="21"/>
      <c r="C698" s="21"/>
      <c r="D698" s="21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</row>
    <row r="699" spans="1:34">
      <c r="A699" s="21"/>
      <c r="B699" s="21"/>
      <c r="C699" s="21"/>
      <c r="D699" s="21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</row>
    <row r="700" spans="1:34">
      <c r="A700" s="21"/>
      <c r="B700" s="21"/>
      <c r="C700" s="21"/>
      <c r="D700" s="21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</row>
    <row r="701" spans="1:34">
      <c r="A701" s="21"/>
      <c r="B701" s="21"/>
      <c r="C701" s="21"/>
      <c r="D701" s="21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</row>
    <row r="702" spans="1:34">
      <c r="A702" s="21"/>
      <c r="B702" s="21"/>
      <c r="C702" s="21"/>
      <c r="D702" s="21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</row>
    <row r="703" spans="1:34">
      <c r="A703" s="21"/>
      <c r="B703" s="21"/>
      <c r="C703" s="21"/>
      <c r="D703" s="21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</row>
    <row r="704" spans="1:34">
      <c r="A704" s="21"/>
      <c r="B704" s="21"/>
      <c r="C704" s="21"/>
      <c r="D704" s="21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</row>
    <row r="705" spans="1:34">
      <c r="A705" s="21"/>
      <c r="B705" s="21"/>
      <c r="C705" s="21"/>
      <c r="D705" s="21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</row>
    <row r="706" spans="1:34">
      <c r="A706" s="21"/>
      <c r="B706" s="21"/>
      <c r="C706" s="21"/>
      <c r="D706" s="21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</row>
    <row r="707" spans="1:34">
      <c r="A707" s="21"/>
      <c r="B707" s="21"/>
      <c r="C707" s="21"/>
      <c r="D707" s="21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</row>
    <row r="708" spans="1:34">
      <c r="A708" s="21"/>
      <c r="B708" s="21"/>
      <c r="C708" s="21"/>
      <c r="D708" s="21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</row>
    <row r="709" spans="1:34">
      <c r="A709" s="21"/>
      <c r="B709" s="21"/>
      <c r="C709" s="21"/>
      <c r="D709" s="21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</row>
    <row r="710" spans="1:34">
      <c r="A710" s="21"/>
      <c r="B710" s="21"/>
      <c r="C710" s="21"/>
      <c r="D710" s="21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</row>
    <row r="711" spans="1:34">
      <c r="A711" s="21"/>
      <c r="B711" s="21"/>
      <c r="C711" s="21"/>
      <c r="D711" s="21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</row>
    <row r="712" spans="1:34">
      <c r="A712" s="21"/>
      <c r="B712" s="21"/>
      <c r="C712" s="21"/>
      <c r="D712" s="21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</row>
    <row r="713" spans="1:34">
      <c r="A713" s="21"/>
      <c r="B713" s="21"/>
      <c r="C713" s="21"/>
      <c r="D713" s="21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</row>
    <row r="714" spans="1:34">
      <c r="A714" s="21"/>
      <c r="B714" s="21"/>
      <c r="C714" s="21"/>
      <c r="D714" s="21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</row>
    <row r="715" spans="1:34">
      <c r="A715" s="21"/>
      <c r="B715" s="21"/>
      <c r="C715" s="21"/>
      <c r="D715" s="21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</row>
    <row r="716" spans="1:34">
      <c r="A716" s="21"/>
      <c r="B716" s="21"/>
      <c r="C716" s="21"/>
      <c r="D716" s="21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</row>
    <row r="717" spans="1:34">
      <c r="A717" s="21"/>
      <c r="B717" s="21"/>
      <c r="C717" s="21"/>
      <c r="D717" s="21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</row>
    <row r="718" spans="1:34">
      <c r="A718" s="21"/>
      <c r="B718" s="21"/>
      <c r="C718" s="21"/>
      <c r="D718" s="21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</row>
    <row r="719" spans="1:34">
      <c r="A719" s="21"/>
      <c r="B719" s="21"/>
      <c r="C719" s="21"/>
      <c r="D719" s="21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</row>
    <row r="720" spans="1:34">
      <c r="A720" s="21"/>
      <c r="B720" s="21"/>
      <c r="C720" s="21"/>
      <c r="D720" s="21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</row>
    <row r="721" spans="1:34">
      <c r="A721" s="21"/>
      <c r="B721" s="21"/>
      <c r="C721" s="21"/>
      <c r="D721" s="21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</row>
    <row r="722" spans="1:34">
      <c r="A722" s="21"/>
      <c r="B722" s="21"/>
      <c r="C722" s="21"/>
      <c r="D722" s="21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</row>
    <row r="723" spans="1:34">
      <c r="A723" s="21"/>
      <c r="B723" s="21"/>
      <c r="C723" s="21"/>
      <c r="D723" s="21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</row>
    <row r="724" spans="1:34">
      <c r="A724" s="21"/>
      <c r="B724" s="21"/>
      <c r="C724" s="21"/>
      <c r="D724" s="21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</row>
    <row r="725" spans="1:34">
      <c r="A725" s="21"/>
      <c r="B725" s="21"/>
      <c r="C725" s="21"/>
      <c r="D725" s="21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</row>
    <row r="726" spans="1:34">
      <c r="A726" s="21"/>
      <c r="B726" s="21"/>
      <c r="C726" s="21"/>
      <c r="D726" s="21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</row>
    <row r="727" spans="1:34">
      <c r="A727" s="21"/>
      <c r="B727" s="21"/>
      <c r="C727" s="21"/>
      <c r="D727" s="21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</row>
    <row r="728" spans="1:34">
      <c r="A728" s="21"/>
      <c r="B728" s="21"/>
      <c r="C728" s="21"/>
      <c r="D728" s="21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</row>
    <row r="729" spans="1:34">
      <c r="A729" s="21"/>
      <c r="B729" s="21"/>
      <c r="C729" s="21"/>
      <c r="D729" s="21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</row>
    <row r="730" spans="1:34">
      <c r="A730" s="21"/>
      <c r="B730" s="21"/>
      <c r="C730" s="21"/>
      <c r="D730" s="21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</row>
    <row r="731" spans="1:34">
      <c r="A731" s="21"/>
      <c r="B731" s="21"/>
      <c r="C731" s="21"/>
      <c r="D731" s="21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</row>
    <row r="732" spans="1:34">
      <c r="A732" s="21"/>
      <c r="B732" s="21"/>
      <c r="C732" s="21"/>
      <c r="D732" s="21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</row>
    <row r="733" spans="1:34">
      <c r="A733" s="21"/>
      <c r="B733" s="21"/>
      <c r="C733" s="21"/>
      <c r="D733" s="21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</row>
    <row r="734" spans="1:34">
      <c r="A734" s="21"/>
      <c r="B734" s="21"/>
      <c r="C734" s="21"/>
      <c r="D734" s="21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</row>
    <row r="735" spans="1:34">
      <c r="A735" s="21"/>
      <c r="B735" s="21"/>
      <c r="C735" s="21"/>
      <c r="D735" s="21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</row>
    <row r="736" spans="1:34">
      <c r="A736" s="21"/>
      <c r="B736" s="21"/>
      <c r="C736" s="21"/>
      <c r="D736" s="21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</row>
    <row r="737" spans="1:34">
      <c r="A737" s="21"/>
      <c r="B737" s="21"/>
      <c r="C737" s="21"/>
      <c r="D737" s="21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</row>
    <row r="738" spans="1:34">
      <c r="A738" s="21"/>
      <c r="B738" s="21"/>
      <c r="C738" s="21"/>
      <c r="D738" s="21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</row>
    <row r="739" spans="1:34">
      <c r="A739" s="21"/>
      <c r="B739" s="21"/>
      <c r="C739" s="21"/>
      <c r="D739" s="21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</row>
    <row r="740" spans="1:34">
      <c r="A740" s="21"/>
      <c r="B740" s="21"/>
      <c r="C740" s="21"/>
      <c r="D740" s="21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</row>
    <row r="741" spans="1:34">
      <c r="A741" s="21"/>
      <c r="B741" s="21"/>
      <c r="C741" s="21"/>
      <c r="D741" s="21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</row>
    <row r="742" spans="1:34">
      <c r="A742" s="21"/>
      <c r="B742" s="21"/>
      <c r="C742" s="21"/>
      <c r="D742" s="21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</row>
    <row r="743" spans="1:34">
      <c r="A743" s="21"/>
      <c r="B743" s="21"/>
      <c r="C743" s="21"/>
      <c r="D743" s="21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</row>
    <row r="744" spans="1:34">
      <c r="A744" s="21"/>
      <c r="B744" s="21"/>
      <c r="C744" s="21"/>
      <c r="D744" s="21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</row>
    <row r="745" spans="1:34">
      <c r="A745" s="21"/>
      <c r="B745" s="21"/>
      <c r="C745" s="21"/>
      <c r="D745" s="21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</row>
    <row r="746" spans="1:34">
      <c r="A746" s="21"/>
      <c r="B746" s="21"/>
      <c r="C746" s="21"/>
      <c r="D746" s="21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</row>
    <row r="747" spans="1:34">
      <c r="A747" s="21"/>
      <c r="B747" s="21"/>
      <c r="C747" s="21"/>
      <c r="D747" s="21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</row>
    <row r="748" spans="1:34">
      <c r="A748" s="21"/>
      <c r="B748" s="21"/>
      <c r="C748" s="21"/>
      <c r="D748" s="21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</row>
    <row r="749" spans="1:34">
      <c r="A749" s="21"/>
      <c r="B749" s="21"/>
      <c r="C749" s="21"/>
      <c r="D749" s="21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</row>
    <row r="750" spans="1:34">
      <c r="A750" s="21"/>
      <c r="B750" s="21"/>
      <c r="C750" s="21"/>
      <c r="D750" s="21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</row>
    <row r="751" spans="1:34">
      <c r="A751" s="21"/>
      <c r="B751" s="21"/>
      <c r="C751" s="21"/>
      <c r="D751" s="21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</row>
    <row r="752" spans="1:34">
      <c r="A752" s="21"/>
      <c r="B752" s="21"/>
      <c r="C752" s="21"/>
      <c r="D752" s="21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</row>
    <row r="753" spans="1:34">
      <c r="A753" s="21"/>
      <c r="B753" s="21"/>
      <c r="C753" s="21"/>
      <c r="D753" s="21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</row>
    <row r="754" spans="1:34">
      <c r="A754" s="21"/>
      <c r="B754" s="21"/>
      <c r="C754" s="21"/>
      <c r="D754" s="21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</row>
    <row r="755" spans="1:34">
      <c r="A755" s="21"/>
      <c r="B755" s="21"/>
      <c r="C755" s="21"/>
      <c r="D755" s="21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</row>
    <row r="756" spans="1:34">
      <c r="A756" s="21"/>
      <c r="B756" s="21"/>
      <c r="C756" s="21"/>
      <c r="D756" s="21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</row>
    <row r="757" spans="1:34">
      <c r="A757" s="21"/>
      <c r="B757" s="21"/>
      <c r="C757" s="21"/>
      <c r="D757" s="21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</row>
    <row r="758" spans="1:34">
      <c r="A758" s="21"/>
      <c r="B758" s="21"/>
      <c r="C758" s="21"/>
      <c r="D758" s="21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</row>
    <row r="759" spans="1:34">
      <c r="A759" s="21"/>
      <c r="B759" s="21"/>
      <c r="C759" s="21"/>
      <c r="D759" s="21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</row>
    <row r="760" spans="1:34">
      <c r="A760" s="21"/>
      <c r="B760" s="21"/>
      <c r="C760" s="21"/>
      <c r="D760" s="21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</row>
    <row r="761" spans="1:34">
      <c r="A761" s="21"/>
      <c r="B761" s="21"/>
      <c r="C761" s="21"/>
      <c r="D761" s="21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</row>
    <row r="762" spans="1:34">
      <c r="A762" s="21"/>
      <c r="B762" s="21"/>
      <c r="C762" s="21"/>
      <c r="D762" s="21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</row>
    <row r="763" spans="1:34">
      <c r="A763" s="21"/>
      <c r="B763" s="21"/>
      <c r="C763" s="21"/>
      <c r="D763" s="21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</row>
    <row r="764" spans="1:34">
      <c r="A764" s="21"/>
      <c r="B764" s="21"/>
      <c r="C764" s="21"/>
      <c r="D764" s="21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</row>
    <row r="765" spans="1:34">
      <c r="A765" s="21"/>
      <c r="B765" s="21"/>
      <c r="C765" s="21"/>
      <c r="D765" s="21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</row>
    <row r="766" spans="1:34">
      <c r="A766" s="21"/>
      <c r="B766" s="21"/>
      <c r="C766" s="21"/>
      <c r="D766" s="21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</row>
    <row r="767" spans="1:34">
      <c r="A767" s="21"/>
      <c r="B767" s="21"/>
      <c r="C767" s="21"/>
      <c r="D767" s="21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</row>
    <row r="768" spans="1:34">
      <c r="A768" s="21"/>
      <c r="B768" s="21"/>
      <c r="C768" s="21"/>
      <c r="D768" s="21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</row>
    <row r="769" spans="1:34">
      <c r="A769" s="21"/>
      <c r="B769" s="21"/>
      <c r="C769" s="21"/>
      <c r="D769" s="21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</row>
    <row r="770" spans="1:34">
      <c r="A770" s="21"/>
      <c r="B770" s="21"/>
      <c r="C770" s="21"/>
      <c r="D770" s="21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</row>
    <row r="771" spans="1:34">
      <c r="A771" s="21"/>
      <c r="B771" s="21"/>
      <c r="C771" s="21"/>
      <c r="D771" s="21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</row>
    <row r="772" spans="1:34">
      <c r="A772" s="21"/>
      <c r="B772" s="21"/>
      <c r="C772" s="21"/>
      <c r="D772" s="21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</row>
    <row r="773" spans="1:34">
      <c r="A773" s="21"/>
      <c r="B773" s="21"/>
      <c r="C773" s="21"/>
      <c r="D773" s="21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</row>
    <row r="774" spans="1:34">
      <c r="A774" s="21"/>
      <c r="B774" s="21"/>
      <c r="C774" s="21"/>
      <c r="D774" s="21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</row>
    <row r="775" spans="1:34">
      <c r="A775" s="21"/>
      <c r="B775" s="21"/>
      <c r="C775" s="21"/>
      <c r="D775" s="21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</row>
    <row r="776" spans="1:34">
      <c r="A776" s="21"/>
      <c r="B776" s="21"/>
      <c r="C776" s="21"/>
      <c r="D776" s="21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</row>
    <row r="777" spans="1:34">
      <c r="A777" s="21"/>
      <c r="B777" s="21"/>
      <c r="C777" s="21"/>
      <c r="D777" s="21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</row>
    <row r="778" spans="1:34">
      <c r="A778" s="21"/>
      <c r="B778" s="21"/>
      <c r="C778" s="21"/>
      <c r="D778" s="21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</row>
    <row r="779" spans="1:34">
      <c r="A779" s="21"/>
      <c r="B779" s="21"/>
      <c r="C779" s="21"/>
      <c r="D779" s="21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</row>
    <row r="780" spans="1:34">
      <c r="A780" s="21"/>
      <c r="B780" s="21"/>
      <c r="C780" s="21"/>
      <c r="D780" s="21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</row>
    <row r="781" spans="1:34">
      <c r="A781" s="21"/>
      <c r="B781" s="21"/>
      <c r="C781" s="21"/>
      <c r="D781" s="21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</row>
    <row r="782" spans="1:34">
      <c r="A782" s="21"/>
      <c r="B782" s="21"/>
      <c r="C782" s="21"/>
      <c r="D782" s="21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</row>
    <row r="783" spans="1:34">
      <c r="A783" s="21"/>
      <c r="B783" s="21"/>
      <c r="C783" s="21"/>
      <c r="D783" s="21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</row>
    <row r="784" spans="1:34">
      <c r="A784" s="21"/>
      <c r="B784" s="21"/>
      <c r="C784" s="21"/>
      <c r="D784" s="21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</row>
    <row r="785" spans="1:34">
      <c r="A785" s="21"/>
      <c r="B785" s="21"/>
      <c r="C785" s="21"/>
      <c r="D785" s="21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</row>
    <row r="786" spans="1:34">
      <c r="A786" s="21"/>
      <c r="B786" s="21"/>
      <c r="C786" s="21"/>
      <c r="D786" s="21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</row>
    <row r="787" spans="1:34">
      <c r="A787" s="21"/>
      <c r="B787" s="21"/>
      <c r="C787" s="21"/>
      <c r="D787" s="21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</row>
    <row r="788" spans="1:34">
      <c r="A788" s="21"/>
      <c r="B788" s="21"/>
      <c r="C788" s="21"/>
      <c r="D788" s="21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</row>
    <row r="789" spans="1:34">
      <c r="A789" s="21"/>
      <c r="B789" s="21"/>
      <c r="C789" s="21"/>
      <c r="D789" s="21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</row>
    <row r="790" spans="1:34">
      <c r="A790" s="21"/>
      <c r="B790" s="21"/>
      <c r="C790" s="21"/>
      <c r="D790" s="21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</row>
    <row r="791" spans="1:34">
      <c r="A791" s="21"/>
      <c r="B791" s="21"/>
      <c r="C791" s="21"/>
      <c r="D791" s="21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</row>
    <row r="792" spans="1:34">
      <c r="A792" s="21"/>
      <c r="B792" s="21"/>
      <c r="C792" s="21"/>
      <c r="D792" s="21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</row>
    <row r="793" spans="1:34">
      <c r="A793" s="21"/>
      <c r="B793" s="21"/>
      <c r="C793" s="21"/>
      <c r="D793" s="21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</row>
    <row r="794" spans="1:34">
      <c r="A794" s="21"/>
      <c r="B794" s="21"/>
      <c r="C794" s="21"/>
      <c r="D794" s="21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</row>
    <row r="795" spans="1:34">
      <c r="A795" s="21"/>
      <c r="B795" s="21"/>
      <c r="C795" s="21"/>
      <c r="D795" s="21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</row>
    <row r="796" spans="1:34">
      <c r="A796" s="21"/>
      <c r="B796" s="21"/>
      <c r="C796" s="21"/>
      <c r="D796" s="21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</row>
    <row r="797" spans="1:34">
      <c r="A797" s="21"/>
      <c r="B797" s="21"/>
      <c r="C797" s="21"/>
      <c r="D797" s="21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</row>
    <row r="798" spans="1:34">
      <c r="A798" s="21"/>
      <c r="B798" s="21"/>
      <c r="C798" s="21"/>
      <c r="D798" s="21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</row>
    <row r="799" spans="1:34">
      <c r="A799" s="21"/>
      <c r="B799" s="21"/>
      <c r="C799" s="21"/>
      <c r="D799" s="21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</row>
    <row r="800" spans="1:34">
      <c r="A800" s="21"/>
      <c r="B800" s="21"/>
      <c r="C800" s="21"/>
      <c r="D800" s="21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</row>
    <row r="801" spans="1:34">
      <c r="A801" s="21"/>
      <c r="B801" s="21"/>
      <c r="C801" s="21"/>
      <c r="D801" s="21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</row>
    <row r="802" spans="1:34">
      <c r="A802" s="21"/>
      <c r="B802" s="21"/>
      <c r="C802" s="21"/>
      <c r="D802" s="21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</row>
    <row r="803" spans="1:34">
      <c r="A803" s="21"/>
      <c r="B803" s="21"/>
      <c r="C803" s="21"/>
      <c r="D803" s="21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</row>
    <row r="804" spans="1:34">
      <c r="A804" s="21"/>
      <c r="B804" s="21"/>
      <c r="C804" s="21"/>
      <c r="D804" s="21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</row>
    <row r="805" spans="1:34">
      <c r="A805" s="21"/>
      <c r="B805" s="21"/>
      <c r="C805" s="21"/>
      <c r="D805" s="21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</row>
    <row r="806" spans="1:34">
      <c r="A806" s="21"/>
      <c r="B806" s="21"/>
      <c r="C806" s="21"/>
      <c r="D806" s="21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</row>
    <row r="807" spans="1:34">
      <c r="A807" s="21"/>
      <c r="B807" s="21"/>
      <c r="C807" s="21"/>
      <c r="D807" s="21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</row>
    <row r="808" spans="1:34">
      <c r="A808" s="21"/>
      <c r="B808" s="21"/>
      <c r="C808" s="21"/>
      <c r="D808" s="21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</row>
    <row r="809" spans="1:34">
      <c r="A809" s="21"/>
      <c r="B809" s="21"/>
      <c r="C809" s="21"/>
      <c r="D809" s="21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</row>
    <row r="810" spans="1:34">
      <c r="A810" s="21"/>
      <c r="B810" s="21"/>
      <c r="C810" s="21"/>
      <c r="D810" s="21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</row>
    <row r="811" spans="1:34">
      <c r="A811" s="21"/>
      <c r="B811" s="21"/>
      <c r="C811" s="21"/>
      <c r="D811" s="21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</row>
    <row r="812" spans="1:34">
      <c r="A812" s="21"/>
      <c r="B812" s="21"/>
      <c r="C812" s="21"/>
      <c r="D812" s="21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</row>
    <row r="813" spans="1:34">
      <c r="A813" s="21"/>
      <c r="B813" s="21"/>
      <c r="C813" s="21"/>
      <c r="D813" s="21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</row>
    <row r="814" spans="1:34">
      <c r="A814" s="21"/>
      <c r="B814" s="21"/>
      <c r="C814" s="21"/>
      <c r="D814" s="21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</row>
    <row r="815" spans="1:34">
      <c r="A815" s="21"/>
      <c r="B815" s="21"/>
      <c r="C815" s="21"/>
      <c r="D815" s="21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</row>
    <row r="816" spans="1:34">
      <c r="A816" s="21"/>
      <c r="B816" s="21"/>
      <c r="C816" s="21"/>
      <c r="D816" s="21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</row>
    <row r="817" spans="1:34">
      <c r="A817" s="21"/>
      <c r="B817" s="21"/>
      <c r="C817" s="21"/>
      <c r="D817" s="21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</row>
    <row r="818" spans="1:34">
      <c r="A818" s="21"/>
      <c r="B818" s="21"/>
      <c r="C818" s="21"/>
      <c r="D818" s="21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</row>
    <row r="819" spans="1:34">
      <c r="A819" s="21"/>
      <c r="B819" s="21"/>
      <c r="C819" s="21"/>
      <c r="D819" s="21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</row>
    <row r="820" spans="1:34">
      <c r="A820" s="21"/>
      <c r="B820" s="21"/>
      <c r="C820" s="21"/>
      <c r="D820" s="21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</row>
    <row r="821" spans="1:34">
      <c r="A821" s="21"/>
      <c r="B821" s="21"/>
      <c r="C821" s="21"/>
      <c r="D821" s="21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</row>
    <row r="822" spans="1:34">
      <c r="A822" s="21"/>
      <c r="B822" s="21"/>
      <c r="C822" s="21"/>
      <c r="D822" s="21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</row>
    <row r="823" spans="1:34">
      <c r="A823" s="21"/>
      <c r="B823" s="21"/>
      <c r="C823" s="21"/>
      <c r="D823" s="21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</row>
    <row r="824" spans="1:34">
      <c r="A824" s="21"/>
      <c r="B824" s="21"/>
      <c r="C824" s="21"/>
      <c r="D824" s="21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</row>
    <row r="825" spans="1:34">
      <c r="A825" s="21"/>
      <c r="B825" s="21"/>
      <c r="C825" s="21"/>
      <c r="D825" s="21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</row>
    <row r="826" spans="1:34">
      <c r="A826" s="21"/>
      <c r="B826" s="21"/>
      <c r="C826" s="21"/>
      <c r="D826" s="21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</row>
    <row r="827" spans="1:34">
      <c r="A827" s="21"/>
      <c r="B827" s="21"/>
      <c r="C827" s="21"/>
      <c r="D827" s="21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</row>
    <row r="828" spans="1:34">
      <c r="A828" s="21"/>
      <c r="B828" s="21"/>
      <c r="C828" s="21"/>
      <c r="D828" s="21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</row>
    <row r="829" spans="1:34">
      <c r="A829" s="21"/>
      <c r="B829" s="21"/>
      <c r="C829" s="21"/>
      <c r="D829" s="21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</row>
    <row r="830" spans="1:34">
      <c r="A830" s="21"/>
      <c r="B830" s="21"/>
      <c r="C830" s="21"/>
      <c r="D830" s="21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</row>
    <row r="831" spans="1:34">
      <c r="A831" s="21"/>
      <c r="B831" s="21"/>
      <c r="C831" s="21"/>
      <c r="D831" s="21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</row>
    <row r="832" spans="1:34">
      <c r="A832" s="21"/>
      <c r="B832" s="21"/>
      <c r="C832" s="21"/>
      <c r="D832" s="21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</row>
    <row r="833" spans="1:34">
      <c r="A833" s="21"/>
      <c r="B833" s="21"/>
      <c r="C833" s="21"/>
      <c r="D833" s="21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</row>
    <row r="834" spans="1:34">
      <c r="A834" s="21"/>
      <c r="B834" s="21"/>
      <c r="C834" s="21"/>
      <c r="D834" s="21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</row>
    <row r="835" spans="1:34">
      <c r="A835" s="21"/>
      <c r="B835" s="21"/>
      <c r="C835" s="21"/>
      <c r="D835" s="21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</row>
    <row r="836" spans="1:34">
      <c r="A836" s="21"/>
      <c r="B836" s="21"/>
      <c r="C836" s="21"/>
      <c r="D836" s="21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</row>
    <row r="837" spans="1:34">
      <c r="A837" s="21"/>
      <c r="B837" s="21"/>
      <c r="C837" s="21"/>
      <c r="D837" s="21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</row>
    <row r="838" spans="1:34">
      <c r="A838" s="21"/>
      <c r="B838" s="21"/>
      <c r="C838" s="21"/>
      <c r="D838" s="21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</row>
    <row r="839" spans="1:34">
      <c r="A839" s="21"/>
      <c r="B839" s="21"/>
      <c r="C839" s="21"/>
      <c r="D839" s="21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</row>
    <row r="840" spans="1:34">
      <c r="A840" s="21"/>
      <c r="B840" s="21"/>
      <c r="C840" s="21"/>
      <c r="D840" s="21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</row>
    <row r="841" spans="1:34">
      <c r="A841" s="21"/>
      <c r="B841" s="21"/>
      <c r="C841" s="21"/>
      <c r="D841" s="21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</row>
    <row r="842" spans="1:34">
      <c r="A842" s="21"/>
      <c r="B842" s="21"/>
      <c r="C842" s="21"/>
      <c r="D842" s="21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</row>
    <row r="843" spans="1:34">
      <c r="A843" s="21"/>
      <c r="B843" s="21"/>
      <c r="C843" s="21"/>
      <c r="D843" s="21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</row>
    <row r="844" spans="1:34">
      <c r="A844" s="21"/>
      <c r="B844" s="21"/>
      <c r="C844" s="21"/>
      <c r="D844" s="21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</row>
    <row r="845" spans="1:34">
      <c r="A845" s="21"/>
      <c r="B845" s="21"/>
      <c r="C845" s="21"/>
      <c r="D845" s="21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</row>
    <row r="846" spans="1:34">
      <c r="A846" s="21"/>
      <c r="B846" s="21"/>
      <c r="C846" s="21"/>
      <c r="D846" s="21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</row>
    <row r="847" spans="1:34">
      <c r="A847" s="21"/>
      <c r="B847" s="21"/>
      <c r="C847" s="21"/>
      <c r="D847" s="21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</row>
    <row r="848" spans="1:34">
      <c r="A848" s="21"/>
      <c r="B848" s="21"/>
      <c r="C848" s="21"/>
      <c r="D848" s="21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</row>
    <row r="849" spans="1:34">
      <c r="A849" s="21"/>
      <c r="B849" s="21"/>
      <c r="C849" s="21"/>
      <c r="D849" s="21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</row>
    <row r="850" spans="1:34">
      <c r="A850" s="21"/>
      <c r="B850" s="21"/>
      <c r="C850" s="21"/>
      <c r="D850" s="21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</row>
    <row r="851" spans="1:34">
      <c r="A851" s="21"/>
      <c r="B851" s="21"/>
      <c r="C851" s="21"/>
      <c r="D851" s="21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</row>
    <row r="852" spans="1:34">
      <c r="A852" s="21"/>
      <c r="B852" s="21"/>
      <c r="C852" s="21"/>
      <c r="D852" s="21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</row>
    <row r="853" spans="1:34">
      <c r="A853" s="21"/>
      <c r="B853" s="21"/>
      <c r="C853" s="21"/>
      <c r="D853" s="21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</row>
    <row r="854" spans="1:34">
      <c r="A854" s="21"/>
      <c r="B854" s="21"/>
      <c r="C854" s="21"/>
      <c r="D854" s="21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</row>
    <row r="855" spans="1:34">
      <c r="A855" s="21"/>
      <c r="B855" s="21"/>
      <c r="C855" s="21"/>
      <c r="D855" s="21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</row>
    <row r="856" spans="1:34">
      <c r="A856" s="21"/>
      <c r="B856" s="21"/>
      <c r="C856" s="21"/>
      <c r="D856" s="21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</row>
    <row r="857" spans="1:34">
      <c r="A857" s="21"/>
      <c r="B857" s="21"/>
      <c r="C857" s="21"/>
      <c r="D857" s="21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</row>
    <row r="858" spans="1:34">
      <c r="A858" s="21"/>
      <c r="B858" s="21"/>
      <c r="C858" s="21"/>
      <c r="D858" s="21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</row>
    <row r="859" spans="1:34">
      <c r="A859" s="21"/>
      <c r="B859" s="21"/>
      <c r="C859" s="21"/>
      <c r="D859" s="21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</row>
    <row r="860" spans="1:34">
      <c r="A860" s="21"/>
      <c r="B860" s="21"/>
      <c r="C860" s="21"/>
      <c r="D860" s="21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</row>
    <row r="861" spans="1:34">
      <c r="A861" s="21"/>
      <c r="B861" s="21"/>
      <c r="C861" s="21"/>
      <c r="D861" s="21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</row>
    <row r="862" spans="1:34">
      <c r="A862" s="21"/>
      <c r="B862" s="21"/>
      <c r="C862" s="21"/>
      <c r="D862" s="21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</row>
    <row r="863" spans="1:34">
      <c r="A863" s="21"/>
      <c r="B863" s="21"/>
      <c r="C863" s="21"/>
      <c r="D863" s="21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</row>
    <row r="864" spans="1:34">
      <c r="A864" s="21"/>
      <c r="B864" s="21"/>
      <c r="C864" s="21"/>
      <c r="D864" s="21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</row>
    <row r="865" spans="1:34">
      <c r="A865" s="21"/>
      <c r="B865" s="21"/>
      <c r="C865" s="21"/>
      <c r="D865" s="21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</row>
    <row r="866" spans="1:34">
      <c r="A866" s="21"/>
      <c r="B866" s="21"/>
      <c r="C866" s="21"/>
      <c r="D866" s="21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</row>
    <row r="867" spans="1:34">
      <c r="A867" s="21"/>
      <c r="B867" s="21"/>
      <c r="C867" s="21"/>
      <c r="D867" s="21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</row>
    <row r="868" spans="1:34">
      <c r="A868" s="21"/>
      <c r="B868" s="21"/>
      <c r="C868" s="21"/>
      <c r="D868" s="21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</row>
    <row r="869" spans="1:34">
      <c r="A869" s="21"/>
      <c r="B869" s="21"/>
      <c r="C869" s="21"/>
      <c r="D869" s="21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</row>
    <row r="870" spans="1:34">
      <c r="A870" s="21"/>
      <c r="B870" s="21"/>
      <c r="C870" s="21"/>
      <c r="D870" s="21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</row>
    <row r="871" spans="1:34">
      <c r="A871" s="21"/>
      <c r="B871" s="21"/>
      <c r="C871" s="21"/>
      <c r="D871" s="21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</row>
    <row r="872" spans="1:34">
      <c r="A872" s="21"/>
      <c r="B872" s="21"/>
      <c r="C872" s="21"/>
      <c r="D872" s="21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</row>
    <row r="873" spans="1:34">
      <c r="A873" s="21"/>
      <c r="B873" s="21"/>
      <c r="C873" s="21"/>
      <c r="D873" s="21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</row>
    <row r="874" spans="1:34">
      <c r="A874" s="21"/>
      <c r="B874" s="21"/>
      <c r="C874" s="21"/>
      <c r="D874" s="21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</row>
    <row r="875" spans="1:34">
      <c r="A875" s="21"/>
      <c r="B875" s="21"/>
      <c r="C875" s="21"/>
      <c r="D875" s="21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</row>
    <row r="876" spans="1:34">
      <c r="A876" s="21"/>
      <c r="B876" s="21"/>
      <c r="C876" s="21"/>
      <c r="D876" s="21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</row>
    <row r="877" spans="1:34">
      <c r="A877" s="21"/>
      <c r="B877" s="21"/>
      <c r="C877" s="21"/>
      <c r="D877" s="21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</row>
    <row r="878" spans="1:34">
      <c r="A878" s="21"/>
      <c r="B878" s="21"/>
      <c r="C878" s="21"/>
      <c r="D878" s="21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</row>
    <row r="879" spans="1:34">
      <c r="A879" s="21"/>
      <c r="B879" s="21"/>
      <c r="C879" s="21"/>
      <c r="D879" s="21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</row>
    <row r="880" spans="1:34">
      <c r="A880" s="21"/>
      <c r="B880" s="21"/>
      <c r="C880" s="21"/>
      <c r="D880" s="21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</row>
    <row r="881" spans="1:34">
      <c r="A881" s="21"/>
      <c r="B881" s="21"/>
      <c r="C881" s="21"/>
      <c r="D881" s="21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</row>
    <row r="882" spans="1:34">
      <c r="A882" s="21"/>
      <c r="B882" s="21"/>
      <c r="C882" s="21"/>
      <c r="D882" s="21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</row>
    <row r="883" spans="1:34">
      <c r="A883" s="21"/>
      <c r="B883" s="21"/>
      <c r="C883" s="21"/>
      <c r="D883" s="21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</row>
    <row r="884" spans="1:34">
      <c r="A884" s="21"/>
      <c r="B884" s="21"/>
      <c r="C884" s="21"/>
      <c r="D884" s="21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</row>
    <row r="885" spans="1:34">
      <c r="A885" s="21"/>
      <c r="B885" s="21"/>
      <c r="C885" s="21"/>
      <c r="D885" s="21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</row>
    <row r="886" spans="1:34">
      <c r="A886" s="21"/>
      <c r="B886" s="21"/>
      <c r="C886" s="21"/>
      <c r="D886" s="21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</row>
    <row r="887" spans="1:34">
      <c r="A887" s="21"/>
      <c r="B887" s="21"/>
      <c r="C887" s="21"/>
      <c r="D887" s="21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</row>
    <row r="888" spans="1:34">
      <c r="A888" s="21"/>
      <c r="B888" s="21"/>
      <c r="C888" s="21"/>
      <c r="D888" s="21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</row>
    <row r="889" spans="1:34">
      <c r="A889" s="21"/>
      <c r="B889" s="21"/>
      <c r="C889" s="21"/>
      <c r="D889" s="21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</row>
    <row r="890" spans="1:34">
      <c r="A890" s="21"/>
      <c r="B890" s="21"/>
      <c r="C890" s="21"/>
      <c r="D890" s="21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</row>
    <row r="891" spans="1:34">
      <c r="A891" s="21"/>
      <c r="B891" s="21"/>
      <c r="C891" s="21"/>
      <c r="D891" s="21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</row>
    <row r="892" spans="1:34">
      <c r="A892" s="21"/>
      <c r="B892" s="21"/>
      <c r="C892" s="21"/>
      <c r="D892" s="21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</row>
    <row r="893" spans="1:34">
      <c r="A893" s="21"/>
      <c r="B893" s="21"/>
      <c r="C893" s="21"/>
      <c r="D893" s="21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</row>
    <row r="894" spans="1:34">
      <c r="A894" s="21"/>
      <c r="B894" s="21"/>
      <c r="C894" s="21"/>
      <c r="D894" s="21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</row>
    <row r="895" spans="1:34">
      <c r="A895" s="21"/>
      <c r="B895" s="21"/>
      <c r="C895" s="21"/>
      <c r="D895" s="21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</row>
    <row r="896" spans="1:34">
      <c r="A896" s="21"/>
      <c r="B896" s="21"/>
      <c r="C896" s="21"/>
      <c r="D896" s="21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</row>
  </sheetData>
  <phoneticPr fontId="1" type="noConversion"/>
  <pageMargins left="0.75" right="0.75" top="0.5" bottom="0.5" header="0" footer="0.3"/>
  <pageSetup scale="75" firstPageNumber="6" fitToWidth="2" fitToHeight="12" pageOrder="overThenDown" orientation="portrait" useFirstPageNumber="1" horizontalDpi="300" verticalDpi="300" r:id="rId1"/>
  <headerFooter alignWithMargins="0">
    <oddFooter>&amp;C&amp;P</oddFooter>
  </headerFooter>
  <rowBreaks count="3" manualBreakCount="3">
    <brk id="208" max="34" man="1"/>
    <brk id="403" max="34" man="1"/>
    <brk id="597" max="34" man="1"/>
  </rowBreaks>
  <colBreaks count="1" manualBreakCount="1">
    <brk id="16" max="6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O916"/>
  <sheetViews>
    <sheetView zoomScaleNormal="100" zoomScaleSheetLayoutView="110" workbookViewId="0">
      <pane xSplit="4" ySplit="7" topLeftCell="X192" activePane="bottomRight" state="frozen"/>
      <selection pane="topRight" activeCell="E1" sqref="E1"/>
      <selection pane="bottomLeft" activeCell="A8" sqref="A8"/>
      <selection pane="bottomRight" activeCell="AJ198" sqref="AJ198"/>
    </sheetView>
  </sheetViews>
  <sheetFormatPr defaultColWidth="9.33203125" defaultRowHeight="12"/>
  <cols>
    <col min="1" max="1" width="20.83203125" style="1" customWidth="1"/>
    <col min="2" max="2" width="1.83203125" style="1" customWidth="1"/>
    <col min="3" max="3" width="14.33203125" style="1" customWidth="1"/>
    <col min="4" max="4" width="1.83203125" style="1" customWidth="1"/>
    <col min="5" max="5" width="10.83203125" style="10" customWidth="1"/>
    <col min="6" max="6" width="1.83203125" style="10" customWidth="1"/>
    <col min="7" max="7" width="12.6640625" style="10" bestFit="1" customWidth="1"/>
    <col min="8" max="8" width="1.83203125" style="10" customWidth="1"/>
    <col min="9" max="9" width="11.83203125" style="10" customWidth="1"/>
    <col min="10" max="10" width="1.83203125" style="10" customWidth="1"/>
    <col min="11" max="11" width="13.1640625" style="10" bestFit="1" customWidth="1"/>
    <col min="12" max="12" width="1.83203125" style="10" customWidth="1"/>
    <col min="13" max="13" width="11.83203125" style="10" customWidth="1"/>
    <col min="14" max="14" width="1.83203125" style="10" customWidth="1"/>
    <col min="15" max="15" width="11.83203125" style="10" customWidth="1"/>
    <col min="16" max="16" width="1.83203125" style="10" customWidth="1"/>
    <col min="17" max="17" width="13" style="10" bestFit="1" customWidth="1"/>
    <col min="18" max="18" width="1.83203125" style="10" customWidth="1"/>
    <col min="19" max="19" width="11.83203125" style="10" customWidth="1"/>
    <col min="20" max="20" width="1.83203125" style="10" customWidth="1"/>
    <col min="21" max="21" width="11.83203125" style="10" customWidth="1"/>
    <col min="22" max="22" width="1.83203125" style="10" customWidth="1"/>
    <col min="23" max="23" width="11.83203125" style="10" customWidth="1"/>
    <col min="24" max="24" width="1.83203125" style="10" customWidth="1"/>
    <col min="25" max="25" width="15.33203125" style="10" customWidth="1"/>
    <col min="26" max="26" width="1.83203125" style="10" customWidth="1"/>
    <col min="27" max="27" width="14.33203125" style="10" customWidth="1"/>
    <col min="28" max="28" width="1.83203125" style="10" customWidth="1"/>
    <col min="29" max="29" width="11.83203125" style="10" customWidth="1"/>
    <col min="30" max="30" width="1.83203125" style="10" customWidth="1"/>
    <col min="31" max="31" width="14.5" style="1" customWidth="1"/>
    <col min="32" max="32" width="1.83203125" style="1" customWidth="1"/>
    <col min="33" max="33" width="10.5" style="10" customWidth="1"/>
    <col min="34" max="34" width="1.83203125" style="10" customWidth="1"/>
    <col min="35" max="35" width="11" style="10" bestFit="1" customWidth="1"/>
    <col min="36" max="36" width="1.83203125" style="10" customWidth="1"/>
    <col min="37" max="37" width="10.83203125" style="10" bestFit="1" customWidth="1"/>
    <col min="38" max="38" width="1.83203125" style="10" customWidth="1"/>
    <col min="39" max="39" width="13.1640625" style="10" bestFit="1" customWidth="1"/>
    <col min="40" max="40" width="9.33203125" style="10"/>
    <col min="41" max="41" width="10.5" style="1" bestFit="1" customWidth="1"/>
    <col min="42" max="16384" width="9.33203125" style="1"/>
  </cols>
  <sheetData>
    <row r="1" spans="1:40">
      <c r="A1" s="2" t="s">
        <v>620</v>
      </c>
      <c r="B1" s="2"/>
      <c r="C1" s="2"/>
      <c r="D1" s="2"/>
      <c r="AG1" s="10" t="s">
        <v>895</v>
      </c>
    </row>
    <row r="2" spans="1:40">
      <c r="A2" s="2" t="s">
        <v>868</v>
      </c>
      <c r="B2" s="2"/>
      <c r="C2" s="2"/>
      <c r="D2" s="2"/>
      <c r="AG2" s="10" t="s">
        <v>896</v>
      </c>
    </row>
    <row r="3" spans="1:40">
      <c r="A3" s="2" t="s">
        <v>878</v>
      </c>
      <c r="B3" s="2"/>
      <c r="C3" s="2"/>
      <c r="D3" s="2"/>
      <c r="AG3" s="10" t="s">
        <v>897</v>
      </c>
    </row>
    <row r="4" spans="1:40">
      <c r="A4" s="1" t="s">
        <v>869</v>
      </c>
    </row>
    <row r="5" spans="1:40" s="9" customFormat="1" ht="12.6" customHeight="1">
      <c r="A5" s="2"/>
      <c r="B5" s="2"/>
      <c r="C5" s="2"/>
      <c r="D5" s="2"/>
      <c r="E5" s="12" t="s">
        <v>644</v>
      </c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 t="s">
        <v>660</v>
      </c>
      <c r="X5" s="12"/>
      <c r="Y5" s="11"/>
      <c r="Z5" s="11"/>
      <c r="AA5" s="11"/>
      <c r="AB5" s="11"/>
      <c r="AC5" s="16" t="s">
        <v>641</v>
      </c>
      <c r="AD5" s="16"/>
      <c r="AE5" s="8"/>
      <c r="AF5" s="8"/>
      <c r="AG5" s="52" t="s">
        <v>888</v>
      </c>
      <c r="AH5" s="52"/>
      <c r="AI5" s="52" t="s">
        <v>890</v>
      </c>
      <c r="AJ5" s="52"/>
      <c r="AK5" s="52" t="s">
        <v>893</v>
      </c>
      <c r="AL5" s="52"/>
      <c r="AM5" s="52"/>
      <c r="AN5" s="58"/>
    </row>
    <row r="6" spans="1:40" s="9" customFormat="1" ht="12.6" customHeight="1">
      <c r="A6" s="2"/>
      <c r="B6" s="2"/>
      <c r="C6" s="2"/>
      <c r="D6" s="2"/>
      <c r="E6" s="12" t="s">
        <v>645</v>
      </c>
      <c r="F6" s="12"/>
      <c r="G6" s="12" t="s">
        <v>647</v>
      </c>
      <c r="H6" s="12"/>
      <c r="I6" s="12" t="s">
        <v>649</v>
      </c>
      <c r="J6" s="12"/>
      <c r="K6" s="12" t="s">
        <v>651</v>
      </c>
      <c r="L6" s="12"/>
      <c r="M6" s="12" t="s">
        <v>653</v>
      </c>
      <c r="N6" s="12"/>
      <c r="O6" s="11"/>
      <c r="P6" s="11"/>
      <c r="Q6" s="12" t="s">
        <v>654</v>
      </c>
      <c r="R6" s="12"/>
      <c r="S6" s="12" t="s">
        <v>656</v>
      </c>
      <c r="T6" s="12"/>
      <c r="U6" s="12" t="s">
        <v>658</v>
      </c>
      <c r="V6" s="12"/>
      <c r="W6" s="12" t="s">
        <v>661</v>
      </c>
      <c r="X6" s="12"/>
      <c r="Y6" s="14"/>
      <c r="Z6" s="14"/>
      <c r="AA6" s="11"/>
      <c r="AB6" s="11"/>
      <c r="AC6" s="16" t="s">
        <v>642</v>
      </c>
      <c r="AD6" s="16"/>
      <c r="AE6" s="8"/>
      <c r="AF6" s="8"/>
      <c r="AG6" s="52" t="s">
        <v>842</v>
      </c>
      <c r="AH6" s="52"/>
      <c r="AI6" s="52" t="s">
        <v>891</v>
      </c>
      <c r="AJ6" s="52"/>
      <c r="AK6" s="52" t="s">
        <v>894</v>
      </c>
      <c r="AL6" s="52"/>
      <c r="AM6" s="52"/>
      <c r="AN6" s="58"/>
    </row>
    <row r="7" spans="1:40" s="6" customFormat="1" ht="12" customHeight="1">
      <c r="A7" s="5" t="s">
        <v>739</v>
      </c>
      <c r="C7" s="5" t="s">
        <v>740</v>
      </c>
      <c r="E7" s="13" t="s">
        <v>646</v>
      </c>
      <c r="F7" s="14"/>
      <c r="G7" s="13" t="s">
        <v>648</v>
      </c>
      <c r="H7" s="14"/>
      <c r="I7" s="13" t="s">
        <v>650</v>
      </c>
      <c r="J7" s="14"/>
      <c r="K7" s="13" t="s">
        <v>875</v>
      </c>
      <c r="L7" s="14"/>
      <c r="M7" s="13" t="s">
        <v>632</v>
      </c>
      <c r="N7" s="14"/>
      <c r="O7" s="20" t="s">
        <v>617</v>
      </c>
      <c r="P7" s="52"/>
      <c r="Q7" s="13" t="s">
        <v>874</v>
      </c>
      <c r="R7" s="14"/>
      <c r="S7" s="13" t="s">
        <v>657</v>
      </c>
      <c r="T7" s="14"/>
      <c r="U7" s="13" t="s">
        <v>659</v>
      </c>
      <c r="V7" s="14"/>
      <c r="W7" s="13" t="s">
        <v>662</v>
      </c>
      <c r="X7" s="14"/>
      <c r="Y7" s="13" t="s">
        <v>619</v>
      </c>
      <c r="Z7" s="14"/>
      <c r="AA7" s="13" t="s">
        <v>663</v>
      </c>
      <c r="AB7" s="14"/>
      <c r="AC7" s="18" t="s">
        <v>664</v>
      </c>
      <c r="AD7" s="26"/>
      <c r="AE7" s="5" t="s">
        <v>832</v>
      </c>
      <c r="AG7" s="13"/>
      <c r="AH7" s="14"/>
      <c r="AI7" s="13" t="s">
        <v>892</v>
      </c>
      <c r="AJ7" s="14"/>
      <c r="AK7" s="13" t="s">
        <v>887</v>
      </c>
      <c r="AL7" s="14"/>
      <c r="AM7" s="13" t="s">
        <v>886</v>
      </c>
      <c r="AN7" s="14"/>
    </row>
    <row r="8" spans="1:40" s="21" customFormat="1" ht="12.6" hidden="1" customHeight="1">
      <c r="A8" s="1" t="s">
        <v>282</v>
      </c>
      <c r="B8" s="1"/>
      <c r="C8" s="1" t="s">
        <v>283</v>
      </c>
      <c r="D8" s="1"/>
      <c r="E8" s="40">
        <v>0</v>
      </c>
      <c r="F8" s="40"/>
      <c r="G8" s="40">
        <v>0</v>
      </c>
      <c r="H8" s="40"/>
      <c r="I8" s="40">
        <v>0</v>
      </c>
      <c r="J8" s="40"/>
      <c r="K8" s="40">
        <v>0</v>
      </c>
      <c r="L8" s="40"/>
      <c r="M8" s="40">
        <v>0</v>
      </c>
      <c r="N8" s="40"/>
      <c r="O8" s="40">
        <v>0</v>
      </c>
      <c r="P8" s="40"/>
      <c r="Q8" s="40">
        <v>0</v>
      </c>
      <c r="R8" s="40"/>
      <c r="S8" s="40">
        <v>0</v>
      </c>
      <c r="T8" s="40"/>
      <c r="U8" s="40">
        <v>0</v>
      </c>
      <c r="V8" s="40"/>
      <c r="W8" s="40">
        <v>0</v>
      </c>
      <c r="X8" s="40"/>
      <c r="Y8" s="40">
        <v>0</v>
      </c>
      <c r="Z8" s="40"/>
      <c r="AA8" s="40">
        <v>0</v>
      </c>
      <c r="AB8" s="40"/>
      <c r="AC8" s="40">
        <v>0</v>
      </c>
      <c r="AD8" s="40"/>
      <c r="AE8" s="40">
        <f t="shared" ref="AE8:AE53" si="0">SUM(E8:AC8)</f>
        <v>0</v>
      </c>
      <c r="AF8" s="40"/>
      <c r="AG8" s="46"/>
      <c r="AH8" s="46"/>
      <c r="AI8" s="46"/>
      <c r="AJ8" s="46"/>
      <c r="AK8" s="46"/>
      <c r="AL8" s="46"/>
      <c r="AM8" s="46"/>
      <c r="AN8" s="46"/>
    </row>
    <row r="9" spans="1:40" s="40" customFormat="1">
      <c r="A9" s="40" t="s">
        <v>395</v>
      </c>
      <c r="C9" s="40" t="s">
        <v>396</v>
      </c>
      <c r="E9" s="40">
        <v>35007</v>
      </c>
      <c r="G9" s="40">
        <v>21368</v>
      </c>
      <c r="I9" s="40">
        <v>0</v>
      </c>
      <c r="K9" s="40">
        <v>3070</v>
      </c>
      <c r="M9" s="40">
        <v>0</v>
      </c>
      <c r="O9" s="40">
        <v>0</v>
      </c>
      <c r="Q9" s="40">
        <v>224474</v>
      </c>
      <c r="S9" s="40">
        <v>839</v>
      </c>
      <c r="U9" s="40">
        <v>45619</v>
      </c>
      <c r="W9" s="40">
        <v>0</v>
      </c>
      <c r="Y9" s="40">
        <v>0</v>
      </c>
      <c r="AA9" s="40">
        <v>0</v>
      </c>
      <c r="AC9" s="40">
        <v>117083</v>
      </c>
      <c r="AE9" s="40">
        <f t="shared" si="0"/>
        <v>447460</v>
      </c>
      <c r="AG9" s="40">
        <v>-1683</v>
      </c>
      <c r="AI9" s="40">
        <v>523217</v>
      </c>
      <c r="AK9" s="40">
        <v>521534</v>
      </c>
      <c r="AM9" s="40">
        <f>+'Gen Rev'!AI9-'Gen Exp'!AE9+'Gen Exp'!AI9-AK9</f>
        <v>0</v>
      </c>
    </row>
    <row r="10" spans="1:40" s="31" customFormat="1">
      <c r="A10" s="15" t="s">
        <v>487</v>
      </c>
      <c r="B10" s="15"/>
      <c r="C10" s="15" t="s">
        <v>488</v>
      </c>
      <c r="D10" s="15"/>
      <c r="E10" s="24">
        <v>800</v>
      </c>
      <c r="F10" s="24"/>
      <c r="G10" s="24">
        <v>0</v>
      </c>
      <c r="H10" s="24"/>
      <c r="I10" s="24">
        <v>196</v>
      </c>
      <c r="J10" s="24"/>
      <c r="K10" s="24">
        <v>859</v>
      </c>
      <c r="L10" s="24"/>
      <c r="M10" s="24">
        <v>209</v>
      </c>
      <c r="N10" s="24"/>
      <c r="O10" s="24">
        <v>3000</v>
      </c>
      <c r="P10" s="24"/>
      <c r="Q10" s="24">
        <f>7801-538-714</f>
        <v>6549</v>
      </c>
      <c r="R10" s="24"/>
      <c r="S10" s="24">
        <v>0</v>
      </c>
      <c r="T10" s="24"/>
      <c r="U10" s="24">
        <v>0</v>
      </c>
      <c r="V10" s="24"/>
      <c r="W10" s="24">
        <v>0</v>
      </c>
      <c r="X10" s="24"/>
      <c r="Y10" s="24">
        <v>0</v>
      </c>
      <c r="Z10" s="24"/>
      <c r="AA10" s="24">
        <v>0</v>
      </c>
      <c r="AB10" s="24"/>
      <c r="AC10" s="24">
        <v>0</v>
      </c>
      <c r="AD10" s="24"/>
      <c r="AE10" s="24">
        <f>SUM(E10:AC10)</f>
        <v>11613</v>
      </c>
      <c r="AF10" s="24"/>
      <c r="AG10" s="24">
        <v>1359</v>
      </c>
      <c r="AH10" s="24"/>
      <c r="AI10" s="24">
        <v>6858</v>
      </c>
      <c r="AJ10" s="24"/>
      <c r="AK10" s="24">
        <v>8217</v>
      </c>
      <c r="AL10" s="24"/>
      <c r="AM10" s="24">
        <f>+'Gen Rev'!AI10-'Gen Exp'!AE10+'Gen Exp'!AI10-AK10</f>
        <v>0</v>
      </c>
      <c r="AN10" s="24"/>
    </row>
    <row r="11" spans="1:40" s="21" customFormat="1" ht="12.75">
      <c r="A11" s="1" t="s">
        <v>898</v>
      </c>
      <c r="B11" s="1"/>
      <c r="C11" s="23" t="s">
        <v>420</v>
      </c>
      <c r="D11" s="23"/>
      <c r="E11" s="10">
        <v>12159</v>
      </c>
      <c r="F11" s="10"/>
      <c r="G11" s="10">
        <v>771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65895</v>
      </c>
      <c r="R11" s="10"/>
      <c r="S11" s="10">
        <v>0</v>
      </c>
      <c r="T11" s="10"/>
      <c r="U11" s="10">
        <v>0</v>
      </c>
      <c r="V11" s="10"/>
      <c r="W11" s="10">
        <v>0</v>
      </c>
      <c r="X11" s="10"/>
      <c r="Y11" s="10">
        <v>12050</v>
      </c>
      <c r="Z11" s="10"/>
      <c r="AA11" s="10">
        <v>0</v>
      </c>
      <c r="AB11" s="10"/>
      <c r="AC11" s="10">
        <v>0</v>
      </c>
      <c r="AD11" s="10"/>
      <c r="AE11" s="10">
        <f>SUM(E11:AC11)</f>
        <v>90875</v>
      </c>
      <c r="AF11" s="10"/>
      <c r="AG11" s="10">
        <v>17627</v>
      </c>
      <c r="AH11" s="10"/>
      <c r="AI11" s="10">
        <v>24856</v>
      </c>
      <c r="AJ11" s="10"/>
      <c r="AK11" s="10">
        <v>42483</v>
      </c>
      <c r="AL11" s="10"/>
      <c r="AM11" s="10">
        <f>+'Gen Rev'!AI11-'Gen Exp'!AE11+'Gen Exp'!AI11-AK11</f>
        <v>0</v>
      </c>
      <c r="AN11" s="10"/>
    </row>
    <row r="12" spans="1:40" s="21" customFormat="1" ht="12.75" hidden="1">
      <c r="A12" s="1" t="s">
        <v>91</v>
      </c>
      <c r="B12" s="1"/>
      <c r="C12" s="23" t="s">
        <v>778</v>
      </c>
      <c r="D12" s="23"/>
      <c r="E12" s="10">
        <v>0</v>
      </c>
      <c r="F12" s="10"/>
      <c r="G12" s="10">
        <v>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0</v>
      </c>
      <c r="R12" s="10"/>
      <c r="S12" s="10">
        <v>0</v>
      </c>
      <c r="T12" s="10"/>
      <c r="U12" s="10">
        <v>0</v>
      </c>
      <c r="V12" s="10"/>
      <c r="W12" s="10">
        <v>0</v>
      </c>
      <c r="X12" s="10"/>
      <c r="Y12" s="10">
        <v>0</v>
      </c>
      <c r="Z12" s="10"/>
      <c r="AA12" s="10">
        <v>0</v>
      </c>
      <c r="AB12" s="10"/>
      <c r="AC12" s="10">
        <v>0</v>
      </c>
      <c r="AD12" s="10"/>
      <c r="AE12" s="10">
        <f t="shared" si="0"/>
        <v>0</v>
      </c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2.75" hidden="1">
      <c r="A13" s="1" t="s">
        <v>210</v>
      </c>
      <c r="C13" s="23" t="s">
        <v>815</v>
      </c>
      <c r="D13" s="23"/>
      <c r="E13" s="10">
        <v>0</v>
      </c>
      <c r="G13" s="10">
        <v>0</v>
      </c>
      <c r="I13" s="10">
        <v>0</v>
      </c>
      <c r="K13" s="10">
        <v>0</v>
      </c>
      <c r="M13" s="10">
        <v>0</v>
      </c>
      <c r="O13" s="10">
        <v>0</v>
      </c>
      <c r="Q13" s="10">
        <v>0</v>
      </c>
      <c r="S13" s="10">
        <v>0</v>
      </c>
      <c r="U13" s="10">
        <v>0</v>
      </c>
      <c r="W13" s="10">
        <v>0</v>
      </c>
      <c r="Y13" s="10">
        <v>0</v>
      </c>
      <c r="AA13" s="10">
        <v>0</v>
      </c>
      <c r="AC13" s="10">
        <v>0</v>
      </c>
      <c r="AE13" s="10">
        <f t="shared" si="0"/>
        <v>0</v>
      </c>
      <c r="AF13" s="10"/>
    </row>
    <row r="14" spans="1:40" s="21" customFormat="1" ht="12.6" hidden="1" customHeight="1">
      <c r="A14" s="1" t="s">
        <v>270</v>
      </c>
      <c r="B14" s="1"/>
      <c r="C14" s="1" t="s">
        <v>271</v>
      </c>
      <c r="D14" s="1"/>
      <c r="E14" s="10">
        <v>0</v>
      </c>
      <c r="F14" s="10"/>
      <c r="G14" s="10">
        <v>0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0</v>
      </c>
      <c r="R14" s="10"/>
      <c r="S14" s="10">
        <v>0</v>
      </c>
      <c r="T14" s="10"/>
      <c r="U14" s="10">
        <v>0</v>
      </c>
      <c r="V14" s="10"/>
      <c r="W14" s="10">
        <v>0</v>
      </c>
      <c r="X14" s="10"/>
      <c r="Y14" s="10">
        <v>0</v>
      </c>
      <c r="Z14" s="10"/>
      <c r="AA14" s="10">
        <v>0</v>
      </c>
      <c r="AB14" s="10"/>
      <c r="AC14" s="10">
        <v>0</v>
      </c>
      <c r="AD14" s="10"/>
      <c r="AE14" s="10">
        <f t="shared" si="0"/>
        <v>0</v>
      </c>
      <c r="AF14" s="10"/>
      <c r="AG14" s="46"/>
      <c r="AH14" s="46"/>
      <c r="AI14" s="46"/>
      <c r="AJ14" s="46"/>
      <c r="AK14" s="46"/>
      <c r="AL14" s="46"/>
      <c r="AM14" s="46"/>
      <c r="AN14" s="46"/>
    </row>
    <row r="15" spans="1:40" ht="12.75" hidden="1">
      <c r="A15" s="1" t="s">
        <v>129</v>
      </c>
      <c r="C15" s="23" t="s">
        <v>790</v>
      </c>
      <c r="D15" s="23"/>
      <c r="E15" s="10">
        <v>0</v>
      </c>
      <c r="G15" s="10">
        <v>0</v>
      </c>
      <c r="I15" s="10">
        <v>0</v>
      </c>
      <c r="K15" s="10">
        <v>0</v>
      </c>
      <c r="M15" s="10">
        <v>0</v>
      </c>
      <c r="O15" s="10">
        <v>0</v>
      </c>
      <c r="Q15" s="10">
        <v>0</v>
      </c>
      <c r="S15" s="10">
        <v>0</v>
      </c>
      <c r="U15" s="10">
        <v>0</v>
      </c>
      <c r="W15" s="10">
        <v>0</v>
      </c>
      <c r="Y15" s="10">
        <v>0</v>
      </c>
      <c r="AA15" s="10">
        <v>0</v>
      </c>
      <c r="AC15" s="10">
        <v>0</v>
      </c>
      <c r="AE15" s="10">
        <f t="shared" si="0"/>
        <v>0</v>
      </c>
      <c r="AF15" s="10"/>
    </row>
    <row r="16" spans="1:40" s="21" customFormat="1" hidden="1">
      <c r="A16" s="1" t="s">
        <v>715</v>
      </c>
      <c r="B16" s="1"/>
      <c r="C16" s="1" t="s">
        <v>396</v>
      </c>
      <c r="D16" s="1"/>
      <c r="E16" s="10">
        <v>0</v>
      </c>
      <c r="F16" s="10"/>
      <c r="G16" s="10">
        <v>0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0</v>
      </c>
      <c r="R16" s="10"/>
      <c r="S16" s="10">
        <v>0</v>
      </c>
      <c r="T16" s="10"/>
      <c r="U16" s="10">
        <v>0</v>
      </c>
      <c r="V16" s="10"/>
      <c r="W16" s="10">
        <v>0</v>
      </c>
      <c r="X16" s="10"/>
      <c r="Y16" s="10">
        <v>0</v>
      </c>
      <c r="Z16" s="10"/>
      <c r="AA16" s="10">
        <v>0</v>
      </c>
      <c r="AB16" s="10"/>
      <c r="AC16" s="10">
        <v>0</v>
      </c>
      <c r="AD16" s="10"/>
      <c r="AE16" s="10">
        <f t="shared" si="0"/>
        <v>0</v>
      </c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ht="12.75" hidden="1">
      <c r="A17" s="1" t="s">
        <v>251</v>
      </c>
      <c r="C17" s="23" t="s">
        <v>829</v>
      </c>
      <c r="D17" s="23"/>
      <c r="E17" s="10">
        <v>0</v>
      </c>
      <c r="G17" s="10">
        <v>0</v>
      </c>
      <c r="I17" s="10">
        <v>0</v>
      </c>
      <c r="K17" s="10">
        <v>0</v>
      </c>
      <c r="M17" s="10">
        <v>0</v>
      </c>
      <c r="O17" s="10">
        <v>0</v>
      </c>
      <c r="Q17" s="10">
        <v>0</v>
      </c>
      <c r="S17" s="10">
        <v>0</v>
      </c>
      <c r="U17" s="10">
        <v>0</v>
      </c>
      <c r="W17" s="10">
        <v>0</v>
      </c>
      <c r="Y17" s="10">
        <v>0</v>
      </c>
      <c r="AA17" s="10">
        <v>0</v>
      </c>
      <c r="AC17" s="10">
        <v>0</v>
      </c>
      <c r="AE17" s="10">
        <f t="shared" si="0"/>
        <v>0</v>
      </c>
      <c r="AF17" s="10"/>
    </row>
    <row r="18" spans="1:40" s="21" customFormat="1" ht="12.6" hidden="1" customHeight="1">
      <c r="A18" s="1" t="s">
        <v>671</v>
      </c>
      <c r="B18" s="1"/>
      <c r="C18" s="1" t="s">
        <v>350</v>
      </c>
      <c r="D18" s="1"/>
      <c r="E18" s="10">
        <v>0</v>
      </c>
      <c r="F18" s="10"/>
      <c r="G18" s="10">
        <v>0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0</v>
      </c>
      <c r="R18" s="10"/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Z18" s="10"/>
      <c r="AA18" s="10">
        <v>0</v>
      </c>
      <c r="AB18" s="10"/>
      <c r="AC18" s="10">
        <v>0</v>
      </c>
      <c r="AD18" s="10"/>
      <c r="AE18" s="10">
        <f t="shared" si="0"/>
        <v>0</v>
      </c>
      <c r="AF18" s="10"/>
      <c r="AG18" s="46"/>
      <c r="AH18" s="46"/>
      <c r="AI18" s="46"/>
      <c r="AJ18" s="46"/>
      <c r="AK18" s="46"/>
      <c r="AL18" s="46"/>
      <c r="AM18" s="46"/>
      <c r="AN18" s="46"/>
    </row>
    <row r="19" spans="1:40" ht="12.75" hidden="1">
      <c r="A19" s="1" t="s">
        <v>671</v>
      </c>
      <c r="C19" s="23" t="s">
        <v>771</v>
      </c>
      <c r="D19" s="23"/>
      <c r="E19" s="10">
        <v>0</v>
      </c>
      <c r="G19" s="10">
        <v>0</v>
      </c>
      <c r="I19" s="10">
        <v>0</v>
      </c>
      <c r="K19" s="10">
        <v>0</v>
      </c>
      <c r="M19" s="10">
        <v>0</v>
      </c>
      <c r="O19" s="10">
        <v>0</v>
      </c>
      <c r="Q19" s="10">
        <v>0</v>
      </c>
      <c r="S19" s="10">
        <v>0</v>
      </c>
      <c r="U19" s="10">
        <v>0</v>
      </c>
      <c r="W19" s="10">
        <v>0</v>
      </c>
      <c r="Y19" s="10">
        <v>0</v>
      </c>
      <c r="AA19" s="10">
        <v>0</v>
      </c>
      <c r="AC19" s="10">
        <v>0</v>
      </c>
      <c r="AE19" s="10">
        <f t="shared" si="0"/>
        <v>0</v>
      </c>
      <c r="AF19" s="10"/>
      <c r="AG19" s="46"/>
      <c r="AH19" s="46"/>
      <c r="AI19" s="46"/>
      <c r="AJ19" s="46"/>
      <c r="AK19" s="46"/>
      <c r="AL19" s="46"/>
      <c r="AM19" s="46"/>
      <c r="AN19" s="46"/>
    </row>
    <row r="20" spans="1:40" s="21" customFormat="1">
      <c r="A20" s="1" t="s">
        <v>377</v>
      </c>
      <c r="B20" s="1"/>
      <c r="C20" s="1" t="s">
        <v>378</v>
      </c>
      <c r="D20" s="1"/>
      <c r="E20" s="10">
        <v>2944338</v>
      </c>
      <c r="F20" s="10"/>
      <c r="G20" s="10">
        <v>109828</v>
      </c>
      <c r="H20" s="10"/>
      <c r="I20" s="10">
        <v>5606</v>
      </c>
      <c r="J20" s="10"/>
      <c r="K20" s="10">
        <v>63898</v>
      </c>
      <c r="L20" s="10"/>
      <c r="M20" s="10">
        <v>185026</v>
      </c>
      <c r="N20" s="10"/>
      <c r="O20" s="10">
        <v>945101</v>
      </c>
      <c r="P20" s="10"/>
      <c r="Q20" s="10">
        <v>1214948</v>
      </c>
      <c r="R20" s="10"/>
      <c r="S20" s="10">
        <v>26771</v>
      </c>
      <c r="T20" s="10"/>
      <c r="U20" s="10">
        <v>0</v>
      </c>
      <c r="V20" s="10"/>
      <c r="W20" s="10">
        <v>0</v>
      </c>
      <c r="X20" s="10"/>
      <c r="Y20" s="10">
        <v>946000</v>
      </c>
      <c r="Z20" s="10"/>
      <c r="AA20" s="10">
        <v>0</v>
      </c>
      <c r="AB20" s="10"/>
      <c r="AC20" s="10">
        <v>0</v>
      </c>
      <c r="AD20" s="10"/>
      <c r="AE20" s="10">
        <f t="shared" si="0"/>
        <v>6441516</v>
      </c>
      <c r="AF20" s="10"/>
      <c r="AG20" s="10">
        <v>-1822059</v>
      </c>
      <c r="AH20" s="10"/>
      <c r="AI20" s="10">
        <v>7021535</v>
      </c>
      <c r="AJ20" s="10"/>
      <c r="AK20" s="10">
        <v>5199476</v>
      </c>
      <c r="AL20" s="10"/>
      <c r="AM20" s="10">
        <f>+'Gen Rev'!AI20-'Gen Exp'!AE20+'Gen Exp'!AI20-AK20</f>
        <v>0</v>
      </c>
      <c r="AN20" s="10"/>
    </row>
    <row r="21" spans="1:40" s="21" customFormat="1" ht="12.75" hidden="1">
      <c r="A21" s="1" t="s">
        <v>36</v>
      </c>
      <c r="B21" s="1"/>
      <c r="C21" s="23" t="s">
        <v>761</v>
      </c>
      <c r="D21" s="23"/>
      <c r="E21" s="10">
        <v>0</v>
      </c>
      <c r="F21" s="10"/>
      <c r="G21" s="10">
        <v>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0</v>
      </c>
      <c r="R21" s="10"/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Z21" s="10"/>
      <c r="AA21" s="10">
        <v>0</v>
      </c>
      <c r="AB21" s="10"/>
      <c r="AC21" s="10">
        <v>0</v>
      </c>
      <c r="AD21" s="10"/>
      <c r="AE21" s="10">
        <f t="shared" si="0"/>
        <v>0</v>
      </c>
      <c r="AF21" s="10"/>
      <c r="AG21" s="46"/>
      <c r="AH21" s="46"/>
      <c r="AI21" s="46"/>
      <c r="AJ21" s="46"/>
      <c r="AK21" s="46"/>
      <c r="AL21" s="46"/>
      <c r="AM21" s="46"/>
      <c r="AN21" s="46"/>
    </row>
    <row r="22" spans="1:40" s="21" customFormat="1" ht="12.75" hidden="1">
      <c r="A22" s="1" t="s">
        <v>9</v>
      </c>
      <c r="B22" s="1"/>
      <c r="C22" s="23" t="s">
        <v>753</v>
      </c>
      <c r="D22" s="23"/>
      <c r="E22" s="10">
        <v>0</v>
      </c>
      <c r="F22" s="10"/>
      <c r="G22" s="10">
        <v>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0</v>
      </c>
      <c r="R22" s="10"/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Z22" s="10"/>
      <c r="AA22" s="10">
        <v>0</v>
      </c>
      <c r="AB22" s="10"/>
      <c r="AC22" s="10">
        <v>0</v>
      </c>
      <c r="AD22" s="10"/>
      <c r="AE22" s="10">
        <f t="shared" si="0"/>
        <v>0</v>
      </c>
      <c r="AF22" s="10"/>
      <c r="AG22" s="46"/>
      <c r="AH22" s="46"/>
      <c r="AI22" s="46"/>
      <c r="AJ22" s="46"/>
      <c r="AK22" s="46"/>
      <c r="AL22" s="46"/>
      <c r="AM22" s="46"/>
      <c r="AN22" s="46"/>
    </row>
    <row r="23" spans="1:40">
      <c r="A23" s="1" t="s">
        <v>421</v>
      </c>
      <c r="C23" s="1" t="s">
        <v>420</v>
      </c>
      <c r="E23" s="10">
        <v>29802</v>
      </c>
      <c r="G23" s="10">
        <v>517</v>
      </c>
      <c r="I23" s="10">
        <v>0</v>
      </c>
      <c r="K23" s="10">
        <v>0</v>
      </c>
      <c r="M23" s="10">
        <v>0</v>
      </c>
      <c r="O23" s="10">
        <v>0</v>
      </c>
      <c r="Q23" s="10">
        <v>36595</v>
      </c>
      <c r="S23" s="10">
        <v>2030</v>
      </c>
      <c r="U23" s="10">
        <v>0</v>
      </c>
      <c r="W23" s="10">
        <v>0</v>
      </c>
      <c r="Y23" s="10">
        <v>500</v>
      </c>
      <c r="AA23" s="10">
        <v>0</v>
      </c>
      <c r="AC23" s="10">
        <v>877</v>
      </c>
      <c r="AE23" s="10">
        <f t="shared" si="0"/>
        <v>70321</v>
      </c>
      <c r="AF23" s="10"/>
      <c r="AG23" s="10">
        <v>40808</v>
      </c>
      <c r="AI23" s="10">
        <v>55308</v>
      </c>
      <c r="AK23" s="10">
        <v>96116</v>
      </c>
      <c r="AM23" s="10">
        <f>+'Gen Rev'!AI23-'Gen Exp'!AE23+'Gen Exp'!AI23-AK23</f>
        <v>0</v>
      </c>
    </row>
    <row r="24" spans="1:40" ht="12.75" hidden="1">
      <c r="A24" s="1" t="s">
        <v>221</v>
      </c>
      <c r="C24" s="23" t="s">
        <v>819</v>
      </c>
      <c r="D24" s="23"/>
      <c r="E24" s="10">
        <v>0</v>
      </c>
      <c r="G24" s="10">
        <v>0</v>
      </c>
      <c r="I24" s="10">
        <v>0</v>
      </c>
      <c r="K24" s="10">
        <v>0</v>
      </c>
      <c r="M24" s="10">
        <v>0</v>
      </c>
      <c r="O24" s="10">
        <v>0</v>
      </c>
      <c r="Q24" s="10">
        <v>0</v>
      </c>
      <c r="S24" s="10">
        <v>0</v>
      </c>
      <c r="U24" s="10">
        <v>0</v>
      </c>
      <c r="W24" s="10">
        <v>0</v>
      </c>
      <c r="Y24" s="10">
        <v>0</v>
      </c>
      <c r="AA24" s="10">
        <v>0</v>
      </c>
      <c r="AC24" s="10">
        <v>0</v>
      </c>
      <c r="AE24" s="10">
        <f t="shared" si="0"/>
        <v>0</v>
      </c>
      <c r="AF24" s="10"/>
    </row>
    <row r="25" spans="1:40" ht="12.6" customHeight="1">
      <c r="A25" s="1" t="s">
        <v>328</v>
      </c>
      <c r="C25" s="1" t="s">
        <v>329</v>
      </c>
      <c r="E25" s="10">
        <v>140417</v>
      </c>
      <c r="G25" s="10">
        <v>14284</v>
      </c>
      <c r="I25" s="10">
        <v>6975</v>
      </c>
      <c r="K25" s="10">
        <v>229</v>
      </c>
      <c r="M25" s="10">
        <v>0</v>
      </c>
      <c r="O25" s="10">
        <v>46354</v>
      </c>
      <c r="Q25" s="10">
        <v>189408</v>
      </c>
      <c r="S25" s="10">
        <v>50129</v>
      </c>
      <c r="U25" s="10">
        <v>150000</v>
      </c>
      <c r="W25" s="10">
        <v>7105</v>
      </c>
      <c r="Y25" s="10">
        <v>46784</v>
      </c>
      <c r="AA25" s="10">
        <v>0</v>
      </c>
      <c r="AC25" s="10">
        <v>2333</v>
      </c>
      <c r="AE25" s="10">
        <f t="shared" si="0"/>
        <v>654018</v>
      </c>
      <c r="AF25" s="10"/>
      <c r="AG25" s="46">
        <v>19446</v>
      </c>
      <c r="AH25" s="46"/>
      <c r="AI25" s="46">
        <v>39555</v>
      </c>
      <c r="AJ25" s="46"/>
      <c r="AK25" s="46">
        <v>59001</v>
      </c>
      <c r="AL25" s="46"/>
      <c r="AM25" s="10">
        <f>+'Gen Rev'!AI25-'Gen Exp'!AE25+'Gen Exp'!AI25-AK25</f>
        <v>0</v>
      </c>
      <c r="AN25" s="46"/>
    </row>
    <row r="26" spans="1:40" s="21" customFormat="1">
      <c r="A26" s="1" t="s">
        <v>476</v>
      </c>
      <c r="B26" s="1"/>
      <c r="C26" s="1" t="s">
        <v>477</v>
      </c>
      <c r="D26" s="1"/>
      <c r="E26" s="10">
        <v>2112</v>
      </c>
      <c r="F26" s="10"/>
      <c r="G26" s="10">
        <v>849</v>
      </c>
      <c r="H26" s="10"/>
      <c r="I26" s="10">
        <v>97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5283</v>
      </c>
      <c r="R26" s="10"/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Z26" s="10"/>
      <c r="AA26" s="10">
        <v>0</v>
      </c>
      <c r="AB26" s="10"/>
      <c r="AC26" s="10">
        <v>0</v>
      </c>
      <c r="AD26" s="10"/>
      <c r="AE26" s="10">
        <f t="shared" si="0"/>
        <v>8341</v>
      </c>
      <c r="AF26" s="10"/>
      <c r="AG26" s="10">
        <v>537</v>
      </c>
      <c r="AH26" s="10"/>
      <c r="AI26" s="10">
        <v>22833</v>
      </c>
      <c r="AJ26" s="10"/>
      <c r="AK26" s="10">
        <v>23370</v>
      </c>
      <c r="AL26" s="10"/>
      <c r="AM26" s="10">
        <f>+'Gen Rev'!AI26-'Gen Exp'!AE26+'Gen Exp'!AI26-AK26</f>
        <v>0</v>
      </c>
      <c r="AN26" s="10"/>
    </row>
    <row r="27" spans="1:40">
      <c r="A27" s="1" t="s">
        <v>499</v>
      </c>
      <c r="C27" s="1" t="s">
        <v>500</v>
      </c>
      <c r="E27" s="10">
        <v>2635</v>
      </c>
      <c r="G27" s="10">
        <v>0</v>
      </c>
      <c r="I27" s="10">
        <v>8644</v>
      </c>
      <c r="K27" s="10">
        <v>303</v>
      </c>
      <c r="M27" s="10">
        <v>0</v>
      </c>
      <c r="O27" s="10">
        <v>0</v>
      </c>
      <c r="Q27" s="10">
        <v>143218</v>
      </c>
      <c r="S27" s="10">
        <v>15945</v>
      </c>
      <c r="U27" s="10">
        <v>0</v>
      </c>
      <c r="W27" s="10">
        <v>0</v>
      </c>
      <c r="Y27" s="10">
        <v>214326</v>
      </c>
      <c r="AA27" s="10">
        <v>0</v>
      </c>
      <c r="AC27" s="10">
        <v>0</v>
      </c>
      <c r="AE27" s="10">
        <f t="shared" si="0"/>
        <v>385071</v>
      </c>
      <c r="AF27" s="10"/>
      <c r="AG27" s="10">
        <v>58183</v>
      </c>
      <c r="AI27" s="10">
        <v>164155</v>
      </c>
      <c r="AK27" s="10">
        <v>222338</v>
      </c>
      <c r="AM27" s="10">
        <f>+'Gen Rev'!AI27-'Gen Exp'!AE27+'Gen Exp'!AI27-AK27</f>
        <v>0</v>
      </c>
    </row>
    <row r="28" spans="1:40" s="21" customFormat="1">
      <c r="A28" s="1" t="s">
        <v>592</v>
      </c>
      <c r="B28" s="1"/>
      <c r="C28" s="1" t="s">
        <v>593</v>
      </c>
      <c r="D28" s="1"/>
      <c r="E28" s="10">
        <v>78706</v>
      </c>
      <c r="F28" s="10"/>
      <c r="G28" s="10">
        <v>0</v>
      </c>
      <c r="H28" s="10"/>
      <c r="I28" s="10">
        <v>300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110871</v>
      </c>
      <c r="R28" s="10"/>
      <c r="S28" s="10">
        <v>116374</v>
      </c>
      <c r="T28" s="10"/>
      <c r="U28" s="10">
        <v>0</v>
      </c>
      <c r="V28" s="10"/>
      <c r="W28" s="10">
        <v>0</v>
      </c>
      <c r="X28" s="10"/>
      <c r="Y28" s="10">
        <v>75000</v>
      </c>
      <c r="Z28" s="10"/>
      <c r="AA28" s="10">
        <v>0</v>
      </c>
      <c r="AB28" s="10"/>
      <c r="AC28" s="10">
        <v>0</v>
      </c>
      <c r="AD28" s="10"/>
      <c r="AE28" s="10">
        <f t="shared" si="0"/>
        <v>381251</v>
      </c>
      <c r="AF28" s="10"/>
      <c r="AG28" s="10">
        <v>-26804</v>
      </c>
      <c r="AH28" s="10"/>
      <c r="AI28" s="10">
        <v>690445</v>
      </c>
      <c r="AJ28" s="10"/>
      <c r="AK28" s="10">
        <v>663641</v>
      </c>
      <c r="AL28" s="10"/>
      <c r="AM28" s="10">
        <f>+'Gen Rev'!AI28-'Gen Exp'!AE28+'Gen Exp'!AI28-AK28</f>
        <v>0</v>
      </c>
      <c r="AN28" s="10"/>
    </row>
    <row r="29" spans="1:40" s="21" customFormat="1" ht="12.75" hidden="1">
      <c r="A29" s="1" t="s">
        <v>716</v>
      </c>
      <c r="B29" s="1"/>
      <c r="C29" s="23" t="s">
        <v>368</v>
      </c>
      <c r="D29" s="23"/>
      <c r="E29" s="10">
        <v>0</v>
      </c>
      <c r="F29" s="10"/>
      <c r="G29" s="10">
        <v>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0</v>
      </c>
      <c r="R29" s="10"/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Z29" s="10"/>
      <c r="AA29" s="10">
        <v>0</v>
      </c>
      <c r="AB29" s="10"/>
      <c r="AC29" s="10">
        <v>0</v>
      </c>
      <c r="AD29" s="10"/>
      <c r="AE29" s="10">
        <f t="shared" si="0"/>
        <v>0</v>
      </c>
      <c r="AF29" s="10"/>
      <c r="AG29" s="10"/>
      <c r="AH29" s="10"/>
      <c r="AI29" s="10"/>
      <c r="AJ29" s="10"/>
      <c r="AK29" s="10"/>
      <c r="AL29" s="10"/>
      <c r="AM29" s="10">
        <f>+'Gen Rev'!AI29-'Gen Exp'!AE29+'Gen Exp'!AI29-AK29</f>
        <v>0</v>
      </c>
      <c r="AN29" s="10"/>
    </row>
    <row r="30" spans="1:40" s="21" customFormat="1" hidden="1">
      <c r="A30" s="1" t="s">
        <v>387</v>
      </c>
      <c r="B30" s="1"/>
      <c r="C30" s="1" t="s">
        <v>388</v>
      </c>
      <c r="D30" s="1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0</v>
      </c>
      <c r="R30" s="10"/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Z30" s="10"/>
      <c r="AA30" s="10">
        <v>0</v>
      </c>
      <c r="AB30" s="10"/>
      <c r="AC30" s="10">
        <v>0</v>
      </c>
      <c r="AD30" s="10"/>
      <c r="AE30" s="10">
        <f t="shared" si="0"/>
        <v>0</v>
      </c>
      <c r="AF30" s="10"/>
      <c r="AG30" s="10"/>
      <c r="AH30" s="10"/>
      <c r="AI30" s="10"/>
      <c r="AJ30" s="10"/>
      <c r="AK30" s="10"/>
      <c r="AL30" s="10"/>
      <c r="AM30" s="10">
        <f>+'Gen Rev'!AI30-'Gen Exp'!AE30+'Gen Exp'!AI30-AK30</f>
        <v>0</v>
      </c>
      <c r="AN30" s="10"/>
    </row>
    <row r="31" spans="1:40" s="21" customFormat="1" ht="12.6" customHeight="1">
      <c r="A31" s="1" t="s">
        <v>330</v>
      </c>
      <c r="B31" s="1"/>
      <c r="C31" s="1" t="s">
        <v>329</v>
      </c>
      <c r="D31" s="1"/>
      <c r="E31" s="10">
        <v>264325</v>
      </c>
      <c r="F31" s="10"/>
      <c r="G31" s="10">
        <v>11160</v>
      </c>
      <c r="H31" s="10"/>
      <c r="I31" s="10">
        <v>3742</v>
      </c>
      <c r="J31" s="10"/>
      <c r="K31" s="10">
        <v>91654</v>
      </c>
      <c r="L31" s="10"/>
      <c r="M31" s="10">
        <v>0</v>
      </c>
      <c r="N31" s="10"/>
      <c r="O31" s="10">
        <v>613</v>
      </c>
      <c r="P31" s="10"/>
      <c r="Q31" s="10">
        <v>169218</v>
      </c>
      <c r="R31" s="10"/>
      <c r="S31" s="10">
        <v>0</v>
      </c>
      <c r="T31" s="10"/>
      <c r="U31" s="10">
        <v>11321</v>
      </c>
      <c r="V31" s="10"/>
      <c r="W31" s="10">
        <v>0</v>
      </c>
      <c r="X31" s="10"/>
      <c r="Y31" s="10">
        <v>150000</v>
      </c>
      <c r="Z31" s="10"/>
      <c r="AA31" s="10">
        <v>59600</v>
      </c>
      <c r="AB31" s="10"/>
      <c r="AC31" s="10">
        <v>0</v>
      </c>
      <c r="AD31" s="10"/>
      <c r="AE31" s="10">
        <f t="shared" si="0"/>
        <v>761633</v>
      </c>
      <c r="AF31" s="10"/>
      <c r="AG31" s="46">
        <v>446951</v>
      </c>
      <c r="AH31" s="46"/>
      <c r="AI31" s="46">
        <v>866211</v>
      </c>
      <c r="AJ31" s="46"/>
      <c r="AK31" s="46">
        <v>819260</v>
      </c>
      <c r="AL31" s="46"/>
      <c r="AM31" s="10">
        <f>+'Gen Rev'!AI31-'Gen Exp'!AE31+'Gen Exp'!AI31-AK31</f>
        <v>0</v>
      </c>
      <c r="AN31" s="46"/>
    </row>
    <row r="32" spans="1:40" s="21" customFormat="1">
      <c r="A32" s="1" t="s">
        <v>357</v>
      </c>
      <c r="B32" s="1"/>
      <c r="C32" s="1" t="s">
        <v>358</v>
      </c>
      <c r="D32" s="1"/>
      <c r="E32" s="10">
        <v>1291979</v>
      </c>
      <c r="F32" s="10"/>
      <c r="G32" s="10">
        <v>10500</v>
      </c>
      <c r="H32" s="10"/>
      <c r="I32" s="10">
        <v>0</v>
      </c>
      <c r="J32" s="10"/>
      <c r="K32" s="10">
        <v>22090</v>
      </c>
      <c r="L32" s="10"/>
      <c r="M32" s="10">
        <v>278584</v>
      </c>
      <c r="N32" s="10"/>
      <c r="O32" s="10">
        <v>0</v>
      </c>
      <c r="P32" s="10"/>
      <c r="Q32" s="10">
        <v>1095618</v>
      </c>
      <c r="R32" s="10"/>
      <c r="S32" s="10">
        <v>0</v>
      </c>
      <c r="T32" s="10"/>
      <c r="U32" s="10">
        <v>0</v>
      </c>
      <c r="V32" s="10"/>
      <c r="W32" s="10">
        <v>0</v>
      </c>
      <c r="X32" s="10"/>
      <c r="Y32" s="10">
        <v>3250000</v>
      </c>
      <c r="Z32" s="10"/>
      <c r="AA32" s="10">
        <v>0</v>
      </c>
      <c r="AB32" s="10"/>
      <c r="AC32" s="10">
        <v>9780</v>
      </c>
      <c r="AD32" s="10"/>
      <c r="AE32" s="10">
        <f t="shared" si="0"/>
        <v>5958551</v>
      </c>
      <c r="AF32" s="10"/>
      <c r="AG32" s="10">
        <v>-48013</v>
      </c>
      <c r="AH32" s="10"/>
      <c r="AI32" s="10">
        <v>1925520</v>
      </c>
      <c r="AJ32" s="10"/>
      <c r="AK32" s="10">
        <v>1877507</v>
      </c>
      <c r="AL32" s="10"/>
      <c r="AM32" s="10">
        <f>+'Gen Rev'!AI32-'Gen Exp'!AE32+'Gen Exp'!AI32-AK32</f>
        <v>0</v>
      </c>
      <c r="AN32" s="10"/>
    </row>
    <row r="33" spans="1:40" ht="12.75">
      <c r="A33" s="1" t="s">
        <v>98</v>
      </c>
      <c r="C33" s="23" t="s">
        <v>779</v>
      </c>
      <c r="D33" s="23"/>
      <c r="E33" s="10">
        <v>27347</v>
      </c>
      <c r="G33" s="10">
        <v>7253</v>
      </c>
      <c r="I33" s="10">
        <v>0</v>
      </c>
      <c r="K33" s="10">
        <v>0</v>
      </c>
      <c r="M33" s="10">
        <v>0</v>
      </c>
      <c r="O33" s="10">
        <v>7133</v>
      </c>
      <c r="Q33" s="10">
        <v>99167</v>
      </c>
      <c r="S33" s="10">
        <v>13418</v>
      </c>
      <c r="U33" s="10">
        <v>0</v>
      </c>
      <c r="W33" s="10">
        <v>0</v>
      </c>
      <c r="Y33" s="10">
        <v>130869</v>
      </c>
      <c r="AA33" s="10">
        <v>5500</v>
      </c>
      <c r="AC33" s="10">
        <v>5514</v>
      </c>
      <c r="AE33" s="10">
        <f t="shared" si="0"/>
        <v>296201</v>
      </c>
      <c r="AF33" s="10"/>
      <c r="AG33" s="10">
        <v>13292</v>
      </c>
      <c r="AI33" s="10">
        <v>150062</v>
      </c>
      <c r="AK33" s="10">
        <v>163354</v>
      </c>
      <c r="AM33" s="10">
        <f>+'Gen Rev'!AI33-'Gen Exp'!AE33+'Gen Exp'!AI33-AK33</f>
        <v>0</v>
      </c>
    </row>
    <row r="34" spans="1:40" s="21" customFormat="1">
      <c r="A34" s="1" t="s">
        <v>379</v>
      </c>
      <c r="B34" s="1"/>
      <c r="C34" s="1" t="s">
        <v>378</v>
      </c>
      <c r="D34" s="1"/>
      <c r="E34" s="10">
        <v>295980</v>
      </c>
      <c r="F34" s="10"/>
      <c r="G34" s="10">
        <v>0</v>
      </c>
      <c r="H34" s="10"/>
      <c r="I34" s="10">
        <v>17837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450701</v>
      </c>
      <c r="R34" s="10"/>
      <c r="S34" s="10">
        <v>0</v>
      </c>
      <c r="T34" s="10"/>
      <c r="U34" s="10">
        <v>0</v>
      </c>
      <c r="V34" s="10"/>
      <c r="W34" s="10">
        <v>0</v>
      </c>
      <c r="X34" s="10"/>
      <c r="Y34" s="10">
        <v>1800</v>
      </c>
      <c r="Z34" s="10"/>
      <c r="AA34" s="10">
        <v>0</v>
      </c>
      <c r="AB34" s="10"/>
      <c r="AC34" s="10">
        <v>0</v>
      </c>
      <c r="AD34" s="10"/>
      <c r="AE34" s="10">
        <f t="shared" si="0"/>
        <v>766318</v>
      </c>
      <c r="AF34" s="10"/>
      <c r="AG34" s="10">
        <v>-4433</v>
      </c>
      <c r="AH34" s="10"/>
      <c r="AI34" s="10">
        <v>152854</v>
      </c>
      <c r="AJ34" s="10"/>
      <c r="AK34" s="10">
        <v>148421</v>
      </c>
      <c r="AL34" s="10"/>
      <c r="AM34" s="10">
        <f>+'Gen Rev'!AI34-'Gen Exp'!AE34+'Gen Exp'!AI34-AK34</f>
        <v>0</v>
      </c>
      <c r="AN34" s="10"/>
    </row>
    <row r="35" spans="1:40" ht="12.75" hidden="1">
      <c r="A35" s="1" t="s">
        <v>854</v>
      </c>
      <c r="C35" s="23" t="s">
        <v>809</v>
      </c>
      <c r="D35" s="23"/>
      <c r="E35" s="10">
        <v>0</v>
      </c>
      <c r="G35" s="10">
        <v>0</v>
      </c>
      <c r="I35" s="10">
        <v>0</v>
      </c>
      <c r="K35" s="10">
        <v>0</v>
      </c>
      <c r="M35" s="10">
        <v>0</v>
      </c>
      <c r="O35" s="10">
        <v>0</v>
      </c>
      <c r="Q35" s="10">
        <v>0</v>
      </c>
      <c r="S35" s="10">
        <v>0</v>
      </c>
      <c r="U35" s="10">
        <v>0</v>
      </c>
      <c r="W35" s="10">
        <v>0</v>
      </c>
      <c r="Y35" s="10">
        <v>0</v>
      </c>
      <c r="AA35" s="10">
        <v>0</v>
      </c>
      <c r="AC35" s="10">
        <v>0</v>
      </c>
      <c r="AE35" s="10">
        <f t="shared" si="0"/>
        <v>0</v>
      </c>
      <c r="AF35" s="10"/>
      <c r="AM35" s="10">
        <f>+'Gen Rev'!AI35-'Gen Exp'!AE35+'Gen Exp'!AI35-AK35</f>
        <v>0</v>
      </c>
    </row>
    <row r="36" spans="1:40" s="15" customFormat="1" ht="12.75">
      <c r="A36" s="15" t="s">
        <v>899</v>
      </c>
      <c r="C36" s="28" t="s">
        <v>437</v>
      </c>
      <c r="D36" s="28"/>
      <c r="E36" s="24">
        <v>3490</v>
      </c>
      <c r="F36" s="24"/>
      <c r="G36" s="24">
        <v>0</v>
      </c>
      <c r="H36" s="24"/>
      <c r="I36" s="24">
        <v>0</v>
      </c>
      <c r="J36" s="24"/>
      <c r="K36" s="24">
        <v>0</v>
      </c>
      <c r="L36" s="24"/>
      <c r="M36" s="24">
        <v>3125</v>
      </c>
      <c r="N36" s="24"/>
      <c r="O36" s="24">
        <v>0</v>
      </c>
      <c r="P36" s="24"/>
      <c r="Q36" s="24">
        <f>18298-8</f>
        <v>18290</v>
      </c>
      <c r="R36" s="24"/>
      <c r="S36" s="24">
        <v>0</v>
      </c>
      <c r="T36" s="24"/>
      <c r="U36" s="24">
        <v>0</v>
      </c>
      <c r="V36" s="24"/>
      <c r="W36" s="24">
        <v>251</v>
      </c>
      <c r="X36" s="24"/>
      <c r="Y36" s="24">
        <v>0</v>
      </c>
      <c r="Z36" s="24"/>
      <c r="AA36" s="24">
        <v>0</v>
      </c>
      <c r="AB36" s="24"/>
      <c r="AC36" s="24">
        <v>0</v>
      </c>
      <c r="AD36" s="24"/>
      <c r="AE36" s="24">
        <f>SUM(E36:AC36)</f>
        <v>25156</v>
      </c>
      <c r="AF36" s="24"/>
      <c r="AG36" s="24">
        <v>496</v>
      </c>
      <c r="AH36" s="24"/>
      <c r="AI36" s="24">
        <v>4702</v>
      </c>
      <c r="AJ36" s="24"/>
      <c r="AK36" s="24">
        <v>5206</v>
      </c>
      <c r="AL36" s="24"/>
      <c r="AM36" s="24">
        <f>+'Gen Rev'!AI36-'Gen Exp'!AE36+'Gen Exp'!AI36-AK36</f>
        <v>0</v>
      </c>
      <c r="AN36" s="24"/>
    </row>
    <row r="37" spans="1:40" ht="12.75" hidden="1">
      <c r="A37" s="1" t="s">
        <v>218</v>
      </c>
      <c r="C37" s="23" t="s">
        <v>818</v>
      </c>
      <c r="D37" s="23"/>
      <c r="E37" s="10">
        <v>0</v>
      </c>
      <c r="G37" s="10">
        <v>0</v>
      </c>
      <c r="I37" s="10">
        <v>0</v>
      </c>
      <c r="K37" s="10">
        <v>0</v>
      </c>
      <c r="M37" s="10">
        <v>0</v>
      </c>
      <c r="O37" s="10">
        <v>0</v>
      </c>
      <c r="Q37" s="10">
        <v>0</v>
      </c>
      <c r="S37" s="10">
        <v>0</v>
      </c>
      <c r="U37" s="10">
        <v>0</v>
      </c>
      <c r="W37" s="10">
        <v>0</v>
      </c>
      <c r="Y37" s="10">
        <v>0</v>
      </c>
      <c r="AA37" s="10">
        <v>0</v>
      </c>
      <c r="AC37" s="10">
        <v>0</v>
      </c>
      <c r="AE37" s="10">
        <f t="shared" si="0"/>
        <v>0</v>
      </c>
      <c r="AF37" s="10"/>
      <c r="AM37" s="10">
        <f>+'Gen Rev'!AI37-'Gen Exp'!AE37+'Gen Exp'!AI37-AK37</f>
        <v>0</v>
      </c>
    </row>
    <row r="38" spans="1:40" s="21" customFormat="1" ht="12.75">
      <c r="A38" s="1" t="s">
        <v>673</v>
      </c>
      <c r="B38" s="1"/>
      <c r="C38" s="23" t="s">
        <v>672</v>
      </c>
      <c r="D38" s="23"/>
      <c r="E38" s="10">
        <v>10399</v>
      </c>
      <c r="F38" s="10"/>
      <c r="G38" s="10">
        <v>155</v>
      </c>
      <c r="H38" s="10"/>
      <c r="I38" s="10">
        <v>4253</v>
      </c>
      <c r="J38" s="10"/>
      <c r="K38" s="10">
        <v>3104</v>
      </c>
      <c r="L38" s="10"/>
      <c r="M38" s="10">
        <v>0</v>
      </c>
      <c r="N38" s="10"/>
      <c r="O38" s="10">
        <v>12712</v>
      </c>
      <c r="P38" s="10"/>
      <c r="Q38" s="10">
        <v>28342</v>
      </c>
      <c r="R38" s="10"/>
      <c r="S38" s="10">
        <v>0</v>
      </c>
      <c r="T38" s="10"/>
      <c r="U38" s="10">
        <v>0</v>
      </c>
      <c r="V38" s="10"/>
      <c r="W38" s="10">
        <v>0</v>
      </c>
      <c r="X38" s="10"/>
      <c r="Y38" s="10">
        <v>0</v>
      </c>
      <c r="Z38" s="10"/>
      <c r="AA38" s="10">
        <v>0</v>
      </c>
      <c r="AB38" s="10"/>
      <c r="AC38" s="10">
        <v>0</v>
      </c>
      <c r="AD38" s="10"/>
      <c r="AE38" s="10">
        <f t="shared" si="0"/>
        <v>58965</v>
      </c>
      <c r="AF38" s="10"/>
      <c r="AG38" s="46">
        <v>1689</v>
      </c>
      <c r="AH38" s="46"/>
      <c r="AI38" s="46">
        <v>14098</v>
      </c>
      <c r="AJ38" s="46"/>
      <c r="AK38" s="46">
        <v>15787</v>
      </c>
      <c r="AL38" s="46"/>
      <c r="AM38" s="10">
        <f>+'Gen Rev'!AI38-'Gen Exp'!AE38+'Gen Exp'!AI38-AK38</f>
        <v>0</v>
      </c>
      <c r="AN38" s="46"/>
    </row>
    <row r="39" spans="1:40" s="21" customFormat="1" ht="12.75" hidden="1">
      <c r="A39" s="1" t="s">
        <v>855</v>
      </c>
      <c r="B39" s="1"/>
      <c r="C39" s="23" t="s">
        <v>815</v>
      </c>
      <c r="D39" s="23"/>
      <c r="E39" s="10">
        <v>0</v>
      </c>
      <c r="F39" s="10"/>
      <c r="G39" s="10">
        <v>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0</v>
      </c>
      <c r="R39" s="10"/>
      <c r="S39" s="10">
        <v>0</v>
      </c>
      <c r="T39" s="10"/>
      <c r="U39" s="10">
        <v>0</v>
      </c>
      <c r="V39" s="10"/>
      <c r="W39" s="10">
        <v>0</v>
      </c>
      <c r="X39" s="10"/>
      <c r="Y39" s="10">
        <v>0</v>
      </c>
      <c r="Z39" s="10"/>
      <c r="AA39" s="10">
        <v>0</v>
      </c>
      <c r="AB39" s="10"/>
      <c r="AC39" s="10">
        <v>0</v>
      </c>
      <c r="AD39" s="10"/>
      <c r="AE39" s="10">
        <f t="shared" si="0"/>
        <v>0</v>
      </c>
      <c r="AF39" s="10"/>
      <c r="AG39" s="10"/>
      <c r="AH39" s="10"/>
      <c r="AI39" s="10"/>
      <c r="AJ39" s="10"/>
      <c r="AK39" s="10"/>
      <c r="AL39" s="10"/>
      <c r="AM39" s="10">
        <f>+'Gen Rev'!AI39-'Gen Exp'!AE39+'Gen Exp'!AI39-AK39</f>
        <v>0</v>
      </c>
      <c r="AN39" s="10"/>
    </row>
    <row r="40" spans="1:40" s="21" customFormat="1" hidden="1">
      <c r="A40" s="1" t="s">
        <v>605</v>
      </c>
      <c r="B40" s="1"/>
      <c r="C40" s="1" t="s">
        <v>606</v>
      </c>
      <c r="D40" s="1"/>
      <c r="E40" s="10">
        <v>0</v>
      </c>
      <c r="F40" s="10"/>
      <c r="G40" s="10">
        <v>0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0</v>
      </c>
      <c r="R40" s="10"/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Z40" s="10"/>
      <c r="AA40" s="10">
        <v>0</v>
      </c>
      <c r="AB40" s="10"/>
      <c r="AC40" s="10">
        <v>0</v>
      </c>
      <c r="AD40" s="10"/>
      <c r="AE40" s="10">
        <f t="shared" si="0"/>
        <v>0</v>
      </c>
      <c r="AF40" s="10"/>
      <c r="AG40" s="10"/>
      <c r="AH40" s="10"/>
      <c r="AI40" s="10"/>
      <c r="AJ40" s="10"/>
      <c r="AK40" s="10"/>
      <c r="AL40" s="10"/>
      <c r="AM40" s="10">
        <f>+'Gen Rev'!AI40-'Gen Exp'!AE40+'Gen Exp'!AI40-AK40</f>
        <v>0</v>
      </c>
      <c r="AN40" s="10"/>
    </row>
    <row r="41" spans="1:40">
      <c r="A41" s="1" t="s">
        <v>564</v>
      </c>
      <c r="C41" s="1" t="s">
        <v>565</v>
      </c>
      <c r="E41" s="10">
        <v>23808</v>
      </c>
      <c r="G41" s="10">
        <v>978</v>
      </c>
      <c r="I41" s="10">
        <v>16962</v>
      </c>
      <c r="K41" s="10">
        <v>942</v>
      </c>
      <c r="M41" s="10">
        <v>0</v>
      </c>
      <c r="O41" s="10">
        <v>6062</v>
      </c>
      <c r="Q41" s="10">
        <v>103364</v>
      </c>
      <c r="S41" s="10">
        <v>3350</v>
      </c>
      <c r="U41" s="10">
        <v>0</v>
      </c>
      <c r="W41" s="10">
        <v>0</v>
      </c>
      <c r="Y41" s="10">
        <v>0</v>
      </c>
      <c r="AA41" s="10">
        <v>0</v>
      </c>
      <c r="AC41" s="10">
        <v>0</v>
      </c>
      <c r="AE41" s="10">
        <f t="shared" si="0"/>
        <v>155466</v>
      </c>
      <c r="AF41" s="10"/>
      <c r="AG41" s="10">
        <v>-122</v>
      </c>
      <c r="AI41" s="10">
        <v>70545</v>
      </c>
      <c r="AK41" s="10">
        <v>70423</v>
      </c>
      <c r="AM41" s="10">
        <f>+'Gen Rev'!AI41-'Gen Exp'!AE41+'Gen Exp'!AI41-AK41</f>
        <v>0</v>
      </c>
    </row>
    <row r="42" spans="1:40" s="21" customFormat="1" ht="12.6" customHeight="1">
      <c r="A42" s="1" t="s">
        <v>349</v>
      </c>
      <c r="B42" s="1"/>
      <c r="C42" s="1" t="s">
        <v>350</v>
      </c>
      <c r="D42" s="1"/>
      <c r="E42" s="10">
        <v>279973</v>
      </c>
      <c r="F42" s="10"/>
      <c r="G42" s="10">
        <v>20702</v>
      </c>
      <c r="H42" s="10"/>
      <c r="I42" s="10">
        <v>39663</v>
      </c>
      <c r="J42" s="10"/>
      <c r="K42" s="10">
        <v>59215</v>
      </c>
      <c r="L42" s="10"/>
      <c r="M42" s="10">
        <v>0</v>
      </c>
      <c r="N42" s="10"/>
      <c r="O42" s="10">
        <v>0</v>
      </c>
      <c r="P42" s="10"/>
      <c r="Q42" s="10">
        <v>208973</v>
      </c>
      <c r="R42" s="10"/>
      <c r="S42" s="10">
        <v>4760</v>
      </c>
      <c r="T42" s="10"/>
      <c r="U42" s="10">
        <v>0</v>
      </c>
      <c r="V42" s="10"/>
      <c r="W42" s="10">
        <v>0</v>
      </c>
      <c r="X42" s="10"/>
      <c r="Y42" s="10">
        <v>0</v>
      </c>
      <c r="Z42" s="10"/>
      <c r="AA42" s="10">
        <v>0</v>
      </c>
      <c r="AB42" s="10"/>
      <c r="AC42" s="10">
        <v>35220</v>
      </c>
      <c r="AD42" s="10"/>
      <c r="AE42" s="10">
        <f t="shared" si="0"/>
        <v>648506</v>
      </c>
      <c r="AF42" s="10"/>
      <c r="AG42" s="10">
        <v>-155007</v>
      </c>
      <c r="AH42" s="10"/>
      <c r="AI42" s="10">
        <v>217393</v>
      </c>
      <c r="AJ42" s="10"/>
      <c r="AK42" s="10">
        <v>62386</v>
      </c>
      <c r="AL42" s="10"/>
      <c r="AM42" s="10">
        <f>+'Gen Rev'!AI42-'Gen Exp'!AE42+'Gen Exp'!AI42-AK42</f>
        <v>0</v>
      </c>
      <c r="AN42" s="10"/>
    </row>
    <row r="43" spans="1:40" s="21" customFormat="1" ht="12" customHeight="1">
      <c r="A43" s="1" t="s">
        <v>278</v>
      </c>
      <c r="B43" s="1"/>
      <c r="C43" s="1" t="s">
        <v>279</v>
      </c>
      <c r="D43" s="1"/>
      <c r="E43" s="10">
        <v>532143</v>
      </c>
      <c r="F43" s="10"/>
      <c r="G43" s="10">
        <v>15779</v>
      </c>
      <c r="H43" s="10"/>
      <c r="I43" s="10">
        <v>11446</v>
      </c>
      <c r="J43" s="10"/>
      <c r="K43" s="10">
        <v>0</v>
      </c>
      <c r="L43" s="10"/>
      <c r="M43" s="10">
        <v>0</v>
      </c>
      <c r="N43" s="10"/>
      <c r="O43" s="10">
        <v>47696</v>
      </c>
      <c r="P43" s="10"/>
      <c r="Q43" s="10">
        <v>146620</v>
      </c>
      <c r="R43" s="10"/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Z43" s="10"/>
      <c r="AA43" s="10">
        <v>0</v>
      </c>
      <c r="AB43" s="10"/>
      <c r="AC43" s="10">
        <v>0</v>
      </c>
      <c r="AD43" s="10"/>
      <c r="AE43" s="10">
        <f t="shared" si="0"/>
        <v>753684</v>
      </c>
      <c r="AF43" s="10"/>
      <c r="AG43" s="46">
        <v>3279</v>
      </c>
      <c r="AH43" s="46"/>
      <c r="AI43" s="46">
        <v>296140</v>
      </c>
      <c r="AJ43" s="46"/>
      <c r="AK43" s="46">
        <v>299419</v>
      </c>
      <c r="AL43" s="46"/>
      <c r="AM43" s="10">
        <f>+'Gen Rev'!AI43-'Gen Exp'!AE43+'Gen Exp'!AI43-AK43</f>
        <v>0</v>
      </c>
      <c r="AN43" s="46"/>
    </row>
    <row r="44" spans="1:40" s="21" customFormat="1" hidden="1">
      <c r="A44" s="1" t="s">
        <v>566</v>
      </c>
      <c r="B44" s="1"/>
      <c r="C44" s="1" t="s">
        <v>565</v>
      </c>
      <c r="D44" s="1"/>
      <c r="E44" s="10">
        <v>0</v>
      </c>
      <c r="F44" s="10"/>
      <c r="G44" s="10">
        <v>0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0</v>
      </c>
      <c r="R44" s="10"/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Z44" s="10"/>
      <c r="AA44" s="10">
        <v>0</v>
      </c>
      <c r="AB44" s="10"/>
      <c r="AC44" s="10">
        <v>0</v>
      </c>
      <c r="AD44" s="10"/>
      <c r="AE44" s="10">
        <f t="shared" si="0"/>
        <v>0</v>
      </c>
      <c r="AF44" s="10"/>
      <c r="AG44" s="10"/>
      <c r="AH44" s="10"/>
      <c r="AI44" s="10"/>
      <c r="AJ44" s="10"/>
      <c r="AK44" s="10"/>
      <c r="AL44" s="10"/>
      <c r="AM44" s="10">
        <f>+'Gen Rev'!AI44-'Gen Exp'!AE44+'Gen Exp'!AI44-AK44</f>
        <v>0</v>
      </c>
      <c r="AN44" s="10"/>
    </row>
    <row r="45" spans="1:40" ht="12.6" hidden="1" customHeight="1">
      <c r="A45" s="1" t="s">
        <v>294</v>
      </c>
      <c r="C45" s="1" t="s">
        <v>295</v>
      </c>
      <c r="E45" s="10">
        <v>0</v>
      </c>
      <c r="G45" s="10">
        <v>0</v>
      </c>
      <c r="I45" s="10">
        <v>0</v>
      </c>
      <c r="K45" s="10">
        <v>0</v>
      </c>
      <c r="M45" s="10">
        <v>0</v>
      </c>
      <c r="O45" s="10">
        <v>0</v>
      </c>
      <c r="Q45" s="10">
        <v>0</v>
      </c>
      <c r="S45" s="10">
        <v>0</v>
      </c>
      <c r="U45" s="10">
        <v>0</v>
      </c>
      <c r="W45" s="10">
        <v>0</v>
      </c>
      <c r="Y45" s="10">
        <v>0</v>
      </c>
      <c r="AA45" s="10">
        <v>0</v>
      </c>
      <c r="AC45" s="10">
        <v>0</v>
      </c>
      <c r="AE45" s="10">
        <f t="shared" si="0"/>
        <v>0</v>
      </c>
      <c r="AF45" s="10"/>
      <c r="AG45" s="46"/>
      <c r="AH45" s="46"/>
      <c r="AI45" s="46"/>
      <c r="AJ45" s="46"/>
      <c r="AK45" s="46"/>
      <c r="AL45" s="46"/>
      <c r="AM45" s="10">
        <f>+'Gen Rev'!AI45-'Gen Exp'!AE45+'Gen Exp'!AI45-AK45</f>
        <v>0</v>
      </c>
      <c r="AN45" s="46"/>
    </row>
    <row r="46" spans="1:40">
      <c r="A46" s="1" t="s">
        <v>493</v>
      </c>
      <c r="C46" s="1" t="s">
        <v>494</v>
      </c>
      <c r="E46" s="10">
        <v>2668</v>
      </c>
      <c r="G46" s="10">
        <v>0</v>
      </c>
      <c r="I46" s="10">
        <v>581</v>
      </c>
      <c r="K46" s="10">
        <v>0</v>
      </c>
      <c r="M46" s="10">
        <v>0</v>
      </c>
      <c r="O46" s="10">
        <v>0</v>
      </c>
      <c r="Q46" s="10">
        <v>17596</v>
      </c>
      <c r="S46" s="10">
        <v>0</v>
      </c>
      <c r="U46" s="10">
        <v>0</v>
      </c>
      <c r="W46" s="10">
        <v>0</v>
      </c>
      <c r="Y46" s="10">
        <v>0</v>
      </c>
      <c r="AA46" s="10">
        <v>0</v>
      </c>
      <c r="AC46" s="10">
        <v>0</v>
      </c>
      <c r="AD46" s="35"/>
      <c r="AE46" s="10">
        <f t="shared" si="0"/>
        <v>20845</v>
      </c>
      <c r="AF46" s="10"/>
      <c r="AG46" s="10">
        <f>17674-20845</f>
        <v>-3171</v>
      </c>
      <c r="AI46" s="10">
        <v>5761</v>
      </c>
      <c r="AK46" s="10">
        <v>2590</v>
      </c>
      <c r="AM46" s="10">
        <f>+'Gen Rev'!AI46-'Gen Exp'!AE46+'Gen Exp'!AI46-AK46</f>
        <v>0</v>
      </c>
    </row>
    <row r="47" spans="1:40" s="21" customFormat="1" ht="12.75" hidden="1">
      <c r="A47" s="1" t="s">
        <v>58</v>
      </c>
      <c r="B47" s="1"/>
      <c r="C47" s="23" t="s">
        <v>770</v>
      </c>
      <c r="D47" s="23"/>
      <c r="E47" s="10">
        <v>0</v>
      </c>
      <c r="F47" s="10"/>
      <c r="G47" s="10">
        <v>0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0</v>
      </c>
      <c r="R47" s="10"/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Z47" s="10"/>
      <c r="AA47" s="10">
        <v>0</v>
      </c>
      <c r="AB47" s="10"/>
      <c r="AC47" s="10">
        <v>0</v>
      </c>
      <c r="AD47" s="10"/>
      <c r="AE47" s="10">
        <f t="shared" si="0"/>
        <v>0</v>
      </c>
      <c r="AF47" s="10"/>
      <c r="AG47" s="46"/>
      <c r="AH47" s="46"/>
      <c r="AI47" s="46"/>
      <c r="AJ47" s="46"/>
      <c r="AK47" s="46"/>
      <c r="AL47" s="46"/>
      <c r="AM47" s="10">
        <f>+'Gen Rev'!AI47-'Gen Exp'!AE47+'Gen Exp'!AI47-AK47</f>
        <v>0</v>
      </c>
      <c r="AN47" s="46"/>
    </row>
    <row r="48" spans="1:40" s="21" customFormat="1">
      <c r="A48" s="1" t="s">
        <v>544</v>
      </c>
      <c r="B48" s="1"/>
      <c r="C48" s="1" t="s">
        <v>545</v>
      </c>
      <c r="D48" s="1"/>
      <c r="E48" s="10">
        <v>88774</v>
      </c>
      <c r="F48" s="10"/>
      <c r="G48" s="10">
        <v>0</v>
      </c>
      <c r="H48" s="10"/>
      <c r="I48" s="10">
        <v>7711</v>
      </c>
      <c r="J48" s="10"/>
      <c r="K48" s="10">
        <v>114</v>
      </c>
      <c r="L48" s="10"/>
      <c r="M48" s="10">
        <v>0</v>
      </c>
      <c r="N48" s="10"/>
      <c r="O48" s="10">
        <v>13646</v>
      </c>
      <c r="P48" s="10"/>
      <c r="Q48" s="10">
        <v>86451</v>
      </c>
      <c r="R48" s="10"/>
      <c r="S48" s="10">
        <v>64981</v>
      </c>
      <c r="T48" s="10"/>
      <c r="U48" s="10">
        <v>0</v>
      </c>
      <c r="V48" s="10"/>
      <c r="W48" s="10">
        <v>0</v>
      </c>
      <c r="X48" s="10"/>
      <c r="Y48" s="10">
        <v>0</v>
      </c>
      <c r="Z48" s="10"/>
      <c r="AA48" s="10">
        <v>0</v>
      </c>
      <c r="AB48" s="10"/>
      <c r="AC48" s="10">
        <v>3551</v>
      </c>
      <c r="AD48" s="10"/>
      <c r="AE48" s="10">
        <f t="shared" si="0"/>
        <v>265228</v>
      </c>
      <c r="AF48" s="10"/>
      <c r="AG48" s="10">
        <v>-47947</v>
      </c>
      <c r="AH48" s="10"/>
      <c r="AI48" s="10">
        <v>88351</v>
      </c>
      <c r="AJ48" s="10"/>
      <c r="AK48" s="10">
        <v>40404</v>
      </c>
      <c r="AL48" s="10"/>
      <c r="AM48" s="10">
        <f>+'Gen Rev'!AI48-'Gen Exp'!AE48+'Gen Exp'!AI48-AK48</f>
        <v>0</v>
      </c>
      <c r="AN48" s="10"/>
    </row>
    <row r="49" spans="1:40" ht="12.75" hidden="1">
      <c r="A49" s="1" t="s">
        <v>164</v>
      </c>
      <c r="C49" s="23" t="s">
        <v>801</v>
      </c>
      <c r="D49" s="23"/>
      <c r="E49" s="10">
        <v>0</v>
      </c>
      <c r="G49" s="10">
        <v>0</v>
      </c>
      <c r="I49" s="10">
        <v>0</v>
      </c>
      <c r="K49" s="10">
        <v>0</v>
      </c>
      <c r="M49" s="10">
        <v>0</v>
      </c>
      <c r="O49" s="10">
        <v>0</v>
      </c>
      <c r="Q49" s="10">
        <v>0</v>
      </c>
      <c r="S49" s="10">
        <v>0</v>
      </c>
      <c r="U49" s="10">
        <v>0</v>
      </c>
      <c r="W49" s="10">
        <v>0</v>
      </c>
      <c r="Y49" s="10">
        <v>0</v>
      </c>
      <c r="AA49" s="10">
        <v>0</v>
      </c>
      <c r="AC49" s="10">
        <v>0</v>
      </c>
      <c r="AE49" s="10">
        <f t="shared" si="0"/>
        <v>0</v>
      </c>
      <c r="AF49" s="10"/>
      <c r="AM49" s="10">
        <f>+'Gen Rev'!AI49-'Gen Exp'!AE49+'Gen Exp'!AI49-AK49</f>
        <v>0</v>
      </c>
    </row>
    <row r="50" spans="1:40" s="21" customFormat="1" ht="12.75" hidden="1">
      <c r="A50" s="1" t="s">
        <v>193</v>
      </c>
      <c r="B50" s="1"/>
      <c r="C50" s="23" t="s">
        <v>810</v>
      </c>
      <c r="D50" s="23"/>
      <c r="E50" s="10">
        <v>0</v>
      </c>
      <c r="F50" s="10"/>
      <c r="G50" s="10">
        <v>0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0</v>
      </c>
      <c r="R50" s="10"/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Z50" s="10"/>
      <c r="AA50" s="10">
        <v>0</v>
      </c>
      <c r="AB50" s="10"/>
      <c r="AC50" s="10">
        <v>0</v>
      </c>
      <c r="AD50" s="10"/>
      <c r="AE50" s="10">
        <f t="shared" si="0"/>
        <v>0</v>
      </c>
      <c r="AF50" s="10"/>
      <c r="AG50" s="10"/>
      <c r="AH50" s="10"/>
      <c r="AI50" s="10"/>
      <c r="AJ50" s="10"/>
      <c r="AK50" s="10"/>
      <c r="AL50" s="10"/>
      <c r="AM50" s="10">
        <f>+'Gen Rev'!AI50-'Gen Exp'!AE50+'Gen Exp'!AI50-AK50</f>
        <v>0</v>
      </c>
      <c r="AN50" s="10"/>
    </row>
    <row r="51" spans="1:40" s="21" customFormat="1" ht="12.75" hidden="1">
      <c r="A51" s="1" t="s">
        <v>2</v>
      </c>
      <c r="B51" s="1"/>
      <c r="C51" s="23" t="s">
        <v>751</v>
      </c>
      <c r="D51" s="23"/>
      <c r="E51" s="10">
        <v>0</v>
      </c>
      <c r="F51" s="10"/>
      <c r="G51" s="10">
        <v>0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0</v>
      </c>
      <c r="R51" s="10"/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Z51" s="10"/>
      <c r="AA51" s="10">
        <v>0</v>
      </c>
      <c r="AB51" s="10"/>
      <c r="AC51" s="10">
        <v>0</v>
      </c>
      <c r="AD51" s="10"/>
      <c r="AE51" s="10">
        <f t="shared" si="0"/>
        <v>0</v>
      </c>
      <c r="AF51" s="10"/>
      <c r="AG51" s="46"/>
      <c r="AH51" s="46"/>
      <c r="AI51" s="46"/>
      <c r="AJ51" s="46"/>
      <c r="AK51" s="46"/>
      <c r="AL51" s="46"/>
      <c r="AM51" s="10">
        <f>+'Gen Rev'!AI51-'Gen Exp'!AE51+'Gen Exp'!AI51-AK51</f>
        <v>0</v>
      </c>
      <c r="AN51" s="46"/>
    </row>
    <row r="52" spans="1:40" ht="12.6" customHeight="1">
      <c r="A52" s="1" t="s">
        <v>280</v>
      </c>
      <c r="C52" s="1" t="s">
        <v>279</v>
      </c>
      <c r="E52" s="10">
        <v>803475</v>
      </c>
      <c r="G52" s="10">
        <v>0</v>
      </c>
      <c r="I52" s="10">
        <v>0</v>
      </c>
      <c r="K52" s="10">
        <v>0</v>
      </c>
      <c r="M52" s="10">
        <v>0</v>
      </c>
      <c r="O52" s="10">
        <v>0</v>
      </c>
      <c r="Q52" s="10">
        <v>446725</v>
      </c>
      <c r="S52" s="10">
        <v>299848</v>
      </c>
      <c r="U52" s="10">
        <v>285681</v>
      </c>
      <c r="W52" s="10">
        <v>4596</v>
      </c>
      <c r="Y52" s="10">
        <v>0</v>
      </c>
      <c r="AA52" s="10">
        <v>0</v>
      </c>
      <c r="AC52" s="10">
        <v>0</v>
      </c>
      <c r="AE52" s="10">
        <f t="shared" si="0"/>
        <v>1840325</v>
      </c>
      <c r="AF52" s="10"/>
      <c r="AG52" s="46">
        <v>74116</v>
      </c>
      <c r="AH52" s="46"/>
      <c r="AI52" s="46">
        <v>116171</v>
      </c>
      <c r="AJ52" s="46"/>
      <c r="AK52" s="46">
        <v>190287</v>
      </c>
      <c r="AL52" s="46"/>
      <c r="AM52" s="10">
        <f>+'Gen Rev'!AI52-'Gen Exp'!AE52+'Gen Exp'!AI52-AK52</f>
        <v>0</v>
      </c>
      <c r="AN52" s="46"/>
    </row>
    <row r="53" spans="1:40" ht="12.75" hidden="1">
      <c r="A53" s="1" t="s">
        <v>132</v>
      </c>
      <c r="C53" s="23" t="s">
        <v>791</v>
      </c>
      <c r="D53" s="23"/>
      <c r="E53" s="10">
        <v>0</v>
      </c>
      <c r="G53" s="10">
        <v>0</v>
      </c>
      <c r="I53" s="10">
        <v>0</v>
      </c>
      <c r="K53" s="10">
        <v>0</v>
      </c>
      <c r="M53" s="10">
        <v>0</v>
      </c>
      <c r="O53" s="10">
        <v>0</v>
      </c>
      <c r="Q53" s="10">
        <v>0</v>
      </c>
      <c r="S53" s="10">
        <v>0</v>
      </c>
      <c r="U53" s="10">
        <v>0</v>
      </c>
      <c r="W53" s="10">
        <v>0</v>
      </c>
      <c r="Y53" s="10">
        <v>0</v>
      </c>
      <c r="AA53" s="10">
        <v>0</v>
      </c>
      <c r="AC53" s="10">
        <v>0</v>
      </c>
      <c r="AE53" s="10">
        <f t="shared" si="0"/>
        <v>0</v>
      </c>
      <c r="AF53" s="10"/>
      <c r="AM53" s="10">
        <f>+'Gen Rev'!AI53-'Gen Exp'!AE53+'Gen Exp'!AI53-AK53</f>
        <v>0</v>
      </c>
    </row>
    <row r="54" spans="1:40" s="31" customFormat="1">
      <c r="A54" s="15" t="s">
        <v>495</v>
      </c>
      <c r="B54" s="15"/>
      <c r="C54" s="15" t="s">
        <v>494</v>
      </c>
      <c r="D54" s="15"/>
      <c r="E54" s="24">
        <v>4065</v>
      </c>
      <c r="F54" s="24"/>
      <c r="G54" s="24">
        <v>0</v>
      </c>
      <c r="H54" s="24"/>
      <c r="I54" s="24">
        <v>0</v>
      </c>
      <c r="J54" s="24"/>
      <c r="K54" s="24">
        <v>394</v>
      </c>
      <c r="L54" s="24"/>
      <c r="M54" s="24">
        <v>4584</v>
      </c>
      <c r="N54" s="24"/>
      <c r="O54" s="24">
        <v>2247</v>
      </c>
      <c r="P54" s="24"/>
      <c r="Q54" s="24">
        <v>10167</v>
      </c>
      <c r="R54" s="24"/>
      <c r="S54" s="24">
        <v>0</v>
      </c>
      <c r="T54" s="24"/>
      <c r="U54" s="24">
        <v>0</v>
      </c>
      <c r="V54" s="24"/>
      <c r="W54" s="24">
        <v>0</v>
      </c>
      <c r="X54" s="24"/>
      <c r="Y54" s="24">
        <v>0</v>
      </c>
      <c r="Z54" s="24"/>
      <c r="AA54" s="24">
        <v>0</v>
      </c>
      <c r="AB54" s="24"/>
      <c r="AC54" s="24">
        <v>0</v>
      </c>
      <c r="AD54" s="24"/>
      <c r="AE54" s="24">
        <f t="shared" ref="AE54:AE100" si="1">SUM(E54:AC54)</f>
        <v>21457</v>
      </c>
      <c r="AF54" s="41"/>
      <c r="AG54" s="24">
        <v>9172</v>
      </c>
      <c r="AH54" s="24"/>
      <c r="AI54" s="24">
        <v>-2858</v>
      </c>
      <c r="AJ54" s="24"/>
      <c r="AK54" s="24">
        <v>5595</v>
      </c>
      <c r="AL54" s="24"/>
      <c r="AM54" s="24">
        <f>+'Gen Rev'!AI54-'Gen Exp'!AE54+'Gen Exp'!AI54-AK54</f>
        <v>0</v>
      </c>
      <c r="AN54" s="24"/>
    </row>
    <row r="55" spans="1:40" ht="12.75" hidden="1">
      <c r="A55" s="1" t="s">
        <v>208</v>
      </c>
      <c r="C55" s="23" t="s">
        <v>814</v>
      </c>
      <c r="D55" s="23"/>
      <c r="E55" s="10">
        <v>0</v>
      </c>
      <c r="G55" s="10">
        <v>0</v>
      </c>
      <c r="I55" s="10">
        <v>0</v>
      </c>
      <c r="K55" s="10">
        <v>0</v>
      </c>
      <c r="M55" s="10">
        <v>0</v>
      </c>
      <c r="O55" s="10">
        <v>0</v>
      </c>
      <c r="Q55" s="10">
        <v>0</v>
      </c>
      <c r="S55" s="10">
        <v>0</v>
      </c>
      <c r="U55" s="10">
        <v>0</v>
      </c>
      <c r="W55" s="10">
        <v>0</v>
      </c>
      <c r="Y55" s="10">
        <v>0</v>
      </c>
      <c r="AA55" s="10">
        <v>0</v>
      </c>
      <c r="AC55" s="10">
        <v>0</v>
      </c>
      <c r="AE55" s="10">
        <f t="shared" si="1"/>
        <v>0</v>
      </c>
      <c r="AF55" s="10"/>
      <c r="AM55" s="10">
        <f>+'Gen Rev'!AI55-'Gen Exp'!AE55+'Gen Exp'!AI55-AK55</f>
        <v>0</v>
      </c>
    </row>
    <row r="56" spans="1:40" ht="12.6" hidden="1" customHeight="1">
      <c r="A56" s="1" t="s">
        <v>279</v>
      </c>
      <c r="C56" s="1" t="s">
        <v>279</v>
      </c>
      <c r="E56" s="10">
        <v>0</v>
      </c>
      <c r="G56" s="10">
        <v>0</v>
      </c>
      <c r="I56" s="10">
        <v>0</v>
      </c>
      <c r="K56" s="10">
        <v>0</v>
      </c>
      <c r="M56" s="10">
        <v>0</v>
      </c>
      <c r="O56" s="10">
        <v>0</v>
      </c>
      <c r="Q56" s="10">
        <v>0</v>
      </c>
      <c r="S56" s="10">
        <v>0</v>
      </c>
      <c r="U56" s="10">
        <v>0</v>
      </c>
      <c r="W56" s="10">
        <v>0</v>
      </c>
      <c r="Y56" s="10">
        <v>0</v>
      </c>
      <c r="AA56" s="10">
        <v>0</v>
      </c>
      <c r="AC56" s="10">
        <v>0</v>
      </c>
      <c r="AE56" s="10">
        <f t="shared" si="1"/>
        <v>0</v>
      </c>
      <c r="AF56" s="10"/>
      <c r="AG56" s="46"/>
      <c r="AH56" s="46"/>
      <c r="AI56" s="46"/>
      <c r="AJ56" s="46"/>
      <c r="AK56" s="46"/>
      <c r="AL56" s="46"/>
      <c r="AM56" s="10">
        <f>+'Gen Rev'!AI56-'Gen Exp'!AE56+'Gen Exp'!AI56-AK56</f>
        <v>0</v>
      </c>
      <c r="AN56" s="46"/>
    </row>
    <row r="57" spans="1:40" ht="12.75" hidden="1">
      <c r="A57" s="1" t="s">
        <v>143</v>
      </c>
      <c r="C57" s="23" t="s">
        <v>795</v>
      </c>
      <c r="D57" s="23"/>
      <c r="E57" s="10">
        <v>0</v>
      </c>
      <c r="G57" s="10">
        <v>0</v>
      </c>
      <c r="I57" s="10">
        <v>0</v>
      </c>
      <c r="K57" s="10">
        <v>0</v>
      </c>
      <c r="M57" s="10">
        <v>0</v>
      </c>
      <c r="O57" s="10">
        <v>0</v>
      </c>
      <c r="Q57" s="10">
        <v>0</v>
      </c>
      <c r="S57" s="10">
        <v>0</v>
      </c>
      <c r="U57" s="10">
        <v>0</v>
      </c>
      <c r="W57" s="10">
        <v>0</v>
      </c>
      <c r="Y57" s="10">
        <v>0</v>
      </c>
      <c r="AA57" s="10">
        <v>0</v>
      </c>
      <c r="AC57" s="10">
        <v>0</v>
      </c>
      <c r="AE57" s="10">
        <f t="shared" si="1"/>
        <v>0</v>
      </c>
      <c r="AF57" s="10"/>
      <c r="AM57" s="10">
        <f>+'Gen Rev'!AI57-'Gen Exp'!AE57+'Gen Exp'!AI57-AK57</f>
        <v>0</v>
      </c>
    </row>
    <row r="58" spans="1:40" ht="12.6" customHeight="1">
      <c r="A58" s="1" t="s">
        <v>315</v>
      </c>
      <c r="C58" s="1" t="s">
        <v>316</v>
      </c>
      <c r="E58" s="10">
        <v>613367</v>
      </c>
      <c r="G58" s="10">
        <v>0</v>
      </c>
      <c r="I58" s="10">
        <v>0</v>
      </c>
      <c r="K58" s="10">
        <v>0</v>
      </c>
      <c r="M58" s="10">
        <v>65711</v>
      </c>
      <c r="O58" s="10">
        <v>216830</v>
      </c>
      <c r="Q58" s="10">
        <v>466758</v>
      </c>
      <c r="S58" s="10">
        <v>23161</v>
      </c>
      <c r="U58" s="10">
        <v>0</v>
      </c>
      <c r="W58" s="10">
        <v>0</v>
      </c>
      <c r="Y58" s="10">
        <v>252245</v>
      </c>
      <c r="AA58" s="10">
        <v>0</v>
      </c>
      <c r="AC58" s="10">
        <v>60000</v>
      </c>
      <c r="AE58" s="10">
        <f t="shared" si="1"/>
        <v>1698072</v>
      </c>
      <c r="AF58" s="10"/>
      <c r="AG58" s="46">
        <v>90033</v>
      </c>
      <c r="AH58" s="46"/>
      <c r="AI58" s="46">
        <v>1078653</v>
      </c>
      <c r="AJ58" s="46"/>
      <c r="AK58" s="46">
        <v>1168686</v>
      </c>
      <c r="AL58" s="46"/>
      <c r="AM58" s="10">
        <f>+'Gen Rev'!AI58-'Gen Exp'!AE58+'Gen Exp'!AI58-AK58</f>
        <v>0</v>
      </c>
      <c r="AN58" s="46"/>
    </row>
    <row r="59" spans="1:40" s="21" customFormat="1">
      <c r="A59" s="1" t="s">
        <v>900</v>
      </c>
      <c r="B59" s="1"/>
      <c r="C59" s="1" t="s">
        <v>388</v>
      </c>
      <c r="D59" s="1"/>
      <c r="E59" s="10">
        <v>3122</v>
      </c>
      <c r="F59" s="10"/>
      <c r="G59" s="10">
        <v>1272</v>
      </c>
      <c r="H59" s="10"/>
      <c r="I59" s="10">
        <v>6544</v>
      </c>
      <c r="J59" s="10"/>
      <c r="K59" s="10">
        <v>0</v>
      </c>
      <c r="L59" s="10"/>
      <c r="M59" s="10">
        <v>888</v>
      </c>
      <c r="N59" s="10"/>
      <c r="O59" s="10">
        <v>0</v>
      </c>
      <c r="P59" s="10"/>
      <c r="Q59" s="10">
        <v>36158</v>
      </c>
      <c r="R59" s="10"/>
      <c r="S59" s="10">
        <v>0</v>
      </c>
      <c r="T59" s="10"/>
      <c r="U59" s="10">
        <v>0</v>
      </c>
      <c r="V59" s="10"/>
      <c r="W59" s="10">
        <v>0</v>
      </c>
      <c r="X59" s="10"/>
      <c r="Y59" s="10">
        <v>0</v>
      </c>
      <c r="Z59" s="10"/>
      <c r="AA59" s="10">
        <v>0</v>
      </c>
      <c r="AB59" s="10"/>
      <c r="AC59" s="10">
        <v>0</v>
      </c>
      <c r="AD59" s="10"/>
      <c r="AE59" s="10">
        <f>SUM(E59:AC59)</f>
        <v>47984</v>
      </c>
      <c r="AF59" s="10"/>
      <c r="AG59" s="10">
        <v>7965</v>
      </c>
      <c r="AH59" s="10"/>
      <c r="AI59" s="10">
        <v>4322</v>
      </c>
      <c r="AJ59" s="10"/>
      <c r="AK59" s="10">
        <v>12287</v>
      </c>
      <c r="AL59" s="10"/>
      <c r="AM59" s="10">
        <f>+'Gen Rev'!AI59-'Gen Exp'!AE59+'Gen Exp'!AI59-AK59</f>
        <v>0</v>
      </c>
      <c r="AN59" s="10"/>
    </row>
    <row r="60" spans="1:40" s="21" customFormat="1" hidden="1">
      <c r="A60" s="1" t="s">
        <v>422</v>
      </c>
      <c r="B60" s="1"/>
      <c r="C60" s="1" t="s">
        <v>420</v>
      </c>
      <c r="D60" s="1"/>
      <c r="E60" s="10">
        <v>0</v>
      </c>
      <c r="F60" s="10"/>
      <c r="G60" s="10">
        <v>0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0</v>
      </c>
      <c r="R60" s="10"/>
      <c r="S60" s="10">
        <v>0</v>
      </c>
      <c r="T60" s="10"/>
      <c r="U60" s="10">
        <v>0</v>
      </c>
      <c r="V60" s="10"/>
      <c r="W60" s="10">
        <v>0</v>
      </c>
      <c r="X60" s="10"/>
      <c r="Y60" s="10">
        <v>0</v>
      </c>
      <c r="Z60" s="10"/>
      <c r="AA60" s="10">
        <v>0</v>
      </c>
      <c r="AB60" s="10"/>
      <c r="AC60" s="10">
        <v>0</v>
      </c>
      <c r="AD60" s="10"/>
      <c r="AE60" s="10">
        <f t="shared" si="1"/>
        <v>0</v>
      </c>
      <c r="AF60" s="10"/>
      <c r="AG60" s="10"/>
      <c r="AH60" s="10"/>
      <c r="AI60" s="10"/>
      <c r="AJ60" s="10"/>
      <c r="AK60" s="10"/>
      <c r="AL60" s="10"/>
      <c r="AM60" s="10">
        <f>+'Gen Rev'!AI60-'Gen Exp'!AE60+'Gen Exp'!AI60-AK60</f>
        <v>0</v>
      </c>
      <c r="AN60" s="10"/>
    </row>
    <row r="61" spans="1:40" s="21" customFormat="1" ht="12.75" hidden="1">
      <c r="A61" s="1" t="s">
        <v>139</v>
      </c>
      <c r="B61" s="1"/>
      <c r="C61" s="23" t="s">
        <v>793</v>
      </c>
      <c r="D61" s="23"/>
      <c r="E61" s="10">
        <v>0</v>
      </c>
      <c r="F61" s="10"/>
      <c r="G61" s="10">
        <v>0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0</v>
      </c>
      <c r="R61" s="10"/>
      <c r="S61" s="10">
        <v>0</v>
      </c>
      <c r="T61" s="10"/>
      <c r="U61" s="10">
        <v>0</v>
      </c>
      <c r="V61" s="10"/>
      <c r="W61" s="10">
        <v>0</v>
      </c>
      <c r="X61" s="10"/>
      <c r="Y61" s="10">
        <v>0</v>
      </c>
      <c r="Z61" s="10"/>
      <c r="AA61" s="10">
        <v>0</v>
      </c>
      <c r="AB61" s="10"/>
      <c r="AC61" s="10">
        <v>0</v>
      </c>
      <c r="AD61" s="10"/>
      <c r="AE61" s="10">
        <f t="shared" si="1"/>
        <v>0</v>
      </c>
      <c r="AF61" s="10"/>
      <c r="AG61" s="10"/>
      <c r="AH61" s="10"/>
      <c r="AI61" s="10"/>
      <c r="AJ61" s="10"/>
      <c r="AK61" s="10"/>
      <c r="AL61" s="10"/>
      <c r="AM61" s="10">
        <f>+'Gen Rev'!AI61-'Gen Exp'!AE61+'Gen Exp'!AI61-AK61</f>
        <v>0</v>
      </c>
      <c r="AN61" s="10"/>
    </row>
    <row r="62" spans="1:40" ht="12.75" hidden="1">
      <c r="A62" s="1" t="s">
        <v>59</v>
      </c>
      <c r="C62" s="23" t="s">
        <v>770</v>
      </c>
      <c r="D62" s="23"/>
      <c r="E62" s="10">
        <v>0</v>
      </c>
      <c r="G62" s="10">
        <v>0</v>
      </c>
      <c r="I62" s="10">
        <v>0</v>
      </c>
      <c r="K62" s="10">
        <v>0</v>
      </c>
      <c r="M62" s="10">
        <v>0</v>
      </c>
      <c r="O62" s="10">
        <v>0</v>
      </c>
      <c r="Q62" s="10">
        <v>0</v>
      </c>
      <c r="S62" s="10">
        <v>0</v>
      </c>
      <c r="U62" s="10">
        <v>0</v>
      </c>
      <c r="W62" s="10">
        <v>0</v>
      </c>
      <c r="Y62" s="10">
        <v>0</v>
      </c>
      <c r="AA62" s="10">
        <v>0</v>
      </c>
      <c r="AC62" s="10">
        <v>0</v>
      </c>
      <c r="AE62" s="10">
        <f t="shared" si="1"/>
        <v>0</v>
      </c>
      <c r="AF62" s="10"/>
      <c r="AG62" s="46"/>
      <c r="AH62" s="46"/>
      <c r="AI62" s="46"/>
      <c r="AJ62" s="46"/>
      <c r="AK62" s="46"/>
      <c r="AL62" s="46"/>
      <c r="AM62" s="10">
        <f>+'Gen Rev'!AI62-'Gen Exp'!AE62+'Gen Exp'!AI62-AK62</f>
        <v>0</v>
      </c>
      <c r="AN62" s="46"/>
    </row>
    <row r="63" spans="1:40" s="21" customFormat="1" ht="12.6" customHeight="1">
      <c r="A63" s="1" t="s">
        <v>296</v>
      </c>
      <c r="B63" s="1"/>
      <c r="C63" s="1" t="s">
        <v>295</v>
      </c>
      <c r="D63" s="1"/>
      <c r="E63" s="10">
        <v>402017</v>
      </c>
      <c r="F63" s="10"/>
      <c r="G63" s="10">
        <v>0</v>
      </c>
      <c r="H63" s="10"/>
      <c r="I63" s="10">
        <v>0</v>
      </c>
      <c r="J63" s="10"/>
      <c r="K63" s="10">
        <v>4479</v>
      </c>
      <c r="L63" s="10"/>
      <c r="M63" s="10">
        <v>0</v>
      </c>
      <c r="N63" s="10"/>
      <c r="O63" s="10">
        <v>61434</v>
      </c>
      <c r="P63" s="10"/>
      <c r="Q63" s="10">
        <v>207200</v>
      </c>
      <c r="R63" s="10"/>
      <c r="S63" s="10">
        <v>0</v>
      </c>
      <c r="T63" s="10"/>
      <c r="U63" s="10">
        <v>0</v>
      </c>
      <c r="V63" s="10"/>
      <c r="W63" s="10">
        <v>0</v>
      </c>
      <c r="X63" s="10"/>
      <c r="Y63" s="10">
        <v>103690</v>
      </c>
      <c r="Z63" s="10"/>
      <c r="AA63" s="10">
        <v>11550</v>
      </c>
      <c r="AB63" s="10"/>
      <c r="AC63" s="10">
        <v>0</v>
      </c>
      <c r="AD63" s="10"/>
      <c r="AE63" s="10">
        <f t="shared" si="1"/>
        <v>790370</v>
      </c>
      <c r="AF63" s="10"/>
      <c r="AG63" s="46">
        <v>-63580</v>
      </c>
      <c r="AH63" s="46"/>
      <c r="AI63" s="46">
        <v>89519</v>
      </c>
      <c r="AJ63" s="46"/>
      <c r="AK63" s="46">
        <v>25939</v>
      </c>
      <c r="AL63" s="46"/>
      <c r="AM63" s="10">
        <f>+'Gen Rev'!AI63-'Gen Exp'!AE63+'Gen Exp'!AI63-AK63</f>
        <v>0</v>
      </c>
      <c r="AN63" s="46"/>
    </row>
    <row r="64" spans="1:40" s="21" customFormat="1" ht="12.75" hidden="1">
      <c r="A64" s="1" t="s">
        <v>15</v>
      </c>
      <c r="B64" s="1"/>
      <c r="C64" s="23" t="s">
        <v>755</v>
      </c>
      <c r="D64" s="23"/>
      <c r="E64" s="10">
        <v>0</v>
      </c>
      <c r="F64" s="10"/>
      <c r="G64" s="10">
        <v>0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0</v>
      </c>
      <c r="R64" s="10"/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Z64" s="10"/>
      <c r="AA64" s="10">
        <v>0</v>
      </c>
      <c r="AB64" s="10"/>
      <c r="AC64" s="10">
        <v>0</v>
      </c>
      <c r="AD64" s="10"/>
      <c r="AE64" s="10">
        <f t="shared" si="1"/>
        <v>0</v>
      </c>
      <c r="AF64" s="10"/>
      <c r="AG64" s="46"/>
      <c r="AH64" s="46"/>
      <c r="AI64" s="46"/>
      <c r="AJ64" s="46"/>
      <c r="AK64" s="46"/>
      <c r="AL64" s="46"/>
      <c r="AM64" s="10">
        <f>+'Gen Rev'!AI64-'Gen Exp'!AE64+'Gen Exp'!AI64-AK64</f>
        <v>0</v>
      </c>
      <c r="AN64" s="46"/>
    </row>
    <row r="65" spans="1:40" s="31" customFormat="1" hidden="1">
      <c r="A65" s="15" t="s">
        <v>536</v>
      </c>
      <c r="B65" s="15"/>
      <c r="C65" s="15" t="s">
        <v>537</v>
      </c>
      <c r="D65" s="15"/>
      <c r="E65" s="10">
        <v>0</v>
      </c>
      <c r="F65" s="24"/>
      <c r="G65" s="10">
        <v>0</v>
      </c>
      <c r="H65" s="24"/>
      <c r="I65" s="10">
        <v>0</v>
      </c>
      <c r="J65" s="24"/>
      <c r="K65" s="10">
        <v>0</v>
      </c>
      <c r="L65" s="24"/>
      <c r="M65" s="10">
        <v>0</v>
      </c>
      <c r="N65" s="24"/>
      <c r="O65" s="10">
        <v>0</v>
      </c>
      <c r="P65" s="24"/>
      <c r="Q65" s="10">
        <v>0</v>
      </c>
      <c r="R65" s="24"/>
      <c r="S65" s="10">
        <v>0</v>
      </c>
      <c r="T65" s="24"/>
      <c r="U65" s="10">
        <v>0</v>
      </c>
      <c r="V65" s="24"/>
      <c r="W65" s="10">
        <v>0</v>
      </c>
      <c r="X65" s="24"/>
      <c r="Y65" s="10">
        <v>0</v>
      </c>
      <c r="Z65" s="24"/>
      <c r="AA65" s="10">
        <v>0</v>
      </c>
      <c r="AB65" s="24"/>
      <c r="AC65" s="10">
        <v>0</v>
      </c>
      <c r="AD65" s="24"/>
      <c r="AE65" s="24">
        <f t="shared" si="1"/>
        <v>0</v>
      </c>
      <c r="AF65" s="24"/>
      <c r="AG65" s="24"/>
      <c r="AH65" s="24"/>
      <c r="AI65" s="24"/>
      <c r="AJ65" s="24"/>
      <c r="AK65" s="24"/>
      <c r="AL65" s="24"/>
      <c r="AM65" s="10">
        <f>+'Gen Rev'!AI65-'Gen Exp'!AE65+'Gen Exp'!AI65-AK65</f>
        <v>0</v>
      </c>
      <c r="AN65" s="24"/>
    </row>
    <row r="66" spans="1:40">
      <c r="A66" s="1" t="s">
        <v>589</v>
      </c>
      <c r="C66" s="1" t="s">
        <v>590</v>
      </c>
      <c r="E66" s="10">
        <v>224782</v>
      </c>
      <c r="G66" s="10">
        <v>17294</v>
      </c>
      <c r="I66" s="10">
        <v>68207</v>
      </c>
      <c r="K66" s="10">
        <v>5160</v>
      </c>
      <c r="M66" s="10">
        <v>0</v>
      </c>
      <c r="O66" s="10">
        <v>0</v>
      </c>
      <c r="Q66" s="10">
        <v>201617</v>
      </c>
      <c r="S66" s="10">
        <v>0</v>
      </c>
      <c r="U66" s="10">
        <v>0</v>
      </c>
      <c r="W66" s="10">
        <v>0</v>
      </c>
      <c r="Y66" s="10">
        <v>130735</v>
      </c>
      <c r="AA66" s="10">
        <v>0</v>
      </c>
      <c r="AC66" s="10">
        <v>415</v>
      </c>
      <c r="AE66" s="10">
        <f t="shared" si="1"/>
        <v>648210</v>
      </c>
      <c r="AF66" s="10"/>
      <c r="AG66" s="10">
        <v>-35685</v>
      </c>
      <c r="AI66" s="10">
        <v>270550</v>
      </c>
      <c r="AK66" s="10">
        <v>234865</v>
      </c>
      <c r="AM66" s="10">
        <f>+'Gen Rev'!AI66-'Gen Exp'!AE66+'Gen Exp'!AI66-AK66</f>
        <v>0</v>
      </c>
    </row>
    <row r="67" spans="1:40" ht="12.75" hidden="1">
      <c r="A67" s="1" t="s">
        <v>252</v>
      </c>
      <c r="C67" s="23" t="s">
        <v>829</v>
      </c>
      <c r="D67" s="23"/>
      <c r="E67" s="10">
        <v>0</v>
      </c>
      <c r="G67" s="10">
        <v>0</v>
      </c>
      <c r="I67" s="10">
        <v>0</v>
      </c>
      <c r="K67" s="10">
        <v>0</v>
      </c>
      <c r="M67" s="10">
        <v>0</v>
      </c>
      <c r="O67" s="10">
        <v>0</v>
      </c>
      <c r="Q67" s="10">
        <v>0</v>
      </c>
      <c r="S67" s="10">
        <v>0</v>
      </c>
      <c r="U67" s="10">
        <v>0</v>
      </c>
      <c r="W67" s="10">
        <v>0</v>
      </c>
      <c r="Y67" s="10">
        <v>0</v>
      </c>
      <c r="AA67" s="10">
        <v>0</v>
      </c>
      <c r="AC67" s="10">
        <v>0</v>
      </c>
      <c r="AE67" s="10">
        <f t="shared" si="1"/>
        <v>0</v>
      </c>
      <c r="AF67" s="10"/>
      <c r="AM67" s="10">
        <f>+'Gen Rev'!AI67-'Gen Exp'!AE67+'Gen Exp'!AI67-AK67</f>
        <v>0</v>
      </c>
    </row>
    <row r="68" spans="1:40" s="19" customFormat="1">
      <c r="A68" s="10" t="s">
        <v>607</v>
      </c>
      <c r="B68" s="10"/>
      <c r="C68" s="10" t="s">
        <v>606</v>
      </c>
      <c r="D68" s="10"/>
      <c r="E68" s="10">
        <v>68216</v>
      </c>
      <c r="F68" s="10"/>
      <c r="G68" s="10">
        <v>297</v>
      </c>
      <c r="H68" s="10"/>
      <c r="I68" s="10">
        <v>12803</v>
      </c>
      <c r="J68" s="10"/>
      <c r="K68" s="10">
        <v>0</v>
      </c>
      <c r="L68" s="10"/>
      <c r="M68" s="10">
        <v>0</v>
      </c>
      <c r="N68" s="10"/>
      <c r="O68" s="10">
        <v>0</v>
      </c>
      <c r="P68" s="10"/>
      <c r="Q68" s="10">
        <v>87553</v>
      </c>
      <c r="R68" s="10"/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Z68" s="10"/>
      <c r="AA68" s="10">
        <v>32588</v>
      </c>
      <c r="AB68" s="10"/>
      <c r="AC68" s="10">
        <v>0</v>
      </c>
      <c r="AD68" s="10"/>
      <c r="AE68" s="10">
        <f t="shared" si="1"/>
        <v>201457</v>
      </c>
      <c r="AF68" s="10"/>
      <c r="AG68" s="10">
        <v>-7468</v>
      </c>
      <c r="AH68" s="10"/>
      <c r="AI68" s="10">
        <v>51905</v>
      </c>
      <c r="AJ68" s="10"/>
      <c r="AK68" s="10">
        <v>44437</v>
      </c>
      <c r="AL68" s="10"/>
      <c r="AM68" s="10">
        <f>+'Gen Rev'!AI68-'Gen Exp'!AE68+'Gen Exp'!AI68-AK68</f>
        <v>0</v>
      </c>
      <c r="AN68" s="10"/>
    </row>
    <row r="69" spans="1:40" s="21" customFormat="1" ht="12.75" hidden="1">
      <c r="A69" s="1" t="s">
        <v>68</v>
      </c>
      <c r="B69" s="1"/>
      <c r="C69" s="23" t="s">
        <v>772</v>
      </c>
      <c r="D69" s="23"/>
      <c r="E69" s="10">
        <v>0</v>
      </c>
      <c r="F69" s="10"/>
      <c r="G69" s="10">
        <v>0</v>
      </c>
      <c r="H69" s="10"/>
      <c r="I69" s="10">
        <v>0</v>
      </c>
      <c r="J69" s="10"/>
      <c r="K69" s="10">
        <v>0</v>
      </c>
      <c r="L69" s="10"/>
      <c r="M69" s="10">
        <v>0</v>
      </c>
      <c r="N69" s="10"/>
      <c r="O69" s="10">
        <v>0</v>
      </c>
      <c r="P69" s="10"/>
      <c r="Q69" s="10">
        <v>0</v>
      </c>
      <c r="R69" s="10"/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Z69" s="10"/>
      <c r="AA69" s="10">
        <v>0</v>
      </c>
      <c r="AB69" s="10"/>
      <c r="AC69" s="10">
        <v>0</v>
      </c>
      <c r="AD69" s="10"/>
      <c r="AE69" s="10">
        <f t="shared" si="1"/>
        <v>0</v>
      </c>
      <c r="AF69" s="10"/>
      <c r="AG69" s="46"/>
      <c r="AH69" s="46"/>
      <c r="AI69" s="46"/>
      <c r="AJ69" s="46"/>
      <c r="AK69" s="46"/>
      <c r="AL69" s="46"/>
      <c r="AM69" s="10">
        <f>+'Gen Rev'!AI69-'Gen Exp'!AE69+'Gen Exp'!AI69-AK69</f>
        <v>0</v>
      </c>
      <c r="AN69" s="46"/>
    </row>
    <row r="70" spans="1:40" s="21" customFormat="1" ht="12.75" hidden="1">
      <c r="A70" s="1" t="s">
        <v>115</v>
      </c>
      <c r="B70" s="1"/>
      <c r="C70" s="23" t="s">
        <v>786</v>
      </c>
      <c r="D70" s="23"/>
      <c r="E70" s="10">
        <v>0</v>
      </c>
      <c r="F70" s="10"/>
      <c r="G70" s="10">
        <v>0</v>
      </c>
      <c r="H70" s="10"/>
      <c r="I70" s="10">
        <v>0</v>
      </c>
      <c r="J70" s="10"/>
      <c r="K70" s="10">
        <v>0</v>
      </c>
      <c r="L70" s="10"/>
      <c r="M70" s="10">
        <v>0</v>
      </c>
      <c r="N70" s="10"/>
      <c r="O70" s="10">
        <v>0</v>
      </c>
      <c r="P70" s="10"/>
      <c r="Q70" s="10">
        <v>0</v>
      </c>
      <c r="R70" s="10"/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Z70" s="10"/>
      <c r="AA70" s="10">
        <v>0</v>
      </c>
      <c r="AB70" s="10"/>
      <c r="AC70" s="10">
        <v>0</v>
      </c>
      <c r="AD70" s="10"/>
      <c r="AE70" s="10">
        <f t="shared" si="1"/>
        <v>0</v>
      </c>
      <c r="AF70" s="10"/>
      <c r="AG70" s="10"/>
      <c r="AH70" s="10"/>
      <c r="AI70" s="10"/>
      <c r="AJ70" s="10"/>
      <c r="AK70" s="10"/>
      <c r="AL70" s="10"/>
      <c r="AM70" s="10">
        <f>+'Gen Rev'!AI70-'Gen Exp'!AE70+'Gen Exp'!AI70-AK70</f>
        <v>0</v>
      </c>
      <c r="AN70" s="10"/>
    </row>
    <row r="71" spans="1:40">
      <c r="A71" s="1" t="s">
        <v>538</v>
      </c>
      <c r="C71" s="1" t="s">
        <v>537</v>
      </c>
      <c r="E71" s="10">
        <v>9271</v>
      </c>
      <c r="G71" s="10">
        <v>1786</v>
      </c>
      <c r="I71" s="10">
        <v>2098</v>
      </c>
      <c r="K71" s="10">
        <v>2</v>
      </c>
      <c r="M71" s="10">
        <v>7543</v>
      </c>
      <c r="O71" s="10">
        <v>26811</v>
      </c>
      <c r="Q71" s="10">
        <v>44469</v>
      </c>
      <c r="S71" s="10">
        <v>23341</v>
      </c>
      <c r="U71" s="10">
        <v>0</v>
      </c>
      <c r="W71" s="10">
        <v>0</v>
      </c>
      <c r="Y71" s="10">
        <v>60000</v>
      </c>
      <c r="AA71" s="10">
        <v>0</v>
      </c>
      <c r="AC71" s="10">
        <v>0</v>
      </c>
      <c r="AE71" s="10">
        <f t="shared" si="1"/>
        <v>175321</v>
      </c>
      <c r="AF71" s="10"/>
      <c r="AG71" s="10">
        <v>-23704</v>
      </c>
      <c r="AI71" s="10">
        <v>185409</v>
      </c>
      <c r="AK71" s="10">
        <v>161705</v>
      </c>
      <c r="AM71" s="10">
        <f>+'Gen Rev'!AI71-'Gen Exp'!AE71+'Gen Exp'!AI71-AK71</f>
        <v>0</v>
      </c>
    </row>
    <row r="72" spans="1:40" s="21" customFormat="1" ht="12.6" customHeight="1">
      <c r="A72" s="1" t="s">
        <v>688</v>
      </c>
      <c r="B72" s="1"/>
      <c r="C72" s="1" t="s">
        <v>689</v>
      </c>
      <c r="D72" s="1"/>
      <c r="E72" s="10">
        <v>705063</v>
      </c>
      <c r="F72" s="10"/>
      <c r="G72" s="10">
        <v>32297</v>
      </c>
      <c r="H72" s="10"/>
      <c r="I72" s="10">
        <v>114887</v>
      </c>
      <c r="J72" s="10"/>
      <c r="K72" s="10">
        <v>0</v>
      </c>
      <c r="L72" s="10"/>
      <c r="M72" s="10">
        <v>56017</v>
      </c>
      <c r="N72" s="10"/>
      <c r="O72" s="10">
        <v>44228</v>
      </c>
      <c r="P72" s="10"/>
      <c r="Q72" s="10">
        <v>476398</v>
      </c>
      <c r="R72" s="10"/>
      <c r="S72" s="10">
        <v>257269</v>
      </c>
      <c r="T72" s="10"/>
      <c r="U72" s="10">
        <v>0</v>
      </c>
      <c r="V72" s="10"/>
      <c r="W72" s="10">
        <v>0</v>
      </c>
      <c r="X72" s="10"/>
      <c r="Y72" s="10">
        <v>927084</v>
      </c>
      <c r="Z72" s="10"/>
      <c r="AA72" s="10">
        <v>15000</v>
      </c>
      <c r="AB72" s="10"/>
      <c r="AC72" s="10">
        <v>0</v>
      </c>
      <c r="AD72" s="10"/>
      <c r="AE72" s="10">
        <f t="shared" si="1"/>
        <v>2628243</v>
      </c>
      <c r="AF72" s="10"/>
      <c r="AG72" s="10">
        <v>-286816</v>
      </c>
      <c r="AH72" s="10"/>
      <c r="AI72" s="10">
        <v>1735280</v>
      </c>
      <c r="AJ72" s="10"/>
      <c r="AK72" s="10">
        <f>-285816+1735280+1</f>
        <v>1449465</v>
      </c>
      <c r="AL72" s="10"/>
      <c r="AM72" s="10">
        <f>+'Gen Rev'!AI72-'Gen Exp'!AE72+'Gen Exp'!AI72-AK72</f>
        <v>0</v>
      </c>
      <c r="AN72" s="10"/>
    </row>
    <row r="73" spans="1:40" s="21" customFormat="1">
      <c r="A73" s="1" t="s">
        <v>567</v>
      </c>
      <c r="B73" s="1"/>
      <c r="C73" s="1" t="s">
        <v>565</v>
      </c>
      <c r="D73" s="1"/>
      <c r="E73" s="10">
        <v>65965</v>
      </c>
      <c r="F73" s="10"/>
      <c r="G73" s="10">
        <v>0</v>
      </c>
      <c r="H73" s="10"/>
      <c r="I73" s="10">
        <v>14303</v>
      </c>
      <c r="J73" s="10"/>
      <c r="K73" s="10">
        <v>6150</v>
      </c>
      <c r="L73" s="10"/>
      <c r="M73" s="10">
        <v>39950</v>
      </c>
      <c r="N73" s="10"/>
      <c r="O73" s="10">
        <v>3208</v>
      </c>
      <c r="P73" s="10"/>
      <c r="Q73" s="10">
        <v>67312</v>
      </c>
      <c r="R73" s="10"/>
      <c r="S73" s="10">
        <v>0</v>
      </c>
      <c r="T73" s="10"/>
      <c r="U73" s="10">
        <v>53244</v>
      </c>
      <c r="V73" s="10"/>
      <c r="W73" s="10">
        <v>0</v>
      </c>
      <c r="X73" s="10"/>
      <c r="Y73" s="10">
        <v>0</v>
      </c>
      <c r="Z73" s="10"/>
      <c r="AA73" s="10">
        <v>0</v>
      </c>
      <c r="AB73" s="10"/>
      <c r="AC73" s="10">
        <v>0</v>
      </c>
      <c r="AD73" s="10"/>
      <c r="AE73" s="10">
        <f>SUM(E73:AC73)</f>
        <v>250132</v>
      </c>
      <c r="AF73" s="10"/>
      <c r="AG73" s="10">
        <v>-41252</v>
      </c>
      <c r="AH73" s="10"/>
      <c r="AI73" s="10">
        <v>66200</v>
      </c>
      <c r="AJ73" s="10"/>
      <c r="AK73" s="10">
        <v>24948</v>
      </c>
      <c r="AL73" s="10"/>
      <c r="AM73" s="10">
        <f>+'Gen Rev'!AI73-'Gen Exp'!AE73+'Gen Exp'!AI73-AK73</f>
        <v>0</v>
      </c>
      <c r="AN73" s="10"/>
    </row>
    <row r="74" spans="1:40">
      <c r="A74" s="1" t="s">
        <v>553</v>
      </c>
      <c r="C74" s="1" t="s">
        <v>554</v>
      </c>
      <c r="E74" s="10">
        <v>826293</v>
      </c>
      <c r="G74" s="10">
        <v>23767</v>
      </c>
      <c r="I74" s="10">
        <v>0</v>
      </c>
      <c r="K74" s="10">
        <v>20091</v>
      </c>
      <c r="M74" s="10">
        <v>8165</v>
      </c>
      <c r="O74" s="10">
        <v>180072</v>
      </c>
      <c r="Q74" s="10">
        <f>155047+34169+13896</f>
        <v>203112</v>
      </c>
      <c r="S74" s="10">
        <v>224106</v>
      </c>
      <c r="U74" s="10">
        <v>0</v>
      </c>
      <c r="W74" s="10">
        <v>0</v>
      </c>
      <c r="Y74" s="10">
        <v>0</v>
      </c>
      <c r="AA74" s="10">
        <v>0</v>
      </c>
      <c r="AC74" s="10">
        <v>0</v>
      </c>
      <c r="AE74" s="10">
        <f t="shared" si="1"/>
        <v>1485606</v>
      </c>
      <c r="AF74" s="10"/>
      <c r="AG74" s="10">
        <v>-115225</v>
      </c>
      <c r="AI74" s="10">
        <v>633641</v>
      </c>
      <c r="AK74" s="10">
        <v>518416</v>
      </c>
      <c r="AM74" s="10">
        <f>+'Gen Rev'!AI74-'Gen Exp'!AE74+'Gen Exp'!AI74-AK74</f>
        <v>0</v>
      </c>
    </row>
    <row r="75" spans="1:40" hidden="1">
      <c r="AE75" s="10" t="s">
        <v>869</v>
      </c>
      <c r="AF75" s="10"/>
    </row>
    <row r="76" spans="1:40" s="19" customFormat="1">
      <c r="A76" s="10" t="s">
        <v>540</v>
      </c>
      <c r="B76" s="10"/>
      <c r="C76" s="10" t="s">
        <v>541</v>
      </c>
      <c r="D76" s="10"/>
      <c r="E76" s="10">
        <v>197150</v>
      </c>
      <c r="F76" s="10"/>
      <c r="G76" s="10">
        <v>4483</v>
      </c>
      <c r="H76" s="10"/>
      <c r="I76" s="10">
        <v>55066</v>
      </c>
      <c r="J76" s="10"/>
      <c r="K76" s="10">
        <v>1225</v>
      </c>
      <c r="L76" s="10"/>
      <c r="M76" s="10">
        <v>0</v>
      </c>
      <c r="N76" s="10"/>
      <c r="O76" s="10">
        <v>0</v>
      </c>
      <c r="P76" s="10"/>
      <c r="Q76" s="10">
        <v>271144</v>
      </c>
      <c r="R76" s="10"/>
      <c r="S76" s="10">
        <v>14511</v>
      </c>
      <c r="T76" s="10"/>
      <c r="U76" s="10">
        <v>0</v>
      </c>
      <c r="V76" s="10"/>
      <c r="W76" s="10">
        <v>0</v>
      </c>
      <c r="X76" s="10"/>
      <c r="Y76" s="10">
        <v>6000</v>
      </c>
      <c r="Z76" s="10"/>
      <c r="AA76" s="10">
        <v>0</v>
      </c>
      <c r="AB76" s="10"/>
      <c r="AC76" s="10">
        <v>0</v>
      </c>
      <c r="AD76" s="10"/>
      <c r="AE76" s="10">
        <f t="shared" si="1"/>
        <v>549579</v>
      </c>
      <c r="AF76" s="10"/>
      <c r="AG76" s="10">
        <v>40789</v>
      </c>
      <c r="AH76" s="10"/>
      <c r="AI76" s="10">
        <v>133628</v>
      </c>
      <c r="AJ76" s="10"/>
      <c r="AK76" s="10">
        <v>174417</v>
      </c>
      <c r="AL76" s="10"/>
      <c r="AM76" s="10">
        <f>+'Gen Rev'!AI75-'Gen Exp'!AE76+'Gen Exp'!AI76-AK76</f>
        <v>0</v>
      </c>
      <c r="AN76" s="10"/>
    </row>
    <row r="77" spans="1:40" s="21" customFormat="1" hidden="1">
      <c r="A77" s="1" t="s">
        <v>402</v>
      </c>
      <c r="B77" s="1"/>
      <c r="C77" s="1" t="s">
        <v>403</v>
      </c>
      <c r="D77" s="1"/>
      <c r="E77" s="10">
        <v>0</v>
      </c>
      <c r="F77" s="10"/>
      <c r="G77" s="10">
        <v>0</v>
      </c>
      <c r="H77" s="10"/>
      <c r="I77" s="10">
        <v>0</v>
      </c>
      <c r="J77" s="10"/>
      <c r="K77" s="10">
        <v>0</v>
      </c>
      <c r="L77" s="10"/>
      <c r="M77" s="10">
        <v>0</v>
      </c>
      <c r="N77" s="10"/>
      <c r="O77" s="10">
        <v>0</v>
      </c>
      <c r="P77" s="10"/>
      <c r="Q77" s="10">
        <v>0</v>
      </c>
      <c r="R77" s="10"/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Z77" s="10"/>
      <c r="AA77" s="10">
        <v>0</v>
      </c>
      <c r="AB77" s="10"/>
      <c r="AC77" s="10">
        <v>0</v>
      </c>
      <c r="AD77" s="10"/>
      <c r="AE77" s="10">
        <f t="shared" si="1"/>
        <v>0</v>
      </c>
      <c r="AF77" s="10"/>
      <c r="AG77" s="10"/>
      <c r="AH77" s="10"/>
      <c r="AI77" s="10"/>
      <c r="AJ77" s="10"/>
      <c r="AK77" s="10"/>
      <c r="AL77" s="10"/>
      <c r="AM77" s="10">
        <f>+'Gen Rev'!AI76-'Gen Exp'!AE77+'Gen Exp'!AI77-AK77</f>
        <v>0</v>
      </c>
      <c r="AN77" s="10"/>
    </row>
    <row r="78" spans="1:40" s="21" customFormat="1" ht="12.75" hidden="1">
      <c r="A78" s="1" t="s">
        <v>83</v>
      </c>
      <c r="B78" s="1"/>
      <c r="C78" s="23" t="s">
        <v>776</v>
      </c>
      <c r="D78" s="23"/>
      <c r="E78" s="10">
        <v>0</v>
      </c>
      <c r="F78" s="10"/>
      <c r="G78" s="10">
        <v>0</v>
      </c>
      <c r="H78" s="10"/>
      <c r="I78" s="10">
        <v>0</v>
      </c>
      <c r="J78" s="10"/>
      <c r="K78" s="10">
        <v>0</v>
      </c>
      <c r="L78" s="10"/>
      <c r="M78" s="10">
        <v>0</v>
      </c>
      <c r="N78" s="10"/>
      <c r="O78" s="10">
        <v>0</v>
      </c>
      <c r="P78" s="10"/>
      <c r="Q78" s="10">
        <v>0</v>
      </c>
      <c r="R78" s="10"/>
      <c r="S78" s="10">
        <v>0</v>
      </c>
      <c r="T78" s="10"/>
      <c r="U78" s="10">
        <v>0</v>
      </c>
      <c r="V78" s="10"/>
      <c r="W78" s="10">
        <v>0</v>
      </c>
      <c r="X78" s="10"/>
      <c r="Y78" s="10">
        <v>0</v>
      </c>
      <c r="Z78" s="10"/>
      <c r="AA78" s="10">
        <v>0</v>
      </c>
      <c r="AB78" s="10"/>
      <c r="AC78" s="10">
        <v>0</v>
      </c>
      <c r="AD78" s="10"/>
      <c r="AE78" s="10">
        <f t="shared" si="1"/>
        <v>0</v>
      </c>
      <c r="AF78" s="10"/>
      <c r="AG78" s="10"/>
      <c r="AH78" s="10"/>
      <c r="AI78" s="10"/>
      <c r="AJ78" s="10"/>
      <c r="AK78" s="10"/>
      <c r="AL78" s="10"/>
      <c r="AM78" s="10">
        <f>+'Gen Rev'!AI77-'Gen Exp'!AE78+'Gen Exp'!AI78-AK78</f>
        <v>0</v>
      </c>
      <c r="AN78" s="10"/>
    </row>
    <row r="79" spans="1:40">
      <c r="A79" s="1" t="s">
        <v>472</v>
      </c>
      <c r="C79" s="1" t="s">
        <v>931</v>
      </c>
      <c r="E79" s="10">
        <v>147028</v>
      </c>
      <c r="G79" s="10">
        <v>0</v>
      </c>
      <c r="I79" s="10">
        <v>52143</v>
      </c>
      <c r="K79" s="10">
        <v>0</v>
      </c>
      <c r="M79" s="10">
        <v>0</v>
      </c>
      <c r="O79" s="10">
        <v>0</v>
      </c>
      <c r="Q79" s="10">
        <v>279035</v>
      </c>
      <c r="S79" s="10">
        <v>0</v>
      </c>
      <c r="U79" s="10">
        <v>0</v>
      </c>
      <c r="W79" s="10">
        <v>0</v>
      </c>
      <c r="Y79" s="10">
        <v>0</v>
      </c>
      <c r="AA79" s="10">
        <v>0</v>
      </c>
      <c r="AC79" s="10">
        <v>0</v>
      </c>
      <c r="AE79" s="10">
        <f t="shared" si="1"/>
        <v>478206</v>
      </c>
      <c r="AF79" s="10"/>
      <c r="AG79" s="10">
        <v>-26688</v>
      </c>
      <c r="AI79" s="10">
        <v>165077</v>
      </c>
      <c r="AK79" s="10">
        <v>138389</v>
      </c>
      <c r="AM79" s="10">
        <f>+'Gen Rev'!AI78-'Gen Exp'!AE79+'Gen Exp'!AI79-AK79</f>
        <v>0</v>
      </c>
    </row>
    <row r="80" spans="1:40" s="21" customFormat="1">
      <c r="A80" s="1" t="s">
        <v>608</v>
      </c>
      <c r="B80" s="1"/>
      <c r="C80" s="1" t="s">
        <v>606</v>
      </c>
      <c r="D80" s="1"/>
      <c r="E80" s="10">
        <v>73437</v>
      </c>
      <c r="F80" s="10"/>
      <c r="G80" s="10">
        <v>9392</v>
      </c>
      <c r="H80" s="10"/>
      <c r="I80" s="10">
        <v>0</v>
      </c>
      <c r="J80" s="10"/>
      <c r="K80" s="10">
        <v>5668</v>
      </c>
      <c r="L80" s="10"/>
      <c r="M80" s="10">
        <v>25708</v>
      </c>
      <c r="N80" s="10"/>
      <c r="O80" s="10">
        <v>17982</v>
      </c>
      <c r="P80" s="10"/>
      <c r="Q80" s="10">
        <v>123207</v>
      </c>
      <c r="R80" s="10"/>
      <c r="S80" s="10">
        <v>20334</v>
      </c>
      <c r="T80" s="10"/>
      <c r="U80" s="10">
        <v>0</v>
      </c>
      <c r="V80" s="10"/>
      <c r="W80" s="10">
        <v>0</v>
      </c>
      <c r="X80" s="10"/>
      <c r="Y80" s="10">
        <v>24302</v>
      </c>
      <c r="Z80" s="10"/>
      <c r="AA80" s="10">
        <v>0</v>
      </c>
      <c r="AB80" s="10"/>
      <c r="AC80" s="10">
        <v>1563</v>
      </c>
      <c r="AD80" s="10"/>
      <c r="AE80" s="10">
        <f t="shared" si="1"/>
        <v>301593</v>
      </c>
      <c r="AF80" s="10"/>
      <c r="AG80" s="10">
        <v>14680</v>
      </c>
      <c r="AH80" s="10"/>
      <c r="AI80" s="10">
        <v>219403</v>
      </c>
      <c r="AJ80" s="10"/>
      <c r="AK80" s="10">
        <v>234083</v>
      </c>
      <c r="AL80" s="10"/>
      <c r="AM80" s="10">
        <f>+'Gen Rev'!AI79-'Gen Exp'!AE80+'Gen Exp'!AI80-AK80</f>
        <v>0</v>
      </c>
      <c r="AN80" s="10"/>
    </row>
    <row r="81" spans="1:40" s="21" customFormat="1" ht="12.6" customHeight="1">
      <c r="A81" s="1" t="s">
        <v>903</v>
      </c>
      <c r="B81" s="1"/>
      <c r="C81" s="1" t="s">
        <v>259</v>
      </c>
      <c r="D81" s="1"/>
      <c r="E81" s="10">
        <v>93562</v>
      </c>
      <c r="F81" s="10"/>
      <c r="G81" s="10">
        <v>0</v>
      </c>
      <c r="H81" s="10"/>
      <c r="I81" s="10">
        <v>1772</v>
      </c>
      <c r="J81" s="10"/>
      <c r="K81" s="10">
        <v>2284</v>
      </c>
      <c r="L81" s="10"/>
      <c r="M81" s="10">
        <v>0</v>
      </c>
      <c r="N81" s="10"/>
      <c r="O81" s="10">
        <v>0</v>
      </c>
      <c r="P81" s="10"/>
      <c r="Q81" s="10">
        <f>98018+17924+17256</f>
        <v>133198</v>
      </c>
      <c r="R81" s="10"/>
      <c r="S81" s="10">
        <v>0</v>
      </c>
      <c r="T81" s="10"/>
      <c r="U81" s="10">
        <v>0</v>
      </c>
      <c r="V81" s="10"/>
      <c r="W81" s="10">
        <v>0</v>
      </c>
      <c r="X81" s="10"/>
      <c r="Y81" s="10">
        <v>17000</v>
      </c>
      <c r="Z81" s="10"/>
      <c r="AA81" s="10">
        <v>0</v>
      </c>
      <c r="AB81" s="10"/>
      <c r="AC81" s="10">
        <v>0</v>
      </c>
      <c r="AD81" s="10"/>
      <c r="AE81" s="10">
        <f>SUM(E81:AC81)</f>
        <v>247816</v>
      </c>
      <c r="AF81" s="10"/>
      <c r="AG81" s="46">
        <v>1149</v>
      </c>
      <c r="AH81" s="46"/>
      <c r="AI81" s="46">
        <v>40981</v>
      </c>
      <c r="AJ81" s="46"/>
      <c r="AK81" s="46">
        <v>42131</v>
      </c>
      <c r="AL81" s="46"/>
      <c r="AM81" s="10">
        <f>+'Gen Rev'!AI80-'Gen Exp'!AE81+'Gen Exp'!AI81-AK81</f>
        <v>0</v>
      </c>
      <c r="AN81" s="46"/>
    </row>
    <row r="82" spans="1:40" s="21" customFormat="1" ht="12.6" hidden="1" customHeight="1">
      <c r="A82" s="1" t="s">
        <v>317</v>
      </c>
      <c r="B82" s="1"/>
      <c r="C82" s="1" t="s">
        <v>316</v>
      </c>
      <c r="D82" s="1"/>
      <c r="E82" s="10">
        <v>0</v>
      </c>
      <c r="F82" s="10"/>
      <c r="G82" s="10">
        <v>0</v>
      </c>
      <c r="H82" s="10"/>
      <c r="I82" s="10">
        <v>0</v>
      </c>
      <c r="J82" s="10"/>
      <c r="K82" s="10">
        <v>0</v>
      </c>
      <c r="L82" s="10"/>
      <c r="M82" s="10">
        <v>0</v>
      </c>
      <c r="N82" s="10"/>
      <c r="O82" s="10">
        <v>0</v>
      </c>
      <c r="P82" s="10"/>
      <c r="Q82" s="10">
        <v>0</v>
      </c>
      <c r="R82" s="10"/>
      <c r="S82" s="10">
        <v>0</v>
      </c>
      <c r="T82" s="10"/>
      <c r="U82" s="10">
        <v>0</v>
      </c>
      <c r="V82" s="10"/>
      <c r="W82" s="10">
        <v>0</v>
      </c>
      <c r="X82" s="10"/>
      <c r="Y82" s="10">
        <v>0</v>
      </c>
      <c r="Z82" s="10"/>
      <c r="AA82" s="10">
        <v>0</v>
      </c>
      <c r="AB82" s="10"/>
      <c r="AC82" s="10">
        <v>0</v>
      </c>
      <c r="AD82" s="10"/>
      <c r="AE82" s="10">
        <f t="shared" si="1"/>
        <v>0</v>
      </c>
      <c r="AF82" s="10"/>
      <c r="AG82" s="46"/>
      <c r="AH82" s="46"/>
      <c r="AI82" s="46"/>
      <c r="AJ82" s="46"/>
      <c r="AK82" s="46"/>
      <c r="AL82" s="46"/>
      <c r="AM82" s="10">
        <f>+'Gen Rev'!AI81-'Gen Exp'!AE82+'Gen Exp'!AI82-AK82</f>
        <v>0</v>
      </c>
      <c r="AN82" s="46"/>
    </row>
    <row r="83" spans="1:40" s="10" customFormat="1" ht="12.6" hidden="1" customHeight="1">
      <c r="A83" s="10" t="s">
        <v>61</v>
      </c>
      <c r="C83" s="56" t="s">
        <v>771</v>
      </c>
      <c r="D83" s="56"/>
      <c r="E83" s="10">
        <v>0</v>
      </c>
      <c r="G83" s="10">
        <v>0</v>
      </c>
      <c r="I83" s="10">
        <v>0</v>
      </c>
      <c r="K83" s="10">
        <v>0</v>
      </c>
      <c r="M83" s="10">
        <v>0</v>
      </c>
      <c r="O83" s="10">
        <v>0</v>
      </c>
      <c r="Q83" s="10">
        <v>0</v>
      </c>
      <c r="S83" s="10">
        <v>0</v>
      </c>
      <c r="U83" s="10">
        <v>0</v>
      </c>
      <c r="W83" s="10">
        <v>0</v>
      </c>
      <c r="Y83" s="10">
        <v>0</v>
      </c>
      <c r="AA83" s="10">
        <v>0</v>
      </c>
      <c r="AC83" s="10">
        <v>0</v>
      </c>
      <c r="AE83" s="10">
        <f t="shared" si="1"/>
        <v>0</v>
      </c>
      <c r="AG83" s="46"/>
      <c r="AH83" s="46"/>
      <c r="AI83" s="46"/>
      <c r="AJ83" s="46"/>
      <c r="AK83" s="46"/>
      <c r="AL83" s="46"/>
      <c r="AM83" s="10">
        <f>+'Gen Rev'!AI82-'Gen Exp'!AE83+'Gen Exp'!AI83-AK83</f>
        <v>0</v>
      </c>
      <c r="AN83" s="46"/>
    </row>
    <row r="84" spans="1:40" s="21" customFormat="1">
      <c r="A84" s="1" t="s">
        <v>546</v>
      </c>
      <c r="B84" s="1"/>
      <c r="C84" s="1" t="s">
        <v>545</v>
      </c>
      <c r="D84" s="1"/>
      <c r="E84" s="10">
        <v>402953</v>
      </c>
      <c r="F84" s="10"/>
      <c r="G84" s="10">
        <v>7965</v>
      </c>
      <c r="H84" s="10"/>
      <c r="I84" s="10">
        <v>0</v>
      </c>
      <c r="J84" s="10"/>
      <c r="K84" s="10">
        <v>2147</v>
      </c>
      <c r="L84" s="10"/>
      <c r="M84" s="10">
        <v>6466</v>
      </c>
      <c r="N84" s="10"/>
      <c r="O84" s="10">
        <v>39409</v>
      </c>
      <c r="P84" s="10"/>
      <c r="Q84" s="10">
        <v>173454</v>
      </c>
      <c r="R84" s="10"/>
      <c r="S84" s="10">
        <v>18476</v>
      </c>
      <c r="T84" s="10"/>
      <c r="U84" s="10">
        <v>0</v>
      </c>
      <c r="V84" s="10"/>
      <c r="W84" s="10">
        <v>0</v>
      </c>
      <c r="X84" s="10"/>
      <c r="Y84" s="10">
        <v>139000</v>
      </c>
      <c r="Z84" s="10"/>
      <c r="AA84" s="10">
        <v>0</v>
      </c>
      <c r="AB84" s="10"/>
      <c r="AC84" s="10">
        <v>40345</v>
      </c>
      <c r="AD84" s="10"/>
      <c r="AE84" s="10">
        <f t="shared" si="1"/>
        <v>830215</v>
      </c>
      <c r="AF84" s="10"/>
      <c r="AG84" s="10">
        <v>-1837</v>
      </c>
      <c r="AH84" s="10"/>
      <c r="AI84" s="10">
        <v>108629</v>
      </c>
      <c r="AJ84" s="10"/>
      <c r="AK84" s="10">
        <v>106792</v>
      </c>
      <c r="AL84" s="10"/>
      <c r="AM84" s="10">
        <f>+'Gen Rev'!AI84-'Gen Exp'!AE84+'Gen Exp'!AI84-AK84</f>
        <v>0</v>
      </c>
      <c r="AN84" s="10"/>
    </row>
    <row r="85" spans="1:40" ht="12.75" hidden="1">
      <c r="A85" s="1" t="s">
        <v>72</v>
      </c>
      <c r="C85" s="23" t="s">
        <v>773</v>
      </c>
      <c r="D85" s="23"/>
      <c r="E85" s="10">
        <v>0</v>
      </c>
      <c r="G85" s="10">
        <v>0</v>
      </c>
      <c r="I85" s="10">
        <v>0</v>
      </c>
      <c r="K85" s="10">
        <v>0</v>
      </c>
      <c r="M85" s="10">
        <v>0</v>
      </c>
      <c r="O85" s="10">
        <v>0</v>
      </c>
      <c r="Q85" s="10">
        <v>0</v>
      </c>
      <c r="S85" s="10">
        <v>0</v>
      </c>
      <c r="U85" s="10">
        <v>0</v>
      </c>
      <c r="W85" s="10">
        <v>0</v>
      </c>
      <c r="Y85" s="10">
        <v>0</v>
      </c>
      <c r="AA85" s="10">
        <v>0</v>
      </c>
      <c r="AC85" s="10">
        <v>0</v>
      </c>
      <c r="AE85" s="10">
        <f t="shared" si="1"/>
        <v>0</v>
      </c>
      <c r="AF85" s="10"/>
      <c r="AG85" s="46"/>
      <c r="AH85" s="46"/>
      <c r="AI85" s="46"/>
      <c r="AJ85" s="46"/>
      <c r="AK85" s="46"/>
      <c r="AL85" s="46"/>
      <c r="AM85" s="10">
        <f>+'Gen Rev'!AI85-'Gen Exp'!AE85+'Gen Exp'!AI85-AK85</f>
        <v>0</v>
      </c>
      <c r="AN85" s="46"/>
    </row>
    <row r="86" spans="1:40" s="21" customFormat="1" ht="12.6" hidden="1" customHeight="1">
      <c r="A86" s="1" t="s">
        <v>281</v>
      </c>
      <c r="B86" s="1"/>
      <c r="C86" s="1" t="s">
        <v>279</v>
      </c>
      <c r="D86" s="1"/>
      <c r="E86" s="10">
        <v>0</v>
      </c>
      <c r="F86" s="10"/>
      <c r="G86" s="10">
        <v>0</v>
      </c>
      <c r="H86" s="10"/>
      <c r="I86" s="10">
        <v>0</v>
      </c>
      <c r="J86" s="10"/>
      <c r="K86" s="10">
        <v>0</v>
      </c>
      <c r="L86" s="10"/>
      <c r="M86" s="10">
        <v>0</v>
      </c>
      <c r="N86" s="10"/>
      <c r="O86" s="10">
        <v>0</v>
      </c>
      <c r="P86" s="10"/>
      <c r="Q86" s="10">
        <v>0</v>
      </c>
      <c r="R86" s="10"/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Z86" s="10"/>
      <c r="AA86" s="10">
        <v>0</v>
      </c>
      <c r="AB86" s="10"/>
      <c r="AC86" s="10">
        <v>0</v>
      </c>
      <c r="AD86" s="10"/>
      <c r="AE86" s="10">
        <f t="shared" si="1"/>
        <v>0</v>
      </c>
      <c r="AF86" s="10"/>
      <c r="AG86" s="46"/>
      <c r="AH86" s="46"/>
      <c r="AI86" s="46"/>
      <c r="AJ86" s="46"/>
      <c r="AK86" s="46"/>
      <c r="AL86" s="46"/>
      <c r="AM86" s="10">
        <f>+'Gen Rev'!AI86-'Gen Exp'!AE86+'Gen Exp'!AI86-AK86</f>
        <v>0</v>
      </c>
      <c r="AN86" s="46"/>
    </row>
    <row r="87" spans="1:40" ht="12.6" customHeight="1">
      <c r="A87" s="1" t="s">
        <v>318</v>
      </c>
      <c r="C87" s="1" t="s">
        <v>316</v>
      </c>
      <c r="E87" s="10">
        <v>3025066</v>
      </c>
      <c r="G87" s="10">
        <v>270001</v>
      </c>
      <c r="I87" s="10">
        <v>264861</v>
      </c>
      <c r="K87" s="10">
        <v>122545</v>
      </c>
      <c r="M87" s="10">
        <v>89387</v>
      </c>
      <c r="O87" s="10">
        <v>757907</v>
      </c>
      <c r="Q87" s="10">
        <v>1263476</v>
      </c>
      <c r="S87" s="10">
        <v>0</v>
      </c>
      <c r="U87" s="10">
        <v>0</v>
      </c>
      <c r="W87" s="10">
        <v>0</v>
      </c>
      <c r="Y87" s="10">
        <v>5015</v>
      </c>
      <c r="AA87" s="10">
        <v>0</v>
      </c>
      <c r="AC87" s="10">
        <v>436546</v>
      </c>
      <c r="AE87" s="10">
        <f t="shared" si="1"/>
        <v>6234804</v>
      </c>
      <c r="AF87" s="10"/>
      <c r="AG87" s="46">
        <v>-266587</v>
      </c>
      <c r="AH87" s="46"/>
      <c r="AI87" s="46">
        <v>2749661</v>
      </c>
      <c r="AJ87" s="46"/>
      <c r="AK87" s="46">
        <v>2483074</v>
      </c>
      <c r="AL87" s="46"/>
      <c r="AM87" s="10">
        <f>+'Gen Rev'!AI87-'Gen Exp'!AE87+'Gen Exp'!AI87-AK87</f>
        <v>0</v>
      </c>
      <c r="AN87" s="46"/>
    </row>
    <row r="88" spans="1:40" s="21" customFormat="1" ht="12.75" hidden="1">
      <c r="A88" s="1" t="s">
        <v>16</v>
      </c>
      <c r="B88" s="1"/>
      <c r="C88" s="23" t="s">
        <v>755</v>
      </c>
      <c r="D88" s="23"/>
      <c r="E88" s="10">
        <v>0</v>
      </c>
      <c r="F88" s="10"/>
      <c r="G88" s="10">
        <v>0</v>
      </c>
      <c r="H88" s="10"/>
      <c r="I88" s="10">
        <v>0</v>
      </c>
      <c r="J88" s="10"/>
      <c r="K88" s="10">
        <v>0</v>
      </c>
      <c r="L88" s="10"/>
      <c r="M88" s="10">
        <v>0</v>
      </c>
      <c r="N88" s="10"/>
      <c r="O88" s="10">
        <v>0</v>
      </c>
      <c r="P88" s="10"/>
      <c r="Q88" s="10">
        <v>0</v>
      </c>
      <c r="R88" s="10"/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Z88" s="10"/>
      <c r="AA88" s="10">
        <v>0</v>
      </c>
      <c r="AB88" s="10"/>
      <c r="AC88" s="10">
        <v>0</v>
      </c>
      <c r="AD88" s="10"/>
      <c r="AE88" s="10">
        <f t="shared" si="1"/>
        <v>0</v>
      </c>
      <c r="AF88" s="10"/>
      <c r="AG88" s="46"/>
      <c r="AH88" s="46"/>
      <c r="AI88" s="46"/>
      <c r="AJ88" s="46"/>
      <c r="AK88" s="46"/>
      <c r="AL88" s="46"/>
      <c r="AM88" s="10" t="e">
        <f>+'Gen Rev'!AI88-'Gen Exp'!AE88+'Gen Exp'!AI88-AK88</f>
        <v>#VALUE!</v>
      </c>
      <c r="AN88" s="46"/>
    </row>
    <row r="89" spans="1:40" s="10" customFormat="1" hidden="1">
      <c r="A89" s="10" t="s">
        <v>501</v>
      </c>
      <c r="C89" s="10" t="s">
        <v>500</v>
      </c>
      <c r="E89" s="10">
        <v>0</v>
      </c>
      <c r="G89" s="10">
        <v>0</v>
      </c>
      <c r="I89" s="10">
        <v>0</v>
      </c>
      <c r="K89" s="10">
        <v>0</v>
      </c>
      <c r="M89" s="10">
        <v>0</v>
      </c>
      <c r="O89" s="10">
        <v>0</v>
      </c>
      <c r="Q89" s="10">
        <v>0</v>
      </c>
      <c r="S89" s="10">
        <v>0</v>
      </c>
      <c r="U89" s="10">
        <v>0</v>
      </c>
      <c r="W89" s="10">
        <v>0</v>
      </c>
      <c r="Y89" s="10">
        <v>0</v>
      </c>
      <c r="AA89" s="10">
        <v>0</v>
      </c>
      <c r="AC89" s="10">
        <v>0</v>
      </c>
      <c r="AE89" s="10">
        <f t="shared" si="1"/>
        <v>0</v>
      </c>
      <c r="AM89" s="10">
        <f>+'Gen Rev'!AI89-'Gen Exp'!AE89+'Gen Exp'!AI89-AK89</f>
        <v>0</v>
      </c>
    </row>
    <row r="90" spans="1:40" s="21" customFormat="1" ht="12.6" customHeight="1">
      <c r="A90" s="1" t="s">
        <v>272</v>
      </c>
      <c r="B90" s="1"/>
      <c r="C90" s="1" t="s">
        <v>271</v>
      </c>
      <c r="D90" s="1"/>
      <c r="E90" s="10">
        <v>25600</v>
      </c>
      <c r="F90" s="10"/>
      <c r="G90" s="10">
        <v>0</v>
      </c>
      <c r="H90" s="10"/>
      <c r="I90" s="10">
        <v>0</v>
      </c>
      <c r="J90" s="10"/>
      <c r="K90" s="10">
        <v>0</v>
      </c>
      <c r="L90" s="10"/>
      <c r="M90" s="10">
        <v>0</v>
      </c>
      <c r="N90" s="10"/>
      <c r="O90" s="10">
        <v>0</v>
      </c>
      <c r="P90" s="10"/>
      <c r="Q90" s="10">
        <v>67484</v>
      </c>
      <c r="R90" s="10"/>
      <c r="S90" s="10">
        <v>0</v>
      </c>
      <c r="T90" s="10"/>
      <c r="U90" s="10">
        <v>0</v>
      </c>
      <c r="V90" s="10"/>
      <c r="W90" s="10">
        <v>0</v>
      </c>
      <c r="X90" s="10"/>
      <c r="Y90" s="10">
        <v>0</v>
      </c>
      <c r="Z90" s="10"/>
      <c r="AA90" s="10">
        <v>0</v>
      </c>
      <c r="AB90" s="10"/>
      <c r="AC90" s="10">
        <v>0</v>
      </c>
      <c r="AD90" s="10"/>
      <c r="AE90" s="10">
        <f t="shared" si="1"/>
        <v>93084</v>
      </c>
      <c r="AF90" s="10"/>
      <c r="AG90" s="46">
        <v>29685</v>
      </c>
      <c r="AH90" s="46"/>
      <c r="AI90" s="46">
        <v>61527</v>
      </c>
      <c r="AJ90" s="46"/>
      <c r="AK90" s="46">
        <v>91212</v>
      </c>
      <c r="AL90" s="46"/>
      <c r="AM90" s="10">
        <f>+'Gen Rev'!AI91-'Gen Exp'!AE90+'Gen Exp'!AI90-AK90</f>
        <v>0</v>
      </c>
      <c r="AN90" s="46"/>
    </row>
    <row r="91" spans="1:40" ht="12.75" hidden="1">
      <c r="A91" s="1" t="s">
        <v>130</v>
      </c>
      <c r="C91" s="23" t="s">
        <v>790</v>
      </c>
      <c r="D91" s="23"/>
      <c r="E91" s="10">
        <v>0</v>
      </c>
      <c r="G91" s="10">
        <v>0</v>
      </c>
      <c r="I91" s="10">
        <v>0</v>
      </c>
      <c r="K91" s="10">
        <v>0</v>
      </c>
      <c r="M91" s="10">
        <v>0</v>
      </c>
      <c r="O91" s="10">
        <v>0</v>
      </c>
      <c r="Q91" s="10">
        <v>0</v>
      </c>
      <c r="S91" s="10">
        <v>0</v>
      </c>
      <c r="U91" s="10">
        <v>0</v>
      </c>
      <c r="W91" s="10">
        <v>0</v>
      </c>
      <c r="Y91" s="10">
        <v>0</v>
      </c>
      <c r="AA91" s="10">
        <v>0</v>
      </c>
      <c r="AC91" s="10">
        <v>0</v>
      </c>
      <c r="AE91" s="10">
        <f t="shared" si="1"/>
        <v>0</v>
      </c>
      <c r="AF91" s="10"/>
      <c r="AM91" s="10">
        <f>+'Gen Rev'!AI90-'Gen Exp'!AE91+'Gen Exp'!AI91-AK91</f>
        <v>0</v>
      </c>
    </row>
    <row r="92" spans="1:40" s="21" customFormat="1" ht="12.75" hidden="1">
      <c r="A92" s="1" t="s">
        <v>11</v>
      </c>
      <c r="B92" s="1"/>
      <c r="C92" s="23" t="s">
        <v>754</v>
      </c>
      <c r="D92" s="23"/>
      <c r="E92" s="10">
        <v>0</v>
      </c>
      <c r="F92" s="10"/>
      <c r="G92" s="10">
        <v>0</v>
      </c>
      <c r="H92" s="10"/>
      <c r="I92" s="10">
        <v>0</v>
      </c>
      <c r="J92" s="10"/>
      <c r="K92" s="10">
        <v>0</v>
      </c>
      <c r="L92" s="10"/>
      <c r="M92" s="10">
        <v>0</v>
      </c>
      <c r="N92" s="10"/>
      <c r="O92" s="10">
        <v>0</v>
      </c>
      <c r="P92" s="10"/>
      <c r="Q92" s="10">
        <v>0</v>
      </c>
      <c r="R92" s="10"/>
      <c r="S92" s="10">
        <v>0</v>
      </c>
      <c r="T92" s="10"/>
      <c r="U92" s="10">
        <v>0</v>
      </c>
      <c r="V92" s="10"/>
      <c r="W92" s="10">
        <v>0</v>
      </c>
      <c r="X92" s="10"/>
      <c r="Y92" s="10">
        <v>0</v>
      </c>
      <c r="Z92" s="10"/>
      <c r="AA92" s="10">
        <v>0</v>
      </c>
      <c r="AB92" s="10"/>
      <c r="AC92" s="10">
        <v>0</v>
      </c>
      <c r="AD92" s="10"/>
      <c r="AE92" s="10">
        <f t="shared" si="1"/>
        <v>0</v>
      </c>
      <c r="AF92" s="10"/>
      <c r="AG92" s="46"/>
      <c r="AH92" s="46"/>
      <c r="AI92" s="46"/>
      <c r="AJ92" s="46"/>
      <c r="AK92" s="46"/>
      <c r="AL92" s="46"/>
      <c r="AM92" s="10">
        <f>+'Gen Rev'!AI91-'Gen Exp'!AE92+'Gen Exp'!AI92-AK92</f>
        <v>122769</v>
      </c>
      <c r="AN92" s="46"/>
    </row>
    <row r="93" spans="1:40" ht="12.75" hidden="1">
      <c r="A93" s="1" t="s">
        <v>248</v>
      </c>
      <c r="C93" s="23" t="s">
        <v>828</v>
      </c>
      <c r="D93" s="23"/>
      <c r="E93" s="10">
        <v>0</v>
      </c>
      <c r="G93" s="10">
        <v>0</v>
      </c>
      <c r="I93" s="10">
        <v>0</v>
      </c>
      <c r="K93" s="10">
        <v>0</v>
      </c>
      <c r="M93" s="10">
        <v>0</v>
      </c>
      <c r="O93" s="10">
        <v>0</v>
      </c>
      <c r="Q93" s="10">
        <v>0</v>
      </c>
      <c r="S93" s="10">
        <v>0</v>
      </c>
      <c r="U93" s="10">
        <v>0</v>
      </c>
      <c r="W93" s="10">
        <v>0</v>
      </c>
      <c r="Y93" s="10">
        <v>0</v>
      </c>
      <c r="AA93" s="10">
        <v>0</v>
      </c>
      <c r="AC93" s="10">
        <v>0</v>
      </c>
      <c r="AE93" s="10">
        <f t="shared" si="1"/>
        <v>0</v>
      </c>
      <c r="AF93" s="10"/>
      <c r="AM93" s="10">
        <f>+'Gen Rev'!AI92-'Gen Exp'!AE93+'Gen Exp'!AI93-AK93</f>
        <v>0</v>
      </c>
    </row>
    <row r="94" spans="1:40" s="15" customFormat="1">
      <c r="A94" s="15" t="s">
        <v>529</v>
      </c>
      <c r="C94" s="15" t="s">
        <v>530</v>
      </c>
      <c r="E94" s="24">
        <v>2472</v>
      </c>
      <c r="F94" s="24"/>
      <c r="G94" s="24">
        <v>68</v>
      </c>
      <c r="H94" s="24"/>
      <c r="I94" s="24">
        <v>2911</v>
      </c>
      <c r="J94" s="24"/>
      <c r="K94" s="24">
        <v>32</v>
      </c>
      <c r="L94" s="24"/>
      <c r="M94" s="24">
        <v>5410</v>
      </c>
      <c r="N94" s="24"/>
      <c r="O94" s="24">
        <v>15289</v>
      </c>
      <c r="P94" s="24"/>
      <c r="Q94" s="24">
        <v>0</v>
      </c>
      <c r="R94" s="24"/>
      <c r="S94" s="24">
        <v>0</v>
      </c>
      <c r="T94" s="24"/>
      <c r="U94" s="24">
        <v>951</v>
      </c>
      <c r="V94" s="24"/>
      <c r="W94" s="24">
        <v>319</v>
      </c>
      <c r="X94" s="24"/>
      <c r="Y94" s="24">
        <v>0</v>
      </c>
      <c r="Z94" s="24"/>
      <c r="AA94" s="24">
        <v>0</v>
      </c>
      <c r="AB94" s="24"/>
      <c r="AC94" s="24">
        <v>0</v>
      </c>
      <c r="AD94" s="24"/>
      <c r="AE94" s="24">
        <f t="shared" si="1"/>
        <v>27452</v>
      </c>
      <c r="AF94" s="24"/>
      <c r="AG94" s="24">
        <v>6573</v>
      </c>
      <c r="AH94" s="24"/>
      <c r="AI94" s="24">
        <v>22415</v>
      </c>
      <c r="AJ94" s="24"/>
      <c r="AK94" s="24">
        <v>28988</v>
      </c>
      <c r="AL94" s="24"/>
      <c r="AM94" s="24">
        <f>+'Gen Rev'!AI95-'Gen Exp'!AE94+'Gen Exp'!AI94-AK94</f>
        <v>0</v>
      </c>
      <c r="AN94" s="24"/>
    </row>
    <row r="95" spans="1:40">
      <c r="A95" s="1" t="s">
        <v>468</v>
      </c>
      <c r="C95" s="1" t="s">
        <v>710</v>
      </c>
      <c r="E95" s="10">
        <v>6533</v>
      </c>
      <c r="G95" s="10">
        <v>1638</v>
      </c>
      <c r="I95" s="10">
        <v>12338</v>
      </c>
      <c r="K95" s="10">
        <v>0</v>
      </c>
      <c r="M95" s="10">
        <v>26487</v>
      </c>
      <c r="O95" s="10">
        <v>0</v>
      </c>
      <c r="Q95" s="10">
        <v>21079</v>
      </c>
      <c r="S95" s="10">
        <v>0</v>
      </c>
      <c r="U95" s="10">
        <v>0</v>
      </c>
      <c r="W95" s="10">
        <v>0</v>
      </c>
      <c r="Y95" s="10">
        <v>0</v>
      </c>
      <c r="AA95" s="10">
        <v>0</v>
      </c>
      <c r="AC95" s="10">
        <v>0</v>
      </c>
      <c r="AE95" s="10">
        <f t="shared" si="1"/>
        <v>68075</v>
      </c>
      <c r="AF95" s="10"/>
      <c r="AG95" s="10">
        <v>-7767</v>
      </c>
      <c r="AI95" s="10">
        <v>22012</v>
      </c>
      <c r="AK95" s="10">
        <v>14245</v>
      </c>
      <c r="AM95" s="10">
        <f>+'Gen Rev'!AI96-'Gen Exp'!AE95+'Gen Exp'!AI95-AK95</f>
        <v>0</v>
      </c>
    </row>
    <row r="96" spans="1:40">
      <c r="A96" s="1" t="s">
        <v>690</v>
      </c>
      <c r="C96" s="1" t="s">
        <v>368</v>
      </c>
      <c r="E96" s="10">
        <v>0</v>
      </c>
      <c r="G96" s="10">
        <v>0</v>
      </c>
      <c r="I96" s="10">
        <v>16819</v>
      </c>
      <c r="K96" s="10">
        <v>15827</v>
      </c>
      <c r="M96" s="10">
        <v>0</v>
      </c>
      <c r="O96" s="10">
        <v>0</v>
      </c>
      <c r="Q96" s="10">
        <v>196484</v>
      </c>
      <c r="S96" s="10">
        <v>18243</v>
      </c>
      <c r="U96" s="10">
        <v>0</v>
      </c>
      <c r="W96" s="10">
        <v>0</v>
      </c>
      <c r="Y96" s="10">
        <v>499980</v>
      </c>
      <c r="AA96" s="10">
        <v>0</v>
      </c>
      <c r="AC96" s="10">
        <v>3700</v>
      </c>
      <c r="AE96" s="10">
        <f t="shared" si="1"/>
        <v>751053</v>
      </c>
      <c r="AF96" s="10"/>
      <c r="AG96" s="10">
        <v>-23403</v>
      </c>
      <c r="AI96" s="10">
        <v>307438</v>
      </c>
      <c r="AK96" s="10">
        <v>284035</v>
      </c>
      <c r="AM96" s="10">
        <f>+'Gen Rev'!AI97-'Gen Exp'!AE96+'Gen Exp'!AI96-AK96</f>
        <v>0</v>
      </c>
    </row>
    <row r="97" spans="1:40" s="59" customFormat="1" hidden="1">
      <c r="A97" s="59" t="s">
        <v>522</v>
      </c>
      <c r="C97" s="59" t="s">
        <v>523</v>
      </c>
      <c r="E97" s="60">
        <v>0</v>
      </c>
      <c r="F97" s="60"/>
      <c r="G97" s="60">
        <v>0</v>
      </c>
      <c r="H97" s="60"/>
      <c r="I97" s="60">
        <v>0</v>
      </c>
      <c r="J97" s="60"/>
      <c r="K97" s="60">
        <v>0</v>
      </c>
      <c r="L97" s="60"/>
      <c r="M97" s="60">
        <v>0</v>
      </c>
      <c r="N97" s="60"/>
      <c r="O97" s="60">
        <v>0</v>
      </c>
      <c r="P97" s="60"/>
      <c r="Q97" s="60">
        <v>0</v>
      </c>
      <c r="R97" s="60"/>
      <c r="S97" s="60">
        <v>0</v>
      </c>
      <c r="T97" s="60"/>
      <c r="U97" s="60">
        <v>0</v>
      </c>
      <c r="V97" s="60"/>
      <c r="W97" s="60">
        <v>0</v>
      </c>
      <c r="X97" s="60"/>
      <c r="Y97" s="60">
        <v>0</v>
      </c>
      <c r="Z97" s="60"/>
      <c r="AA97" s="60">
        <v>0</v>
      </c>
      <c r="AB97" s="60"/>
      <c r="AC97" s="60">
        <v>0</v>
      </c>
      <c r="AD97" s="60"/>
      <c r="AE97" s="60">
        <f t="shared" si="1"/>
        <v>0</v>
      </c>
      <c r="AF97" s="60"/>
      <c r="AG97" s="60"/>
      <c r="AH97" s="60"/>
      <c r="AI97" s="60"/>
      <c r="AJ97" s="60"/>
      <c r="AK97" s="60"/>
      <c r="AL97" s="60"/>
      <c r="AM97" s="60">
        <f>+'Gen Rev'!AI98-'Gen Exp'!AE97+'Gen Exp'!AI97-AK97</f>
        <v>0</v>
      </c>
      <c r="AN97" s="60"/>
    </row>
    <row r="98" spans="1:40" ht="12.75" hidden="1">
      <c r="A98" s="1" t="s">
        <v>241</v>
      </c>
      <c r="C98" s="23" t="s">
        <v>826</v>
      </c>
      <c r="D98" s="23"/>
      <c r="E98" s="10">
        <v>0</v>
      </c>
      <c r="G98" s="10">
        <v>0</v>
      </c>
      <c r="I98" s="10">
        <v>0</v>
      </c>
      <c r="K98" s="10">
        <v>0</v>
      </c>
      <c r="M98" s="10">
        <v>0</v>
      </c>
      <c r="O98" s="10">
        <v>0</v>
      </c>
      <c r="Q98" s="10">
        <v>0</v>
      </c>
      <c r="S98" s="10">
        <v>0</v>
      </c>
      <c r="U98" s="10">
        <v>0</v>
      </c>
      <c r="W98" s="10">
        <v>0</v>
      </c>
      <c r="Y98" s="10">
        <v>0</v>
      </c>
      <c r="AA98" s="10">
        <v>0</v>
      </c>
      <c r="AC98" s="10">
        <v>0</v>
      </c>
      <c r="AE98" s="10">
        <f t="shared" si="1"/>
        <v>0</v>
      </c>
      <c r="AF98" s="10"/>
      <c r="AM98" s="10">
        <f>+'Gen Rev'!AI99-'Gen Exp'!AE98+'Gen Exp'!AI98-AK98</f>
        <v>0</v>
      </c>
    </row>
    <row r="99" spans="1:40" s="21" customFormat="1" ht="12.75" hidden="1">
      <c r="A99" s="1" t="s">
        <v>86</v>
      </c>
      <c r="B99" s="1"/>
      <c r="C99" s="23" t="s">
        <v>777</v>
      </c>
      <c r="D99" s="23"/>
      <c r="E99" s="10">
        <v>0</v>
      </c>
      <c r="F99" s="10"/>
      <c r="G99" s="10">
        <v>0</v>
      </c>
      <c r="H99" s="10"/>
      <c r="I99" s="10">
        <v>0</v>
      </c>
      <c r="J99" s="10"/>
      <c r="K99" s="10">
        <v>0</v>
      </c>
      <c r="L99" s="10"/>
      <c r="M99" s="10">
        <v>0</v>
      </c>
      <c r="N99" s="10"/>
      <c r="O99" s="10">
        <v>0</v>
      </c>
      <c r="P99" s="10"/>
      <c r="Q99" s="10">
        <v>0</v>
      </c>
      <c r="R99" s="10"/>
      <c r="S99" s="10">
        <v>0</v>
      </c>
      <c r="T99" s="10"/>
      <c r="U99" s="10">
        <v>0</v>
      </c>
      <c r="V99" s="10"/>
      <c r="W99" s="10">
        <v>0</v>
      </c>
      <c r="X99" s="10"/>
      <c r="Y99" s="10">
        <v>0</v>
      </c>
      <c r="Z99" s="10"/>
      <c r="AA99" s="10">
        <v>0</v>
      </c>
      <c r="AB99" s="10"/>
      <c r="AC99" s="10">
        <v>0</v>
      </c>
      <c r="AD99" s="10"/>
      <c r="AE99" s="10">
        <f t="shared" si="1"/>
        <v>0</v>
      </c>
      <c r="AF99" s="10"/>
      <c r="AG99" s="10"/>
      <c r="AH99" s="10"/>
      <c r="AI99" s="10"/>
      <c r="AJ99" s="10"/>
      <c r="AK99" s="10"/>
      <c r="AL99" s="10"/>
      <c r="AM99" s="10">
        <f>+'Gen Rev'!AI100-'Gen Exp'!AE99+'Gen Exp'!AI99-AK99</f>
        <v>0</v>
      </c>
      <c r="AN99" s="10"/>
    </row>
    <row r="100" spans="1:40" s="21" customFormat="1" ht="12.6" hidden="1" customHeight="1">
      <c r="A100" s="1" t="s">
        <v>100</v>
      </c>
      <c r="B100" s="1"/>
      <c r="C100" s="1" t="s">
        <v>403</v>
      </c>
      <c r="D100" s="1"/>
      <c r="E100" s="10">
        <v>0</v>
      </c>
      <c r="F100" s="10"/>
      <c r="G100" s="10">
        <v>0</v>
      </c>
      <c r="H100" s="10"/>
      <c r="I100" s="10">
        <v>0</v>
      </c>
      <c r="J100" s="10"/>
      <c r="K100" s="10">
        <v>0</v>
      </c>
      <c r="L100" s="10"/>
      <c r="M100" s="10">
        <v>0</v>
      </c>
      <c r="N100" s="10"/>
      <c r="O100" s="10">
        <v>0</v>
      </c>
      <c r="P100" s="10"/>
      <c r="Q100" s="10">
        <v>0</v>
      </c>
      <c r="R100" s="10"/>
      <c r="S100" s="10">
        <v>0</v>
      </c>
      <c r="T100" s="10"/>
      <c r="U100" s="10">
        <v>0</v>
      </c>
      <c r="V100" s="10"/>
      <c r="W100" s="10">
        <v>0</v>
      </c>
      <c r="X100" s="10"/>
      <c r="Y100" s="10">
        <v>0</v>
      </c>
      <c r="Z100" s="10"/>
      <c r="AA100" s="10">
        <v>0</v>
      </c>
      <c r="AB100" s="10"/>
      <c r="AC100" s="10">
        <v>0</v>
      </c>
      <c r="AD100" s="10"/>
      <c r="AE100" s="10">
        <f t="shared" si="1"/>
        <v>0</v>
      </c>
      <c r="AF100" s="10"/>
      <c r="AG100" s="10"/>
      <c r="AH100" s="10"/>
      <c r="AI100" s="10"/>
      <c r="AJ100" s="10"/>
      <c r="AK100" s="10"/>
      <c r="AL100" s="10"/>
      <c r="AM100" s="10">
        <f>+'Gen Rev'!AI101-'Gen Exp'!AE100+'Gen Exp'!AI100-AK100</f>
        <v>0</v>
      </c>
      <c r="AN100" s="10"/>
    </row>
    <row r="101" spans="1:40" s="21" customFormat="1" ht="12.6" hidden="1" customHeight="1">
      <c r="A101" s="1" t="s">
        <v>713</v>
      </c>
      <c r="B101" s="1"/>
      <c r="C101" s="1" t="s">
        <v>714</v>
      </c>
      <c r="D101" s="1"/>
      <c r="E101" s="10">
        <v>0</v>
      </c>
      <c r="F101" s="10"/>
      <c r="G101" s="10">
        <v>0</v>
      </c>
      <c r="H101" s="10"/>
      <c r="I101" s="10">
        <v>0</v>
      </c>
      <c r="J101" s="10"/>
      <c r="K101" s="10">
        <v>0</v>
      </c>
      <c r="L101" s="10"/>
      <c r="M101" s="10">
        <v>0</v>
      </c>
      <c r="N101" s="10"/>
      <c r="O101" s="10">
        <v>0</v>
      </c>
      <c r="P101" s="10"/>
      <c r="Q101" s="10">
        <v>0</v>
      </c>
      <c r="R101" s="10"/>
      <c r="S101" s="10">
        <v>0</v>
      </c>
      <c r="T101" s="10"/>
      <c r="U101" s="10">
        <v>0</v>
      </c>
      <c r="V101" s="10"/>
      <c r="W101" s="10">
        <v>0</v>
      </c>
      <c r="X101" s="10"/>
      <c r="Y101" s="10">
        <v>0</v>
      </c>
      <c r="Z101" s="10"/>
      <c r="AA101" s="10">
        <v>0</v>
      </c>
      <c r="AB101" s="10"/>
      <c r="AC101" s="10">
        <v>0</v>
      </c>
      <c r="AD101" s="10"/>
      <c r="AE101" s="10">
        <f t="shared" ref="AE101:AE148" si="2">SUM(E101:AC101)</f>
        <v>0</v>
      </c>
      <c r="AF101" s="40"/>
      <c r="AG101" s="10"/>
      <c r="AH101" s="10"/>
      <c r="AI101" s="10"/>
      <c r="AJ101" s="10"/>
      <c r="AK101" s="10"/>
      <c r="AL101" s="10"/>
      <c r="AM101" s="10">
        <f>+'Gen Rev'!AI102-'Gen Exp'!AE101+'Gen Exp'!AI101-AK101</f>
        <v>0</v>
      </c>
      <c r="AN101" s="10"/>
    </row>
    <row r="102" spans="1:40" ht="12.75" hidden="1">
      <c r="A102" s="1" t="s">
        <v>177</v>
      </c>
      <c r="C102" s="23" t="s">
        <v>806</v>
      </c>
      <c r="D102" s="23"/>
      <c r="E102" s="10">
        <v>0</v>
      </c>
      <c r="G102" s="10">
        <v>0</v>
      </c>
      <c r="I102" s="10">
        <v>0</v>
      </c>
      <c r="K102" s="10">
        <v>0</v>
      </c>
      <c r="M102" s="10">
        <v>0</v>
      </c>
      <c r="O102" s="10">
        <v>0</v>
      </c>
      <c r="Q102" s="10">
        <v>0</v>
      </c>
      <c r="S102" s="10">
        <v>0</v>
      </c>
      <c r="U102" s="10">
        <v>0</v>
      </c>
      <c r="W102" s="10">
        <v>0</v>
      </c>
      <c r="Y102" s="10">
        <v>0</v>
      </c>
      <c r="AA102" s="10">
        <v>0</v>
      </c>
      <c r="AC102" s="10">
        <v>0</v>
      </c>
      <c r="AE102" s="10">
        <f t="shared" si="2"/>
        <v>0</v>
      </c>
      <c r="AF102" s="10"/>
      <c r="AM102" s="10">
        <f>+'Gen Rev'!AI103-'Gen Exp'!AE102+'Gen Exp'!AI102-AK102</f>
        <v>0</v>
      </c>
    </row>
    <row r="103" spans="1:40" ht="12.75" hidden="1">
      <c r="A103" s="1" t="s">
        <v>147</v>
      </c>
      <c r="C103" s="23" t="s">
        <v>796</v>
      </c>
      <c r="D103" s="23"/>
      <c r="E103" s="10">
        <v>0</v>
      </c>
      <c r="G103" s="10">
        <v>0</v>
      </c>
      <c r="I103" s="10">
        <v>0</v>
      </c>
      <c r="K103" s="10">
        <v>0</v>
      </c>
      <c r="M103" s="10">
        <v>0</v>
      </c>
      <c r="O103" s="10">
        <v>0</v>
      </c>
      <c r="Q103" s="10">
        <v>0</v>
      </c>
      <c r="S103" s="10">
        <v>0</v>
      </c>
      <c r="U103" s="10">
        <v>0</v>
      </c>
      <c r="W103" s="10">
        <v>0</v>
      </c>
      <c r="Y103" s="10">
        <v>0</v>
      </c>
      <c r="AA103" s="10">
        <v>0</v>
      </c>
      <c r="AC103" s="10">
        <v>0</v>
      </c>
      <c r="AE103" s="10">
        <f t="shared" si="2"/>
        <v>0</v>
      </c>
      <c r="AF103" s="10"/>
      <c r="AM103" s="10">
        <f>+'Gen Rev'!AI104-'Gen Exp'!AE103+'Gen Exp'!AI103-AK103</f>
        <v>0</v>
      </c>
    </row>
    <row r="104" spans="1:40" ht="12.75" hidden="1">
      <c r="A104" s="1" t="s">
        <v>198</v>
      </c>
      <c r="C104" s="23" t="s">
        <v>812</v>
      </c>
      <c r="D104" s="23"/>
      <c r="E104" s="10">
        <v>0</v>
      </c>
      <c r="G104" s="10">
        <v>0</v>
      </c>
      <c r="I104" s="10">
        <v>0</v>
      </c>
      <c r="K104" s="10">
        <v>0</v>
      </c>
      <c r="M104" s="10">
        <v>0</v>
      </c>
      <c r="O104" s="10">
        <v>0</v>
      </c>
      <c r="Q104" s="10">
        <v>0</v>
      </c>
      <c r="S104" s="10">
        <v>0</v>
      </c>
      <c r="U104" s="10">
        <v>0</v>
      </c>
      <c r="W104" s="10">
        <v>0</v>
      </c>
      <c r="Y104" s="10">
        <v>0</v>
      </c>
      <c r="AA104" s="10">
        <v>0</v>
      </c>
      <c r="AC104" s="10">
        <v>0</v>
      </c>
      <c r="AE104" s="10">
        <f t="shared" si="2"/>
        <v>0</v>
      </c>
      <c r="AF104" s="10"/>
      <c r="AM104" s="10">
        <f>+'Gen Rev'!AI105-'Gen Exp'!AE104+'Gen Exp'!AI104-AK104</f>
        <v>0</v>
      </c>
    </row>
    <row r="105" spans="1:40" s="21" customFormat="1" ht="12.6" customHeight="1">
      <c r="A105" s="1" t="s">
        <v>352</v>
      </c>
      <c r="B105" s="1"/>
      <c r="C105" s="1" t="s">
        <v>353</v>
      </c>
      <c r="D105" s="1"/>
      <c r="E105" s="10">
        <v>896463</v>
      </c>
      <c r="F105" s="10"/>
      <c r="G105" s="10">
        <v>58173</v>
      </c>
      <c r="H105" s="10"/>
      <c r="I105" s="10">
        <v>151677</v>
      </c>
      <c r="J105" s="10"/>
      <c r="K105" s="10">
        <v>607354</v>
      </c>
      <c r="L105" s="10"/>
      <c r="M105" s="10">
        <v>0</v>
      </c>
      <c r="N105" s="10"/>
      <c r="O105" s="10">
        <v>1037025</v>
      </c>
      <c r="P105" s="10"/>
      <c r="Q105" s="10">
        <v>1626516</v>
      </c>
      <c r="R105" s="10"/>
      <c r="S105" s="10">
        <v>246607</v>
      </c>
      <c r="T105" s="10"/>
      <c r="U105" s="10">
        <v>2500000</v>
      </c>
      <c r="V105" s="10"/>
      <c r="W105" s="10">
        <v>105955</v>
      </c>
      <c r="X105" s="10"/>
      <c r="Y105" s="10">
        <v>1340882</v>
      </c>
      <c r="Z105" s="10"/>
      <c r="AA105" s="10">
        <v>0</v>
      </c>
      <c r="AB105" s="10"/>
      <c r="AC105" s="10">
        <v>0</v>
      </c>
      <c r="AD105" s="10"/>
      <c r="AE105" s="10">
        <f t="shared" si="2"/>
        <v>8570652</v>
      </c>
      <c r="AF105" s="10"/>
      <c r="AG105" s="46">
        <v>-294656</v>
      </c>
      <c r="AH105" s="46"/>
      <c r="AI105" s="46">
        <v>2879996</v>
      </c>
      <c r="AJ105" s="46"/>
      <c r="AK105" s="46">
        <v>2585340</v>
      </c>
      <c r="AL105" s="46"/>
      <c r="AM105" s="10">
        <f>+'Gen Rev'!AI106-'Gen Exp'!AE105+'Gen Exp'!AI105-AK105</f>
        <v>0</v>
      </c>
      <c r="AN105" s="46"/>
    </row>
    <row r="106" spans="1:40" ht="12.75" hidden="1">
      <c r="A106" s="1" t="s">
        <v>170</v>
      </c>
      <c r="C106" s="23" t="s">
        <v>804</v>
      </c>
      <c r="D106" s="23"/>
      <c r="E106" s="10">
        <v>0</v>
      </c>
      <c r="G106" s="10">
        <v>0</v>
      </c>
      <c r="I106" s="10">
        <v>0</v>
      </c>
      <c r="K106" s="10">
        <v>0</v>
      </c>
      <c r="M106" s="10">
        <v>0</v>
      </c>
      <c r="O106" s="10">
        <v>0</v>
      </c>
      <c r="Q106" s="10">
        <v>0</v>
      </c>
      <c r="S106" s="10">
        <v>0</v>
      </c>
      <c r="U106" s="10">
        <v>0</v>
      </c>
      <c r="W106" s="10">
        <v>0</v>
      </c>
      <c r="Y106" s="10">
        <v>0</v>
      </c>
      <c r="AA106" s="10">
        <v>0</v>
      </c>
      <c r="AC106" s="10">
        <v>0</v>
      </c>
      <c r="AE106" s="10">
        <f t="shared" si="2"/>
        <v>0</v>
      </c>
      <c r="AF106" s="10"/>
      <c r="AM106" s="10">
        <f>+'Gen Rev'!AI107-'Gen Exp'!AE106+'Gen Exp'!AI106-AK106</f>
        <v>0</v>
      </c>
    </row>
    <row r="107" spans="1:40">
      <c r="A107" s="1" t="s">
        <v>613</v>
      </c>
      <c r="C107" s="1" t="s">
        <v>614</v>
      </c>
      <c r="E107" s="10">
        <v>821512</v>
      </c>
      <c r="G107" s="10">
        <v>9886</v>
      </c>
      <c r="I107" s="10">
        <v>0</v>
      </c>
      <c r="K107" s="10">
        <v>46925</v>
      </c>
      <c r="M107" s="10">
        <v>27439</v>
      </c>
      <c r="O107" s="10">
        <v>72687</v>
      </c>
      <c r="Q107" s="10">
        <v>535756</v>
      </c>
      <c r="S107" s="10">
        <v>0</v>
      </c>
      <c r="U107" s="10">
        <v>45000</v>
      </c>
      <c r="W107" s="10">
        <v>18730</v>
      </c>
      <c r="Y107" s="10">
        <v>304918</v>
      </c>
      <c r="AA107" s="10">
        <v>0</v>
      </c>
      <c r="AC107" s="10">
        <v>0</v>
      </c>
      <c r="AE107" s="10">
        <f t="shared" si="2"/>
        <v>1882853</v>
      </c>
      <c r="AF107" s="10"/>
      <c r="AG107" s="10">
        <v>-123677</v>
      </c>
      <c r="AI107" s="10">
        <v>846606</v>
      </c>
      <c r="AK107" s="10">
        <v>722929</v>
      </c>
      <c r="AM107" s="10">
        <f>+'Gen Rev'!AI108-'Gen Exp'!AE107+'Gen Exp'!AI107-AK107</f>
        <v>0</v>
      </c>
    </row>
    <row r="108" spans="1:40" ht="12.75" hidden="1">
      <c r="A108" s="1" t="s">
        <v>62</v>
      </c>
      <c r="C108" s="23" t="s">
        <v>771</v>
      </c>
      <c r="D108" s="23"/>
      <c r="E108" s="10">
        <v>0</v>
      </c>
      <c r="G108" s="10">
        <v>0</v>
      </c>
      <c r="I108" s="10">
        <v>0</v>
      </c>
      <c r="K108" s="10">
        <v>0</v>
      </c>
      <c r="M108" s="10">
        <v>0</v>
      </c>
      <c r="O108" s="10">
        <v>0</v>
      </c>
      <c r="Q108" s="10">
        <v>0</v>
      </c>
      <c r="S108" s="10">
        <v>0</v>
      </c>
      <c r="U108" s="10">
        <v>0</v>
      </c>
      <c r="W108" s="10">
        <v>0</v>
      </c>
      <c r="Y108" s="10">
        <v>0</v>
      </c>
      <c r="AA108" s="10">
        <v>0</v>
      </c>
      <c r="AC108" s="10">
        <v>0</v>
      </c>
      <c r="AE108" s="10">
        <f t="shared" si="2"/>
        <v>0</v>
      </c>
      <c r="AF108" s="10"/>
      <c r="AG108" s="46"/>
      <c r="AH108" s="46"/>
      <c r="AI108" s="46"/>
      <c r="AJ108" s="46"/>
      <c r="AK108" s="46"/>
      <c r="AL108" s="46"/>
      <c r="AM108" s="10">
        <f>+'Gen Rev'!AI109-'Gen Exp'!AE108+'Gen Exp'!AI108-AK108</f>
        <v>0</v>
      </c>
      <c r="AN108" s="46"/>
    </row>
    <row r="109" spans="1:40" s="21" customFormat="1" ht="12.6" customHeight="1">
      <c r="A109" s="1" t="s">
        <v>285</v>
      </c>
      <c r="B109" s="1"/>
      <c r="C109" s="1" t="s">
        <v>62</v>
      </c>
      <c r="D109" s="1"/>
      <c r="E109" s="10">
        <v>501542</v>
      </c>
      <c r="F109" s="10"/>
      <c r="G109" s="10">
        <v>19982</v>
      </c>
      <c r="H109" s="10"/>
      <c r="I109" s="10">
        <v>4070</v>
      </c>
      <c r="J109" s="10"/>
      <c r="K109" s="10">
        <v>5738</v>
      </c>
      <c r="L109" s="10"/>
      <c r="M109" s="10">
        <v>0</v>
      </c>
      <c r="N109" s="10"/>
      <c r="O109" s="10">
        <v>145834</v>
      </c>
      <c r="P109" s="10"/>
      <c r="Q109" s="10">
        <v>300144</v>
      </c>
      <c r="R109" s="10"/>
      <c r="S109" s="10">
        <v>164585</v>
      </c>
      <c r="T109" s="10"/>
      <c r="U109" s="10">
        <v>45410</v>
      </c>
      <c r="V109" s="10"/>
      <c r="W109" s="10">
        <v>0</v>
      </c>
      <c r="X109" s="10"/>
      <c r="Y109" s="10">
        <v>0</v>
      </c>
      <c r="Z109" s="10"/>
      <c r="AA109" s="10">
        <v>0</v>
      </c>
      <c r="AB109" s="10"/>
      <c r="AC109" s="10">
        <v>0</v>
      </c>
      <c r="AD109" s="10"/>
      <c r="AE109" s="10">
        <f t="shared" si="2"/>
        <v>1187305</v>
      </c>
      <c r="AF109" s="10"/>
      <c r="AG109" s="46">
        <v>67145</v>
      </c>
      <c r="AH109" s="46"/>
      <c r="AI109" s="46">
        <v>145361</v>
      </c>
      <c r="AJ109" s="46"/>
      <c r="AK109" s="46">
        <v>212507</v>
      </c>
      <c r="AL109" s="46"/>
      <c r="AM109" s="10">
        <f>+'Gen Rev'!AI110-'Gen Exp'!AE109+'Gen Exp'!AI109-AK109</f>
        <v>0</v>
      </c>
      <c r="AN109" s="46"/>
    </row>
    <row r="110" spans="1:40" s="21" customFormat="1" ht="12.75" hidden="1">
      <c r="A110" s="1" t="s">
        <v>60</v>
      </c>
      <c r="B110" s="1"/>
      <c r="C110" s="23" t="s">
        <v>770</v>
      </c>
      <c r="D110" s="23"/>
      <c r="E110" s="10">
        <v>0</v>
      </c>
      <c r="F110" s="10"/>
      <c r="G110" s="10">
        <v>0</v>
      </c>
      <c r="H110" s="10"/>
      <c r="I110" s="10">
        <v>0</v>
      </c>
      <c r="J110" s="10"/>
      <c r="K110" s="10">
        <v>0</v>
      </c>
      <c r="L110" s="10"/>
      <c r="M110" s="10">
        <v>0</v>
      </c>
      <c r="N110" s="10"/>
      <c r="O110" s="10">
        <v>0</v>
      </c>
      <c r="P110" s="10"/>
      <c r="Q110" s="10">
        <v>0</v>
      </c>
      <c r="R110" s="10"/>
      <c r="S110" s="10">
        <v>0</v>
      </c>
      <c r="T110" s="10"/>
      <c r="U110" s="10">
        <v>0</v>
      </c>
      <c r="V110" s="10"/>
      <c r="W110" s="10">
        <v>0</v>
      </c>
      <c r="X110" s="10"/>
      <c r="Y110" s="10">
        <v>0</v>
      </c>
      <c r="Z110" s="10"/>
      <c r="AA110" s="10">
        <v>0</v>
      </c>
      <c r="AB110" s="10"/>
      <c r="AC110" s="10">
        <v>0</v>
      </c>
      <c r="AD110" s="10"/>
      <c r="AE110" s="10">
        <f t="shared" si="2"/>
        <v>0</v>
      </c>
      <c r="AF110" s="10"/>
      <c r="AG110" s="46"/>
      <c r="AH110" s="46"/>
      <c r="AI110" s="46"/>
      <c r="AJ110" s="46"/>
      <c r="AK110" s="46"/>
      <c r="AL110" s="46"/>
      <c r="AM110" s="10">
        <f>+'Gen Rev'!AI111-'Gen Exp'!AE110+'Gen Exp'!AI110-AK110</f>
        <v>0</v>
      </c>
      <c r="AN110" s="46"/>
    </row>
    <row r="111" spans="1:40" s="21" customFormat="1" ht="12.75" hidden="1">
      <c r="A111" s="1" t="s">
        <v>51</v>
      </c>
      <c r="B111" s="1"/>
      <c r="C111" s="23" t="s">
        <v>767</v>
      </c>
      <c r="D111" s="23"/>
      <c r="E111" s="10">
        <v>0</v>
      </c>
      <c r="F111" s="10"/>
      <c r="G111" s="10">
        <v>0</v>
      </c>
      <c r="H111" s="10"/>
      <c r="I111" s="10">
        <v>0</v>
      </c>
      <c r="J111" s="10"/>
      <c r="K111" s="10">
        <v>0</v>
      </c>
      <c r="L111" s="10"/>
      <c r="M111" s="10">
        <v>0</v>
      </c>
      <c r="N111" s="10"/>
      <c r="O111" s="10">
        <v>0</v>
      </c>
      <c r="P111" s="10"/>
      <c r="Q111" s="10">
        <v>0</v>
      </c>
      <c r="R111" s="10"/>
      <c r="S111" s="10">
        <v>0</v>
      </c>
      <c r="T111" s="10"/>
      <c r="U111" s="10">
        <v>0</v>
      </c>
      <c r="V111" s="10"/>
      <c r="W111" s="10">
        <v>0</v>
      </c>
      <c r="X111" s="10"/>
      <c r="Y111" s="10">
        <v>0</v>
      </c>
      <c r="Z111" s="10"/>
      <c r="AA111" s="10">
        <v>0</v>
      </c>
      <c r="AB111" s="10"/>
      <c r="AC111" s="10">
        <v>0</v>
      </c>
      <c r="AD111" s="10"/>
      <c r="AE111" s="10">
        <f t="shared" si="2"/>
        <v>0</v>
      </c>
      <c r="AF111" s="10"/>
      <c r="AG111" s="46"/>
      <c r="AH111" s="46"/>
      <c r="AI111" s="46"/>
      <c r="AJ111" s="46"/>
      <c r="AK111" s="46"/>
      <c r="AL111" s="46"/>
      <c r="AM111" s="10">
        <f>+'Gen Rev'!AI112-'Gen Exp'!AE111+'Gen Exp'!AI111-AK111</f>
        <v>0</v>
      </c>
      <c r="AN111" s="46"/>
    </row>
    <row r="112" spans="1:40" ht="12.6" hidden="1" customHeight="1">
      <c r="A112" s="1" t="s">
        <v>34</v>
      </c>
      <c r="C112" s="23" t="s">
        <v>760</v>
      </c>
      <c r="D112" s="23"/>
      <c r="E112" s="10">
        <v>0</v>
      </c>
      <c r="G112" s="10">
        <v>0</v>
      </c>
      <c r="I112" s="10">
        <v>0</v>
      </c>
      <c r="K112" s="10">
        <v>0</v>
      </c>
      <c r="M112" s="10">
        <v>0</v>
      </c>
      <c r="O112" s="10">
        <v>0</v>
      </c>
      <c r="Q112" s="10">
        <v>0</v>
      </c>
      <c r="S112" s="10">
        <v>0</v>
      </c>
      <c r="U112" s="10">
        <v>0</v>
      </c>
      <c r="W112" s="10">
        <v>0</v>
      </c>
      <c r="Y112" s="10">
        <v>0</v>
      </c>
      <c r="AA112" s="10">
        <v>0</v>
      </c>
      <c r="AC112" s="10">
        <v>0</v>
      </c>
      <c r="AE112" s="10">
        <f t="shared" si="2"/>
        <v>0</v>
      </c>
      <c r="AF112" s="10"/>
      <c r="AG112" s="46"/>
      <c r="AH112" s="46"/>
      <c r="AI112" s="46"/>
      <c r="AJ112" s="46"/>
      <c r="AK112" s="46"/>
      <c r="AL112" s="46"/>
      <c r="AM112" s="10">
        <f>+'Gen Rev'!AI113-'Gen Exp'!AE112+'Gen Exp'!AI112-AK112</f>
        <v>0</v>
      </c>
      <c r="AN112" s="46"/>
    </row>
    <row r="113" spans="1:40" ht="12.75" hidden="1">
      <c r="A113" s="1" t="s">
        <v>182</v>
      </c>
      <c r="C113" s="23" t="s">
        <v>808</v>
      </c>
      <c r="D113" s="23"/>
      <c r="E113" s="10">
        <v>0</v>
      </c>
      <c r="G113" s="10">
        <v>0</v>
      </c>
      <c r="I113" s="10">
        <v>0</v>
      </c>
      <c r="K113" s="10">
        <v>0</v>
      </c>
      <c r="M113" s="10">
        <v>0</v>
      </c>
      <c r="O113" s="10">
        <v>0</v>
      </c>
      <c r="Q113" s="10">
        <v>0</v>
      </c>
      <c r="S113" s="10">
        <v>0</v>
      </c>
      <c r="U113" s="10">
        <v>0</v>
      </c>
      <c r="W113" s="10">
        <v>0</v>
      </c>
      <c r="Y113" s="10">
        <v>0</v>
      </c>
      <c r="AA113" s="10">
        <v>0</v>
      </c>
      <c r="AC113" s="10">
        <v>0</v>
      </c>
      <c r="AE113" s="10">
        <f t="shared" si="2"/>
        <v>0</v>
      </c>
      <c r="AF113" s="10"/>
      <c r="AM113" s="10">
        <f>+'Gen Rev'!AI114-'Gen Exp'!AE113+'Gen Exp'!AI113-AK113</f>
        <v>0</v>
      </c>
    </row>
    <row r="114" spans="1:40" s="21" customFormat="1">
      <c r="A114" s="1" t="s">
        <v>370</v>
      </c>
      <c r="B114" s="1"/>
      <c r="C114" s="1" t="s">
        <v>371</v>
      </c>
      <c r="D114" s="1"/>
      <c r="E114" s="10">
        <v>32890</v>
      </c>
      <c r="F114" s="10"/>
      <c r="G114" s="10">
        <v>2317</v>
      </c>
      <c r="H114" s="10"/>
      <c r="I114" s="10">
        <v>14999</v>
      </c>
      <c r="J114" s="10"/>
      <c r="K114" s="10">
        <v>4756</v>
      </c>
      <c r="L114" s="10"/>
      <c r="M114" s="10">
        <v>0</v>
      </c>
      <c r="N114" s="10"/>
      <c r="O114" s="10">
        <v>27010</v>
      </c>
      <c r="P114" s="10"/>
      <c r="Q114" s="10">
        <v>358251</v>
      </c>
      <c r="R114" s="10"/>
      <c r="S114" s="10">
        <v>0</v>
      </c>
      <c r="T114" s="10"/>
      <c r="U114" s="10">
        <v>0</v>
      </c>
      <c r="V114" s="10"/>
      <c r="W114" s="10">
        <v>0</v>
      </c>
      <c r="X114" s="10"/>
      <c r="Y114" s="10">
        <v>330200</v>
      </c>
      <c r="Z114" s="10"/>
      <c r="AA114" s="10">
        <v>0</v>
      </c>
      <c r="AB114" s="10"/>
      <c r="AC114" s="10">
        <v>0</v>
      </c>
      <c r="AD114" s="10"/>
      <c r="AE114" s="10">
        <f t="shared" si="2"/>
        <v>770423</v>
      </c>
      <c r="AF114" s="10"/>
      <c r="AG114" s="10">
        <v>48716</v>
      </c>
      <c r="AH114" s="10"/>
      <c r="AI114" s="10">
        <v>309523</v>
      </c>
      <c r="AJ114" s="10"/>
      <c r="AK114" s="10">
        <v>358239</v>
      </c>
      <c r="AL114" s="10"/>
      <c r="AM114" s="10">
        <f>+'Gen Rev'!AI115-'Gen Exp'!AE114+'Gen Exp'!AI114-AK114</f>
        <v>0</v>
      </c>
      <c r="AN114" s="10"/>
    </row>
    <row r="115" spans="1:40" ht="12.75" hidden="1">
      <c r="A115" s="1" t="s">
        <v>121</v>
      </c>
      <c r="C115" s="23" t="s">
        <v>787</v>
      </c>
      <c r="D115" s="23"/>
      <c r="E115" s="10">
        <v>0</v>
      </c>
      <c r="G115" s="10">
        <v>0</v>
      </c>
      <c r="I115" s="10">
        <v>0</v>
      </c>
      <c r="K115" s="10">
        <v>0</v>
      </c>
      <c r="M115" s="10">
        <v>0</v>
      </c>
      <c r="O115" s="10">
        <v>0</v>
      </c>
      <c r="Q115" s="10">
        <v>0</v>
      </c>
      <c r="S115" s="10">
        <v>0</v>
      </c>
      <c r="U115" s="10">
        <v>0</v>
      </c>
      <c r="W115" s="10">
        <v>0</v>
      </c>
      <c r="Y115" s="10">
        <v>0</v>
      </c>
      <c r="AA115" s="10">
        <v>0</v>
      </c>
      <c r="AC115" s="10">
        <v>0</v>
      </c>
      <c r="AE115" s="10">
        <f t="shared" si="2"/>
        <v>0</v>
      </c>
      <c r="AF115" s="10"/>
      <c r="AM115" s="10">
        <f>+'Gen Rev'!AI116-'Gen Exp'!AE115+'Gen Exp'!AI115-AK115</f>
        <v>0</v>
      </c>
    </row>
    <row r="116" spans="1:40" ht="12.75" hidden="1">
      <c r="A116" s="1" t="s">
        <v>844</v>
      </c>
      <c r="C116" s="23" t="s">
        <v>775</v>
      </c>
      <c r="D116" s="23"/>
      <c r="E116" s="10">
        <v>0</v>
      </c>
      <c r="G116" s="10">
        <v>0</v>
      </c>
      <c r="I116" s="10">
        <v>0</v>
      </c>
      <c r="K116" s="10">
        <v>0</v>
      </c>
      <c r="M116" s="10">
        <v>0</v>
      </c>
      <c r="O116" s="10">
        <v>0</v>
      </c>
      <c r="Q116" s="10">
        <v>0</v>
      </c>
      <c r="S116" s="10">
        <v>0</v>
      </c>
      <c r="U116" s="10">
        <v>0</v>
      </c>
      <c r="W116" s="10">
        <v>0</v>
      </c>
      <c r="Y116" s="10">
        <v>0</v>
      </c>
      <c r="AA116" s="10">
        <v>0</v>
      </c>
      <c r="AC116" s="10">
        <v>0</v>
      </c>
      <c r="AE116" s="10">
        <f t="shared" si="2"/>
        <v>0</v>
      </c>
      <c r="AF116" s="10"/>
      <c r="AM116" s="10">
        <f>+'Gen Rev'!AI117-'Gen Exp'!AE116+'Gen Exp'!AI116-AK116</f>
        <v>0</v>
      </c>
    </row>
    <row r="117" spans="1:40" s="21" customFormat="1" ht="12.6" customHeight="1">
      <c r="A117" s="1" t="s">
        <v>319</v>
      </c>
      <c r="B117" s="1"/>
      <c r="C117" s="1" t="s">
        <v>316</v>
      </c>
      <c r="D117" s="1"/>
      <c r="E117" s="10">
        <v>2354895</v>
      </c>
      <c r="F117" s="10"/>
      <c r="G117" s="10">
        <v>463922</v>
      </c>
      <c r="H117" s="10"/>
      <c r="I117" s="10">
        <v>83886</v>
      </c>
      <c r="J117" s="10"/>
      <c r="K117" s="10">
        <v>195368</v>
      </c>
      <c r="L117" s="10"/>
      <c r="M117" s="10">
        <v>426899</v>
      </c>
      <c r="N117" s="10"/>
      <c r="O117" s="10">
        <v>22846</v>
      </c>
      <c r="P117" s="10"/>
      <c r="Q117" s="10">
        <v>1128743</v>
      </c>
      <c r="R117" s="10"/>
      <c r="S117" s="10">
        <v>80315</v>
      </c>
      <c r="T117" s="10"/>
      <c r="U117" s="10">
        <v>0</v>
      </c>
      <c r="V117" s="10"/>
      <c r="W117" s="10">
        <v>0</v>
      </c>
      <c r="X117" s="10"/>
      <c r="Y117" s="10">
        <v>130000</v>
      </c>
      <c r="Z117" s="10"/>
      <c r="AA117" s="10">
        <v>0</v>
      </c>
      <c r="AB117" s="10"/>
      <c r="AC117" s="10">
        <v>2940</v>
      </c>
      <c r="AD117" s="10"/>
      <c r="AE117" s="10">
        <f t="shared" si="2"/>
        <v>4889814</v>
      </c>
      <c r="AF117" s="10"/>
      <c r="AG117" s="46">
        <v>-73802</v>
      </c>
      <c r="AH117" s="46"/>
      <c r="AI117" s="46">
        <v>2279476</v>
      </c>
      <c r="AJ117" s="46"/>
      <c r="AK117" s="46">
        <v>2205674</v>
      </c>
      <c r="AL117" s="46"/>
      <c r="AM117" s="10">
        <f>+'Gen Rev'!AI118-'Gen Exp'!AE117+'Gen Exp'!AI117-AK117</f>
        <v>0</v>
      </c>
      <c r="AN117" s="46"/>
    </row>
    <row r="118" spans="1:40" s="21" customFormat="1" ht="12.6" customHeight="1">
      <c r="A118" s="1" t="s">
        <v>311</v>
      </c>
      <c r="B118" s="1"/>
      <c r="C118" s="1" t="s">
        <v>312</v>
      </c>
      <c r="D118" s="1"/>
      <c r="E118" s="10">
        <v>3828</v>
      </c>
      <c r="F118" s="10"/>
      <c r="G118" s="10">
        <v>667</v>
      </c>
      <c r="H118" s="10"/>
      <c r="I118" s="10">
        <v>0</v>
      </c>
      <c r="J118" s="10"/>
      <c r="K118" s="10">
        <v>0</v>
      </c>
      <c r="L118" s="10"/>
      <c r="M118" s="10">
        <v>2720</v>
      </c>
      <c r="N118" s="10"/>
      <c r="O118" s="10">
        <v>0</v>
      </c>
      <c r="P118" s="10"/>
      <c r="Q118" s="10">
        <v>16175</v>
      </c>
      <c r="R118" s="10"/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Z118" s="10"/>
      <c r="AA118" s="10">
        <v>0</v>
      </c>
      <c r="AB118" s="10"/>
      <c r="AC118" s="10">
        <v>0</v>
      </c>
      <c r="AD118" s="10"/>
      <c r="AE118" s="10">
        <f t="shared" si="2"/>
        <v>23390</v>
      </c>
      <c r="AF118" s="10"/>
      <c r="AG118" s="10">
        <v>-7906</v>
      </c>
      <c r="AH118" s="10"/>
      <c r="AI118" s="10">
        <v>41150</v>
      </c>
      <c r="AJ118" s="10"/>
      <c r="AK118" s="10">
        <v>33244</v>
      </c>
      <c r="AL118" s="10"/>
      <c r="AM118" s="10">
        <f>+'Gen Rev'!AI119-'Gen Exp'!AE118+'Gen Exp'!AI118-AK118</f>
        <v>0</v>
      </c>
      <c r="AN118" s="10"/>
    </row>
    <row r="119" spans="1:40" s="21" customFormat="1" ht="12.6" hidden="1" customHeight="1">
      <c r="A119" s="1" t="s">
        <v>273</v>
      </c>
      <c r="B119" s="1"/>
      <c r="C119" s="1" t="s">
        <v>271</v>
      </c>
      <c r="D119" s="1"/>
      <c r="E119" s="10">
        <v>0</v>
      </c>
      <c r="F119" s="10"/>
      <c r="G119" s="10">
        <v>0</v>
      </c>
      <c r="H119" s="10"/>
      <c r="I119" s="10">
        <v>0</v>
      </c>
      <c r="J119" s="10"/>
      <c r="K119" s="10">
        <v>0</v>
      </c>
      <c r="L119" s="10"/>
      <c r="M119" s="10">
        <v>0</v>
      </c>
      <c r="N119" s="10"/>
      <c r="O119" s="10">
        <v>0</v>
      </c>
      <c r="P119" s="10"/>
      <c r="Q119" s="10">
        <v>0</v>
      </c>
      <c r="R119" s="10"/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Z119" s="10"/>
      <c r="AA119" s="10">
        <v>0</v>
      </c>
      <c r="AB119" s="10"/>
      <c r="AC119" s="10">
        <v>0</v>
      </c>
      <c r="AD119" s="10"/>
      <c r="AE119" s="10">
        <f t="shared" si="2"/>
        <v>0</v>
      </c>
      <c r="AF119" s="10"/>
      <c r="AG119" s="46"/>
      <c r="AH119" s="46"/>
      <c r="AI119" s="46"/>
      <c r="AJ119" s="46"/>
      <c r="AK119" s="46"/>
      <c r="AL119" s="46"/>
      <c r="AM119" s="10">
        <f>+'Gen Rev'!AI120-'Gen Exp'!AE119+'Gen Exp'!AI119-AK119</f>
        <v>0</v>
      </c>
      <c r="AN119" s="46"/>
    </row>
    <row r="120" spans="1:40" s="63" customFormat="1" ht="12.75" hidden="1">
      <c r="A120" s="59" t="s">
        <v>666</v>
      </c>
      <c r="B120" s="59"/>
      <c r="C120" s="57" t="s">
        <v>667</v>
      </c>
      <c r="D120" s="57"/>
      <c r="E120" s="60">
        <v>0</v>
      </c>
      <c r="F120" s="60"/>
      <c r="G120" s="60">
        <v>0</v>
      </c>
      <c r="H120" s="60"/>
      <c r="I120" s="60">
        <v>0</v>
      </c>
      <c r="J120" s="60"/>
      <c r="K120" s="60">
        <v>0</v>
      </c>
      <c r="L120" s="60"/>
      <c r="M120" s="60">
        <v>0</v>
      </c>
      <c r="N120" s="60"/>
      <c r="O120" s="60">
        <v>0</v>
      </c>
      <c r="P120" s="60"/>
      <c r="Q120" s="60">
        <v>0</v>
      </c>
      <c r="R120" s="60"/>
      <c r="S120" s="60">
        <v>0</v>
      </c>
      <c r="T120" s="60"/>
      <c r="U120" s="60">
        <v>0</v>
      </c>
      <c r="V120" s="60"/>
      <c r="W120" s="60">
        <v>0</v>
      </c>
      <c r="X120" s="60"/>
      <c r="Y120" s="60">
        <v>0</v>
      </c>
      <c r="Z120" s="60"/>
      <c r="AA120" s="60">
        <v>0</v>
      </c>
      <c r="AB120" s="60"/>
      <c r="AC120" s="60">
        <v>0</v>
      </c>
      <c r="AD120" s="60"/>
      <c r="AE120" s="60">
        <f t="shared" si="2"/>
        <v>0</v>
      </c>
      <c r="AF120" s="60"/>
      <c r="AG120" s="60"/>
      <c r="AH120" s="60"/>
      <c r="AI120" s="60"/>
      <c r="AJ120" s="60"/>
      <c r="AK120" s="60"/>
      <c r="AL120" s="60"/>
      <c r="AM120" s="60">
        <f>+'Gen Rev'!AI121-'Gen Exp'!AE120+'Gen Exp'!AI120-AK120</f>
        <v>0</v>
      </c>
      <c r="AN120" s="60"/>
    </row>
    <row r="121" spans="1:40" hidden="1">
      <c r="A121" s="1" t="s">
        <v>436</v>
      </c>
      <c r="C121" s="1" t="s">
        <v>437</v>
      </c>
      <c r="E121" s="10">
        <v>0</v>
      </c>
      <c r="G121" s="10">
        <v>0</v>
      </c>
      <c r="I121" s="10">
        <v>0</v>
      </c>
      <c r="K121" s="10">
        <v>0</v>
      </c>
      <c r="M121" s="10">
        <v>0</v>
      </c>
      <c r="O121" s="10">
        <v>0</v>
      </c>
      <c r="Q121" s="10">
        <v>0</v>
      </c>
      <c r="S121" s="10">
        <v>0</v>
      </c>
      <c r="U121" s="10">
        <v>0</v>
      </c>
      <c r="W121" s="10">
        <v>0</v>
      </c>
      <c r="Y121" s="10">
        <v>0</v>
      </c>
      <c r="AA121" s="10">
        <v>0</v>
      </c>
      <c r="AC121" s="10">
        <v>0</v>
      </c>
      <c r="AE121" s="10">
        <f t="shared" si="2"/>
        <v>0</v>
      </c>
      <c r="AF121" s="10"/>
      <c r="AM121" s="10">
        <f>+'Gen Rev'!AI122-'Gen Exp'!AE121+'Gen Exp'!AI121-AK121</f>
        <v>0</v>
      </c>
    </row>
    <row r="122" spans="1:40" s="21" customFormat="1" ht="12.75" hidden="1">
      <c r="A122" s="1" t="s">
        <v>79</v>
      </c>
      <c r="B122" s="1"/>
      <c r="C122" s="23" t="s">
        <v>775</v>
      </c>
      <c r="D122" s="23"/>
      <c r="E122" s="10">
        <v>0</v>
      </c>
      <c r="F122" s="10"/>
      <c r="G122" s="10">
        <v>0</v>
      </c>
      <c r="H122" s="10"/>
      <c r="I122" s="10">
        <v>0</v>
      </c>
      <c r="J122" s="10"/>
      <c r="K122" s="10">
        <v>0</v>
      </c>
      <c r="L122" s="10"/>
      <c r="M122" s="10">
        <v>0</v>
      </c>
      <c r="N122" s="10"/>
      <c r="O122" s="10">
        <v>0</v>
      </c>
      <c r="P122" s="10"/>
      <c r="Q122" s="10">
        <v>0</v>
      </c>
      <c r="R122" s="10"/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Z122" s="10"/>
      <c r="AA122" s="10">
        <v>0</v>
      </c>
      <c r="AB122" s="10"/>
      <c r="AC122" s="10">
        <v>0</v>
      </c>
      <c r="AD122" s="10"/>
      <c r="AE122" s="10">
        <f t="shared" si="2"/>
        <v>0</v>
      </c>
      <c r="AF122" s="10"/>
      <c r="AG122" s="10"/>
      <c r="AH122" s="10"/>
      <c r="AI122" s="10"/>
      <c r="AJ122" s="10"/>
      <c r="AK122" s="10"/>
      <c r="AL122" s="10"/>
      <c r="AM122" s="10">
        <f>+'Gen Rev'!AI123-'Gen Exp'!AE122+'Gen Exp'!AI122-AK122</f>
        <v>0</v>
      </c>
      <c r="AN122" s="10"/>
    </row>
    <row r="123" spans="1:40" s="15" customFormat="1" ht="12.75">
      <c r="A123" s="15" t="s">
        <v>904</v>
      </c>
      <c r="C123" s="15" t="s">
        <v>905</v>
      </c>
      <c r="D123" s="28"/>
      <c r="E123" s="24">
        <v>4410</v>
      </c>
      <c r="F123" s="24"/>
      <c r="G123" s="24">
        <v>0</v>
      </c>
      <c r="H123" s="24"/>
      <c r="I123" s="24">
        <v>0</v>
      </c>
      <c r="J123" s="24"/>
      <c r="K123" s="24">
        <v>0</v>
      </c>
      <c r="L123" s="24"/>
      <c r="M123" s="24">
        <v>24605</v>
      </c>
      <c r="N123" s="24"/>
      <c r="O123" s="24">
        <v>0</v>
      </c>
      <c r="P123" s="24"/>
      <c r="Q123" s="24">
        <v>17808</v>
      </c>
      <c r="R123" s="24"/>
      <c r="S123" s="24">
        <v>0</v>
      </c>
      <c r="T123" s="24"/>
      <c r="U123" s="24">
        <v>0</v>
      </c>
      <c r="V123" s="24"/>
      <c r="W123" s="24">
        <v>0</v>
      </c>
      <c r="X123" s="24"/>
      <c r="Y123" s="24">
        <v>1500</v>
      </c>
      <c r="Z123" s="24"/>
      <c r="AA123" s="24">
        <v>0</v>
      </c>
      <c r="AB123" s="24"/>
      <c r="AC123" s="24">
        <f>297+10395</f>
        <v>10692</v>
      </c>
      <c r="AD123" s="24"/>
      <c r="AE123" s="24">
        <f>SUM(E123:AC123)</f>
        <v>59015</v>
      </c>
      <c r="AF123" s="24"/>
      <c r="AG123" s="24">
        <v>-8398</v>
      </c>
      <c r="AH123" s="24"/>
      <c r="AI123" s="24">
        <v>10633</v>
      </c>
      <c r="AJ123" s="24"/>
      <c r="AK123" s="24">
        <f>2116+119</f>
        <v>2235</v>
      </c>
      <c r="AL123" s="24"/>
      <c r="AM123" s="24">
        <f>+'Gen Rev'!AI124-'Gen Exp'!AE123+'Gen Exp'!AI123-AK123</f>
        <v>0</v>
      </c>
      <c r="AN123" s="24"/>
    </row>
    <row r="124" spans="1:40" ht="12.75" hidden="1">
      <c r="A124" s="1" t="s">
        <v>171</v>
      </c>
      <c r="C124" s="23" t="s">
        <v>804</v>
      </c>
      <c r="D124" s="23"/>
      <c r="E124" s="10">
        <v>0</v>
      </c>
      <c r="G124" s="10">
        <v>0</v>
      </c>
      <c r="I124" s="10">
        <v>0</v>
      </c>
      <c r="K124" s="10">
        <v>0</v>
      </c>
      <c r="M124" s="10">
        <v>0</v>
      </c>
      <c r="O124" s="10">
        <v>0</v>
      </c>
      <c r="Q124" s="10">
        <v>0</v>
      </c>
      <c r="S124" s="10">
        <v>0</v>
      </c>
      <c r="U124" s="10">
        <v>0</v>
      </c>
      <c r="W124" s="10">
        <v>0</v>
      </c>
      <c r="Y124" s="10">
        <v>0</v>
      </c>
      <c r="AA124" s="10">
        <v>0</v>
      </c>
      <c r="AC124" s="10">
        <v>0</v>
      </c>
      <c r="AE124" s="10">
        <f t="shared" si="2"/>
        <v>0</v>
      </c>
      <c r="AF124" s="10"/>
      <c r="AM124" s="10">
        <f>+'Gen Rev'!AI125-'Gen Exp'!AE124+'Gen Exp'!AI124-AK124</f>
        <v>0</v>
      </c>
    </row>
    <row r="125" spans="1:40" ht="12.75" hidden="1">
      <c r="A125" s="1" t="s">
        <v>856</v>
      </c>
      <c r="C125" s="23" t="s">
        <v>799</v>
      </c>
      <c r="D125" s="23"/>
      <c r="E125" s="10">
        <v>0</v>
      </c>
      <c r="G125" s="10">
        <v>0</v>
      </c>
      <c r="I125" s="10">
        <v>0</v>
      </c>
      <c r="K125" s="10">
        <v>0</v>
      </c>
      <c r="M125" s="10">
        <v>0</v>
      </c>
      <c r="O125" s="10">
        <v>0</v>
      </c>
      <c r="Q125" s="10">
        <v>0</v>
      </c>
      <c r="S125" s="10">
        <v>0</v>
      </c>
      <c r="U125" s="10">
        <v>0</v>
      </c>
      <c r="W125" s="10">
        <v>0</v>
      </c>
      <c r="Y125" s="10">
        <v>0</v>
      </c>
      <c r="AA125" s="10">
        <v>0</v>
      </c>
      <c r="AC125" s="10">
        <v>0</v>
      </c>
      <c r="AE125" s="10">
        <f t="shared" si="2"/>
        <v>0</v>
      </c>
      <c r="AF125" s="10"/>
      <c r="AM125" s="10">
        <f>+'Gen Rev'!AI126-'Gen Exp'!AE125+'Gen Exp'!AI125-AK125</f>
        <v>0</v>
      </c>
    </row>
    <row r="126" spans="1:40" ht="12.75">
      <c r="A126" s="1" t="s">
        <v>906</v>
      </c>
      <c r="C126" s="23" t="s">
        <v>295</v>
      </c>
      <c r="D126" s="23"/>
      <c r="E126" s="10">
        <v>4093</v>
      </c>
      <c r="G126" s="10">
        <v>0</v>
      </c>
      <c r="I126" s="10">
        <v>124</v>
      </c>
      <c r="K126" s="10">
        <v>0</v>
      </c>
      <c r="M126" s="10">
        <v>8308</v>
      </c>
      <c r="O126" s="10">
        <v>160</v>
      </c>
      <c r="Q126" s="10">
        <v>16020</v>
      </c>
      <c r="S126" s="10">
        <v>0</v>
      </c>
      <c r="U126" s="10">
        <v>0</v>
      </c>
      <c r="W126" s="10">
        <v>0</v>
      </c>
      <c r="Y126" s="10">
        <v>0</v>
      </c>
      <c r="AA126" s="10">
        <v>0</v>
      </c>
      <c r="AC126" s="10">
        <v>0</v>
      </c>
      <c r="AE126" s="10">
        <f>SUM(E126:AC126)</f>
        <v>28705</v>
      </c>
      <c r="AF126" s="10"/>
      <c r="AG126" s="10">
        <v>-5266</v>
      </c>
      <c r="AI126" s="10">
        <v>12342</v>
      </c>
      <c r="AK126" s="10">
        <v>7076</v>
      </c>
      <c r="AM126" s="10">
        <f>+'Gen Rev'!AI127-'Gen Exp'!AE126+'Gen Exp'!AI126-AK126</f>
        <v>0</v>
      </c>
    </row>
    <row r="127" spans="1:40" ht="12.75" hidden="1">
      <c r="A127" s="1" t="s">
        <v>152</v>
      </c>
      <c r="C127" s="23" t="s">
        <v>797</v>
      </c>
      <c r="D127" s="23"/>
      <c r="E127" s="10">
        <v>0</v>
      </c>
      <c r="G127" s="10">
        <v>0</v>
      </c>
      <c r="I127" s="10">
        <v>0</v>
      </c>
      <c r="K127" s="10">
        <v>0</v>
      </c>
      <c r="M127" s="10">
        <v>0</v>
      </c>
      <c r="O127" s="10">
        <v>0</v>
      </c>
      <c r="Q127" s="10">
        <v>0</v>
      </c>
      <c r="S127" s="10">
        <v>0</v>
      </c>
      <c r="U127" s="10">
        <v>0</v>
      </c>
      <c r="W127" s="10">
        <v>0</v>
      </c>
      <c r="Y127" s="10">
        <v>0</v>
      </c>
      <c r="AA127" s="10">
        <v>0</v>
      </c>
      <c r="AC127" s="10">
        <v>0</v>
      </c>
      <c r="AE127" s="10">
        <f t="shared" si="2"/>
        <v>0</v>
      </c>
      <c r="AF127" s="10"/>
      <c r="AM127" s="10">
        <f>+'Gen Rev'!AI128-'Gen Exp'!AE127+'Gen Exp'!AI127-AK127</f>
        <v>0</v>
      </c>
    </row>
    <row r="128" spans="1:40" s="21" customFormat="1" ht="12.75" hidden="1">
      <c r="A128" s="1" t="s">
        <v>32</v>
      </c>
      <c r="B128" s="1"/>
      <c r="C128" s="23" t="s">
        <v>759</v>
      </c>
      <c r="D128" s="23"/>
      <c r="E128" s="10">
        <v>0</v>
      </c>
      <c r="F128" s="10"/>
      <c r="G128" s="10">
        <v>0</v>
      </c>
      <c r="H128" s="10"/>
      <c r="I128" s="10">
        <v>0</v>
      </c>
      <c r="J128" s="10"/>
      <c r="K128" s="10">
        <v>0</v>
      </c>
      <c r="L128" s="10"/>
      <c r="M128" s="10">
        <v>0</v>
      </c>
      <c r="N128" s="10"/>
      <c r="O128" s="10">
        <v>0</v>
      </c>
      <c r="P128" s="10"/>
      <c r="Q128" s="10">
        <v>0</v>
      </c>
      <c r="R128" s="10"/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Z128" s="10"/>
      <c r="AA128" s="10">
        <v>0</v>
      </c>
      <c r="AB128" s="10"/>
      <c r="AC128" s="10">
        <v>0</v>
      </c>
      <c r="AD128" s="10"/>
      <c r="AE128" s="10">
        <f t="shared" si="2"/>
        <v>0</v>
      </c>
      <c r="AF128" s="10"/>
      <c r="AG128" s="46"/>
      <c r="AH128" s="46"/>
      <c r="AI128" s="46"/>
      <c r="AJ128" s="46"/>
      <c r="AK128" s="46"/>
      <c r="AL128" s="46"/>
      <c r="AM128" s="10">
        <f>+'Gen Rev'!AI129-'Gen Exp'!AE128+'Gen Exp'!AI128-AK128</f>
        <v>0</v>
      </c>
      <c r="AN128" s="46"/>
    </row>
    <row r="129" spans="1:40" ht="12.75" hidden="1">
      <c r="A129" s="1" t="s">
        <v>211</v>
      </c>
      <c r="C129" s="23" t="s">
        <v>815</v>
      </c>
      <c r="D129" s="23"/>
      <c r="E129" s="10">
        <v>0</v>
      </c>
      <c r="G129" s="10">
        <v>0</v>
      </c>
      <c r="I129" s="10">
        <v>0</v>
      </c>
      <c r="K129" s="10">
        <v>0</v>
      </c>
      <c r="M129" s="10">
        <v>0</v>
      </c>
      <c r="O129" s="10">
        <v>0</v>
      </c>
      <c r="Q129" s="10">
        <v>0</v>
      </c>
      <c r="S129" s="10">
        <v>0</v>
      </c>
      <c r="U129" s="10">
        <v>0</v>
      </c>
      <c r="W129" s="10">
        <v>0</v>
      </c>
      <c r="Y129" s="10">
        <v>0</v>
      </c>
      <c r="AA129" s="10">
        <v>0</v>
      </c>
      <c r="AC129" s="10">
        <v>0</v>
      </c>
      <c r="AE129" s="10">
        <f t="shared" si="2"/>
        <v>0</v>
      </c>
      <c r="AF129" s="10"/>
      <c r="AM129" s="10">
        <f>+'Gen Rev'!AI130-'Gen Exp'!AE129+'Gen Exp'!AI129-AK129</f>
        <v>0</v>
      </c>
    </row>
    <row r="130" spans="1:40" s="21" customFormat="1" ht="12.6" hidden="1" customHeight="1">
      <c r="A130" s="1" t="s">
        <v>300</v>
      </c>
      <c r="B130" s="1"/>
      <c r="C130" s="1" t="s">
        <v>299</v>
      </c>
      <c r="D130" s="1"/>
      <c r="E130" s="10">
        <v>0</v>
      </c>
      <c r="F130" s="10"/>
      <c r="G130" s="10">
        <v>0</v>
      </c>
      <c r="H130" s="10"/>
      <c r="I130" s="10">
        <v>0</v>
      </c>
      <c r="J130" s="10"/>
      <c r="K130" s="10">
        <v>0</v>
      </c>
      <c r="L130" s="10"/>
      <c r="M130" s="10">
        <v>0</v>
      </c>
      <c r="N130" s="10"/>
      <c r="O130" s="10">
        <v>0</v>
      </c>
      <c r="P130" s="10"/>
      <c r="Q130" s="10">
        <v>0</v>
      </c>
      <c r="R130" s="10"/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Z130" s="10"/>
      <c r="AA130" s="10">
        <v>0</v>
      </c>
      <c r="AB130" s="10"/>
      <c r="AC130" s="10">
        <v>0</v>
      </c>
      <c r="AD130" s="10"/>
      <c r="AE130" s="10">
        <f t="shared" si="2"/>
        <v>0</v>
      </c>
      <c r="AF130" s="10"/>
      <c r="AG130" s="46"/>
      <c r="AH130" s="46"/>
      <c r="AI130" s="46"/>
      <c r="AJ130" s="46"/>
      <c r="AK130" s="46"/>
      <c r="AL130" s="46"/>
      <c r="AM130" s="10">
        <f>+'Gen Rev'!AI131-'Gen Exp'!AE130+'Gen Exp'!AI130-AK130</f>
        <v>0</v>
      </c>
      <c r="AN130" s="46"/>
    </row>
    <row r="131" spans="1:40" ht="12.75" hidden="1">
      <c r="A131" s="1" t="s">
        <v>179</v>
      </c>
      <c r="C131" s="23" t="s">
        <v>807</v>
      </c>
      <c r="D131" s="23"/>
      <c r="E131" s="10">
        <v>0</v>
      </c>
      <c r="G131" s="10">
        <v>0</v>
      </c>
      <c r="I131" s="10">
        <v>0</v>
      </c>
      <c r="K131" s="10">
        <v>0</v>
      </c>
      <c r="M131" s="10">
        <v>0</v>
      </c>
      <c r="O131" s="10">
        <v>0</v>
      </c>
      <c r="Q131" s="10">
        <v>0</v>
      </c>
      <c r="S131" s="10">
        <v>0</v>
      </c>
      <c r="U131" s="10">
        <v>0</v>
      </c>
      <c r="W131" s="10">
        <v>0</v>
      </c>
      <c r="Y131" s="10">
        <v>0</v>
      </c>
      <c r="AA131" s="10">
        <v>0</v>
      </c>
      <c r="AC131" s="10">
        <v>0</v>
      </c>
      <c r="AE131" s="10">
        <f t="shared" si="2"/>
        <v>0</v>
      </c>
      <c r="AF131" s="10"/>
      <c r="AM131" s="10">
        <f>+'Gen Rev'!AI131-'Gen Exp'!AE131+'Gen Exp'!AI131-AK131</f>
        <v>0</v>
      </c>
    </row>
    <row r="132" spans="1:40" ht="12.75" hidden="1">
      <c r="A132" s="1" t="s">
        <v>857</v>
      </c>
      <c r="C132" s="23" t="s">
        <v>778</v>
      </c>
      <c r="D132" s="23"/>
      <c r="E132" s="10">
        <v>0</v>
      </c>
      <c r="G132" s="10">
        <v>0</v>
      </c>
      <c r="I132" s="10">
        <v>0</v>
      </c>
      <c r="K132" s="10">
        <v>0</v>
      </c>
      <c r="M132" s="10">
        <v>0</v>
      </c>
      <c r="O132" s="10">
        <v>0</v>
      </c>
      <c r="Q132" s="10">
        <v>0</v>
      </c>
      <c r="S132" s="10">
        <v>0</v>
      </c>
      <c r="U132" s="10">
        <v>0</v>
      </c>
      <c r="W132" s="10">
        <v>0</v>
      </c>
      <c r="Y132" s="10">
        <v>0</v>
      </c>
      <c r="AA132" s="10">
        <v>0</v>
      </c>
      <c r="AC132" s="10">
        <v>0</v>
      </c>
      <c r="AE132" s="10">
        <f t="shared" si="2"/>
        <v>0</v>
      </c>
      <c r="AF132" s="10"/>
      <c r="AM132" s="10">
        <f>+'Gen Rev'!AI132-'Gen Exp'!AE132+'Gen Exp'!AI132-AK132</f>
        <v>0</v>
      </c>
    </row>
    <row r="133" spans="1:40" s="21" customFormat="1">
      <c r="A133" s="1" t="s">
        <v>372</v>
      </c>
      <c r="B133" s="1"/>
      <c r="C133" s="1" t="s">
        <v>373</v>
      </c>
      <c r="D133" s="1"/>
      <c r="E133" s="10">
        <v>3833</v>
      </c>
      <c r="F133" s="10"/>
      <c r="G133" s="10">
        <v>61</v>
      </c>
      <c r="H133" s="10"/>
      <c r="I133" s="10">
        <v>0</v>
      </c>
      <c r="J133" s="10"/>
      <c r="K133" s="10">
        <v>25</v>
      </c>
      <c r="L133" s="10"/>
      <c r="M133" s="10">
        <v>0</v>
      </c>
      <c r="N133" s="10"/>
      <c r="O133" s="10">
        <v>0</v>
      </c>
      <c r="P133" s="10"/>
      <c r="Q133" s="10">
        <v>25595</v>
      </c>
      <c r="R133" s="10"/>
      <c r="S133" s="10">
        <v>0</v>
      </c>
      <c r="T133" s="10"/>
      <c r="U133" s="10">
        <v>0</v>
      </c>
      <c r="V133" s="10"/>
      <c r="W133" s="10">
        <v>0</v>
      </c>
      <c r="X133" s="10"/>
      <c r="Y133" s="10">
        <v>0</v>
      </c>
      <c r="Z133" s="10"/>
      <c r="AA133" s="10">
        <v>0</v>
      </c>
      <c r="AB133" s="10"/>
      <c r="AC133" s="10">
        <v>0</v>
      </c>
      <c r="AD133" s="10"/>
      <c r="AE133" s="10">
        <f t="shared" si="2"/>
        <v>29514</v>
      </c>
      <c r="AF133" s="10"/>
      <c r="AG133" s="10">
        <v>-2201</v>
      </c>
      <c r="AH133" s="10"/>
      <c r="AI133" s="10">
        <v>30112</v>
      </c>
      <c r="AJ133" s="10"/>
      <c r="AK133" s="10">
        <v>27911</v>
      </c>
      <c r="AL133" s="10"/>
      <c r="AM133" s="10">
        <f>+'Gen Rev'!AI134-'Gen Exp'!AE133+'Gen Exp'!AI133-AK133</f>
        <v>0</v>
      </c>
      <c r="AN133" s="10"/>
    </row>
    <row r="134" spans="1:40" s="21" customFormat="1" hidden="1">
      <c r="A134" s="1" t="s">
        <v>299</v>
      </c>
      <c r="B134" s="1"/>
      <c r="C134" s="1" t="s">
        <v>554</v>
      </c>
      <c r="D134" s="1"/>
      <c r="E134" s="10">
        <v>0</v>
      </c>
      <c r="F134" s="10"/>
      <c r="G134" s="10">
        <v>0</v>
      </c>
      <c r="H134" s="10"/>
      <c r="I134" s="10">
        <v>0</v>
      </c>
      <c r="J134" s="10"/>
      <c r="K134" s="10">
        <v>0</v>
      </c>
      <c r="L134" s="10"/>
      <c r="M134" s="10">
        <v>0</v>
      </c>
      <c r="N134" s="10"/>
      <c r="O134" s="10">
        <v>0</v>
      </c>
      <c r="P134" s="10"/>
      <c r="Q134" s="10">
        <v>0</v>
      </c>
      <c r="R134" s="10"/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Z134" s="10"/>
      <c r="AA134" s="10">
        <v>0</v>
      </c>
      <c r="AB134" s="10"/>
      <c r="AC134" s="10">
        <v>0</v>
      </c>
      <c r="AD134" s="10"/>
      <c r="AE134" s="10">
        <f t="shared" si="2"/>
        <v>0</v>
      </c>
      <c r="AF134" s="10"/>
      <c r="AG134" s="10"/>
      <c r="AH134" s="10"/>
      <c r="AI134" s="10"/>
      <c r="AJ134" s="10"/>
      <c r="AK134" s="10"/>
      <c r="AL134" s="10"/>
      <c r="AM134" s="10">
        <f>+'Gen Rev'!AI135-'Gen Exp'!AE134+'Gen Exp'!AI134-AK134</f>
        <v>0</v>
      </c>
      <c r="AN134" s="10"/>
    </row>
    <row r="135" spans="1:40" s="60" customFormat="1" hidden="1">
      <c r="A135" s="60" t="s">
        <v>668</v>
      </c>
      <c r="C135" s="60" t="s">
        <v>517</v>
      </c>
      <c r="E135" s="60">
        <v>3338</v>
      </c>
      <c r="G135" s="60">
        <v>0</v>
      </c>
      <c r="I135" s="60">
        <v>3498</v>
      </c>
      <c r="K135" s="60">
        <v>0</v>
      </c>
      <c r="M135" s="60">
        <v>2675</v>
      </c>
      <c r="O135" s="60">
        <v>3738</v>
      </c>
      <c r="Q135" s="60">
        <v>29812</v>
      </c>
      <c r="S135" s="60">
        <v>0</v>
      </c>
      <c r="U135" s="60">
        <v>2432</v>
      </c>
      <c r="W135" s="60">
        <v>0</v>
      </c>
      <c r="Y135" s="60">
        <v>0</v>
      </c>
      <c r="AA135" s="60">
        <v>0</v>
      </c>
      <c r="AC135" s="60">
        <v>0</v>
      </c>
      <c r="AE135" s="60">
        <f t="shared" si="2"/>
        <v>45493</v>
      </c>
      <c r="AK135" s="60">
        <v>54247</v>
      </c>
      <c r="AM135" s="60">
        <f>+'Gen Rev'!AI136-'Gen Exp'!AE135+'Gen Exp'!AI135-AK135</f>
        <v>-45898</v>
      </c>
    </row>
    <row r="136" spans="1:40" s="21" customFormat="1" ht="12.75" hidden="1">
      <c r="A136" s="1" t="s">
        <v>125</v>
      </c>
      <c r="B136" s="1"/>
      <c r="C136" s="23" t="s">
        <v>789</v>
      </c>
      <c r="D136" s="23"/>
      <c r="E136" s="10">
        <v>0</v>
      </c>
      <c r="F136" s="10"/>
      <c r="G136" s="10">
        <v>0</v>
      </c>
      <c r="H136" s="10"/>
      <c r="I136" s="10">
        <v>0</v>
      </c>
      <c r="J136" s="10"/>
      <c r="K136" s="10">
        <v>0</v>
      </c>
      <c r="L136" s="10"/>
      <c r="M136" s="10">
        <v>0</v>
      </c>
      <c r="N136" s="10"/>
      <c r="O136" s="10">
        <v>0</v>
      </c>
      <c r="P136" s="10"/>
      <c r="Q136" s="10">
        <v>0</v>
      </c>
      <c r="R136" s="10"/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Z136" s="10"/>
      <c r="AA136" s="10">
        <v>0</v>
      </c>
      <c r="AB136" s="10"/>
      <c r="AC136" s="10">
        <v>0</v>
      </c>
      <c r="AD136" s="10"/>
      <c r="AE136" s="10">
        <f t="shared" si="2"/>
        <v>0</v>
      </c>
      <c r="AF136" s="10"/>
      <c r="AG136" s="10"/>
      <c r="AH136" s="10"/>
      <c r="AI136" s="10"/>
      <c r="AJ136" s="10"/>
      <c r="AK136" s="10"/>
      <c r="AL136" s="10"/>
      <c r="AM136" s="10">
        <f>+'Gen Rev'!AI137-'Gen Exp'!AE136+'Gen Exp'!AI136-AK136</f>
        <v>0</v>
      </c>
      <c r="AN136" s="10"/>
    </row>
    <row r="137" spans="1:40" s="21" customFormat="1" ht="12.75" hidden="1">
      <c r="A137" s="1" t="s">
        <v>670</v>
      </c>
      <c r="B137" s="1"/>
      <c r="C137" s="23" t="s">
        <v>669</v>
      </c>
      <c r="D137" s="23"/>
      <c r="E137" s="10">
        <v>0</v>
      </c>
      <c r="F137" s="10"/>
      <c r="G137" s="10">
        <v>0</v>
      </c>
      <c r="H137" s="10"/>
      <c r="I137" s="10">
        <v>0</v>
      </c>
      <c r="J137" s="10"/>
      <c r="K137" s="10">
        <v>0</v>
      </c>
      <c r="L137" s="10"/>
      <c r="M137" s="10">
        <v>0</v>
      </c>
      <c r="N137" s="10"/>
      <c r="O137" s="10">
        <v>0</v>
      </c>
      <c r="P137" s="10"/>
      <c r="Q137" s="10">
        <v>0</v>
      </c>
      <c r="R137" s="10"/>
      <c r="S137" s="10">
        <v>0</v>
      </c>
      <c r="T137" s="10"/>
      <c r="U137" s="10">
        <v>0</v>
      </c>
      <c r="V137" s="10"/>
      <c r="W137" s="10">
        <v>0</v>
      </c>
      <c r="X137" s="10"/>
      <c r="Y137" s="10">
        <v>0</v>
      </c>
      <c r="Z137" s="10"/>
      <c r="AA137" s="10">
        <v>0</v>
      </c>
      <c r="AB137" s="10"/>
      <c r="AC137" s="10">
        <v>0</v>
      </c>
      <c r="AD137" s="10"/>
      <c r="AE137" s="10">
        <f t="shared" si="2"/>
        <v>0</v>
      </c>
      <c r="AF137" s="10"/>
      <c r="AG137" s="10"/>
      <c r="AH137" s="10"/>
      <c r="AI137" s="10"/>
      <c r="AJ137" s="10"/>
      <c r="AK137" s="10"/>
      <c r="AL137" s="10"/>
      <c r="AM137" s="10">
        <f>+'Gen Rev'!AI138-'Gen Exp'!AE137+'Gen Exp'!AI137-AK137</f>
        <v>0</v>
      </c>
      <c r="AN137" s="10"/>
    </row>
    <row r="138" spans="1:40" ht="12.75">
      <c r="A138" s="1" t="s">
        <v>907</v>
      </c>
      <c r="C138" s="23" t="s">
        <v>469</v>
      </c>
      <c r="D138" s="23"/>
      <c r="E138" s="10">
        <v>586799</v>
      </c>
      <c r="G138" s="10">
        <v>21158</v>
      </c>
      <c r="I138" s="10">
        <v>0</v>
      </c>
      <c r="K138" s="10">
        <v>0</v>
      </c>
      <c r="M138" s="10">
        <v>0</v>
      </c>
      <c r="O138" s="10">
        <v>0</v>
      </c>
      <c r="Q138" s="10">
        <v>360289</v>
      </c>
      <c r="S138" s="10">
        <v>23525</v>
      </c>
      <c r="U138" s="10">
        <v>0</v>
      </c>
      <c r="W138" s="10">
        <v>0</v>
      </c>
      <c r="Y138" s="10">
        <v>0</v>
      </c>
      <c r="AA138" s="10">
        <v>0</v>
      </c>
      <c r="AC138" s="10">
        <v>838978</v>
      </c>
      <c r="AE138" s="10">
        <f>SUM(E138:AC138)</f>
        <v>1830749</v>
      </c>
      <c r="AF138" s="10"/>
      <c r="AG138" s="10">
        <v>37889</v>
      </c>
      <c r="AI138" s="10">
        <v>88065</v>
      </c>
      <c r="AK138" s="10">
        <v>125954</v>
      </c>
      <c r="AM138" s="10">
        <f>+'Gen Rev'!AI139-'Gen Exp'!AE138+'Gen Exp'!AI138-AK138</f>
        <v>0</v>
      </c>
    </row>
    <row r="139" spans="1:40" ht="12.75" hidden="1">
      <c r="A139" s="1" t="s">
        <v>199</v>
      </c>
      <c r="C139" s="23" t="s">
        <v>812</v>
      </c>
      <c r="D139" s="23"/>
      <c r="E139" s="10">
        <v>0</v>
      </c>
      <c r="G139" s="10">
        <v>0</v>
      </c>
      <c r="I139" s="10">
        <v>0</v>
      </c>
      <c r="K139" s="10">
        <v>0</v>
      </c>
      <c r="M139" s="10">
        <v>0</v>
      </c>
      <c r="O139" s="10">
        <v>0</v>
      </c>
      <c r="Q139" s="10">
        <v>0</v>
      </c>
      <c r="S139" s="10">
        <v>0</v>
      </c>
      <c r="U139" s="10">
        <v>0</v>
      </c>
      <c r="W139" s="10">
        <v>0</v>
      </c>
      <c r="Y139" s="10">
        <v>0</v>
      </c>
      <c r="AA139" s="10">
        <v>0</v>
      </c>
      <c r="AC139" s="10">
        <v>0</v>
      </c>
      <c r="AE139" s="10">
        <f t="shared" si="2"/>
        <v>0</v>
      </c>
      <c r="AF139" s="10"/>
      <c r="AM139" s="10">
        <f>+'Gen Rev'!AI140-'Gen Exp'!AE139+'Gen Exp'!AI139-AK139</f>
        <v>0</v>
      </c>
    </row>
    <row r="140" spans="1:40">
      <c r="A140" s="1" t="s">
        <v>518</v>
      </c>
      <c r="C140" s="1" t="s">
        <v>517</v>
      </c>
      <c r="E140" s="10">
        <v>155996</v>
      </c>
      <c r="G140" s="10">
        <v>4163</v>
      </c>
      <c r="I140" s="10">
        <v>129714</v>
      </c>
      <c r="K140" s="10">
        <v>1772</v>
      </c>
      <c r="M140" s="10">
        <v>1670</v>
      </c>
      <c r="O140" s="10">
        <v>19845</v>
      </c>
      <c r="Q140" s="10">
        <v>143241</v>
      </c>
      <c r="S140" s="10">
        <v>21979</v>
      </c>
      <c r="U140" s="10">
        <v>54107</v>
      </c>
      <c r="W140" s="10">
        <v>1705</v>
      </c>
      <c r="Y140" s="10">
        <v>219782</v>
      </c>
      <c r="AA140" s="10">
        <v>0</v>
      </c>
      <c r="AC140" s="10">
        <v>6147</v>
      </c>
      <c r="AE140" s="10">
        <f t="shared" si="2"/>
        <v>760121</v>
      </c>
      <c r="AF140" s="10"/>
      <c r="AG140" s="10">
        <v>-28958</v>
      </c>
      <c r="AI140" s="10">
        <v>146815</v>
      </c>
      <c r="AK140" s="10">
        <v>117857</v>
      </c>
      <c r="AM140" s="10">
        <f>+'Gen Rev'!AI141-'Gen Exp'!AE140+'Gen Exp'!AI140-AK140</f>
        <v>0</v>
      </c>
    </row>
    <row r="141" spans="1:40" ht="12.75" hidden="1">
      <c r="A141" s="1" t="s">
        <v>188</v>
      </c>
      <c r="C141" s="23" t="s">
        <v>809</v>
      </c>
      <c r="D141" s="23"/>
      <c r="E141" s="10">
        <v>0</v>
      </c>
      <c r="G141" s="10">
        <v>0</v>
      </c>
      <c r="I141" s="10">
        <v>0</v>
      </c>
      <c r="K141" s="10">
        <v>0</v>
      </c>
      <c r="M141" s="10">
        <v>0</v>
      </c>
      <c r="O141" s="10">
        <v>0</v>
      </c>
      <c r="Q141" s="10">
        <v>0</v>
      </c>
      <c r="S141" s="10">
        <v>0</v>
      </c>
      <c r="U141" s="10">
        <v>0</v>
      </c>
      <c r="W141" s="10">
        <v>0</v>
      </c>
      <c r="Y141" s="10">
        <v>0</v>
      </c>
      <c r="AA141" s="10">
        <v>0</v>
      </c>
      <c r="AC141" s="10">
        <v>0</v>
      </c>
      <c r="AE141" s="10">
        <f t="shared" si="2"/>
        <v>0</v>
      </c>
      <c r="AF141" s="10"/>
      <c r="AM141" s="10">
        <f>+'Gen Rev'!AI142-'Gen Exp'!AE141+'Gen Exp'!AI141-AK141</f>
        <v>0</v>
      </c>
    </row>
    <row r="142" spans="1:40" s="21" customFormat="1" ht="12.6" hidden="1" customHeight="1">
      <c r="A142" s="1" t="s">
        <v>307</v>
      </c>
      <c r="B142" s="1"/>
      <c r="C142" s="1" t="s">
        <v>308</v>
      </c>
      <c r="D142" s="1"/>
      <c r="E142" s="10">
        <v>0</v>
      </c>
      <c r="F142" s="10"/>
      <c r="G142" s="10">
        <v>0</v>
      </c>
      <c r="H142" s="10"/>
      <c r="I142" s="10">
        <v>0</v>
      </c>
      <c r="J142" s="10"/>
      <c r="K142" s="10">
        <v>0</v>
      </c>
      <c r="L142" s="10"/>
      <c r="M142" s="10">
        <v>0</v>
      </c>
      <c r="N142" s="10"/>
      <c r="O142" s="10">
        <v>0</v>
      </c>
      <c r="P142" s="10"/>
      <c r="Q142" s="10">
        <v>0</v>
      </c>
      <c r="R142" s="10"/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Z142" s="10"/>
      <c r="AA142" s="10">
        <v>0</v>
      </c>
      <c r="AB142" s="10"/>
      <c r="AC142" s="10">
        <v>0</v>
      </c>
      <c r="AD142" s="10"/>
      <c r="AE142" s="10">
        <f t="shared" si="2"/>
        <v>0</v>
      </c>
      <c r="AF142" s="10"/>
      <c r="AG142" s="46"/>
      <c r="AH142" s="46"/>
      <c r="AI142" s="46"/>
      <c r="AJ142" s="46"/>
      <c r="AK142" s="46"/>
      <c r="AL142" s="46"/>
      <c r="AM142" s="10">
        <f>+'Gen Rev'!AI143-'Gen Exp'!AE142+'Gen Exp'!AI142-AK142</f>
        <v>0</v>
      </c>
      <c r="AN142" s="46"/>
    </row>
    <row r="143" spans="1:40" ht="12.75" hidden="1">
      <c r="A143" s="1" t="s">
        <v>202</v>
      </c>
      <c r="C143" s="23" t="s">
        <v>813</v>
      </c>
      <c r="D143" s="23"/>
      <c r="E143" s="10">
        <v>0</v>
      </c>
      <c r="G143" s="10">
        <v>0</v>
      </c>
      <c r="I143" s="10">
        <v>0</v>
      </c>
      <c r="K143" s="10">
        <v>0</v>
      </c>
      <c r="M143" s="10">
        <v>0</v>
      </c>
      <c r="O143" s="10">
        <v>0</v>
      </c>
      <c r="Q143" s="10">
        <v>0</v>
      </c>
      <c r="S143" s="10">
        <v>0</v>
      </c>
      <c r="U143" s="10">
        <v>0</v>
      </c>
      <c r="W143" s="10">
        <v>0</v>
      </c>
      <c r="Y143" s="10">
        <v>0</v>
      </c>
      <c r="AA143" s="10">
        <v>0</v>
      </c>
      <c r="AC143" s="10">
        <v>0</v>
      </c>
      <c r="AE143" s="10">
        <f t="shared" si="2"/>
        <v>0</v>
      </c>
      <c r="AF143" s="10"/>
      <c r="AM143" s="10">
        <f>+'Gen Rev'!AI144-'Gen Exp'!AE143+'Gen Exp'!AI143-AK143</f>
        <v>0</v>
      </c>
    </row>
    <row r="144" spans="1:40" s="40" customFormat="1" ht="12.75" hidden="1">
      <c r="A144" s="40" t="s">
        <v>239</v>
      </c>
      <c r="C144" s="55" t="s">
        <v>825</v>
      </c>
      <c r="D144" s="55"/>
      <c r="E144" s="40">
        <v>0</v>
      </c>
      <c r="G144" s="40">
        <v>0</v>
      </c>
      <c r="I144" s="40">
        <v>0</v>
      </c>
      <c r="K144" s="40">
        <v>0</v>
      </c>
      <c r="M144" s="40">
        <v>0</v>
      </c>
      <c r="O144" s="40">
        <v>0</v>
      </c>
      <c r="Q144" s="40">
        <v>0</v>
      </c>
      <c r="S144" s="40">
        <v>0</v>
      </c>
      <c r="U144" s="40">
        <v>0</v>
      </c>
      <c r="W144" s="40">
        <v>0</v>
      </c>
      <c r="Y144" s="40">
        <v>0</v>
      </c>
      <c r="AA144" s="40">
        <v>0</v>
      </c>
      <c r="AC144" s="40">
        <v>0</v>
      </c>
      <c r="AE144" s="40">
        <f t="shared" si="2"/>
        <v>0</v>
      </c>
      <c r="AG144" s="10"/>
      <c r="AH144" s="10"/>
      <c r="AI144" s="10"/>
      <c r="AJ144" s="10"/>
      <c r="AK144" s="10"/>
      <c r="AL144" s="10"/>
      <c r="AM144" s="10">
        <f>+'Gen Rev'!AI145-'Gen Exp'!AE144+'Gen Exp'!AI144-AK144</f>
        <v>0</v>
      </c>
      <c r="AN144" s="10"/>
    </row>
    <row r="145" spans="1:40" ht="12.75" hidden="1">
      <c r="A145" s="1" t="s">
        <v>186</v>
      </c>
      <c r="C145" s="23" t="s">
        <v>433</v>
      </c>
      <c r="D145" s="23"/>
      <c r="E145" s="10">
        <v>0</v>
      </c>
      <c r="G145" s="10">
        <v>0</v>
      </c>
      <c r="I145" s="10">
        <v>0</v>
      </c>
      <c r="K145" s="10">
        <v>0</v>
      </c>
      <c r="M145" s="10">
        <v>0</v>
      </c>
      <c r="O145" s="10">
        <v>0</v>
      </c>
      <c r="Q145" s="10">
        <v>0</v>
      </c>
      <c r="S145" s="10">
        <v>0</v>
      </c>
      <c r="U145" s="10">
        <v>0</v>
      </c>
      <c r="W145" s="10">
        <v>0</v>
      </c>
      <c r="Y145" s="10">
        <v>0</v>
      </c>
      <c r="AA145" s="10">
        <v>0</v>
      </c>
      <c r="AC145" s="10">
        <v>0</v>
      </c>
      <c r="AE145" s="10">
        <f t="shared" si="2"/>
        <v>0</v>
      </c>
      <c r="AF145" s="10"/>
      <c r="AM145" s="10">
        <f>+'Gen Rev'!AI146-'Gen Exp'!AE145+'Gen Exp'!AI145-AK145</f>
        <v>0</v>
      </c>
    </row>
    <row r="146" spans="1:40" s="21" customFormat="1">
      <c r="A146" s="1" t="s">
        <v>584</v>
      </c>
      <c r="B146" s="1"/>
      <c r="C146" s="1" t="s">
        <v>586</v>
      </c>
      <c r="D146" s="1"/>
      <c r="E146" s="10">
        <v>3836</v>
      </c>
      <c r="F146" s="10"/>
      <c r="G146" s="10">
        <v>0</v>
      </c>
      <c r="H146" s="10"/>
      <c r="I146" s="10">
        <v>0</v>
      </c>
      <c r="J146" s="10"/>
      <c r="K146" s="10">
        <v>0</v>
      </c>
      <c r="L146" s="10"/>
      <c r="M146" s="10">
        <v>0</v>
      </c>
      <c r="N146" s="10"/>
      <c r="O146" s="10">
        <v>0</v>
      </c>
      <c r="P146" s="10"/>
      <c r="Q146" s="10">
        <v>22917</v>
      </c>
      <c r="R146" s="10"/>
      <c r="S146" s="10">
        <v>0</v>
      </c>
      <c r="T146" s="10"/>
      <c r="U146" s="10">
        <v>0</v>
      </c>
      <c r="V146" s="10"/>
      <c r="W146" s="10">
        <v>0</v>
      </c>
      <c r="X146" s="10"/>
      <c r="Y146" s="10">
        <v>0</v>
      </c>
      <c r="Z146" s="10"/>
      <c r="AA146" s="10">
        <v>0</v>
      </c>
      <c r="AB146" s="10"/>
      <c r="AC146" s="10">
        <v>0</v>
      </c>
      <c r="AD146" s="10"/>
      <c r="AE146" s="10">
        <f t="shared" si="2"/>
        <v>26753</v>
      </c>
      <c r="AF146" s="10"/>
      <c r="AG146" s="10">
        <v>28705</v>
      </c>
      <c r="AH146" s="10"/>
      <c r="AI146" s="10">
        <v>157740</v>
      </c>
      <c r="AJ146" s="10"/>
      <c r="AK146" s="10">
        <v>186445</v>
      </c>
      <c r="AL146" s="10"/>
      <c r="AM146" s="10">
        <f>+'Gen Rev'!AI147-'Gen Exp'!AE146+'Gen Exp'!AI146-AK146</f>
        <v>0</v>
      </c>
      <c r="AN146" s="10"/>
    </row>
    <row r="147" spans="1:40" ht="12.75">
      <c r="A147" s="1" t="s">
        <v>908</v>
      </c>
      <c r="C147" s="23" t="s">
        <v>473</v>
      </c>
      <c r="D147" s="23"/>
      <c r="E147" s="10">
        <v>614148</v>
      </c>
      <c r="G147" s="10">
        <v>0</v>
      </c>
      <c r="I147" s="10">
        <v>20982</v>
      </c>
      <c r="K147" s="10">
        <v>1127</v>
      </c>
      <c r="M147" s="10">
        <v>0</v>
      </c>
      <c r="O147" s="10">
        <v>0</v>
      </c>
      <c r="Q147" s="10">
        <v>237038</v>
      </c>
      <c r="S147" s="10">
        <v>236571</v>
      </c>
      <c r="U147" s="10">
        <v>0</v>
      </c>
      <c r="W147" s="10">
        <v>0</v>
      </c>
      <c r="Y147" s="10">
        <v>80000</v>
      </c>
      <c r="AA147" s="10">
        <v>0</v>
      </c>
      <c r="AC147" s="10">
        <v>0</v>
      </c>
      <c r="AE147" s="10">
        <f>SUM(E147:AC147)</f>
        <v>1189866</v>
      </c>
      <c r="AF147" s="10"/>
      <c r="AG147" s="10">
        <v>-38983</v>
      </c>
      <c r="AI147" s="10">
        <v>66832</v>
      </c>
      <c r="AK147" s="10">
        <v>27849</v>
      </c>
      <c r="AM147" s="10">
        <f>+'Gen Rev'!AI148-'Gen Exp'!AE147+'Gen Exp'!AI147-AK147</f>
        <v>0</v>
      </c>
    </row>
    <row r="148" spans="1:40" ht="12.75" hidden="1">
      <c r="A148" s="1" t="s">
        <v>144</v>
      </c>
      <c r="C148" s="23" t="s">
        <v>795</v>
      </c>
      <c r="D148" s="23"/>
      <c r="E148" s="10">
        <v>0</v>
      </c>
      <c r="G148" s="10">
        <v>0</v>
      </c>
      <c r="I148" s="10">
        <v>0</v>
      </c>
      <c r="K148" s="10">
        <v>0</v>
      </c>
      <c r="M148" s="10">
        <v>0</v>
      </c>
      <c r="O148" s="10">
        <v>0</v>
      </c>
      <c r="Q148" s="10">
        <v>0</v>
      </c>
      <c r="S148" s="10">
        <v>0</v>
      </c>
      <c r="U148" s="10">
        <v>0</v>
      </c>
      <c r="W148" s="10">
        <v>0</v>
      </c>
      <c r="Y148" s="10">
        <v>0</v>
      </c>
      <c r="AA148" s="10">
        <v>0</v>
      </c>
      <c r="AC148" s="10">
        <v>0</v>
      </c>
      <c r="AE148" s="10">
        <f t="shared" si="2"/>
        <v>0</v>
      </c>
      <c r="AF148" s="10"/>
      <c r="AM148" s="10">
        <f>+'Gen Rev'!AI149-'Gen Exp'!AE148+'Gen Exp'!AI148-AK148</f>
        <v>0</v>
      </c>
    </row>
    <row r="149" spans="1:40" s="21" customFormat="1">
      <c r="A149" s="1" t="s">
        <v>594</v>
      </c>
      <c r="B149" s="1"/>
      <c r="C149" s="1" t="s">
        <v>595</v>
      </c>
      <c r="D149" s="1"/>
      <c r="E149" s="10">
        <v>12322</v>
      </c>
      <c r="F149" s="10"/>
      <c r="G149" s="10">
        <v>6343</v>
      </c>
      <c r="H149" s="10"/>
      <c r="I149" s="10">
        <v>0</v>
      </c>
      <c r="J149" s="10"/>
      <c r="K149" s="10">
        <v>130</v>
      </c>
      <c r="L149" s="10"/>
      <c r="M149" s="10">
        <v>0</v>
      </c>
      <c r="N149" s="10"/>
      <c r="O149" s="10">
        <v>0</v>
      </c>
      <c r="P149" s="10"/>
      <c r="Q149" s="10">
        <v>202525</v>
      </c>
      <c r="R149" s="10"/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113512</v>
      </c>
      <c r="Z149" s="10"/>
      <c r="AA149" s="10">
        <v>0</v>
      </c>
      <c r="AB149" s="10"/>
      <c r="AC149" s="10">
        <v>0</v>
      </c>
      <c r="AD149" s="10"/>
      <c r="AE149" s="10">
        <f t="shared" ref="AE149:AE193" si="3">SUM(E149:AC149)</f>
        <v>334832</v>
      </c>
      <c r="AF149" s="40"/>
      <c r="AG149" s="10">
        <v>105357</v>
      </c>
      <c r="AH149" s="10"/>
      <c r="AI149" s="10">
        <v>302743</v>
      </c>
      <c r="AJ149" s="10"/>
      <c r="AK149" s="10">
        <v>408101</v>
      </c>
      <c r="AL149" s="10"/>
      <c r="AM149" s="10">
        <f>+'Gen Rev'!AI150-'Gen Exp'!AE149+'Gen Exp'!AI149-AK149</f>
        <v>0</v>
      </c>
      <c r="AN149" s="10"/>
    </row>
    <row r="150" spans="1:40" s="21" customFormat="1" ht="12.6" customHeight="1">
      <c r="A150" s="1" t="s">
        <v>274</v>
      </c>
      <c r="B150" s="1"/>
      <c r="C150" s="1" t="s">
        <v>275</v>
      </c>
      <c r="D150" s="1"/>
      <c r="E150" s="10">
        <v>339553</v>
      </c>
      <c r="F150" s="10"/>
      <c r="G150" s="10">
        <v>0</v>
      </c>
      <c r="H150" s="10"/>
      <c r="I150" s="10">
        <v>9995</v>
      </c>
      <c r="J150" s="10"/>
      <c r="K150" s="10">
        <v>18431</v>
      </c>
      <c r="L150" s="10"/>
      <c r="M150" s="10">
        <v>15023</v>
      </c>
      <c r="N150" s="10"/>
      <c r="O150" s="10">
        <v>9111</v>
      </c>
      <c r="P150" s="10"/>
      <c r="Q150" s="10">
        <v>151183</v>
      </c>
      <c r="R150" s="10"/>
      <c r="S150" s="10">
        <v>75520</v>
      </c>
      <c r="T150" s="10"/>
      <c r="U150" s="10">
        <v>0</v>
      </c>
      <c r="V150" s="10"/>
      <c r="W150" s="10">
        <v>0</v>
      </c>
      <c r="X150" s="10"/>
      <c r="Y150" s="10">
        <v>40935</v>
      </c>
      <c r="Z150" s="10"/>
      <c r="AA150" s="10">
        <v>0</v>
      </c>
      <c r="AB150" s="10"/>
      <c r="AC150" s="10">
        <v>0</v>
      </c>
      <c r="AD150" s="10"/>
      <c r="AE150" s="10">
        <f t="shared" si="3"/>
        <v>659751</v>
      </c>
      <c r="AF150" s="10"/>
      <c r="AG150" s="46">
        <v>-6869</v>
      </c>
      <c r="AH150" s="46"/>
      <c r="AI150" s="46">
        <v>342792</v>
      </c>
      <c r="AJ150" s="46"/>
      <c r="AK150" s="46">
        <v>335923</v>
      </c>
      <c r="AL150" s="46"/>
      <c r="AM150" s="10">
        <f>+'Gen Rev'!AI151-'Gen Exp'!AE150+'Gen Exp'!AI150-AK150</f>
        <v>0</v>
      </c>
      <c r="AN150" s="46"/>
    </row>
    <row r="151" spans="1:40" s="21" customFormat="1">
      <c r="A151" s="1" t="s">
        <v>503</v>
      </c>
      <c r="B151" s="1"/>
      <c r="C151" s="1" t="s">
        <v>504</v>
      </c>
      <c r="D151" s="1"/>
      <c r="E151" s="10">
        <v>308425</v>
      </c>
      <c r="F151" s="10"/>
      <c r="G151" s="10">
        <v>0</v>
      </c>
      <c r="H151" s="10"/>
      <c r="I151" s="10">
        <v>0</v>
      </c>
      <c r="J151" s="10"/>
      <c r="K151" s="10">
        <v>0</v>
      </c>
      <c r="L151" s="10"/>
      <c r="M151" s="10">
        <v>0</v>
      </c>
      <c r="N151" s="10"/>
      <c r="O151" s="10">
        <v>0</v>
      </c>
      <c r="P151" s="10"/>
      <c r="Q151" s="10">
        <v>302721</v>
      </c>
      <c r="R151" s="10"/>
      <c r="S151" s="10">
        <v>1146</v>
      </c>
      <c r="T151" s="10"/>
      <c r="U151" s="10">
        <v>0</v>
      </c>
      <c r="V151" s="10"/>
      <c r="W151" s="10">
        <v>0</v>
      </c>
      <c r="X151" s="10"/>
      <c r="Y151" s="10">
        <v>0</v>
      </c>
      <c r="Z151" s="10"/>
      <c r="AA151" s="10">
        <v>0</v>
      </c>
      <c r="AB151" s="10"/>
      <c r="AC151" s="10">
        <v>14888</v>
      </c>
      <c r="AD151" s="10"/>
      <c r="AE151" s="10">
        <f t="shared" si="3"/>
        <v>627180</v>
      </c>
      <c r="AF151" s="10"/>
      <c r="AG151" s="10">
        <v>2948</v>
      </c>
      <c r="AH151" s="10"/>
      <c r="AI151" s="10">
        <v>42404</v>
      </c>
      <c r="AJ151" s="10"/>
      <c r="AK151" s="10">
        <v>45353</v>
      </c>
      <c r="AL151" s="10"/>
      <c r="AM151" s="10">
        <f>+'Gen Rev'!AI152-'Gen Exp'!AE151+'Gen Exp'!AI151-AK151</f>
        <v>0</v>
      </c>
      <c r="AN151" s="10"/>
    </row>
    <row r="152" spans="1:40" ht="12.75" hidden="1">
      <c r="A152" s="1" t="s">
        <v>80</v>
      </c>
      <c r="C152" s="23" t="s">
        <v>775</v>
      </c>
      <c r="D152" s="23"/>
      <c r="E152" s="10">
        <v>0</v>
      </c>
      <c r="G152" s="10">
        <v>0</v>
      </c>
      <c r="I152" s="10">
        <v>0</v>
      </c>
      <c r="K152" s="10">
        <v>0</v>
      </c>
      <c r="M152" s="10">
        <v>0</v>
      </c>
      <c r="O152" s="10">
        <v>0</v>
      </c>
      <c r="Q152" s="10">
        <v>0</v>
      </c>
      <c r="S152" s="10">
        <v>0</v>
      </c>
      <c r="U152" s="10">
        <v>0</v>
      </c>
      <c r="W152" s="10">
        <v>0</v>
      </c>
      <c r="Y152" s="10">
        <v>0</v>
      </c>
      <c r="AA152" s="10">
        <v>0</v>
      </c>
      <c r="AC152" s="10">
        <v>0</v>
      </c>
      <c r="AE152" s="10">
        <f t="shared" si="3"/>
        <v>0</v>
      </c>
      <c r="AF152" s="10"/>
      <c r="AM152" s="10">
        <f>+'Gen Rev'!AI153-'Gen Exp'!AE152+'Gen Exp'!AI152-AK152</f>
        <v>0</v>
      </c>
    </row>
    <row r="153" spans="1:40" s="21" customFormat="1" ht="12.75" hidden="1">
      <c r="A153" s="1" t="s">
        <v>87</v>
      </c>
      <c r="B153" s="1"/>
      <c r="C153" s="23" t="s">
        <v>777</v>
      </c>
      <c r="D153" s="23"/>
      <c r="E153" s="10">
        <v>0</v>
      </c>
      <c r="F153" s="10"/>
      <c r="G153" s="10">
        <v>0</v>
      </c>
      <c r="H153" s="10"/>
      <c r="I153" s="10">
        <v>0</v>
      </c>
      <c r="J153" s="10"/>
      <c r="K153" s="10">
        <v>0</v>
      </c>
      <c r="L153" s="10"/>
      <c r="M153" s="10">
        <v>0</v>
      </c>
      <c r="N153" s="10"/>
      <c r="O153" s="10">
        <v>0</v>
      </c>
      <c r="P153" s="10"/>
      <c r="Q153" s="10">
        <v>0</v>
      </c>
      <c r="R153" s="10"/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Z153" s="10"/>
      <c r="AA153" s="10">
        <v>0</v>
      </c>
      <c r="AB153" s="10"/>
      <c r="AC153" s="10">
        <v>0</v>
      </c>
      <c r="AD153" s="10"/>
      <c r="AE153" s="10">
        <f t="shared" si="3"/>
        <v>0</v>
      </c>
      <c r="AF153" s="10"/>
      <c r="AG153" s="10"/>
      <c r="AH153" s="10"/>
      <c r="AI153" s="10"/>
      <c r="AJ153" s="10"/>
      <c r="AK153" s="10"/>
      <c r="AL153" s="10"/>
      <c r="AM153" s="10">
        <f>+'Gen Rev'!AI154-'Gen Exp'!AE153+'Gen Exp'!AI153-AK153</f>
        <v>0</v>
      </c>
      <c r="AN153" s="10"/>
    </row>
    <row r="154" spans="1:40" ht="12.75" hidden="1">
      <c r="A154" s="1" t="s">
        <v>254</v>
      </c>
      <c r="C154" s="23" t="s">
        <v>830</v>
      </c>
      <c r="D154" s="23"/>
      <c r="E154" s="10">
        <v>0</v>
      </c>
      <c r="G154" s="10">
        <v>0</v>
      </c>
      <c r="I154" s="10">
        <v>0</v>
      </c>
      <c r="K154" s="10">
        <v>0</v>
      </c>
      <c r="M154" s="10">
        <v>0</v>
      </c>
      <c r="O154" s="10">
        <v>0</v>
      </c>
      <c r="Q154" s="10">
        <v>0</v>
      </c>
      <c r="S154" s="10">
        <v>0</v>
      </c>
      <c r="U154" s="10">
        <v>0</v>
      </c>
      <c r="W154" s="10">
        <v>0</v>
      </c>
      <c r="Y154" s="10">
        <v>0</v>
      </c>
      <c r="AA154" s="10">
        <v>0</v>
      </c>
      <c r="AC154" s="10">
        <v>0</v>
      </c>
      <c r="AE154" s="10">
        <f t="shared" si="3"/>
        <v>0</v>
      </c>
      <c r="AF154" s="10"/>
      <c r="AM154" s="10">
        <f>+'Gen Rev'!AI155-'Gen Exp'!AE154+'Gen Exp'!AI154-AK154</f>
        <v>0</v>
      </c>
    </row>
    <row r="155" spans="1:40" ht="12.75" hidden="1">
      <c r="A155" s="1" t="s">
        <v>848</v>
      </c>
      <c r="C155" s="23" t="s">
        <v>830</v>
      </c>
      <c r="D155" s="23"/>
      <c r="E155" s="10">
        <v>0</v>
      </c>
      <c r="G155" s="10">
        <v>0</v>
      </c>
      <c r="I155" s="10">
        <v>0</v>
      </c>
      <c r="K155" s="10">
        <v>0</v>
      </c>
      <c r="M155" s="10">
        <v>0</v>
      </c>
      <c r="O155" s="10">
        <v>0</v>
      </c>
      <c r="Q155" s="10">
        <v>0</v>
      </c>
      <c r="S155" s="10">
        <v>0</v>
      </c>
      <c r="U155" s="10">
        <v>0</v>
      </c>
      <c r="W155" s="10">
        <v>0</v>
      </c>
      <c r="Y155" s="10">
        <v>0</v>
      </c>
      <c r="AA155" s="10">
        <v>0</v>
      </c>
      <c r="AC155" s="10">
        <v>0</v>
      </c>
      <c r="AE155" s="10">
        <f t="shared" si="3"/>
        <v>0</v>
      </c>
      <c r="AF155" s="10"/>
      <c r="AM155" s="10">
        <f>+'Gen Rev'!AI156-'Gen Exp'!AE155+'Gen Exp'!AI155-AK155</f>
        <v>0</v>
      </c>
    </row>
    <row r="156" spans="1:40" s="21" customFormat="1">
      <c r="A156" s="1" t="s">
        <v>596</v>
      </c>
      <c r="B156" s="1"/>
      <c r="C156" s="1" t="s">
        <v>593</v>
      </c>
      <c r="D156" s="1"/>
      <c r="E156" s="10">
        <v>301699</v>
      </c>
      <c r="F156" s="10"/>
      <c r="G156" s="10">
        <v>8453</v>
      </c>
      <c r="H156" s="10"/>
      <c r="I156" s="10">
        <v>10239</v>
      </c>
      <c r="J156" s="10"/>
      <c r="K156" s="10">
        <v>0</v>
      </c>
      <c r="L156" s="10"/>
      <c r="M156" s="10">
        <v>2962</v>
      </c>
      <c r="N156" s="10"/>
      <c r="O156" s="10">
        <v>58877</v>
      </c>
      <c r="P156" s="10"/>
      <c r="Q156" s="10">
        <v>111679</v>
      </c>
      <c r="R156" s="10"/>
      <c r="S156" s="10">
        <v>5030</v>
      </c>
      <c r="T156" s="10"/>
      <c r="U156" s="10">
        <v>0</v>
      </c>
      <c r="V156" s="10"/>
      <c r="W156" s="10">
        <v>0</v>
      </c>
      <c r="X156" s="10"/>
      <c r="Y156" s="10">
        <v>206719</v>
      </c>
      <c r="Z156" s="10"/>
      <c r="AA156" s="10">
        <v>0</v>
      </c>
      <c r="AB156" s="10"/>
      <c r="AC156" s="10">
        <v>13867</v>
      </c>
      <c r="AD156" s="10"/>
      <c r="AE156" s="10">
        <f t="shared" si="3"/>
        <v>719525</v>
      </c>
      <c r="AF156" s="10"/>
      <c r="AG156" s="10">
        <v>-2761</v>
      </c>
      <c r="AH156" s="10"/>
      <c r="AI156" s="10">
        <v>184667</v>
      </c>
      <c r="AJ156" s="10"/>
      <c r="AK156" s="10">
        <v>181906</v>
      </c>
      <c r="AL156" s="10"/>
      <c r="AM156" s="10">
        <f>+'Gen Rev'!AI157-'Gen Exp'!AE156+'Gen Exp'!AI156-AK156</f>
        <v>0</v>
      </c>
      <c r="AN156" s="10"/>
    </row>
    <row r="157" spans="1:40" s="21" customFormat="1" hidden="1">
      <c r="A157" s="1" t="s">
        <v>426</v>
      </c>
      <c r="B157" s="1"/>
      <c r="C157" s="1" t="s">
        <v>427</v>
      </c>
      <c r="D157" s="1"/>
      <c r="E157" s="10">
        <v>0</v>
      </c>
      <c r="F157" s="10"/>
      <c r="G157" s="10">
        <v>0</v>
      </c>
      <c r="H157" s="10"/>
      <c r="I157" s="10">
        <v>0</v>
      </c>
      <c r="J157" s="10"/>
      <c r="K157" s="10">
        <v>0</v>
      </c>
      <c r="L157" s="10"/>
      <c r="M157" s="10">
        <v>0</v>
      </c>
      <c r="N157" s="10"/>
      <c r="O157" s="10">
        <v>0</v>
      </c>
      <c r="P157" s="10"/>
      <c r="Q157" s="10">
        <v>0</v>
      </c>
      <c r="R157" s="10"/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Z157" s="10"/>
      <c r="AA157" s="10">
        <v>0</v>
      </c>
      <c r="AB157" s="10"/>
      <c r="AC157" s="10">
        <v>0</v>
      </c>
      <c r="AD157" s="10"/>
      <c r="AE157" s="10">
        <f t="shared" si="3"/>
        <v>0</v>
      </c>
      <c r="AF157" s="10"/>
      <c r="AG157" s="10"/>
      <c r="AH157" s="10"/>
      <c r="AI157" s="10"/>
      <c r="AJ157" s="10"/>
      <c r="AK157" s="10"/>
      <c r="AL157" s="10"/>
      <c r="AM157" s="10">
        <f>+'Gen Rev'!AI158-'Gen Exp'!AE157+'Gen Exp'!AI157-AK157</f>
        <v>0</v>
      </c>
      <c r="AN157" s="10"/>
    </row>
    <row r="158" spans="1:40" s="31" customFormat="1">
      <c r="A158" s="15" t="s">
        <v>404</v>
      </c>
      <c r="B158" s="15"/>
      <c r="C158" s="15" t="s">
        <v>403</v>
      </c>
      <c r="D158" s="15"/>
      <c r="E158" s="24">
        <v>600</v>
      </c>
      <c r="F158" s="24"/>
      <c r="G158" s="24">
        <v>800</v>
      </c>
      <c r="H158" s="24"/>
      <c r="I158" s="24">
        <v>0</v>
      </c>
      <c r="J158" s="24"/>
      <c r="K158" s="24">
        <v>0</v>
      </c>
      <c r="L158" s="24"/>
      <c r="M158" s="24">
        <v>1170</v>
      </c>
      <c r="N158" s="24"/>
      <c r="O158" s="24">
        <v>0</v>
      </c>
      <c r="P158" s="24"/>
      <c r="Q158" s="24">
        <v>14293</v>
      </c>
      <c r="R158" s="24"/>
      <c r="S158" s="24">
        <v>0</v>
      </c>
      <c r="T158" s="24"/>
      <c r="U158" s="24">
        <v>0</v>
      </c>
      <c r="V158" s="24"/>
      <c r="W158" s="24">
        <v>0</v>
      </c>
      <c r="X158" s="24"/>
      <c r="Y158" s="24">
        <v>407</v>
      </c>
      <c r="Z158" s="24"/>
      <c r="AA158" s="24">
        <v>0</v>
      </c>
      <c r="AB158" s="24"/>
      <c r="AC158" s="24">
        <v>0</v>
      </c>
      <c r="AD158" s="24"/>
      <c r="AE158" s="24">
        <f t="shared" si="3"/>
        <v>17270</v>
      </c>
      <c r="AF158" s="24"/>
      <c r="AG158" s="24">
        <v>-1859</v>
      </c>
      <c r="AH158" s="24"/>
      <c r="AI158" s="24">
        <v>28788</v>
      </c>
      <c r="AJ158" s="24"/>
      <c r="AK158" s="24">
        <v>26929</v>
      </c>
      <c r="AL158" s="24"/>
      <c r="AM158" s="24">
        <f>+'Gen Rev'!AI159-'Gen Exp'!AE158+'Gen Exp'!AI158-AK158</f>
        <v>0</v>
      </c>
      <c r="AN158" s="24"/>
    </row>
    <row r="159" spans="1:40" s="19" customFormat="1" hidden="1">
      <c r="A159" s="10" t="s">
        <v>446</v>
      </c>
      <c r="B159" s="10"/>
      <c r="C159" s="10" t="s">
        <v>447</v>
      </c>
      <c r="D159" s="10"/>
      <c r="E159" s="10">
        <v>0</v>
      </c>
      <c r="F159" s="10"/>
      <c r="G159" s="10">
        <v>0</v>
      </c>
      <c r="H159" s="10"/>
      <c r="I159" s="10">
        <v>0</v>
      </c>
      <c r="J159" s="10"/>
      <c r="K159" s="10">
        <v>0</v>
      </c>
      <c r="L159" s="10"/>
      <c r="M159" s="10">
        <v>0</v>
      </c>
      <c r="N159" s="10"/>
      <c r="O159" s="10">
        <v>0</v>
      </c>
      <c r="P159" s="10"/>
      <c r="Q159" s="10">
        <v>0</v>
      </c>
      <c r="R159" s="10"/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Z159" s="10"/>
      <c r="AA159" s="10">
        <v>0</v>
      </c>
      <c r="AB159" s="10"/>
      <c r="AC159" s="10">
        <v>0</v>
      </c>
      <c r="AD159" s="10"/>
      <c r="AE159" s="10">
        <f t="shared" si="3"/>
        <v>0</v>
      </c>
      <c r="AF159" s="10"/>
      <c r="AG159" s="10"/>
      <c r="AH159" s="10"/>
      <c r="AI159" s="10"/>
      <c r="AJ159" s="10"/>
      <c r="AK159" s="10"/>
      <c r="AL159" s="10"/>
      <c r="AM159" s="10">
        <f>+'Gen Rev'!AI160-'Gen Exp'!AE159+'Gen Exp'!AI159-AK159</f>
        <v>0</v>
      </c>
      <c r="AN159" s="10"/>
    </row>
    <row r="160" spans="1:40" ht="12.75" hidden="1">
      <c r="A160" s="1" t="s">
        <v>28</v>
      </c>
      <c r="C160" s="23" t="s">
        <v>758</v>
      </c>
      <c r="D160" s="23"/>
      <c r="E160" s="10">
        <v>0</v>
      </c>
      <c r="G160" s="10">
        <v>0</v>
      </c>
      <c r="I160" s="10">
        <v>0</v>
      </c>
      <c r="K160" s="10">
        <v>0</v>
      </c>
      <c r="M160" s="10">
        <v>0</v>
      </c>
      <c r="O160" s="10">
        <v>0</v>
      </c>
      <c r="Q160" s="10">
        <v>0</v>
      </c>
      <c r="S160" s="10">
        <v>0</v>
      </c>
      <c r="U160" s="10">
        <v>0</v>
      </c>
      <c r="W160" s="10">
        <v>0</v>
      </c>
      <c r="Y160" s="10">
        <v>0</v>
      </c>
      <c r="AA160" s="10">
        <v>0</v>
      </c>
      <c r="AC160" s="10">
        <v>0</v>
      </c>
      <c r="AE160" s="10">
        <f t="shared" si="3"/>
        <v>0</v>
      </c>
      <c r="AF160" s="10"/>
      <c r="AG160" s="46"/>
      <c r="AH160" s="46"/>
      <c r="AI160" s="46"/>
      <c r="AJ160" s="46"/>
      <c r="AK160" s="46"/>
      <c r="AL160" s="46"/>
      <c r="AM160" s="10">
        <f>+'Gen Rev'!AI161-'Gen Exp'!AE160+'Gen Exp'!AI160-AK160</f>
        <v>0</v>
      </c>
      <c r="AN160" s="46"/>
    </row>
    <row r="161" spans="1:40" s="63" customFormat="1" hidden="1">
      <c r="A161" s="59" t="s">
        <v>359</v>
      </c>
      <c r="B161" s="59"/>
      <c r="C161" s="59" t="s">
        <v>358</v>
      </c>
      <c r="D161" s="59"/>
      <c r="E161" s="60">
        <v>499483</v>
      </c>
      <c r="F161" s="60"/>
      <c r="G161" s="60">
        <v>64126</v>
      </c>
      <c r="H161" s="60"/>
      <c r="I161" s="60">
        <v>47221</v>
      </c>
      <c r="J161" s="60"/>
      <c r="K161" s="60">
        <v>61890</v>
      </c>
      <c r="L161" s="60"/>
      <c r="M161" s="60">
        <v>84406</v>
      </c>
      <c r="N161" s="60"/>
      <c r="O161" s="60">
        <v>21488</v>
      </c>
      <c r="P161" s="60"/>
      <c r="Q161" s="60">
        <v>282822</v>
      </c>
      <c r="R161" s="60"/>
      <c r="S161" s="60">
        <v>0</v>
      </c>
      <c r="T161" s="60"/>
      <c r="U161" s="60">
        <v>0</v>
      </c>
      <c r="V161" s="60"/>
      <c r="W161" s="60">
        <v>0</v>
      </c>
      <c r="X161" s="60"/>
      <c r="Y161" s="60">
        <v>0</v>
      </c>
      <c r="Z161" s="60"/>
      <c r="AA161" s="60">
        <v>0</v>
      </c>
      <c r="AB161" s="60"/>
      <c r="AC161" s="60">
        <v>0</v>
      </c>
      <c r="AD161" s="60"/>
      <c r="AE161" s="60">
        <f t="shared" si="3"/>
        <v>1061436</v>
      </c>
      <c r="AF161" s="60"/>
      <c r="AG161" s="60">
        <v>75472</v>
      </c>
      <c r="AH161" s="60"/>
      <c r="AI161" s="60">
        <v>341725</v>
      </c>
      <c r="AJ161" s="60"/>
      <c r="AK161" s="60">
        <v>471833</v>
      </c>
      <c r="AL161" s="60"/>
      <c r="AM161" s="60">
        <f>+'Gen Rev'!AI162-'Gen Exp'!AE161+'Gen Exp'!AI161-AK161</f>
        <v>-54636</v>
      </c>
      <c r="AN161" s="60"/>
    </row>
    <row r="162" spans="1:40" ht="12.75" hidden="1">
      <c r="A162" s="1" t="s">
        <v>232</v>
      </c>
      <c r="C162" s="23" t="s">
        <v>823</v>
      </c>
      <c r="D162" s="23"/>
      <c r="E162" s="10">
        <v>0</v>
      </c>
      <c r="G162" s="10">
        <v>0</v>
      </c>
      <c r="I162" s="10">
        <v>0</v>
      </c>
      <c r="K162" s="10">
        <v>0</v>
      </c>
      <c r="M162" s="10">
        <v>0</v>
      </c>
      <c r="O162" s="10">
        <v>0</v>
      </c>
      <c r="Q162" s="10">
        <v>0</v>
      </c>
      <c r="S162" s="10">
        <v>0</v>
      </c>
      <c r="U162" s="10">
        <v>0</v>
      </c>
      <c r="W162" s="10">
        <v>0</v>
      </c>
      <c r="Y162" s="10">
        <v>0</v>
      </c>
      <c r="AA162" s="10">
        <v>0</v>
      </c>
      <c r="AC162" s="10">
        <v>0</v>
      </c>
      <c r="AE162" s="10">
        <f t="shared" si="3"/>
        <v>0</v>
      </c>
      <c r="AF162" s="10"/>
      <c r="AM162" s="10">
        <f>+'Gen Rev'!AI163-'Gen Exp'!AE162+'Gen Exp'!AI162-AK162</f>
        <v>0</v>
      </c>
    </row>
    <row r="163" spans="1:40" ht="12.75" hidden="1">
      <c r="A163" s="1" t="s">
        <v>104</v>
      </c>
      <c r="C163" s="23" t="s">
        <v>782</v>
      </c>
      <c r="D163" s="23"/>
      <c r="E163" s="10">
        <v>0</v>
      </c>
      <c r="G163" s="10">
        <v>0</v>
      </c>
      <c r="I163" s="10">
        <v>0</v>
      </c>
      <c r="K163" s="10">
        <v>0</v>
      </c>
      <c r="M163" s="10">
        <v>0</v>
      </c>
      <c r="O163" s="10">
        <v>0</v>
      </c>
      <c r="Q163" s="10">
        <v>0</v>
      </c>
      <c r="S163" s="10">
        <v>0</v>
      </c>
      <c r="U163" s="10">
        <v>0</v>
      </c>
      <c r="W163" s="10">
        <v>0</v>
      </c>
      <c r="Y163" s="10">
        <v>0</v>
      </c>
      <c r="AA163" s="10">
        <v>0</v>
      </c>
      <c r="AC163" s="10">
        <v>0</v>
      </c>
      <c r="AE163" s="10">
        <f t="shared" si="3"/>
        <v>0</v>
      </c>
      <c r="AF163" s="10"/>
      <c r="AM163" s="10">
        <f>+'Gen Rev'!AI164-'Gen Exp'!AE163+'Gen Exp'!AI163-AK163</f>
        <v>0</v>
      </c>
    </row>
    <row r="164" spans="1:40" s="21" customFormat="1" ht="12.75">
      <c r="A164" s="1" t="s">
        <v>496</v>
      </c>
      <c r="B164" s="1"/>
      <c r="C164" s="1" t="s">
        <v>494</v>
      </c>
      <c r="D164" s="23"/>
      <c r="E164" s="10">
        <v>3470</v>
      </c>
      <c r="F164" s="10"/>
      <c r="G164" s="10">
        <v>0</v>
      </c>
      <c r="H164" s="10"/>
      <c r="I164" s="10">
        <v>3443</v>
      </c>
      <c r="J164" s="10"/>
      <c r="K164" s="10">
        <v>0</v>
      </c>
      <c r="L164" s="10"/>
      <c r="M164" s="10">
        <v>3155</v>
      </c>
      <c r="N164" s="10"/>
      <c r="O164" s="10">
        <v>0</v>
      </c>
      <c r="P164" s="10"/>
      <c r="Q164" s="10">
        <v>9953</v>
      </c>
      <c r="R164" s="10"/>
      <c r="S164" s="10">
        <v>0</v>
      </c>
      <c r="T164" s="10"/>
      <c r="U164" s="10">
        <v>0</v>
      </c>
      <c r="V164" s="10"/>
      <c r="W164" s="10">
        <v>0</v>
      </c>
      <c r="X164" s="10"/>
      <c r="Y164" s="10">
        <v>4000</v>
      </c>
      <c r="Z164" s="10"/>
      <c r="AA164" s="10">
        <v>0</v>
      </c>
      <c r="AB164" s="10"/>
      <c r="AC164" s="10">
        <v>0</v>
      </c>
      <c r="AD164" s="10"/>
      <c r="AE164" s="10">
        <f>SUM(E164:AC164)</f>
        <v>24021</v>
      </c>
      <c r="AF164" s="10"/>
      <c r="AG164" s="10">
        <f>25471-24021</f>
        <v>1450</v>
      </c>
      <c r="AH164" s="10"/>
      <c r="AI164" s="10">
        <v>-1710</v>
      </c>
      <c r="AJ164" s="10"/>
      <c r="AK164" s="10">
        <v>-260</v>
      </c>
      <c r="AL164" s="10"/>
      <c r="AM164" s="10">
        <f>+'Gen Rev'!AI165-'Gen Exp'!AE164+'Gen Exp'!AI164-AK164</f>
        <v>0</v>
      </c>
      <c r="AN164" s="10"/>
    </row>
    <row r="165" spans="1:40" s="21" customFormat="1" ht="12.75" hidden="1">
      <c r="A165" s="1" t="s">
        <v>116</v>
      </c>
      <c r="B165" s="1"/>
      <c r="C165" s="23" t="s">
        <v>786</v>
      </c>
      <c r="D165" s="23"/>
      <c r="E165" s="10">
        <v>0</v>
      </c>
      <c r="F165" s="10"/>
      <c r="G165" s="10">
        <v>0</v>
      </c>
      <c r="H165" s="10"/>
      <c r="I165" s="10">
        <v>0</v>
      </c>
      <c r="J165" s="10"/>
      <c r="K165" s="10">
        <v>0</v>
      </c>
      <c r="L165" s="10"/>
      <c r="M165" s="10">
        <v>0</v>
      </c>
      <c r="N165" s="10"/>
      <c r="O165" s="10">
        <v>0</v>
      </c>
      <c r="P165" s="10"/>
      <c r="Q165" s="10">
        <v>0</v>
      </c>
      <c r="R165" s="10"/>
      <c r="S165" s="10">
        <v>0</v>
      </c>
      <c r="T165" s="10"/>
      <c r="U165" s="10">
        <v>0</v>
      </c>
      <c r="V165" s="10"/>
      <c r="W165" s="10">
        <v>0</v>
      </c>
      <c r="X165" s="10"/>
      <c r="Y165" s="10">
        <v>0</v>
      </c>
      <c r="Z165" s="10"/>
      <c r="AA165" s="10">
        <v>0</v>
      </c>
      <c r="AB165" s="10"/>
      <c r="AC165" s="10">
        <v>0</v>
      </c>
      <c r="AD165" s="10"/>
      <c r="AE165" s="10">
        <f t="shared" si="3"/>
        <v>0</v>
      </c>
      <c r="AF165" s="10"/>
      <c r="AG165" s="10"/>
      <c r="AH165" s="10"/>
      <c r="AI165" s="10"/>
      <c r="AJ165" s="10"/>
      <c r="AK165" s="10"/>
      <c r="AL165" s="10"/>
      <c r="AM165" s="10">
        <f>+'Gen Rev'!AI166-'Gen Exp'!AE165+'Gen Exp'!AI165-AK165</f>
        <v>0</v>
      </c>
      <c r="AN165" s="10"/>
    </row>
    <row r="166" spans="1:40" s="21" customFormat="1" ht="12.6" hidden="1" customHeight="1">
      <c r="A166" s="1" t="s">
        <v>834</v>
      </c>
      <c r="B166" s="1"/>
      <c r="C166" s="1" t="s">
        <v>292</v>
      </c>
      <c r="D166" s="1"/>
      <c r="E166" s="10">
        <v>0</v>
      </c>
      <c r="F166" s="10"/>
      <c r="G166" s="10">
        <v>0</v>
      </c>
      <c r="H166" s="10"/>
      <c r="I166" s="10">
        <v>0</v>
      </c>
      <c r="J166" s="10"/>
      <c r="K166" s="10">
        <v>0</v>
      </c>
      <c r="L166" s="10"/>
      <c r="M166" s="10">
        <v>0</v>
      </c>
      <c r="N166" s="10"/>
      <c r="O166" s="10">
        <v>0</v>
      </c>
      <c r="P166" s="10"/>
      <c r="Q166" s="10">
        <v>0</v>
      </c>
      <c r="R166" s="10"/>
      <c r="S166" s="10">
        <v>0</v>
      </c>
      <c r="T166" s="10"/>
      <c r="U166" s="10">
        <v>0</v>
      </c>
      <c r="V166" s="10"/>
      <c r="W166" s="10">
        <v>0</v>
      </c>
      <c r="X166" s="10"/>
      <c r="Y166" s="10">
        <v>0</v>
      </c>
      <c r="Z166" s="10"/>
      <c r="AA166" s="10">
        <v>0</v>
      </c>
      <c r="AB166" s="10"/>
      <c r="AC166" s="10">
        <v>0</v>
      </c>
      <c r="AD166" s="10"/>
      <c r="AE166" s="10">
        <f t="shared" si="3"/>
        <v>0</v>
      </c>
      <c r="AF166" s="10"/>
      <c r="AG166" s="46"/>
      <c r="AH166" s="46"/>
      <c r="AI166" s="46"/>
      <c r="AJ166" s="46"/>
      <c r="AK166" s="46"/>
      <c r="AL166" s="46"/>
      <c r="AM166" s="10">
        <f>+'Gen Rev'!AI167-'Gen Exp'!AE166+'Gen Exp'!AI166-AK166</f>
        <v>0</v>
      </c>
      <c r="AN166" s="46"/>
    </row>
    <row r="167" spans="1:40" s="21" customFormat="1" hidden="1">
      <c r="A167" s="1" t="s">
        <v>597</v>
      </c>
      <c r="B167" s="1"/>
      <c r="C167" s="1" t="s">
        <v>593</v>
      </c>
      <c r="D167" s="1"/>
      <c r="E167" s="10">
        <v>0</v>
      </c>
      <c r="F167" s="10"/>
      <c r="G167" s="10">
        <v>0</v>
      </c>
      <c r="H167" s="10"/>
      <c r="I167" s="10">
        <v>0</v>
      </c>
      <c r="J167" s="10"/>
      <c r="K167" s="10">
        <v>0</v>
      </c>
      <c r="L167" s="10"/>
      <c r="M167" s="10">
        <v>0</v>
      </c>
      <c r="N167" s="10"/>
      <c r="O167" s="10">
        <v>0</v>
      </c>
      <c r="P167" s="10"/>
      <c r="Q167" s="10">
        <v>0</v>
      </c>
      <c r="R167" s="10"/>
      <c r="S167" s="10">
        <v>0</v>
      </c>
      <c r="T167" s="10"/>
      <c r="U167" s="10">
        <v>0</v>
      </c>
      <c r="V167" s="10"/>
      <c r="W167" s="10">
        <v>0</v>
      </c>
      <c r="X167" s="10"/>
      <c r="Y167" s="10">
        <v>0</v>
      </c>
      <c r="Z167" s="10"/>
      <c r="AA167" s="10">
        <v>0</v>
      </c>
      <c r="AB167" s="10"/>
      <c r="AC167" s="10">
        <v>0</v>
      </c>
      <c r="AD167" s="10"/>
      <c r="AE167" s="10">
        <f t="shared" si="3"/>
        <v>0</v>
      </c>
      <c r="AF167" s="10"/>
      <c r="AG167" s="10"/>
      <c r="AH167" s="10"/>
      <c r="AI167" s="10"/>
      <c r="AJ167" s="10"/>
      <c r="AK167" s="10"/>
      <c r="AL167" s="10"/>
      <c r="AM167" s="10">
        <f>+'Gen Rev'!AI168-'Gen Exp'!AE167+'Gen Exp'!AI167-AK167</f>
        <v>0</v>
      </c>
      <c r="AN167" s="10"/>
    </row>
    <row r="168" spans="1:40" ht="12.75" hidden="1">
      <c r="A168" s="1" t="s">
        <v>174</v>
      </c>
      <c r="C168" s="23" t="s">
        <v>805</v>
      </c>
      <c r="D168" s="23"/>
      <c r="E168" s="10">
        <v>0</v>
      </c>
      <c r="G168" s="10">
        <v>0</v>
      </c>
      <c r="I168" s="10">
        <v>0</v>
      </c>
      <c r="K168" s="10">
        <v>0</v>
      </c>
      <c r="M168" s="10">
        <v>0</v>
      </c>
      <c r="O168" s="10">
        <v>0</v>
      </c>
      <c r="Q168" s="10">
        <v>0</v>
      </c>
      <c r="S168" s="10">
        <v>0</v>
      </c>
      <c r="U168" s="10">
        <v>0</v>
      </c>
      <c r="W168" s="10">
        <v>0</v>
      </c>
      <c r="Y168" s="10">
        <v>0</v>
      </c>
      <c r="AA168" s="10">
        <v>0</v>
      </c>
      <c r="AC168" s="10">
        <v>0</v>
      </c>
      <c r="AE168" s="10">
        <f t="shared" si="3"/>
        <v>0</v>
      </c>
      <c r="AF168" s="10"/>
      <c r="AM168" s="10">
        <v>0</v>
      </c>
    </row>
    <row r="169" spans="1:40" s="21" customFormat="1" hidden="1">
      <c r="A169" s="1" t="s">
        <v>397</v>
      </c>
      <c r="B169" s="1"/>
      <c r="C169" s="1" t="s">
        <v>396</v>
      </c>
      <c r="D169" s="1"/>
      <c r="E169" s="10">
        <v>0</v>
      </c>
      <c r="F169" s="10"/>
      <c r="G169" s="10">
        <v>0</v>
      </c>
      <c r="H169" s="10"/>
      <c r="I169" s="10">
        <v>0</v>
      </c>
      <c r="J169" s="10"/>
      <c r="K169" s="10">
        <v>0</v>
      </c>
      <c r="L169" s="10"/>
      <c r="M169" s="10">
        <v>0</v>
      </c>
      <c r="N169" s="10"/>
      <c r="O169" s="10">
        <v>0</v>
      </c>
      <c r="P169" s="10"/>
      <c r="Q169" s="10">
        <v>0</v>
      </c>
      <c r="R169" s="10"/>
      <c r="S169" s="10">
        <v>0</v>
      </c>
      <c r="T169" s="10"/>
      <c r="U169" s="10">
        <v>0</v>
      </c>
      <c r="V169" s="10"/>
      <c r="W169" s="10">
        <v>0</v>
      </c>
      <c r="X169" s="10"/>
      <c r="Y169" s="10">
        <v>0</v>
      </c>
      <c r="Z169" s="10"/>
      <c r="AA169" s="10">
        <v>0</v>
      </c>
      <c r="AB169" s="10"/>
      <c r="AC169" s="10">
        <v>0</v>
      </c>
      <c r="AD169" s="10"/>
      <c r="AE169" s="10">
        <f t="shared" si="3"/>
        <v>0</v>
      </c>
      <c r="AF169" s="10"/>
      <c r="AG169" s="10"/>
      <c r="AH169" s="10"/>
      <c r="AI169" s="10"/>
      <c r="AJ169" s="10"/>
      <c r="AK169" s="10"/>
      <c r="AL169" s="10"/>
      <c r="AM169" s="10">
        <f>+'Gen Rev'!AI169-'Gen Exp'!AE169+'Gen Exp'!AI169-AK169</f>
        <v>0</v>
      </c>
      <c r="AN169" s="10"/>
    </row>
    <row r="170" spans="1:40" ht="12.75" hidden="1">
      <c r="A170" s="1" t="s">
        <v>203</v>
      </c>
      <c r="C170" s="23" t="s">
        <v>813</v>
      </c>
      <c r="D170" s="23"/>
      <c r="E170" s="10">
        <v>0</v>
      </c>
      <c r="G170" s="10">
        <v>0</v>
      </c>
      <c r="I170" s="10">
        <v>0</v>
      </c>
      <c r="K170" s="10">
        <v>0</v>
      </c>
      <c r="M170" s="10">
        <v>0</v>
      </c>
      <c r="O170" s="10">
        <v>0</v>
      </c>
      <c r="Q170" s="10">
        <v>0</v>
      </c>
      <c r="S170" s="10">
        <v>0</v>
      </c>
      <c r="U170" s="10">
        <v>0</v>
      </c>
      <c r="W170" s="10">
        <v>0</v>
      </c>
      <c r="Y170" s="10">
        <v>0</v>
      </c>
      <c r="AA170" s="10">
        <v>0</v>
      </c>
      <c r="AC170" s="10">
        <v>0</v>
      </c>
      <c r="AE170" s="10">
        <f t="shared" si="3"/>
        <v>0</v>
      </c>
      <c r="AF170" s="10"/>
      <c r="AM170" s="10">
        <f>+'Gen Rev'!AI170-'Gen Exp'!AE170+'Gen Exp'!AI170-AK170</f>
        <v>0</v>
      </c>
    </row>
    <row r="171" spans="1:40" s="19" customFormat="1" hidden="1">
      <c r="A171" s="10" t="s">
        <v>547</v>
      </c>
      <c r="B171" s="10"/>
      <c r="C171" s="10" t="s">
        <v>545</v>
      </c>
      <c r="D171" s="10"/>
      <c r="E171" s="10">
        <v>0</v>
      </c>
      <c r="F171" s="10"/>
      <c r="G171" s="10">
        <v>0</v>
      </c>
      <c r="H171" s="10"/>
      <c r="I171" s="10">
        <v>0</v>
      </c>
      <c r="J171" s="10"/>
      <c r="K171" s="10">
        <v>0</v>
      </c>
      <c r="L171" s="10"/>
      <c r="M171" s="10">
        <v>0</v>
      </c>
      <c r="N171" s="10"/>
      <c r="O171" s="10">
        <v>0</v>
      </c>
      <c r="P171" s="10"/>
      <c r="Q171" s="10">
        <v>0</v>
      </c>
      <c r="R171" s="10"/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Z171" s="10"/>
      <c r="AA171" s="10">
        <v>0</v>
      </c>
      <c r="AB171" s="10"/>
      <c r="AC171" s="10">
        <v>0</v>
      </c>
      <c r="AD171" s="10"/>
      <c r="AE171" s="10">
        <f t="shared" si="3"/>
        <v>0</v>
      </c>
      <c r="AF171" s="10"/>
      <c r="AG171" s="10"/>
      <c r="AH171" s="10"/>
      <c r="AI171" s="10"/>
      <c r="AJ171" s="10"/>
      <c r="AK171" s="10"/>
      <c r="AL171" s="10"/>
      <c r="AM171" s="10">
        <f>+'Gen Rev'!AI171-'Gen Exp'!AE171+'Gen Exp'!AI171-AK171</f>
        <v>0</v>
      </c>
      <c r="AN171" s="10"/>
    </row>
    <row r="172" spans="1:40" ht="12.75" hidden="1">
      <c r="A172" s="1" t="s">
        <v>224</v>
      </c>
      <c r="C172" s="23" t="s">
        <v>820</v>
      </c>
      <c r="D172" s="23"/>
      <c r="E172" s="10">
        <v>0</v>
      </c>
      <c r="G172" s="10">
        <v>0</v>
      </c>
      <c r="I172" s="10">
        <v>0</v>
      </c>
      <c r="K172" s="10">
        <v>0</v>
      </c>
      <c r="M172" s="10">
        <v>0</v>
      </c>
      <c r="O172" s="10">
        <v>0</v>
      </c>
      <c r="Q172" s="10">
        <v>0</v>
      </c>
      <c r="S172" s="10">
        <v>0</v>
      </c>
      <c r="U172" s="10">
        <v>0</v>
      </c>
      <c r="W172" s="10">
        <v>0</v>
      </c>
      <c r="Y172" s="10">
        <v>0</v>
      </c>
      <c r="AA172" s="10">
        <v>0</v>
      </c>
      <c r="AC172" s="10">
        <v>0</v>
      </c>
      <c r="AE172" s="10">
        <f t="shared" si="3"/>
        <v>0</v>
      </c>
      <c r="AF172" s="10"/>
      <c r="AM172" s="10">
        <f>+'Gen Rev'!AI172-'Gen Exp'!AE172+'Gen Exp'!AI172-AK172</f>
        <v>0</v>
      </c>
    </row>
    <row r="173" spans="1:40" s="21" customFormat="1" hidden="1">
      <c r="A173" s="1" t="s">
        <v>600</v>
      </c>
      <c r="B173" s="1"/>
      <c r="C173" s="1" t="s">
        <v>601</v>
      </c>
      <c r="D173" s="1"/>
      <c r="E173" s="10">
        <v>0</v>
      </c>
      <c r="F173" s="10"/>
      <c r="G173" s="10">
        <v>0</v>
      </c>
      <c r="H173" s="10"/>
      <c r="I173" s="10">
        <v>0</v>
      </c>
      <c r="J173" s="10"/>
      <c r="K173" s="10">
        <v>0</v>
      </c>
      <c r="L173" s="10"/>
      <c r="M173" s="10">
        <v>0</v>
      </c>
      <c r="N173" s="10"/>
      <c r="O173" s="10">
        <v>0</v>
      </c>
      <c r="P173" s="10"/>
      <c r="Q173" s="10">
        <v>0</v>
      </c>
      <c r="R173" s="10"/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Z173" s="10"/>
      <c r="AA173" s="10">
        <v>0</v>
      </c>
      <c r="AB173" s="10"/>
      <c r="AC173" s="10">
        <v>0</v>
      </c>
      <c r="AD173" s="10"/>
      <c r="AE173" s="10">
        <f t="shared" si="3"/>
        <v>0</v>
      </c>
      <c r="AF173" s="10"/>
      <c r="AG173" s="10"/>
      <c r="AH173" s="10"/>
      <c r="AI173" s="10"/>
      <c r="AJ173" s="10"/>
      <c r="AK173" s="10"/>
      <c r="AL173" s="10"/>
      <c r="AM173" s="10">
        <f>+'Gen Rev'!AI173-'Gen Exp'!AE173+'Gen Exp'!AI173-AK173</f>
        <v>0</v>
      </c>
      <c r="AN173" s="10"/>
    </row>
    <row r="174" spans="1:40" ht="12.75" hidden="1">
      <c r="A174" s="1" t="s">
        <v>172</v>
      </c>
      <c r="C174" s="23" t="s">
        <v>804</v>
      </c>
      <c r="D174" s="23"/>
      <c r="E174" s="10">
        <v>0</v>
      </c>
      <c r="G174" s="10">
        <v>0</v>
      </c>
      <c r="I174" s="10">
        <v>0</v>
      </c>
      <c r="K174" s="10">
        <v>0</v>
      </c>
      <c r="M174" s="10">
        <v>0</v>
      </c>
      <c r="O174" s="10">
        <v>0</v>
      </c>
      <c r="Q174" s="10">
        <v>0</v>
      </c>
      <c r="S174" s="10">
        <v>0</v>
      </c>
      <c r="U174" s="10">
        <v>0</v>
      </c>
      <c r="W174" s="10">
        <v>0</v>
      </c>
      <c r="Y174" s="10">
        <v>0</v>
      </c>
      <c r="AA174" s="10">
        <v>0</v>
      </c>
      <c r="AC174" s="10">
        <v>0</v>
      </c>
      <c r="AE174" s="10">
        <f t="shared" si="3"/>
        <v>0</v>
      </c>
      <c r="AF174" s="10"/>
      <c r="AM174" s="10">
        <f>+'Gen Rev'!AI174-'Gen Exp'!AE174+'Gen Exp'!AI174-AK174</f>
        <v>0</v>
      </c>
    </row>
    <row r="175" spans="1:40" ht="12.75" hidden="1">
      <c r="A175" s="1" t="s">
        <v>253</v>
      </c>
      <c r="C175" s="23" t="s">
        <v>829</v>
      </c>
      <c r="D175" s="23"/>
      <c r="E175" s="10">
        <v>0</v>
      </c>
      <c r="G175" s="10">
        <v>0</v>
      </c>
      <c r="I175" s="10">
        <v>0</v>
      </c>
      <c r="K175" s="10">
        <v>0</v>
      </c>
      <c r="M175" s="10">
        <v>0</v>
      </c>
      <c r="O175" s="10">
        <v>0</v>
      </c>
      <c r="Q175" s="10">
        <v>0</v>
      </c>
      <c r="S175" s="10">
        <v>0</v>
      </c>
      <c r="U175" s="10">
        <v>0</v>
      </c>
      <c r="W175" s="10">
        <v>0</v>
      </c>
      <c r="Y175" s="10">
        <v>0</v>
      </c>
      <c r="AA175" s="10">
        <v>0</v>
      </c>
      <c r="AC175" s="10">
        <v>0</v>
      </c>
      <c r="AE175" s="10">
        <f t="shared" si="3"/>
        <v>0</v>
      </c>
      <c r="AF175" s="10"/>
      <c r="AM175" s="10">
        <f>+'Gen Rev'!AI175-'Gen Exp'!AE175+'Gen Exp'!AI175-AK175</f>
        <v>0</v>
      </c>
    </row>
    <row r="176" spans="1:40" ht="12.75" hidden="1">
      <c r="A176" s="1" t="s">
        <v>200</v>
      </c>
      <c r="C176" s="23" t="s">
        <v>812</v>
      </c>
      <c r="D176" s="23"/>
      <c r="E176" s="10">
        <v>0</v>
      </c>
      <c r="G176" s="10">
        <v>0</v>
      </c>
      <c r="I176" s="10">
        <v>0</v>
      </c>
      <c r="K176" s="10">
        <v>0</v>
      </c>
      <c r="M176" s="10">
        <v>0</v>
      </c>
      <c r="O176" s="10">
        <v>0</v>
      </c>
      <c r="Q176" s="10">
        <v>0</v>
      </c>
      <c r="S176" s="10">
        <v>0</v>
      </c>
      <c r="U176" s="10">
        <v>0</v>
      </c>
      <c r="W176" s="10">
        <v>0</v>
      </c>
      <c r="Y176" s="10">
        <v>0</v>
      </c>
      <c r="AA176" s="10">
        <v>0</v>
      </c>
      <c r="AC176" s="10">
        <v>0</v>
      </c>
      <c r="AE176" s="10">
        <f t="shared" si="3"/>
        <v>0</v>
      </c>
      <c r="AF176" s="10"/>
      <c r="AM176" s="10">
        <f>+'Gen Rev'!AI176-'Gen Exp'!AE176+'Gen Exp'!AI176-AK176</f>
        <v>0</v>
      </c>
    </row>
    <row r="177" spans="1:40" s="59" customFormat="1" hidden="1">
      <c r="A177" s="59" t="s">
        <v>576</v>
      </c>
      <c r="C177" s="59" t="s">
        <v>577</v>
      </c>
      <c r="E177" s="60">
        <v>2093</v>
      </c>
      <c r="F177" s="60"/>
      <c r="G177" s="60">
        <v>2135</v>
      </c>
      <c r="H177" s="60"/>
      <c r="I177" s="60">
        <v>1997</v>
      </c>
      <c r="J177" s="60"/>
      <c r="K177" s="60">
        <v>0</v>
      </c>
      <c r="L177" s="60"/>
      <c r="M177" s="60">
        <v>0</v>
      </c>
      <c r="N177" s="60"/>
      <c r="O177" s="60">
        <v>674</v>
      </c>
      <c r="P177" s="60"/>
      <c r="Q177" s="60">
        <v>12817</v>
      </c>
      <c r="R177" s="60"/>
      <c r="S177" s="60">
        <v>0</v>
      </c>
      <c r="T177" s="60"/>
      <c r="U177" s="60">
        <v>0</v>
      </c>
      <c r="V177" s="60"/>
      <c r="W177" s="60">
        <v>0</v>
      </c>
      <c r="X177" s="60"/>
      <c r="Y177" s="60">
        <v>0</v>
      </c>
      <c r="Z177" s="60"/>
      <c r="AA177" s="60">
        <v>0</v>
      </c>
      <c r="AB177" s="60"/>
      <c r="AC177" s="60">
        <v>0</v>
      </c>
      <c r="AD177" s="60"/>
      <c r="AE177" s="60">
        <f t="shared" si="3"/>
        <v>19716</v>
      </c>
      <c r="AF177" s="60"/>
      <c r="AG177" s="60">
        <v>4224</v>
      </c>
      <c r="AH177" s="60"/>
      <c r="AI177" s="60"/>
      <c r="AJ177" s="60"/>
      <c r="AK177" s="60"/>
      <c r="AL177" s="60"/>
      <c r="AM177" s="60">
        <f>+'Gen Rev'!AI177-'Gen Exp'!AE177+'Gen Exp'!AI177-AK177</f>
        <v>-19716</v>
      </c>
      <c r="AN177" s="60"/>
    </row>
    <row r="178" spans="1:40" s="21" customFormat="1" ht="12.75" hidden="1">
      <c r="A178" s="1" t="s">
        <v>3</v>
      </c>
      <c r="B178" s="1"/>
      <c r="C178" s="23" t="s">
        <v>751</v>
      </c>
      <c r="D178" s="23"/>
      <c r="E178" s="10">
        <v>0</v>
      </c>
      <c r="F178" s="10"/>
      <c r="G178" s="10">
        <v>0</v>
      </c>
      <c r="H178" s="10"/>
      <c r="I178" s="10">
        <v>0</v>
      </c>
      <c r="J178" s="10"/>
      <c r="K178" s="10">
        <v>0</v>
      </c>
      <c r="L178" s="10"/>
      <c r="M178" s="10">
        <v>0</v>
      </c>
      <c r="N178" s="10"/>
      <c r="O178" s="10">
        <v>0</v>
      </c>
      <c r="P178" s="10"/>
      <c r="Q178" s="10">
        <v>0</v>
      </c>
      <c r="R178" s="10"/>
      <c r="S178" s="10">
        <v>0</v>
      </c>
      <c r="T178" s="10"/>
      <c r="U178" s="10">
        <v>0</v>
      </c>
      <c r="V178" s="10"/>
      <c r="W178" s="10">
        <v>0</v>
      </c>
      <c r="X178" s="10"/>
      <c r="Y178" s="10">
        <v>0</v>
      </c>
      <c r="Z178" s="10"/>
      <c r="AA178" s="10">
        <v>0</v>
      </c>
      <c r="AB178" s="10"/>
      <c r="AC178" s="10">
        <v>0</v>
      </c>
      <c r="AD178" s="10"/>
      <c r="AE178" s="10">
        <f t="shared" si="3"/>
        <v>0</v>
      </c>
      <c r="AF178" s="10"/>
      <c r="AG178" s="10"/>
      <c r="AH178" s="10"/>
      <c r="AI178" s="10"/>
      <c r="AJ178" s="10"/>
      <c r="AK178" s="10"/>
      <c r="AL178" s="10"/>
      <c r="AM178" s="10">
        <f>+'Gen Rev'!AI178-'Gen Exp'!AE178+'Gen Exp'!AI178-AK178</f>
        <v>23939</v>
      </c>
      <c r="AN178" s="10"/>
    </row>
    <row r="179" spans="1:40" ht="12.75" hidden="1">
      <c r="A179" s="1" t="s">
        <v>180</v>
      </c>
      <c r="C179" s="23" t="s">
        <v>807</v>
      </c>
      <c r="D179" s="23"/>
      <c r="E179" s="10">
        <v>0</v>
      </c>
      <c r="G179" s="10">
        <v>0</v>
      </c>
      <c r="I179" s="10">
        <v>0</v>
      </c>
      <c r="K179" s="10">
        <v>0</v>
      </c>
      <c r="M179" s="10">
        <v>0</v>
      </c>
      <c r="O179" s="10">
        <v>0</v>
      </c>
      <c r="Q179" s="10">
        <v>0</v>
      </c>
      <c r="S179" s="10">
        <v>0</v>
      </c>
      <c r="U179" s="10">
        <v>0</v>
      </c>
      <c r="W179" s="10">
        <v>0</v>
      </c>
      <c r="Y179" s="10">
        <v>0</v>
      </c>
      <c r="AA179" s="10">
        <v>0</v>
      </c>
      <c r="AC179" s="10">
        <v>0</v>
      </c>
      <c r="AE179" s="10">
        <f t="shared" si="3"/>
        <v>0</v>
      </c>
      <c r="AF179" s="10"/>
      <c r="AM179" s="10">
        <f>+'Gen Rev'!AI179-'Gen Exp'!AE179+'Gen Exp'!AI179-AK179</f>
        <v>0</v>
      </c>
    </row>
    <row r="180" spans="1:40" s="21" customFormat="1" hidden="1">
      <c r="A180" s="1" t="s">
        <v>92</v>
      </c>
      <c r="B180" s="1"/>
      <c r="C180" s="1" t="s">
        <v>378</v>
      </c>
      <c r="D180" s="1"/>
      <c r="E180" s="10">
        <v>0</v>
      </c>
      <c r="F180" s="10"/>
      <c r="G180" s="10">
        <v>0</v>
      </c>
      <c r="H180" s="10"/>
      <c r="I180" s="10">
        <v>0</v>
      </c>
      <c r="J180" s="10"/>
      <c r="K180" s="10">
        <v>0</v>
      </c>
      <c r="L180" s="10"/>
      <c r="M180" s="10">
        <v>0</v>
      </c>
      <c r="N180" s="10"/>
      <c r="O180" s="10">
        <v>0</v>
      </c>
      <c r="P180" s="10"/>
      <c r="Q180" s="10">
        <v>0</v>
      </c>
      <c r="R180" s="10"/>
      <c r="S180" s="10">
        <v>0</v>
      </c>
      <c r="T180" s="10"/>
      <c r="U180" s="10">
        <v>0</v>
      </c>
      <c r="V180" s="10"/>
      <c r="W180" s="10">
        <v>0</v>
      </c>
      <c r="X180" s="10"/>
      <c r="Y180" s="10">
        <v>0</v>
      </c>
      <c r="Z180" s="10"/>
      <c r="AA180" s="10">
        <v>0</v>
      </c>
      <c r="AB180" s="10"/>
      <c r="AC180" s="10">
        <v>0</v>
      </c>
      <c r="AD180" s="10"/>
      <c r="AE180" s="10">
        <f t="shared" si="3"/>
        <v>0</v>
      </c>
      <c r="AF180" s="10"/>
      <c r="AG180" s="10"/>
      <c r="AH180" s="10"/>
      <c r="AI180" s="10"/>
      <c r="AJ180" s="10"/>
      <c r="AK180" s="10"/>
      <c r="AL180" s="10"/>
      <c r="AM180" s="10">
        <f>+'Gen Rev'!AI180-'Gen Exp'!AE180+'Gen Exp'!AI180-AK180</f>
        <v>0</v>
      </c>
      <c r="AN180" s="10"/>
    </row>
    <row r="181" spans="1:40" ht="12.75" hidden="1">
      <c r="A181" s="1" t="s">
        <v>117</v>
      </c>
      <c r="C181" s="23" t="s">
        <v>786</v>
      </c>
      <c r="D181" s="23"/>
      <c r="E181" s="10">
        <v>0</v>
      </c>
      <c r="G181" s="10">
        <v>0</v>
      </c>
      <c r="I181" s="10">
        <v>0</v>
      </c>
      <c r="K181" s="10">
        <v>0</v>
      </c>
      <c r="M181" s="10">
        <v>0</v>
      </c>
      <c r="O181" s="10">
        <v>0</v>
      </c>
      <c r="Q181" s="10">
        <v>0</v>
      </c>
      <c r="S181" s="10">
        <v>0</v>
      </c>
      <c r="U181" s="10">
        <v>0</v>
      </c>
      <c r="W181" s="10">
        <v>0</v>
      </c>
      <c r="Y181" s="10">
        <v>0</v>
      </c>
      <c r="AA181" s="10">
        <v>0</v>
      </c>
      <c r="AC181" s="10">
        <v>0</v>
      </c>
      <c r="AE181" s="10">
        <f t="shared" si="3"/>
        <v>0</v>
      </c>
      <c r="AF181" s="10"/>
      <c r="AM181" s="10">
        <f>+'Gen Rev'!AI181-'Gen Exp'!AE181+'Gen Exp'!AI181-AK181</f>
        <v>0</v>
      </c>
    </row>
    <row r="182" spans="1:40" s="21" customFormat="1" ht="12.6" customHeight="1">
      <c r="A182" s="1" t="s">
        <v>291</v>
      </c>
      <c r="B182" s="1"/>
      <c r="C182" s="1" t="s">
        <v>292</v>
      </c>
      <c r="D182" s="1"/>
      <c r="E182" s="10">
        <v>68384</v>
      </c>
      <c r="F182" s="10"/>
      <c r="G182" s="10">
        <v>0</v>
      </c>
      <c r="H182" s="10"/>
      <c r="I182" s="10">
        <v>4429</v>
      </c>
      <c r="J182" s="10"/>
      <c r="K182" s="10">
        <v>0</v>
      </c>
      <c r="L182" s="10"/>
      <c r="M182" s="10">
        <v>0</v>
      </c>
      <c r="N182" s="10"/>
      <c r="O182" s="10">
        <v>0</v>
      </c>
      <c r="P182" s="10"/>
      <c r="Q182" s="10">
        <f>19484+49611+18661+42757+81977</f>
        <v>212490</v>
      </c>
      <c r="R182" s="10"/>
      <c r="S182" s="10">
        <v>15920</v>
      </c>
      <c r="T182" s="10"/>
      <c r="U182" s="10">
        <v>0</v>
      </c>
      <c r="V182" s="10"/>
      <c r="W182" s="10">
        <v>0</v>
      </c>
      <c r="X182" s="10"/>
      <c r="Y182" s="10">
        <v>0</v>
      </c>
      <c r="Z182" s="10"/>
      <c r="AA182" s="10">
        <v>0</v>
      </c>
      <c r="AB182" s="10"/>
      <c r="AC182" s="10">
        <v>0</v>
      </c>
      <c r="AD182" s="10"/>
      <c r="AE182" s="10">
        <f t="shared" si="3"/>
        <v>301223</v>
      </c>
      <c r="AF182" s="10"/>
      <c r="AG182" s="46">
        <v>14880</v>
      </c>
      <c r="AH182" s="46"/>
      <c r="AI182" s="46">
        <v>224254</v>
      </c>
      <c r="AJ182" s="46"/>
      <c r="AK182" s="46">
        <v>239134</v>
      </c>
      <c r="AL182" s="46"/>
      <c r="AM182" s="10">
        <f>+'Gen Rev'!AI183-'Gen Exp'!AE182+'Gen Exp'!AI182-AK182</f>
        <v>0</v>
      </c>
      <c r="AN182" s="46"/>
    </row>
    <row r="183" spans="1:40" s="21" customFormat="1">
      <c r="A183" s="1" t="s">
        <v>380</v>
      </c>
      <c r="B183" s="1"/>
      <c r="C183" s="1" t="s">
        <v>378</v>
      </c>
      <c r="D183" s="1"/>
      <c r="E183" s="10">
        <v>5352324</v>
      </c>
      <c r="F183" s="10"/>
      <c r="G183" s="10">
        <v>14404</v>
      </c>
      <c r="H183" s="10"/>
      <c r="I183" s="10">
        <v>1493662</v>
      </c>
      <c r="J183" s="10"/>
      <c r="K183" s="10">
        <v>257907</v>
      </c>
      <c r="L183" s="10"/>
      <c r="M183" s="10">
        <v>245921</v>
      </c>
      <c r="N183" s="10"/>
      <c r="O183" s="10">
        <v>0</v>
      </c>
      <c r="P183" s="10"/>
      <c r="Q183" s="10">
        <v>2587957</v>
      </c>
      <c r="R183" s="10"/>
      <c r="S183" s="10">
        <v>612879</v>
      </c>
      <c r="T183" s="10"/>
      <c r="U183" s="10">
        <v>0</v>
      </c>
      <c r="V183" s="10"/>
      <c r="W183" s="10">
        <v>0</v>
      </c>
      <c r="X183" s="10"/>
      <c r="Y183" s="10">
        <v>1462822</v>
      </c>
      <c r="Z183" s="10"/>
      <c r="AA183" s="10">
        <v>0</v>
      </c>
      <c r="AB183" s="10"/>
      <c r="AC183" s="10">
        <v>0</v>
      </c>
      <c r="AD183" s="10"/>
      <c r="AE183" s="10">
        <f t="shared" si="3"/>
        <v>12027876</v>
      </c>
      <c r="AF183" s="10"/>
      <c r="AG183" s="10">
        <v>1367309</v>
      </c>
      <c r="AH183" s="10"/>
      <c r="AI183" s="10">
        <v>12410633</v>
      </c>
      <c r="AJ183" s="10"/>
      <c r="AK183" s="10">
        <v>13777942</v>
      </c>
      <c r="AL183" s="10"/>
      <c r="AM183" s="10">
        <f>+'Gen Rev'!AI184-'Gen Exp'!AE183+'Gen Exp'!AI183-AK183</f>
        <v>0</v>
      </c>
      <c r="AN183" s="10"/>
    </row>
    <row r="184" spans="1:40" s="21" customFormat="1" ht="12.75" hidden="1">
      <c r="A184" s="1" t="s">
        <v>93</v>
      </c>
      <c r="B184" s="1"/>
      <c r="C184" s="23" t="s">
        <v>778</v>
      </c>
      <c r="D184" s="23"/>
      <c r="E184" s="10">
        <v>0</v>
      </c>
      <c r="F184" s="10"/>
      <c r="G184" s="10">
        <v>0</v>
      </c>
      <c r="H184" s="10"/>
      <c r="I184" s="10">
        <v>0</v>
      </c>
      <c r="J184" s="10"/>
      <c r="K184" s="10">
        <v>0</v>
      </c>
      <c r="L184" s="10"/>
      <c r="M184" s="10">
        <v>0</v>
      </c>
      <c r="N184" s="10"/>
      <c r="O184" s="10">
        <v>0</v>
      </c>
      <c r="P184" s="10"/>
      <c r="Q184" s="10">
        <v>0</v>
      </c>
      <c r="R184" s="10"/>
      <c r="S184" s="10">
        <v>0</v>
      </c>
      <c r="T184" s="10"/>
      <c r="U184" s="10">
        <v>0</v>
      </c>
      <c r="V184" s="10"/>
      <c r="W184" s="10">
        <v>0</v>
      </c>
      <c r="X184" s="10"/>
      <c r="Y184" s="10">
        <v>0</v>
      </c>
      <c r="Z184" s="10"/>
      <c r="AA184" s="10">
        <v>0</v>
      </c>
      <c r="AB184" s="10"/>
      <c r="AC184" s="10">
        <v>0</v>
      </c>
      <c r="AD184" s="10"/>
      <c r="AE184" s="10">
        <f t="shared" si="3"/>
        <v>0</v>
      </c>
      <c r="AF184" s="10"/>
      <c r="AG184" s="10"/>
      <c r="AH184" s="10"/>
      <c r="AI184" s="10"/>
      <c r="AJ184" s="10"/>
      <c r="AK184" s="10"/>
      <c r="AL184" s="10"/>
      <c r="AM184" s="10">
        <f>+'Gen Rev'!AI185-'Gen Exp'!AE184+'Gen Exp'!AI184-AK184</f>
        <v>0</v>
      </c>
      <c r="AN184" s="10"/>
    </row>
    <row r="185" spans="1:40" s="19" customFormat="1">
      <c r="A185" s="10" t="s">
        <v>429</v>
      </c>
      <c r="B185" s="10"/>
      <c r="C185" s="10" t="s">
        <v>430</v>
      </c>
      <c r="D185" s="10"/>
      <c r="E185" s="10">
        <v>975313</v>
      </c>
      <c r="F185" s="10"/>
      <c r="G185" s="10">
        <v>22458</v>
      </c>
      <c r="H185" s="10"/>
      <c r="I185" s="10">
        <v>2010</v>
      </c>
      <c r="J185" s="10"/>
      <c r="K185" s="10">
        <v>50994</v>
      </c>
      <c r="L185" s="10"/>
      <c r="M185" s="10">
        <v>0</v>
      </c>
      <c r="N185" s="10"/>
      <c r="O185" s="10">
        <v>209582</v>
      </c>
      <c r="P185" s="10"/>
      <c r="Q185" s="10">
        <f>500327+14160+3418</f>
        <v>517905</v>
      </c>
      <c r="R185" s="10"/>
      <c r="S185" s="10">
        <v>102620</v>
      </c>
      <c r="T185" s="10"/>
      <c r="U185" s="10">
        <v>0</v>
      </c>
      <c r="V185" s="10"/>
      <c r="W185" s="10">
        <v>0</v>
      </c>
      <c r="X185" s="10"/>
      <c r="Y185" s="10">
        <v>129000</v>
      </c>
      <c r="Z185" s="10"/>
      <c r="AA185" s="10">
        <v>10000</v>
      </c>
      <c r="AB185" s="10"/>
      <c r="AC185" s="10">
        <v>0</v>
      </c>
      <c r="AD185" s="10"/>
      <c r="AE185" s="10">
        <f t="shared" si="3"/>
        <v>2019882</v>
      </c>
      <c r="AF185" s="10"/>
      <c r="AG185" s="10">
        <v>798</v>
      </c>
      <c r="AH185" s="10"/>
      <c r="AI185" s="10">
        <v>843594</v>
      </c>
      <c r="AJ185" s="10"/>
      <c r="AK185" s="10">
        <v>844392</v>
      </c>
      <c r="AL185" s="10"/>
      <c r="AM185" s="10">
        <f>+'Gen Rev'!AI186-'Gen Exp'!AE185+'Gen Exp'!AI185-AK185</f>
        <v>0</v>
      </c>
      <c r="AN185" s="10"/>
    </row>
    <row r="186" spans="1:40" ht="12.75">
      <c r="A186" s="1" t="s">
        <v>909</v>
      </c>
      <c r="C186" s="23" t="s">
        <v>777</v>
      </c>
      <c r="D186" s="23"/>
      <c r="E186" s="10">
        <v>3544</v>
      </c>
      <c r="G186" s="10">
        <v>0</v>
      </c>
      <c r="I186" s="10">
        <v>0</v>
      </c>
      <c r="K186" s="10">
        <v>0</v>
      </c>
      <c r="M186" s="10">
        <v>487</v>
      </c>
      <c r="O186" s="10">
        <v>0</v>
      </c>
      <c r="Q186" s="10">
        <v>13749</v>
      </c>
      <c r="S186" s="10">
        <v>0</v>
      </c>
      <c r="U186" s="10">
        <v>0</v>
      </c>
      <c r="W186" s="10">
        <v>0</v>
      </c>
      <c r="Y186" s="10">
        <v>0</v>
      </c>
      <c r="AA186" s="10">
        <v>0</v>
      </c>
      <c r="AC186" s="10">
        <v>0</v>
      </c>
      <c r="AE186" s="10">
        <f>SUM(E186:AC186)</f>
        <v>17780</v>
      </c>
      <c r="AF186" s="10"/>
      <c r="AG186" s="10">
        <v>-143</v>
      </c>
      <c r="AI186" s="10">
        <v>3930</v>
      </c>
      <c r="AK186" s="10">
        <v>3786</v>
      </c>
      <c r="AM186" s="10">
        <f>+'Gen Rev'!AI187-'Gen Exp'!AE186+'Gen Exp'!AI186-AK186</f>
        <v>0</v>
      </c>
    </row>
    <row r="187" spans="1:40" ht="12.75" hidden="1">
      <c r="A187" s="1" t="s">
        <v>167</v>
      </c>
      <c r="C187" s="23" t="s">
        <v>802</v>
      </c>
      <c r="D187" s="23"/>
      <c r="E187" s="10">
        <v>0</v>
      </c>
      <c r="G187" s="10">
        <v>0</v>
      </c>
      <c r="I187" s="10">
        <v>0</v>
      </c>
      <c r="K187" s="10">
        <v>0</v>
      </c>
      <c r="M187" s="10">
        <v>0</v>
      </c>
      <c r="O187" s="10">
        <v>0</v>
      </c>
      <c r="Q187" s="10">
        <v>0</v>
      </c>
      <c r="S187" s="10">
        <v>0</v>
      </c>
      <c r="U187" s="10">
        <v>0</v>
      </c>
      <c r="W187" s="10">
        <v>0</v>
      </c>
      <c r="Y187" s="10">
        <v>0</v>
      </c>
      <c r="AA187" s="10">
        <v>0</v>
      </c>
      <c r="AC187" s="10">
        <v>0</v>
      </c>
      <c r="AE187" s="10">
        <f t="shared" si="3"/>
        <v>0</v>
      </c>
      <c r="AF187" s="10"/>
      <c r="AM187" s="10">
        <f>+'Gen Rev'!AI188-'Gen Exp'!AE187+'Gen Exp'!AI187-AK187</f>
        <v>0</v>
      </c>
    </row>
    <row r="188" spans="1:40" s="21" customFormat="1">
      <c r="A188" s="1" t="s">
        <v>360</v>
      </c>
      <c r="B188" s="1"/>
      <c r="C188" s="1" t="s">
        <v>358</v>
      </c>
      <c r="D188" s="1"/>
      <c r="E188" s="10">
        <v>193909</v>
      </c>
      <c r="F188" s="10"/>
      <c r="G188" s="10">
        <v>0</v>
      </c>
      <c r="H188" s="10"/>
      <c r="I188" s="10">
        <v>0</v>
      </c>
      <c r="J188" s="10"/>
      <c r="K188" s="10">
        <v>3354</v>
      </c>
      <c r="L188" s="10"/>
      <c r="M188" s="10">
        <v>0</v>
      </c>
      <c r="N188" s="10"/>
      <c r="O188" s="10">
        <v>47293</v>
      </c>
      <c r="P188" s="10"/>
      <c r="Q188" s="10">
        <v>230002</v>
      </c>
      <c r="R188" s="10"/>
      <c r="S188" s="10">
        <v>2034</v>
      </c>
      <c r="T188" s="10"/>
      <c r="U188" s="10">
        <v>0</v>
      </c>
      <c r="V188" s="10"/>
      <c r="W188" s="10">
        <v>0</v>
      </c>
      <c r="X188" s="10"/>
      <c r="Y188" s="10">
        <v>0</v>
      </c>
      <c r="Z188" s="10"/>
      <c r="AA188" s="10">
        <v>0</v>
      </c>
      <c r="AB188" s="10"/>
      <c r="AC188" s="10">
        <v>0</v>
      </c>
      <c r="AD188" s="10"/>
      <c r="AE188" s="10">
        <f t="shared" si="3"/>
        <v>476592</v>
      </c>
      <c r="AF188" s="10"/>
      <c r="AG188" s="10">
        <v>23325</v>
      </c>
      <c r="AH188" s="10"/>
      <c r="AI188" s="10">
        <v>473799</v>
      </c>
      <c r="AJ188" s="10"/>
      <c r="AK188" s="10">
        <v>497123</v>
      </c>
      <c r="AL188" s="10"/>
      <c r="AM188" s="10">
        <f>+'Gen Rev'!AI189-'Gen Exp'!AE188+'Gen Exp'!AI188-AK188</f>
        <v>0</v>
      </c>
      <c r="AN188" s="10"/>
    </row>
    <row r="189" spans="1:40" s="21" customFormat="1" ht="12.75" hidden="1">
      <c r="A189" s="1" t="s">
        <v>21</v>
      </c>
      <c r="B189" s="1"/>
      <c r="C189" s="23" t="s">
        <v>756</v>
      </c>
      <c r="D189" s="23"/>
      <c r="E189" s="10">
        <v>0</v>
      </c>
      <c r="F189" s="10"/>
      <c r="G189" s="10">
        <v>0</v>
      </c>
      <c r="H189" s="10"/>
      <c r="I189" s="10">
        <v>0</v>
      </c>
      <c r="J189" s="10"/>
      <c r="K189" s="10">
        <v>0</v>
      </c>
      <c r="L189" s="10"/>
      <c r="M189" s="10">
        <v>0</v>
      </c>
      <c r="N189" s="10"/>
      <c r="O189" s="10">
        <v>0</v>
      </c>
      <c r="P189" s="10"/>
      <c r="Q189" s="10">
        <v>0</v>
      </c>
      <c r="R189" s="10"/>
      <c r="S189" s="10">
        <v>0</v>
      </c>
      <c r="T189" s="10"/>
      <c r="U189" s="10">
        <v>0</v>
      </c>
      <c r="V189" s="10"/>
      <c r="W189" s="10">
        <v>0</v>
      </c>
      <c r="X189" s="10"/>
      <c r="Y189" s="10">
        <v>0</v>
      </c>
      <c r="Z189" s="10"/>
      <c r="AA189" s="10">
        <v>0</v>
      </c>
      <c r="AB189" s="10"/>
      <c r="AC189" s="10">
        <v>0</v>
      </c>
      <c r="AD189" s="10"/>
      <c r="AE189" s="10">
        <f t="shared" si="3"/>
        <v>0</v>
      </c>
      <c r="AF189" s="10"/>
      <c r="AG189" s="10"/>
      <c r="AH189" s="10"/>
      <c r="AI189" s="10"/>
      <c r="AJ189" s="10"/>
      <c r="AK189" s="10"/>
      <c r="AL189" s="10"/>
      <c r="AM189" s="10">
        <f>+'Gen Rev'!AI190-'Gen Exp'!AE189+'Gen Exp'!AI189-AK189</f>
        <v>0</v>
      </c>
      <c r="AN189" s="10"/>
    </row>
    <row r="190" spans="1:40" s="21" customFormat="1" ht="12.6" hidden="1" customHeight="1">
      <c r="A190" s="15" t="s">
        <v>297</v>
      </c>
      <c r="B190" s="15"/>
      <c r="C190" s="1" t="s">
        <v>295</v>
      </c>
      <c r="D190" s="1"/>
      <c r="E190" s="10">
        <v>0</v>
      </c>
      <c r="F190" s="10"/>
      <c r="G190" s="10">
        <v>0</v>
      </c>
      <c r="H190" s="10"/>
      <c r="I190" s="10">
        <v>0</v>
      </c>
      <c r="J190" s="10"/>
      <c r="K190" s="10">
        <v>0</v>
      </c>
      <c r="L190" s="10"/>
      <c r="M190" s="10">
        <v>0</v>
      </c>
      <c r="N190" s="10"/>
      <c r="O190" s="10">
        <v>0</v>
      </c>
      <c r="P190" s="10"/>
      <c r="Q190" s="10">
        <v>0</v>
      </c>
      <c r="R190" s="10"/>
      <c r="S190" s="10">
        <v>0</v>
      </c>
      <c r="T190" s="10"/>
      <c r="U190" s="10">
        <v>0</v>
      </c>
      <c r="V190" s="10"/>
      <c r="W190" s="10">
        <v>0</v>
      </c>
      <c r="X190" s="10"/>
      <c r="Y190" s="10">
        <v>0</v>
      </c>
      <c r="Z190" s="10"/>
      <c r="AA190" s="10">
        <v>0</v>
      </c>
      <c r="AB190" s="10"/>
      <c r="AC190" s="10">
        <v>0</v>
      </c>
      <c r="AD190" s="10"/>
      <c r="AE190" s="10">
        <f t="shared" si="3"/>
        <v>0</v>
      </c>
      <c r="AF190" s="10"/>
      <c r="AG190" s="46"/>
      <c r="AH190" s="46"/>
      <c r="AI190" s="46"/>
      <c r="AJ190" s="46"/>
      <c r="AK190" s="46"/>
      <c r="AL190" s="46"/>
      <c r="AM190" s="10">
        <f>+'Gen Rev'!AI191-'Gen Exp'!AE190+'Gen Exp'!AI190-AK190</f>
        <v>0</v>
      </c>
      <c r="AN190" s="46"/>
    </row>
    <row r="191" spans="1:40" s="21" customFormat="1" ht="12.75" hidden="1">
      <c r="A191" s="1" t="s">
        <v>105</v>
      </c>
      <c r="B191" s="1"/>
      <c r="C191" s="23" t="s">
        <v>782</v>
      </c>
      <c r="D191" s="23"/>
      <c r="E191" s="10">
        <v>0</v>
      </c>
      <c r="F191" s="10"/>
      <c r="G191" s="10">
        <v>0</v>
      </c>
      <c r="H191" s="10"/>
      <c r="I191" s="10">
        <v>0</v>
      </c>
      <c r="J191" s="10"/>
      <c r="K191" s="10">
        <v>0</v>
      </c>
      <c r="L191" s="10"/>
      <c r="M191" s="10">
        <v>0</v>
      </c>
      <c r="N191" s="10"/>
      <c r="O191" s="10">
        <v>0</v>
      </c>
      <c r="P191" s="10"/>
      <c r="Q191" s="10">
        <v>0</v>
      </c>
      <c r="R191" s="10"/>
      <c r="S191" s="10">
        <v>0</v>
      </c>
      <c r="T191" s="10"/>
      <c r="U191" s="10">
        <v>0</v>
      </c>
      <c r="V191" s="10"/>
      <c r="W191" s="10">
        <v>0</v>
      </c>
      <c r="X191" s="10"/>
      <c r="Y191" s="10">
        <v>0</v>
      </c>
      <c r="Z191" s="10"/>
      <c r="AA191" s="10">
        <v>0</v>
      </c>
      <c r="AB191" s="10"/>
      <c r="AC191" s="10">
        <v>0</v>
      </c>
      <c r="AD191" s="10"/>
      <c r="AE191" s="10">
        <f t="shared" si="3"/>
        <v>0</v>
      </c>
      <c r="AF191" s="10"/>
      <c r="AG191" s="10"/>
      <c r="AH191" s="10"/>
      <c r="AI191" s="10"/>
      <c r="AJ191" s="10"/>
      <c r="AK191" s="10"/>
      <c r="AL191" s="10"/>
      <c r="AM191" s="10">
        <f>+'Gen Rev'!AI192-'Gen Exp'!AE191+'Gen Exp'!AI191-AK191</f>
        <v>0</v>
      </c>
      <c r="AN191" s="10"/>
    </row>
    <row r="192" spans="1:40">
      <c r="A192" s="1" t="s">
        <v>398</v>
      </c>
      <c r="C192" s="1" t="s">
        <v>396</v>
      </c>
      <c r="E192" s="10">
        <v>204888</v>
      </c>
      <c r="G192" s="10">
        <v>9854</v>
      </c>
      <c r="I192" s="10">
        <v>350</v>
      </c>
      <c r="K192" s="10">
        <v>5397</v>
      </c>
      <c r="M192" s="10">
        <v>0</v>
      </c>
      <c r="O192" s="10">
        <v>722</v>
      </c>
      <c r="Q192" s="10">
        <v>249660</v>
      </c>
      <c r="S192" s="10">
        <v>0</v>
      </c>
      <c r="U192" s="10">
        <v>0</v>
      </c>
      <c r="W192" s="10">
        <v>0</v>
      </c>
      <c r="Y192" s="10">
        <v>0</v>
      </c>
      <c r="AA192" s="10">
        <v>0</v>
      </c>
      <c r="AC192" s="10">
        <v>0</v>
      </c>
      <c r="AE192" s="10">
        <f t="shared" si="3"/>
        <v>470871</v>
      </c>
      <c r="AF192" s="10"/>
      <c r="AG192" s="10">
        <v>125985</v>
      </c>
      <c r="AI192" s="10">
        <v>215329</v>
      </c>
      <c r="AK192" s="10">
        <v>341314</v>
      </c>
      <c r="AM192" s="10">
        <f>+'Gen Rev'!AI193-'Gen Exp'!AE192+'Gen Exp'!AI192-AK192</f>
        <v>0</v>
      </c>
    </row>
    <row r="193" spans="1:40" ht="12.75" hidden="1">
      <c r="A193" s="1" t="s">
        <v>204</v>
      </c>
      <c r="C193" s="23" t="s">
        <v>813</v>
      </c>
      <c r="D193" s="23"/>
      <c r="E193" s="10">
        <v>0</v>
      </c>
      <c r="G193" s="10">
        <v>0</v>
      </c>
      <c r="I193" s="10">
        <v>0</v>
      </c>
      <c r="K193" s="10">
        <v>0</v>
      </c>
      <c r="M193" s="10">
        <v>0</v>
      </c>
      <c r="O193" s="10">
        <v>0</v>
      </c>
      <c r="Q193" s="10">
        <v>0</v>
      </c>
      <c r="S193" s="10">
        <v>0</v>
      </c>
      <c r="U193" s="10">
        <v>0</v>
      </c>
      <c r="W193" s="10">
        <v>0</v>
      </c>
      <c r="Y193" s="10">
        <v>0</v>
      </c>
      <c r="AA193" s="10">
        <v>0</v>
      </c>
      <c r="AC193" s="10">
        <v>0</v>
      </c>
      <c r="AE193" s="10">
        <f t="shared" si="3"/>
        <v>0</v>
      </c>
      <c r="AF193" s="10"/>
      <c r="AM193" s="10">
        <f>+'Gen Rev'!AI194-'Gen Exp'!AE193+'Gen Exp'!AI193-AK193</f>
        <v>0</v>
      </c>
    </row>
    <row r="194" spans="1:40" ht="12.75" hidden="1">
      <c r="A194" s="1" t="s">
        <v>222</v>
      </c>
      <c r="C194" s="23" t="s">
        <v>819</v>
      </c>
      <c r="D194" s="23"/>
      <c r="E194" s="10">
        <v>0</v>
      </c>
      <c r="G194" s="10">
        <v>0</v>
      </c>
      <c r="I194" s="10">
        <v>0</v>
      </c>
      <c r="K194" s="10">
        <v>0</v>
      </c>
      <c r="M194" s="10">
        <v>0</v>
      </c>
      <c r="O194" s="10">
        <v>0</v>
      </c>
      <c r="Q194" s="10">
        <v>0</v>
      </c>
      <c r="S194" s="10">
        <v>0</v>
      </c>
      <c r="U194" s="10">
        <v>0</v>
      </c>
      <c r="W194" s="10">
        <v>0</v>
      </c>
      <c r="Y194" s="10">
        <v>0</v>
      </c>
      <c r="AA194" s="10">
        <v>0</v>
      </c>
      <c r="AC194" s="10">
        <v>0</v>
      </c>
      <c r="AE194" s="10">
        <f t="shared" ref="AE194:AE241" si="4">SUM(E194:AC194)</f>
        <v>0</v>
      </c>
      <c r="AF194" s="40"/>
      <c r="AM194" s="10">
        <f>+'Gen Rev'!AI195-'Gen Exp'!AE194+'Gen Exp'!AI194-AK194</f>
        <v>0</v>
      </c>
    </row>
    <row r="195" spans="1:40">
      <c r="A195" s="1" t="s">
        <v>470</v>
      </c>
      <c r="C195" s="1" t="s">
        <v>469</v>
      </c>
      <c r="E195" s="10">
        <v>203728</v>
      </c>
      <c r="G195" s="10">
        <v>6893</v>
      </c>
      <c r="I195" s="10">
        <v>0</v>
      </c>
      <c r="K195" s="10">
        <v>3152</v>
      </c>
      <c r="M195" s="10">
        <v>170</v>
      </c>
      <c r="O195" s="10">
        <v>0</v>
      </c>
      <c r="Q195" s="10">
        <v>228827</v>
      </c>
      <c r="S195" s="10">
        <v>0</v>
      </c>
      <c r="U195" s="10">
        <v>0</v>
      </c>
      <c r="W195" s="10">
        <v>0</v>
      </c>
      <c r="Y195" s="10">
        <v>1108</v>
      </c>
      <c r="AA195" s="10">
        <v>0</v>
      </c>
      <c r="AC195" s="10">
        <v>0</v>
      </c>
      <c r="AE195" s="10">
        <f t="shared" si="4"/>
        <v>443878</v>
      </c>
      <c r="AF195" s="10"/>
      <c r="AG195" s="10">
        <v>41569</v>
      </c>
      <c r="AI195" s="10">
        <v>2676</v>
      </c>
      <c r="AK195" s="10">
        <v>44246</v>
      </c>
      <c r="AM195" s="10">
        <f>+'Gen Rev'!AI196-'Gen Exp'!AE195+'Gen Exp'!AI195-AK195</f>
        <v>0</v>
      </c>
    </row>
    <row r="196" spans="1:40" ht="12.75" hidden="1">
      <c r="A196" s="1" t="s">
        <v>212</v>
      </c>
      <c r="C196" s="23" t="s">
        <v>815</v>
      </c>
      <c r="D196" s="23"/>
      <c r="E196" s="10">
        <v>0</v>
      </c>
      <c r="G196" s="10">
        <v>0</v>
      </c>
      <c r="I196" s="10">
        <v>0</v>
      </c>
      <c r="K196" s="10">
        <v>0</v>
      </c>
      <c r="M196" s="10">
        <v>0</v>
      </c>
      <c r="O196" s="10">
        <v>0</v>
      </c>
      <c r="Q196" s="10">
        <v>0</v>
      </c>
      <c r="S196" s="10">
        <v>0</v>
      </c>
      <c r="U196" s="10">
        <v>0</v>
      </c>
      <c r="W196" s="10">
        <v>0</v>
      </c>
      <c r="Y196" s="10">
        <v>0</v>
      </c>
      <c r="AA196" s="10">
        <v>0</v>
      </c>
      <c r="AC196" s="10">
        <v>0</v>
      </c>
      <c r="AE196" s="10">
        <f t="shared" si="4"/>
        <v>0</v>
      </c>
      <c r="AF196" s="10"/>
      <c r="AM196" s="10">
        <f>+'Gen Rev'!AI197-'Gen Exp'!AE196+'Gen Exp'!AI196-AK196</f>
        <v>0</v>
      </c>
    </row>
    <row r="197" spans="1:40" ht="12.75" hidden="1">
      <c r="A197" s="1" t="s">
        <v>175</v>
      </c>
      <c r="C197" s="23" t="s">
        <v>805</v>
      </c>
      <c r="D197" s="23"/>
      <c r="E197" s="10">
        <v>0</v>
      </c>
      <c r="G197" s="10">
        <v>0</v>
      </c>
      <c r="I197" s="10">
        <v>0</v>
      </c>
      <c r="K197" s="10">
        <v>0</v>
      </c>
      <c r="M197" s="10">
        <v>0</v>
      </c>
      <c r="O197" s="10">
        <v>0</v>
      </c>
      <c r="Q197" s="10">
        <v>0</v>
      </c>
      <c r="S197" s="10">
        <v>0</v>
      </c>
      <c r="U197" s="10">
        <v>0</v>
      </c>
      <c r="W197" s="10">
        <v>0</v>
      </c>
      <c r="Y197" s="10">
        <v>0</v>
      </c>
      <c r="AA197" s="10">
        <v>0</v>
      </c>
      <c r="AC197" s="10">
        <v>0</v>
      </c>
      <c r="AE197" s="10">
        <f t="shared" si="4"/>
        <v>0</v>
      </c>
      <c r="AF197" s="10"/>
      <c r="AM197" s="10">
        <f>+'Gen Rev'!AI198-'Gen Exp'!AE197+'Gen Exp'!AI197-AK197</f>
        <v>0</v>
      </c>
    </row>
    <row r="198" spans="1:40" ht="12.75">
      <c r="C198" s="23"/>
      <c r="D198" s="23"/>
      <c r="AE198" s="10" t="s">
        <v>869</v>
      </c>
      <c r="AF198" s="10"/>
    </row>
    <row r="199" spans="1:40" s="40" customFormat="1">
      <c r="A199" s="40" t="s">
        <v>598</v>
      </c>
      <c r="C199" s="40" t="s">
        <v>593</v>
      </c>
      <c r="E199" s="40">
        <v>36409</v>
      </c>
      <c r="G199" s="40">
        <v>1592</v>
      </c>
      <c r="I199" s="40">
        <v>996</v>
      </c>
      <c r="K199" s="40">
        <v>0</v>
      </c>
      <c r="M199" s="40">
        <v>0</v>
      </c>
      <c r="O199" s="40">
        <v>0</v>
      </c>
      <c r="Q199" s="40">
        <v>33066</v>
      </c>
      <c r="S199" s="40">
        <v>0</v>
      </c>
      <c r="U199" s="40">
        <v>0</v>
      </c>
      <c r="W199" s="40">
        <v>0</v>
      </c>
      <c r="Y199" s="40">
        <v>0</v>
      </c>
      <c r="AA199" s="40">
        <v>0</v>
      </c>
      <c r="AC199" s="40">
        <v>7198</v>
      </c>
      <c r="AE199" s="40">
        <f t="shared" si="4"/>
        <v>79261</v>
      </c>
      <c r="AG199" s="40">
        <v>-14350.76</v>
      </c>
      <c r="AI199" s="40">
        <v>23199</v>
      </c>
      <c r="AK199" s="40">
        <v>8848</v>
      </c>
      <c r="AM199" s="40">
        <f>+'Gen Rev'!AI199-'Gen Exp'!AE199+'Gen Exp'!AI199-AK199</f>
        <v>0</v>
      </c>
    </row>
    <row r="200" spans="1:40" s="21" customFormat="1">
      <c r="A200" s="1" t="s">
        <v>428</v>
      </c>
      <c r="B200" s="1"/>
      <c r="C200" s="1" t="s">
        <v>427</v>
      </c>
      <c r="D200" s="1"/>
      <c r="E200" s="10">
        <v>290780</v>
      </c>
      <c r="F200" s="10"/>
      <c r="G200" s="10">
        <v>1655</v>
      </c>
      <c r="H200" s="10"/>
      <c r="I200" s="10">
        <v>233</v>
      </c>
      <c r="J200" s="10"/>
      <c r="K200" s="10">
        <v>3691</v>
      </c>
      <c r="L200" s="10"/>
      <c r="M200" s="10">
        <v>5265</v>
      </c>
      <c r="N200" s="10"/>
      <c r="O200" s="10">
        <v>136508</v>
      </c>
      <c r="P200" s="10"/>
      <c r="Q200" s="10">
        <v>228240</v>
      </c>
      <c r="R200" s="10"/>
      <c r="S200" s="10">
        <v>17089</v>
      </c>
      <c r="T200" s="10"/>
      <c r="U200" s="10">
        <v>0</v>
      </c>
      <c r="V200" s="10"/>
      <c r="W200" s="10">
        <v>0</v>
      </c>
      <c r="X200" s="10"/>
      <c r="Y200" s="10">
        <v>0</v>
      </c>
      <c r="Z200" s="10"/>
      <c r="AA200" s="10">
        <v>0</v>
      </c>
      <c r="AB200" s="10"/>
      <c r="AC200" s="10">
        <v>0</v>
      </c>
      <c r="AD200" s="10"/>
      <c r="AE200" s="10">
        <f t="shared" si="4"/>
        <v>683461</v>
      </c>
      <c r="AF200" s="10"/>
      <c r="AG200" s="10">
        <v>-16575</v>
      </c>
      <c r="AH200" s="10"/>
      <c r="AI200" s="10">
        <v>131134</v>
      </c>
      <c r="AJ200" s="10"/>
      <c r="AK200" s="10">
        <v>114559</v>
      </c>
      <c r="AL200" s="10"/>
      <c r="AM200" s="10">
        <f>+'Gen Rev'!AI200-'Gen Exp'!AE200+'Gen Exp'!AI200-AK200</f>
        <v>0</v>
      </c>
      <c r="AN200" s="10"/>
    </row>
    <row r="201" spans="1:40">
      <c r="A201" s="1" t="s">
        <v>405</v>
      </c>
      <c r="C201" s="1" t="s">
        <v>403</v>
      </c>
      <c r="E201" s="10">
        <v>0</v>
      </c>
      <c r="G201" s="10">
        <v>60</v>
      </c>
      <c r="I201" s="10">
        <v>0</v>
      </c>
      <c r="K201" s="10">
        <v>0</v>
      </c>
      <c r="M201" s="10">
        <f>2680+6007</f>
        <v>8687</v>
      </c>
      <c r="O201" s="10">
        <v>0</v>
      </c>
      <c r="Q201" s="10">
        <v>96719</v>
      </c>
      <c r="S201" s="10">
        <v>0</v>
      </c>
      <c r="U201" s="10">
        <v>0</v>
      </c>
      <c r="W201" s="10">
        <v>0</v>
      </c>
      <c r="Y201" s="10">
        <v>0</v>
      </c>
      <c r="AA201" s="10">
        <v>0</v>
      </c>
      <c r="AC201" s="10">
        <v>0</v>
      </c>
      <c r="AE201" s="10">
        <f t="shared" si="4"/>
        <v>105466</v>
      </c>
      <c r="AF201" s="10"/>
      <c r="AG201" s="10">
        <f>31408+70000</f>
        <v>101408</v>
      </c>
      <c r="AI201" s="10">
        <v>204314</v>
      </c>
      <c r="AK201" s="10">
        <v>235721</v>
      </c>
      <c r="AM201" s="10">
        <f>+'Gen Rev'!AI201-'Gen Exp'!AE201+'Gen Exp'!AI201-AK201</f>
        <v>0</v>
      </c>
    </row>
    <row r="202" spans="1:40" s="10" customFormat="1" hidden="1">
      <c r="A202" s="10" t="s">
        <v>358</v>
      </c>
      <c r="C202" s="10" t="s">
        <v>243</v>
      </c>
      <c r="E202" s="10">
        <v>0</v>
      </c>
      <c r="G202" s="10">
        <v>0</v>
      </c>
      <c r="I202" s="10">
        <v>0</v>
      </c>
      <c r="K202" s="10">
        <v>0</v>
      </c>
      <c r="M202" s="10">
        <v>0</v>
      </c>
      <c r="O202" s="10">
        <v>0</v>
      </c>
      <c r="Q202" s="10">
        <v>0</v>
      </c>
      <c r="S202" s="10">
        <v>0</v>
      </c>
      <c r="U202" s="10">
        <v>0</v>
      </c>
      <c r="W202" s="10">
        <v>0</v>
      </c>
      <c r="Y202" s="10">
        <v>0</v>
      </c>
      <c r="AA202" s="10">
        <v>0</v>
      </c>
      <c r="AC202" s="10">
        <v>0</v>
      </c>
      <c r="AE202" s="10">
        <f t="shared" si="4"/>
        <v>0</v>
      </c>
      <c r="AM202" s="10">
        <f>+'Gen Rev'!AI202-'Gen Exp'!AE202+'Gen Exp'!AI202-AK202</f>
        <v>0</v>
      </c>
    </row>
    <row r="203" spans="1:40" s="21" customFormat="1" hidden="1">
      <c r="A203" s="1" t="s">
        <v>489</v>
      </c>
      <c r="B203" s="1"/>
      <c r="C203" s="1" t="s">
        <v>488</v>
      </c>
      <c r="D203" s="1"/>
      <c r="E203" s="10">
        <v>0</v>
      </c>
      <c r="F203" s="10"/>
      <c r="G203" s="10">
        <v>0</v>
      </c>
      <c r="H203" s="10"/>
      <c r="I203" s="10">
        <v>0</v>
      </c>
      <c r="J203" s="10"/>
      <c r="K203" s="10">
        <v>0</v>
      </c>
      <c r="L203" s="10"/>
      <c r="M203" s="10">
        <v>0</v>
      </c>
      <c r="N203" s="10"/>
      <c r="O203" s="10">
        <v>0</v>
      </c>
      <c r="P203" s="10"/>
      <c r="Q203" s="10">
        <v>0</v>
      </c>
      <c r="R203" s="10"/>
      <c r="S203" s="10">
        <v>0</v>
      </c>
      <c r="T203" s="10"/>
      <c r="U203" s="10">
        <v>0</v>
      </c>
      <c r="V203" s="10"/>
      <c r="W203" s="10">
        <v>0</v>
      </c>
      <c r="X203" s="10"/>
      <c r="Y203" s="10">
        <v>0</v>
      </c>
      <c r="Z203" s="10"/>
      <c r="AA203" s="10">
        <v>0</v>
      </c>
      <c r="AB203" s="10"/>
      <c r="AC203" s="10">
        <v>0</v>
      </c>
      <c r="AD203" s="10"/>
      <c r="AE203" s="10">
        <f t="shared" si="4"/>
        <v>0</v>
      </c>
      <c r="AF203" s="10"/>
      <c r="AG203" s="10"/>
      <c r="AH203" s="10"/>
      <c r="AI203" s="10"/>
      <c r="AJ203" s="10"/>
      <c r="AK203" s="10"/>
      <c r="AL203" s="10"/>
      <c r="AM203" s="10">
        <f>+'Gen Rev'!AI203-'Gen Exp'!AE203+'Gen Exp'!AI203-AK203</f>
        <v>0</v>
      </c>
      <c r="AN203" s="10"/>
    </row>
    <row r="204" spans="1:40" s="21" customFormat="1" ht="12.75" hidden="1">
      <c r="A204" s="1" t="s">
        <v>57</v>
      </c>
      <c r="B204" s="1"/>
      <c r="C204" s="23" t="s">
        <v>769</v>
      </c>
      <c r="D204" s="23"/>
      <c r="E204" s="10">
        <v>0</v>
      </c>
      <c r="F204" s="10"/>
      <c r="G204" s="10">
        <v>0</v>
      </c>
      <c r="H204" s="10"/>
      <c r="I204" s="10">
        <v>0</v>
      </c>
      <c r="J204" s="10"/>
      <c r="K204" s="10">
        <v>0</v>
      </c>
      <c r="L204" s="10"/>
      <c r="M204" s="10">
        <v>0</v>
      </c>
      <c r="N204" s="10"/>
      <c r="O204" s="10">
        <v>0</v>
      </c>
      <c r="P204" s="10"/>
      <c r="Q204" s="10">
        <v>0</v>
      </c>
      <c r="R204" s="10"/>
      <c r="S204" s="10">
        <v>0</v>
      </c>
      <c r="T204" s="10"/>
      <c r="U204" s="10">
        <v>0</v>
      </c>
      <c r="V204" s="10"/>
      <c r="W204" s="10">
        <v>0</v>
      </c>
      <c r="X204" s="10"/>
      <c r="Y204" s="10">
        <v>0</v>
      </c>
      <c r="Z204" s="10"/>
      <c r="AA204" s="10">
        <v>0</v>
      </c>
      <c r="AB204" s="10"/>
      <c r="AC204" s="10">
        <v>0</v>
      </c>
      <c r="AD204" s="10"/>
      <c r="AE204" s="10">
        <f t="shared" si="4"/>
        <v>0</v>
      </c>
      <c r="AF204" s="10"/>
      <c r="AG204" s="10"/>
      <c r="AH204" s="10"/>
      <c r="AI204" s="10"/>
      <c r="AJ204" s="10"/>
      <c r="AK204" s="10"/>
      <c r="AL204" s="10"/>
      <c r="AM204" s="10">
        <f>+'Gen Rev'!AI204-'Gen Exp'!AE204+'Gen Exp'!AI204-AK204</f>
        <v>0</v>
      </c>
      <c r="AN204" s="10"/>
    </row>
    <row r="205" spans="1:40" s="21" customFormat="1">
      <c r="A205" s="1" t="s">
        <v>363</v>
      </c>
      <c r="B205" s="1"/>
      <c r="C205" s="1" t="s">
        <v>364</v>
      </c>
      <c r="D205" s="1"/>
      <c r="E205" s="10">
        <f>889078+204366</f>
        <v>1093444</v>
      </c>
      <c r="F205" s="10"/>
      <c r="G205" s="10">
        <v>23695</v>
      </c>
      <c r="H205" s="10"/>
      <c r="I205" s="10">
        <v>150852</v>
      </c>
      <c r="J205" s="10"/>
      <c r="K205" s="10">
        <v>148408</v>
      </c>
      <c r="L205" s="10"/>
      <c r="M205" s="10">
        <v>0</v>
      </c>
      <c r="N205" s="10"/>
      <c r="O205" s="10">
        <v>40675</v>
      </c>
      <c r="P205" s="10"/>
      <c r="Q205" s="10">
        <f>936616+352122</f>
        <v>1288738</v>
      </c>
      <c r="R205" s="10"/>
      <c r="S205" s="10">
        <v>15000</v>
      </c>
      <c r="T205" s="10"/>
      <c r="U205" s="10">
        <v>0</v>
      </c>
      <c r="V205" s="10"/>
      <c r="W205" s="10">
        <v>0</v>
      </c>
      <c r="X205" s="10"/>
      <c r="Y205" s="10">
        <v>332304</v>
      </c>
      <c r="Z205" s="10"/>
      <c r="AA205" s="10">
        <v>3837</v>
      </c>
      <c r="AB205" s="10"/>
      <c r="AC205" s="10">
        <v>0</v>
      </c>
      <c r="AD205" s="10"/>
      <c r="AE205" s="10">
        <f t="shared" si="4"/>
        <v>3096953</v>
      </c>
      <c r="AF205" s="10"/>
      <c r="AG205" s="10">
        <v>-127005</v>
      </c>
      <c r="AH205" s="10"/>
      <c r="AI205" s="10">
        <v>1199557</v>
      </c>
      <c r="AJ205" s="10"/>
      <c r="AK205" s="10">
        <v>1072552</v>
      </c>
      <c r="AL205" s="10"/>
      <c r="AM205" s="10">
        <f>+'Gen Rev'!AI205-'Gen Exp'!AE205+'Gen Exp'!AI205-AK205</f>
        <v>0</v>
      </c>
      <c r="AN205" s="10"/>
    </row>
    <row r="206" spans="1:40" ht="12.75">
      <c r="A206" s="1" t="s">
        <v>910</v>
      </c>
      <c r="C206" s="23" t="s">
        <v>787</v>
      </c>
      <c r="D206" s="23"/>
      <c r="E206" s="10">
        <v>137498</v>
      </c>
      <c r="G206" s="10">
        <v>4324</v>
      </c>
      <c r="I206" s="10">
        <v>5989</v>
      </c>
      <c r="K206" s="10">
        <v>3933</v>
      </c>
      <c r="M206" s="10">
        <v>37372</v>
      </c>
      <c r="O206" s="10">
        <v>24511</v>
      </c>
      <c r="Q206" s="10">
        <v>329798</v>
      </c>
      <c r="S206" s="10">
        <v>39511</v>
      </c>
      <c r="U206" s="10">
        <v>0</v>
      </c>
      <c r="W206" s="10">
        <v>0</v>
      </c>
      <c r="Y206" s="10">
        <v>20000</v>
      </c>
      <c r="AA206" s="10">
        <v>0</v>
      </c>
      <c r="AC206" s="10">
        <v>0</v>
      </c>
      <c r="AE206" s="10">
        <f>SUM(E206:AC206)</f>
        <v>602936</v>
      </c>
      <c r="AF206" s="10"/>
      <c r="AG206" s="10">
        <v>268221</v>
      </c>
      <c r="AI206" s="10">
        <v>282870</v>
      </c>
      <c r="AK206" s="10">
        <v>551090</v>
      </c>
      <c r="AM206" s="10">
        <f>+'Gen Rev'!AI206-'Gen Exp'!AE206+'Gen Exp'!AI206-AK206</f>
        <v>0</v>
      </c>
    </row>
    <row r="207" spans="1:40" ht="12.75" hidden="1">
      <c r="A207" s="1" t="s">
        <v>122</v>
      </c>
      <c r="C207" s="23" t="s">
        <v>787</v>
      </c>
      <c r="D207" s="23"/>
      <c r="E207" s="10">
        <v>0</v>
      </c>
      <c r="G207" s="10">
        <v>0</v>
      </c>
      <c r="I207" s="10">
        <v>0</v>
      </c>
      <c r="K207" s="10">
        <v>0</v>
      </c>
      <c r="M207" s="10">
        <v>0</v>
      </c>
      <c r="O207" s="10">
        <v>0</v>
      </c>
      <c r="Q207" s="10">
        <v>0</v>
      </c>
      <c r="S207" s="10">
        <v>0</v>
      </c>
      <c r="U207" s="10">
        <v>0</v>
      </c>
      <c r="W207" s="10">
        <v>0</v>
      </c>
      <c r="Y207" s="10">
        <v>0</v>
      </c>
      <c r="AA207" s="10">
        <v>0</v>
      </c>
      <c r="AC207" s="10">
        <v>0</v>
      </c>
      <c r="AE207" s="10">
        <f t="shared" si="4"/>
        <v>0</v>
      </c>
      <c r="AF207" s="10"/>
      <c r="AM207" s="10">
        <f>+'Gen Rev'!AI207-'Gen Exp'!AE207+'Gen Exp'!AI207-AK207</f>
        <v>0</v>
      </c>
    </row>
    <row r="208" spans="1:40">
      <c r="A208" s="1" t="s">
        <v>511</v>
      </c>
      <c r="C208" s="1" t="s">
        <v>259</v>
      </c>
      <c r="E208" s="10">
        <v>763224</v>
      </c>
      <c r="G208" s="10">
        <v>0</v>
      </c>
      <c r="I208" s="10">
        <v>61138</v>
      </c>
      <c r="K208" s="10">
        <v>12487</v>
      </c>
      <c r="M208" s="10">
        <v>0</v>
      </c>
      <c r="O208" s="10">
        <v>10009</v>
      </c>
      <c r="Q208" s="10">
        <v>290686</v>
      </c>
      <c r="S208" s="10">
        <v>57833</v>
      </c>
      <c r="U208" s="10">
        <v>0</v>
      </c>
      <c r="W208" s="10">
        <v>0</v>
      </c>
      <c r="Y208" s="10">
        <v>3613</v>
      </c>
      <c r="AA208" s="10">
        <v>0</v>
      </c>
      <c r="AC208" s="10">
        <v>12892</v>
      </c>
      <c r="AE208" s="10">
        <f t="shared" si="4"/>
        <v>1211882</v>
      </c>
      <c r="AF208" s="10"/>
      <c r="AG208" s="10">
        <v>82974</v>
      </c>
      <c r="AI208" s="10">
        <v>355524</v>
      </c>
      <c r="AK208" s="10">
        <v>438498</v>
      </c>
      <c r="AM208" s="10">
        <f>+'Gen Rev'!AI209-'Gen Exp'!AE208+'Gen Exp'!AI208-AK208</f>
        <v>0</v>
      </c>
    </row>
    <row r="209" spans="1:40" s="21" customFormat="1" ht="12.6" customHeight="1">
      <c r="A209" s="1" t="s">
        <v>320</v>
      </c>
      <c r="B209" s="1"/>
      <c r="C209" s="1" t="s">
        <v>316</v>
      </c>
      <c r="D209" s="1"/>
      <c r="E209" s="10">
        <v>1427539</v>
      </c>
      <c r="F209" s="10"/>
      <c r="G209" s="10">
        <v>0</v>
      </c>
      <c r="H209" s="10"/>
      <c r="I209" s="10">
        <v>9743</v>
      </c>
      <c r="J209" s="10"/>
      <c r="K209" s="10">
        <v>3626</v>
      </c>
      <c r="L209" s="10"/>
      <c r="M209" s="10">
        <v>322377</v>
      </c>
      <c r="N209" s="10"/>
      <c r="O209" s="10">
        <v>962566</v>
      </c>
      <c r="P209" s="10"/>
      <c r="Q209" s="10">
        <v>1462780</v>
      </c>
      <c r="R209" s="10"/>
      <c r="S209" s="10">
        <v>0</v>
      </c>
      <c r="T209" s="10"/>
      <c r="U209" s="10">
        <v>0</v>
      </c>
      <c r="V209" s="10"/>
      <c r="W209" s="10">
        <v>0</v>
      </c>
      <c r="X209" s="10"/>
      <c r="Y209" s="10">
        <v>1518443</v>
      </c>
      <c r="Z209" s="10"/>
      <c r="AA209" s="10">
        <v>0</v>
      </c>
      <c r="AB209" s="10"/>
      <c r="AC209" s="10">
        <v>0</v>
      </c>
      <c r="AD209" s="10"/>
      <c r="AE209" s="10">
        <f t="shared" si="4"/>
        <v>5707074</v>
      </c>
      <c r="AF209" s="10"/>
      <c r="AG209" s="46">
        <v>-334138</v>
      </c>
      <c r="AH209" s="46"/>
      <c r="AI209" s="46">
        <v>1437126</v>
      </c>
      <c r="AJ209" s="46"/>
      <c r="AK209" s="46">
        <v>1102988</v>
      </c>
      <c r="AL209" s="46"/>
      <c r="AM209" s="10">
        <f>+'Gen Rev'!AI210-'Gen Exp'!AE209+'Gen Exp'!AI209-AK209</f>
        <v>0</v>
      </c>
      <c r="AN209" s="46"/>
    </row>
    <row r="210" spans="1:40" ht="12.75" hidden="1">
      <c r="A210" s="1" t="s">
        <v>269</v>
      </c>
      <c r="C210" s="23" t="s">
        <v>752</v>
      </c>
      <c r="D210" s="23"/>
      <c r="E210" s="10">
        <v>0</v>
      </c>
      <c r="G210" s="10">
        <v>0</v>
      </c>
      <c r="I210" s="10">
        <v>0</v>
      </c>
      <c r="K210" s="10">
        <v>0</v>
      </c>
      <c r="M210" s="10">
        <v>0</v>
      </c>
      <c r="O210" s="10">
        <v>0</v>
      </c>
      <c r="Q210" s="10">
        <v>0</v>
      </c>
      <c r="S210" s="10">
        <v>0</v>
      </c>
      <c r="U210" s="10">
        <v>0</v>
      </c>
      <c r="W210" s="10">
        <v>0</v>
      </c>
      <c r="Y210" s="10">
        <v>0</v>
      </c>
      <c r="AA210" s="10">
        <v>0</v>
      </c>
      <c r="AC210" s="10">
        <v>0</v>
      </c>
      <c r="AE210" s="10">
        <f t="shared" si="4"/>
        <v>0</v>
      </c>
      <c r="AF210" s="10"/>
      <c r="AG210" s="46"/>
      <c r="AH210" s="46"/>
      <c r="AI210" s="46"/>
      <c r="AJ210" s="46"/>
      <c r="AK210" s="46"/>
      <c r="AL210" s="46"/>
      <c r="AM210" s="10">
        <f>+'Gen Rev'!AI211-'Gen Exp'!AE210+'Gen Exp'!AI210-AK210</f>
        <v>0</v>
      </c>
      <c r="AN210" s="46"/>
    </row>
    <row r="211" spans="1:40">
      <c r="A211" s="1" t="s">
        <v>497</v>
      </c>
      <c r="C211" s="1" t="s">
        <v>207</v>
      </c>
      <c r="E211" s="10">
        <v>354904</v>
      </c>
      <c r="G211" s="10">
        <v>6863</v>
      </c>
      <c r="I211" s="10">
        <v>0</v>
      </c>
      <c r="K211" s="10">
        <v>4003</v>
      </c>
      <c r="M211" s="10">
        <v>0</v>
      </c>
      <c r="O211" s="10">
        <v>0</v>
      </c>
      <c r="Q211" s="10">
        <v>229351</v>
      </c>
      <c r="S211" s="10">
        <v>31882</v>
      </c>
      <c r="U211" s="10">
        <v>0</v>
      </c>
      <c r="W211" s="10">
        <v>0</v>
      </c>
      <c r="Y211" s="10">
        <v>133954</v>
      </c>
      <c r="AA211" s="10">
        <v>0</v>
      </c>
      <c r="AC211" s="10">
        <v>0</v>
      </c>
      <c r="AE211" s="10">
        <f t="shared" si="4"/>
        <v>760957</v>
      </c>
      <c r="AF211" s="10"/>
      <c r="AG211" s="10">
        <v>268571</v>
      </c>
      <c r="AI211" s="10">
        <v>508805</v>
      </c>
      <c r="AK211" s="10">
        <v>777376</v>
      </c>
      <c r="AM211" s="10">
        <f>+'Gen Rev'!AI212-'Gen Exp'!AE211+'Gen Exp'!AI211-AK211</f>
        <v>0</v>
      </c>
    </row>
    <row r="212" spans="1:40" s="21" customFormat="1" ht="12.75" hidden="1">
      <c r="A212" s="1" t="s">
        <v>22</v>
      </c>
      <c r="B212" s="1"/>
      <c r="C212" s="23" t="s">
        <v>756</v>
      </c>
      <c r="D212" s="23"/>
      <c r="E212" s="10">
        <v>0</v>
      </c>
      <c r="F212" s="10"/>
      <c r="G212" s="10">
        <v>0</v>
      </c>
      <c r="H212" s="10"/>
      <c r="I212" s="10">
        <v>0</v>
      </c>
      <c r="J212" s="10"/>
      <c r="K212" s="10">
        <v>0</v>
      </c>
      <c r="L212" s="10"/>
      <c r="M212" s="10">
        <v>0</v>
      </c>
      <c r="N212" s="10"/>
      <c r="O212" s="10">
        <v>0</v>
      </c>
      <c r="P212" s="10"/>
      <c r="Q212" s="10">
        <v>0</v>
      </c>
      <c r="R212" s="10"/>
      <c r="S212" s="10">
        <v>0</v>
      </c>
      <c r="T212" s="10"/>
      <c r="U212" s="10">
        <v>0</v>
      </c>
      <c r="V212" s="10"/>
      <c r="W212" s="10">
        <v>0</v>
      </c>
      <c r="X212" s="10"/>
      <c r="Y212" s="10">
        <v>0</v>
      </c>
      <c r="Z212" s="10"/>
      <c r="AA212" s="10">
        <v>0</v>
      </c>
      <c r="AB212" s="10"/>
      <c r="AC212" s="10">
        <v>0</v>
      </c>
      <c r="AD212" s="10"/>
      <c r="AE212" s="10">
        <f t="shared" si="4"/>
        <v>0</v>
      </c>
      <c r="AF212" s="10"/>
      <c r="AG212" s="46"/>
      <c r="AH212" s="46"/>
      <c r="AI212" s="46"/>
      <c r="AJ212" s="46"/>
      <c r="AK212" s="46"/>
      <c r="AL212" s="46"/>
      <c r="AM212" s="10">
        <f>+'Gen Rev'!AI213-'Gen Exp'!AE212+'Gen Exp'!AI212-AK212</f>
        <v>0</v>
      </c>
      <c r="AN212" s="46"/>
    </row>
    <row r="213" spans="1:40" s="21" customFormat="1" ht="12.75" hidden="1">
      <c r="A213" s="1"/>
      <c r="B213" s="1"/>
      <c r="C213" s="23"/>
      <c r="D213" s="2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 t="s">
        <v>869</v>
      </c>
      <c r="AF213" s="10"/>
      <c r="AG213" s="46"/>
      <c r="AH213" s="46"/>
      <c r="AI213" s="46"/>
      <c r="AJ213" s="46"/>
      <c r="AK213" s="46"/>
      <c r="AL213" s="46"/>
      <c r="AM213" s="46"/>
      <c r="AN213" s="46"/>
    </row>
    <row r="214" spans="1:40" s="19" customFormat="1">
      <c r="A214" s="10" t="s">
        <v>483</v>
      </c>
      <c r="B214" s="10"/>
      <c r="C214" s="10" t="s">
        <v>482</v>
      </c>
      <c r="D214" s="10"/>
      <c r="E214" s="10">
        <v>795087</v>
      </c>
      <c r="F214" s="10"/>
      <c r="G214" s="10">
        <v>300</v>
      </c>
      <c r="H214" s="10"/>
      <c r="I214" s="10">
        <v>0</v>
      </c>
      <c r="J214" s="10"/>
      <c r="K214" s="10">
        <v>58869</v>
      </c>
      <c r="L214" s="10"/>
      <c r="M214" s="10">
        <v>0</v>
      </c>
      <c r="N214" s="10"/>
      <c r="O214" s="10">
        <v>0</v>
      </c>
      <c r="P214" s="10"/>
      <c r="Q214" s="10">
        <v>535823</v>
      </c>
      <c r="R214" s="10"/>
      <c r="S214" s="10">
        <v>812</v>
      </c>
      <c r="T214" s="10"/>
      <c r="U214" s="10">
        <v>831226</v>
      </c>
      <c r="V214" s="10"/>
      <c r="W214" s="10">
        <v>65525</v>
      </c>
      <c r="X214" s="10"/>
      <c r="Y214" s="10">
        <v>14160</v>
      </c>
      <c r="Z214" s="10"/>
      <c r="AA214" s="10">
        <v>243030</v>
      </c>
      <c r="AB214" s="10"/>
      <c r="AC214" s="10">
        <v>0</v>
      </c>
      <c r="AD214" s="10"/>
      <c r="AE214" s="10">
        <f t="shared" si="4"/>
        <v>2544832</v>
      </c>
      <c r="AF214" s="10"/>
      <c r="AG214" s="10">
        <v>219097</v>
      </c>
      <c r="AH214" s="10"/>
      <c r="AI214" s="10">
        <v>327246</v>
      </c>
      <c r="AJ214" s="10"/>
      <c r="AK214" s="10">
        <v>546343</v>
      </c>
      <c r="AL214" s="10"/>
      <c r="AM214" s="10">
        <f>+'Gen Rev'!AI214-'Gen Exp'!AE214+'Gen Exp'!AI214-AK214</f>
        <v>0</v>
      </c>
      <c r="AN214" s="10"/>
    </row>
    <row r="215" spans="1:40" ht="12.75" hidden="1">
      <c r="A215" s="1" t="s">
        <v>52</v>
      </c>
      <c r="C215" s="23" t="s">
        <v>767</v>
      </c>
      <c r="D215" s="23"/>
      <c r="E215" s="10">
        <v>0</v>
      </c>
      <c r="G215" s="10">
        <v>0</v>
      </c>
      <c r="I215" s="10">
        <v>0</v>
      </c>
      <c r="K215" s="10">
        <v>0</v>
      </c>
      <c r="M215" s="10">
        <v>0</v>
      </c>
      <c r="O215" s="10">
        <v>0</v>
      </c>
      <c r="Q215" s="10">
        <v>0</v>
      </c>
      <c r="S215" s="10">
        <v>0</v>
      </c>
      <c r="U215" s="10">
        <v>0</v>
      </c>
      <c r="W215" s="10">
        <v>0</v>
      </c>
      <c r="Y215" s="10">
        <v>0</v>
      </c>
      <c r="AA215" s="10">
        <v>0</v>
      </c>
      <c r="AC215" s="10">
        <v>0</v>
      </c>
      <c r="AE215" s="10">
        <f t="shared" si="4"/>
        <v>0</v>
      </c>
      <c r="AF215" s="10"/>
      <c r="AG215" s="46"/>
      <c r="AH215" s="46"/>
      <c r="AI215" s="46"/>
      <c r="AJ215" s="46"/>
      <c r="AK215" s="46"/>
      <c r="AL215" s="46"/>
      <c r="AM215" s="10">
        <f>+'Gen Rev'!AI215-'Gen Exp'!AE215+'Gen Exp'!AI215-AK215</f>
        <v>0</v>
      </c>
      <c r="AN215" s="46"/>
    </row>
    <row r="216" spans="1:40" hidden="1">
      <c r="A216" s="1" t="s">
        <v>531</v>
      </c>
      <c r="C216" s="1" t="s">
        <v>530</v>
      </c>
      <c r="E216" s="10">
        <v>0</v>
      </c>
      <c r="G216" s="10">
        <v>0</v>
      </c>
      <c r="I216" s="10">
        <v>0</v>
      </c>
      <c r="K216" s="10">
        <v>0</v>
      </c>
      <c r="M216" s="10">
        <v>0</v>
      </c>
      <c r="O216" s="10">
        <v>0</v>
      </c>
      <c r="Q216" s="10">
        <v>0</v>
      </c>
      <c r="S216" s="10">
        <v>0</v>
      </c>
      <c r="U216" s="10">
        <v>0</v>
      </c>
      <c r="W216" s="10">
        <v>0</v>
      </c>
      <c r="Y216" s="10">
        <v>0</v>
      </c>
      <c r="AA216" s="10">
        <v>0</v>
      </c>
      <c r="AC216" s="10">
        <v>0</v>
      </c>
      <c r="AE216" s="10">
        <f t="shared" si="4"/>
        <v>0</v>
      </c>
      <c r="AF216" s="10"/>
      <c r="AM216" s="10">
        <f>+'Gen Rev'!AI216-'Gen Exp'!AE216+'Gen Exp'!AI216-AK216</f>
        <v>0</v>
      </c>
    </row>
    <row r="217" spans="1:40" ht="12.75" hidden="1">
      <c r="A217" s="1" t="s">
        <v>205</v>
      </c>
      <c r="C217" s="23" t="s">
        <v>813</v>
      </c>
      <c r="D217" s="23"/>
      <c r="E217" s="10">
        <v>0</v>
      </c>
      <c r="G217" s="10">
        <v>0</v>
      </c>
      <c r="I217" s="10">
        <v>0</v>
      </c>
      <c r="K217" s="10">
        <v>0</v>
      </c>
      <c r="M217" s="10">
        <v>0</v>
      </c>
      <c r="O217" s="10">
        <v>0</v>
      </c>
      <c r="Q217" s="10">
        <v>0</v>
      </c>
      <c r="S217" s="10">
        <v>0</v>
      </c>
      <c r="U217" s="10">
        <v>0</v>
      </c>
      <c r="W217" s="10">
        <v>0</v>
      </c>
      <c r="Y217" s="10">
        <v>0</v>
      </c>
      <c r="AA217" s="10">
        <v>0</v>
      </c>
      <c r="AC217" s="10">
        <v>0</v>
      </c>
      <c r="AE217" s="10">
        <f t="shared" si="4"/>
        <v>0</v>
      </c>
      <c r="AF217" s="10"/>
      <c r="AM217" s="10">
        <f>+'Gen Rev'!AI217-'Gen Exp'!AE217+'Gen Exp'!AI217-AK217</f>
        <v>0</v>
      </c>
    </row>
    <row r="218" spans="1:40" hidden="1">
      <c r="A218" s="1" t="s">
        <v>519</v>
      </c>
      <c r="C218" s="1" t="s">
        <v>517</v>
      </c>
      <c r="E218" s="10">
        <v>0</v>
      </c>
      <c r="G218" s="10">
        <v>0</v>
      </c>
      <c r="I218" s="10">
        <v>0</v>
      </c>
      <c r="K218" s="10">
        <v>0</v>
      </c>
      <c r="M218" s="10">
        <v>0</v>
      </c>
      <c r="O218" s="10">
        <v>0</v>
      </c>
      <c r="Q218" s="10">
        <v>0</v>
      </c>
      <c r="S218" s="10">
        <v>0</v>
      </c>
      <c r="U218" s="10">
        <v>0</v>
      </c>
      <c r="W218" s="10">
        <v>0</v>
      </c>
      <c r="Y218" s="10">
        <v>0</v>
      </c>
      <c r="AA218" s="10">
        <v>0</v>
      </c>
      <c r="AC218" s="10">
        <v>0</v>
      </c>
      <c r="AE218" s="10">
        <f t="shared" si="4"/>
        <v>0</v>
      </c>
      <c r="AF218" s="10"/>
      <c r="AM218" s="10">
        <f>+'Gen Rev'!AI218-'Gen Exp'!AE218+'Gen Exp'!AI218-AK218</f>
        <v>0</v>
      </c>
    </row>
    <row r="219" spans="1:40">
      <c r="A219" s="1" t="s">
        <v>381</v>
      </c>
      <c r="C219" s="1" t="s">
        <v>378</v>
      </c>
      <c r="E219" s="10">
        <v>982891</v>
      </c>
      <c r="G219" s="10">
        <v>5877</v>
      </c>
      <c r="I219" s="10">
        <v>33671</v>
      </c>
      <c r="K219" s="10">
        <v>9306</v>
      </c>
      <c r="M219" s="10">
        <v>468286</v>
      </c>
      <c r="O219" s="10">
        <v>278132</v>
      </c>
      <c r="Q219" s="10">
        <v>466563</v>
      </c>
      <c r="S219" s="10">
        <v>12238</v>
      </c>
      <c r="U219" s="10">
        <v>0</v>
      </c>
      <c r="W219" s="10">
        <v>193</v>
      </c>
      <c r="Y219" s="10">
        <v>253146</v>
      </c>
      <c r="AA219" s="10">
        <v>0</v>
      </c>
      <c r="AC219" s="10">
        <v>0</v>
      </c>
      <c r="AE219" s="10">
        <f t="shared" si="4"/>
        <v>2510303</v>
      </c>
      <c r="AF219" s="10"/>
      <c r="AG219" s="10">
        <v>39988</v>
      </c>
      <c r="AI219" s="10">
        <v>722486</v>
      </c>
      <c r="AK219" s="10">
        <v>762474</v>
      </c>
      <c r="AM219" s="10">
        <f>+'Gen Rev'!AI219-'Gen Exp'!AE219+'Gen Exp'!AI219-AK219</f>
        <v>0</v>
      </c>
    </row>
    <row r="220" spans="1:40" s="21" customFormat="1">
      <c r="A220" s="1" t="s">
        <v>505</v>
      </c>
      <c r="B220" s="1"/>
      <c r="C220" s="1" t="s">
        <v>504</v>
      </c>
      <c r="D220" s="1"/>
      <c r="E220" s="10">
        <v>1779</v>
      </c>
      <c r="F220" s="10"/>
      <c r="G220" s="10">
        <v>0</v>
      </c>
      <c r="H220" s="10"/>
      <c r="I220" s="10">
        <v>0</v>
      </c>
      <c r="J220" s="10"/>
      <c r="K220" s="10">
        <v>0</v>
      </c>
      <c r="L220" s="10"/>
      <c r="M220" s="10">
        <v>0</v>
      </c>
      <c r="N220" s="10"/>
      <c r="O220" s="10">
        <v>0</v>
      </c>
      <c r="P220" s="10"/>
      <c r="Q220" s="10">
        <v>23615</v>
      </c>
      <c r="R220" s="10"/>
      <c r="S220" s="10">
        <v>0</v>
      </c>
      <c r="T220" s="10"/>
      <c r="U220" s="10">
        <v>0</v>
      </c>
      <c r="V220" s="10"/>
      <c r="W220" s="10">
        <v>0</v>
      </c>
      <c r="X220" s="10"/>
      <c r="Y220" s="10">
        <v>0</v>
      </c>
      <c r="Z220" s="10"/>
      <c r="AA220" s="10">
        <v>0</v>
      </c>
      <c r="AB220" s="10"/>
      <c r="AC220" s="10">
        <v>0</v>
      </c>
      <c r="AD220" s="10"/>
      <c r="AE220" s="10">
        <f t="shared" si="4"/>
        <v>25394</v>
      </c>
      <c r="AF220" s="10"/>
      <c r="AG220" s="10">
        <v>8937</v>
      </c>
      <c r="AH220" s="10"/>
      <c r="AI220" s="10">
        <v>6079</v>
      </c>
      <c r="AJ220" s="10"/>
      <c r="AK220" s="10">
        <f>8937+6079</f>
        <v>15016</v>
      </c>
      <c r="AL220" s="10"/>
      <c r="AM220" s="10">
        <f>+'Gen Rev'!AI220-'Gen Exp'!AE220+'Gen Exp'!AI220-AK220</f>
        <v>0</v>
      </c>
      <c r="AN220" s="10"/>
    </row>
    <row r="221" spans="1:40">
      <c r="A221" s="1" t="s">
        <v>870</v>
      </c>
      <c r="C221" s="1" t="s">
        <v>412</v>
      </c>
      <c r="E221" s="10">
        <v>21205</v>
      </c>
      <c r="G221" s="10">
        <v>297</v>
      </c>
      <c r="I221" s="10">
        <v>0</v>
      </c>
      <c r="K221" s="10">
        <v>0</v>
      </c>
      <c r="M221" s="10">
        <v>684</v>
      </c>
      <c r="O221" s="10">
        <v>0</v>
      </c>
      <c r="Q221" s="10">
        <v>41603</v>
      </c>
      <c r="S221" s="10">
        <v>2000</v>
      </c>
      <c r="U221" s="10">
        <v>0</v>
      </c>
      <c r="W221" s="10">
        <v>0</v>
      </c>
      <c r="Y221" s="10">
        <v>0</v>
      </c>
      <c r="AA221" s="10">
        <v>0</v>
      </c>
      <c r="AC221" s="10">
        <v>0</v>
      </c>
      <c r="AE221" s="10">
        <f t="shared" si="4"/>
        <v>65789</v>
      </c>
      <c r="AF221" s="10"/>
      <c r="AG221" s="10">
        <v>-14865</v>
      </c>
      <c r="AI221" s="10">
        <v>106053</v>
      </c>
      <c r="AK221" s="10">
        <v>91188</v>
      </c>
      <c r="AM221" s="10">
        <f>+'Gen Rev'!AI221-'Gen Exp'!AE221+'Gen Exp'!AI221-AK221</f>
        <v>0</v>
      </c>
    </row>
    <row r="222" spans="1:40" s="21" customFormat="1" ht="12.75" hidden="1">
      <c r="A222" s="1" t="s">
        <v>49</v>
      </c>
      <c r="B222" s="1"/>
      <c r="C222" s="23" t="s">
        <v>766</v>
      </c>
      <c r="D222" s="23"/>
      <c r="E222" s="10">
        <v>0</v>
      </c>
      <c r="F222" s="10"/>
      <c r="G222" s="10">
        <v>0</v>
      </c>
      <c r="H222" s="10"/>
      <c r="I222" s="10">
        <v>0</v>
      </c>
      <c r="J222" s="10"/>
      <c r="K222" s="10">
        <v>0</v>
      </c>
      <c r="L222" s="10"/>
      <c r="M222" s="10">
        <v>0</v>
      </c>
      <c r="N222" s="10"/>
      <c r="O222" s="10">
        <v>0</v>
      </c>
      <c r="P222" s="10"/>
      <c r="Q222" s="10">
        <v>0</v>
      </c>
      <c r="R222" s="10"/>
      <c r="S222" s="10">
        <v>0</v>
      </c>
      <c r="T222" s="10"/>
      <c r="U222" s="10">
        <v>0</v>
      </c>
      <c r="V222" s="10"/>
      <c r="W222" s="10">
        <v>0</v>
      </c>
      <c r="X222" s="10"/>
      <c r="Y222" s="10">
        <v>0</v>
      </c>
      <c r="Z222" s="10"/>
      <c r="AA222" s="10">
        <v>0</v>
      </c>
      <c r="AB222" s="10"/>
      <c r="AC222" s="10">
        <v>0</v>
      </c>
      <c r="AD222" s="10"/>
      <c r="AE222" s="10">
        <f t="shared" si="4"/>
        <v>0</v>
      </c>
      <c r="AF222" s="10"/>
      <c r="AG222" s="10"/>
      <c r="AH222" s="10"/>
      <c r="AI222" s="10"/>
      <c r="AJ222" s="10"/>
      <c r="AK222" s="10"/>
      <c r="AL222" s="10"/>
      <c r="AM222" s="10">
        <f>+'Gen Rev'!AI222-'Gen Exp'!AE222+'Gen Exp'!AI222-AK222</f>
        <v>0</v>
      </c>
      <c r="AN222" s="10"/>
    </row>
    <row r="223" spans="1:40" ht="12.75" hidden="1">
      <c r="A223" s="1" t="s">
        <v>153</v>
      </c>
      <c r="C223" s="23" t="s">
        <v>797</v>
      </c>
      <c r="D223" s="23"/>
      <c r="E223" s="10">
        <v>0</v>
      </c>
      <c r="G223" s="10">
        <v>0</v>
      </c>
      <c r="I223" s="10">
        <v>0</v>
      </c>
      <c r="K223" s="10">
        <v>0</v>
      </c>
      <c r="M223" s="10">
        <v>0</v>
      </c>
      <c r="O223" s="10">
        <v>0</v>
      </c>
      <c r="Q223" s="10">
        <v>0</v>
      </c>
      <c r="S223" s="10">
        <v>0</v>
      </c>
      <c r="U223" s="10">
        <v>0</v>
      </c>
      <c r="W223" s="10">
        <v>0</v>
      </c>
      <c r="Y223" s="10">
        <v>0</v>
      </c>
      <c r="AA223" s="10">
        <v>0</v>
      </c>
      <c r="AC223" s="10">
        <v>0</v>
      </c>
      <c r="AE223" s="10">
        <f t="shared" si="4"/>
        <v>0</v>
      </c>
      <c r="AF223" s="10"/>
      <c r="AM223" s="10">
        <f>+'Gen Rev'!AI223-'Gen Exp'!AE223+'Gen Exp'!AI223-AK223</f>
        <v>0</v>
      </c>
    </row>
    <row r="224" spans="1:40" s="21" customFormat="1" ht="12.75" hidden="1">
      <c r="A224" s="1" t="s">
        <v>10</v>
      </c>
      <c r="B224" s="1"/>
      <c r="C224" s="23" t="s">
        <v>753</v>
      </c>
      <c r="D224" s="23"/>
      <c r="E224" s="10">
        <v>0</v>
      </c>
      <c r="F224" s="10"/>
      <c r="G224" s="10">
        <v>0</v>
      </c>
      <c r="H224" s="10"/>
      <c r="I224" s="10">
        <v>0</v>
      </c>
      <c r="J224" s="10"/>
      <c r="K224" s="10">
        <v>0</v>
      </c>
      <c r="L224" s="10"/>
      <c r="M224" s="10">
        <v>0</v>
      </c>
      <c r="N224" s="10"/>
      <c r="O224" s="10">
        <v>0</v>
      </c>
      <c r="P224" s="10"/>
      <c r="Q224" s="10">
        <v>0</v>
      </c>
      <c r="R224" s="10"/>
      <c r="S224" s="10">
        <v>0</v>
      </c>
      <c r="T224" s="10"/>
      <c r="U224" s="10">
        <v>0</v>
      </c>
      <c r="V224" s="10"/>
      <c r="W224" s="10">
        <v>0</v>
      </c>
      <c r="X224" s="10"/>
      <c r="Y224" s="10">
        <v>0</v>
      </c>
      <c r="Z224" s="10"/>
      <c r="AA224" s="10">
        <v>0</v>
      </c>
      <c r="AB224" s="10"/>
      <c r="AC224" s="10">
        <v>0</v>
      </c>
      <c r="AD224" s="10"/>
      <c r="AE224" s="10">
        <f t="shared" si="4"/>
        <v>0</v>
      </c>
      <c r="AF224" s="10"/>
      <c r="AG224" s="46"/>
      <c r="AH224" s="46"/>
      <c r="AI224" s="46"/>
      <c r="AJ224" s="46"/>
      <c r="AK224" s="46"/>
      <c r="AL224" s="46"/>
      <c r="AM224" s="10">
        <f>+'Gen Rev'!AI224-'Gen Exp'!AE224+'Gen Exp'!AI224-AK224</f>
        <v>0</v>
      </c>
      <c r="AN224" s="46"/>
    </row>
    <row r="225" spans="1:40" s="21" customFormat="1">
      <c r="A225" s="1" t="s">
        <v>568</v>
      </c>
      <c r="B225" s="1"/>
      <c r="C225" s="1" t="s">
        <v>565</v>
      </c>
      <c r="D225" s="1"/>
      <c r="E225" s="10">
        <v>30339</v>
      </c>
      <c r="F225" s="10"/>
      <c r="G225" s="10">
        <v>651</v>
      </c>
      <c r="H225" s="10"/>
      <c r="I225" s="10">
        <v>15597</v>
      </c>
      <c r="J225" s="10"/>
      <c r="K225" s="10">
        <v>924</v>
      </c>
      <c r="L225" s="10"/>
      <c r="M225" s="10">
        <v>164736</v>
      </c>
      <c r="N225" s="10"/>
      <c r="O225" s="10">
        <v>29942</v>
      </c>
      <c r="P225" s="10"/>
      <c r="Q225" s="10">
        <v>84972</v>
      </c>
      <c r="R225" s="10"/>
      <c r="S225" s="10">
        <v>18335</v>
      </c>
      <c r="T225" s="10"/>
      <c r="U225" s="10">
        <v>0</v>
      </c>
      <c r="V225" s="10"/>
      <c r="W225" s="10">
        <v>0</v>
      </c>
      <c r="X225" s="10"/>
      <c r="Y225" s="10">
        <v>0</v>
      </c>
      <c r="Z225" s="10"/>
      <c r="AA225" s="10">
        <v>0</v>
      </c>
      <c r="AB225" s="10"/>
      <c r="AC225" s="10">
        <v>0</v>
      </c>
      <c r="AD225" s="10"/>
      <c r="AE225" s="10">
        <f t="shared" si="4"/>
        <v>345496</v>
      </c>
      <c r="AF225" s="10"/>
      <c r="AG225" s="10">
        <v>23529</v>
      </c>
      <c r="AH225" s="10"/>
      <c r="AI225" s="10">
        <v>52211</v>
      </c>
      <c r="AJ225" s="10"/>
      <c r="AK225" s="10">
        <v>75740</v>
      </c>
      <c r="AL225" s="10"/>
      <c r="AM225" s="10">
        <f>+'Gen Rev'!AI225-'Gen Exp'!AE225+'Gen Exp'!AI225-AK225</f>
        <v>0</v>
      </c>
      <c r="AN225" s="10"/>
    </row>
    <row r="226" spans="1:40" s="21" customFormat="1">
      <c r="A226" s="1" t="s">
        <v>382</v>
      </c>
      <c r="B226" s="1"/>
      <c r="C226" s="1" t="s">
        <v>378</v>
      </c>
      <c r="D226" s="1"/>
      <c r="E226" s="10">
        <v>2118070</v>
      </c>
      <c r="F226" s="10"/>
      <c r="G226" s="10">
        <v>2990</v>
      </c>
      <c r="H226" s="10"/>
      <c r="I226" s="10">
        <v>0</v>
      </c>
      <c r="J226" s="10"/>
      <c r="K226" s="10">
        <v>23140</v>
      </c>
      <c r="L226" s="10"/>
      <c r="M226" s="10">
        <v>65559</v>
      </c>
      <c r="N226" s="10"/>
      <c r="O226" s="10">
        <v>637</v>
      </c>
      <c r="P226" s="10"/>
      <c r="Q226" s="10">
        <v>106603</v>
      </c>
      <c r="R226" s="10"/>
      <c r="S226" s="10">
        <v>36077</v>
      </c>
      <c r="T226" s="10"/>
      <c r="U226" s="10">
        <v>0</v>
      </c>
      <c r="V226" s="10"/>
      <c r="W226" s="10">
        <v>0</v>
      </c>
      <c r="X226" s="10"/>
      <c r="Y226" s="10">
        <v>0</v>
      </c>
      <c r="Z226" s="10"/>
      <c r="AA226" s="10">
        <v>0</v>
      </c>
      <c r="AB226" s="10"/>
      <c r="AC226" s="10">
        <v>0</v>
      </c>
      <c r="AD226" s="10"/>
      <c r="AE226" s="10">
        <f t="shared" si="4"/>
        <v>2353076</v>
      </c>
      <c r="AF226" s="40"/>
      <c r="AG226" s="10">
        <v>136392</v>
      </c>
      <c r="AH226" s="10"/>
      <c r="AI226" s="10">
        <v>-38850</v>
      </c>
      <c r="AJ226" s="10"/>
      <c r="AK226" s="10">
        <v>97542</v>
      </c>
      <c r="AL226" s="10"/>
      <c r="AM226" s="10">
        <f>+'Gen Rev'!AI226-'Gen Exp'!AE226+'Gen Exp'!AI226-AK226</f>
        <v>0</v>
      </c>
      <c r="AN226" s="10"/>
    </row>
    <row r="227" spans="1:40" s="21" customFormat="1" ht="12.6" hidden="1" customHeight="1">
      <c r="A227" s="1" t="s">
        <v>331</v>
      </c>
      <c r="B227" s="1"/>
      <c r="C227" s="1" t="s">
        <v>329</v>
      </c>
      <c r="D227" s="1"/>
      <c r="E227" s="10">
        <v>0</v>
      </c>
      <c r="F227" s="10"/>
      <c r="G227" s="10">
        <v>0</v>
      </c>
      <c r="H227" s="10"/>
      <c r="I227" s="10">
        <v>0</v>
      </c>
      <c r="J227" s="10"/>
      <c r="K227" s="10">
        <v>0</v>
      </c>
      <c r="L227" s="10"/>
      <c r="M227" s="10">
        <v>0</v>
      </c>
      <c r="N227" s="10"/>
      <c r="O227" s="10">
        <v>0</v>
      </c>
      <c r="P227" s="10"/>
      <c r="Q227" s="10">
        <v>0</v>
      </c>
      <c r="R227" s="10"/>
      <c r="S227" s="10">
        <v>0</v>
      </c>
      <c r="T227" s="10"/>
      <c r="U227" s="10">
        <v>0</v>
      </c>
      <c r="V227" s="10"/>
      <c r="W227" s="10">
        <v>0</v>
      </c>
      <c r="X227" s="10"/>
      <c r="Y227" s="10">
        <v>0</v>
      </c>
      <c r="Z227" s="10"/>
      <c r="AA227" s="10">
        <v>0</v>
      </c>
      <c r="AB227" s="10"/>
      <c r="AC227" s="10">
        <v>0</v>
      </c>
      <c r="AD227" s="10"/>
      <c r="AE227" s="10">
        <f t="shared" si="4"/>
        <v>0</v>
      </c>
      <c r="AF227" s="10"/>
      <c r="AG227" s="46"/>
      <c r="AH227" s="46"/>
      <c r="AI227" s="46"/>
      <c r="AJ227" s="46"/>
      <c r="AK227" s="46"/>
      <c r="AL227" s="46"/>
      <c r="AM227" s="10">
        <f>+'Gen Rev'!AI227-'Gen Exp'!AE227+'Gen Exp'!AI227-AK227</f>
        <v>0</v>
      </c>
      <c r="AN227" s="46"/>
    </row>
    <row r="228" spans="1:40">
      <c r="A228" s="1" t="s">
        <v>451</v>
      </c>
      <c r="C228" s="1" t="s">
        <v>452</v>
      </c>
      <c r="E228" s="10">
        <v>622014</v>
      </c>
      <c r="G228" s="10">
        <v>65408</v>
      </c>
      <c r="I228" s="10">
        <v>27871</v>
      </c>
      <c r="K228" s="10">
        <v>5148</v>
      </c>
      <c r="M228" s="10">
        <v>156560</v>
      </c>
      <c r="O228" s="10">
        <v>0</v>
      </c>
      <c r="Q228" s="10">
        <v>456657</v>
      </c>
      <c r="S228" s="10">
        <v>99057</v>
      </c>
      <c r="U228" s="10">
        <v>0</v>
      </c>
      <c r="W228" s="10">
        <v>0</v>
      </c>
      <c r="Y228" s="10">
        <v>425139</v>
      </c>
      <c r="AA228" s="10">
        <v>0</v>
      </c>
      <c r="AC228" s="10">
        <v>0</v>
      </c>
      <c r="AE228" s="10">
        <f t="shared" si="4"/>
        <v>1857854</v>
      </c>
      <c r="AF228" s="10"/>
      <c r="AG228" s="10">
        <v>92845</v>
      </c>
      <c r="AI228" s="10">
        <v>1653793</v>
      </c>
      <c r="AK228" s="10">
        <v>1749638</v>
      </c>
      <c r="AM228" s="10">
        <f>+'Gen Rev'!AI228-'Gen Exp'!AE228+'Gen Exp'!AI228-AK228</f>
        <v>0</v>
      </c>
    </row>
    <row r="229" spans="1:40" ht="12.75" hidden="1">
      <c r="A229" s="1" t="s">
        <v>255</v>
      </c>
      <c r="C229" s="23" t="s">
        <v>830</v>
      </c>
      <c r="D229" s="23"/>
      <c r="E229" s="10">
        <v>0</v>
      </c>
      <c r="G229" s="10">
        <v>0</v>
      </c>
      <c r="I229" s="10">
        <v>0</v>
      </c>
      <c r="K229" s="10">
        <v>0</v>
      </c>
      <c r="M229" s="10">
        <v>0</v>
      </c>
      <c r="O229" s="10">
        <v>0</v>
      </c>
      <c r="Q229" s="10">
        <v>0</v>
      </c>
      <c r="S229" s="10">
        <v>0</v>
      </c>
      <c r="U229" s="10">
        <v>0</v>
      </c>
      <c r="W229" s="10">
        <v>0</v>
      </c>
      <c r="Y229" s="10">
        <v>0</v>
      </c>
      <c r="AA229" s="10">
        <v>0</v>
      </c>
      <c r="AC229" s="10">
        <v>0</v>
      </c>
      <c r="AE229" s="10">
        <f t="shared" si="4"/>
        <v>0</v>
      </c>
      <c r="AF229" s="10"/>
      <c r="AM229" s="10">
        <f>+'Gen Rev'!AI234-'Gen Exp'!AE229+'Gen Exp'!AI229-AK229</f>
        <v>0</v>
      </c>
    </row>
    <row r="230" spans="1:40" s="21" customFormat="1">
      <c r="A230" s="1" t="s">
        <v>431</v>
      </c>
      <c r="B230" s="1"/>
      <c r="C230" s="1" t="s">
        <v>430</v>
      </c>
      <c r="D230" s="1"/>
      <c r="E230" s="10">
        <v>425577</v>
      </c>
      <c r="F230" s="10"/>
      <c r="G230" s="10">
        <v>4977</v>
      </c>
      <c r="H230" s="10"/>
      <c r="I230" s="10">
        <v>2605</v>
      </c>
      <c r="J230" s="10"/>
      <c r="K230" s="10">
        <v>8461</v>
      </c>
      <c r="L230" s="10"/>
      <c r="M230" s="10">
        <v>0</v>
      </c>
      <c r="N230" s="10"/>
      <c r="O230" s="10">
        <v>20319</v>
      </c>
      <c r="P230" s="10"/>
      <c r="Q230" s="10">
        <f>144416+5197</f>
        <v>149613</v>
      </c>
      <c r="R230" s="10"/>
      <c r="S230" s="10">
        <v>0</v>
      </c>
      <c r="T230" s="10"/>
      <c r="U230" s="10">
        <v>0</v>
      </c>
      <c r="V230" s="10"/>
      <c r="W230" s="10">
        <v>0</v>
      </c>
      <c r="X230" s="10"/>
      <c r="Y230" s="10">
        <v>949</v>
      </c>
      <c r="Z230" s="10"/>
      <c r="AA230" s="10">
        <v>77843</v>
      </c>
      <c r="AB230" s="10"/>
      <c r="AC230" s="10">
        <v>0</v>
      </c>
      <c r="AD230" s="10"/>
      <c r="AE230" s="10">
        <f t="shared" si="4"/>
        <v>690344</v>
      </c>
      <c r="AF230" s="10"/>
      <c r="AG230" s="10">
        <f>-100607</f>
        <v>-100607</v>
      </c>
      <c r="AH230" s="10"/>
      <c r="AI230" s="10">
        <v>144210</v>
      </c>
      <c r="AJ230" s="10"/>
      <c r="AK230" s="10">
        <v>43603</v>
      </c>
      <c r="AL230" s="10"/>
      <c r="AM230" s="10">
        <f>+'Gen Rev'!AI229-'Gen Exp'!AE230+'Gen Exp'!AI230-AK230</f>
        <v>0</v>
      </c>
      <c r="AN230" s="10"/>
    </row>
    <row r="231" spans="1:40" s="21" customFormat="1">
      <c r="A231" s="1" t="s">
        <v>438</v>
      </c>
      <c r="B231" s="1"/>
      <c r="C231" s="1" t="s">
        <v>439</v>
      </c>
      <c r="D231" s="1"/>
      <c r="E231" s="10">
        <v>1004898</v>
      </c>
      <c r="F231" s="10"/>
      <c r="G231" s="10">
        <v>24269</v>
      </c>
      <c r="H231" s="10"/>
      <c r="I231" s="10">
        <v>0</v>
      </c>
      <c r="J231" s="10"/>
      <c r="K231" s="10">
        <v>66356</v>
      </c>
      <c r="L231" s="10"/>
      <c r="M231" s="10">
        <v>0</v>
      </c>
      <c r="N231" s="10"/>
      <c r="O231" s="10">
        <v>684971</v>
      </c>
      <c r="P231" s="10"/>
      <c r="Q231" s="10">
        <v>960725</v>
      </c>
      <c r="R231" s="10"/>
      <c r="S231" s="10">
        <v>573260</v>
      </c>
      <c r="T231" s="10"/>
      <c r="U231" s="10">
        <v>30986</v>
      </c>
      <c r="V231" s="10"/>
      <c r="W231" s="10">
        <v>0</v>
      </c>
      <c r="X231" s="10"/>
      <c r="Y231" s="10">
        <v>373400</v>
      </c>
      <c r="Z231" s="10"/>
      <c r="AA231" s="10">
        <v>0</v>
      </c>
      <c r="AB231" s="10"/>
      <c r="AC231" s="10">
        <v>0</v>
      </c>
      <c r="AD231" s="10"/>
      <c r="AE231" s="10">
        <f t="shared" si="4"/>
        <v>3718865</v>
      </c>
      <c r="AF231" s="10"/>
      <c r="AG231" s="10">
        <v>178784</v>
      </c>
      <c r="AH231" s="10"/>
      <c r="AI231" s="10">
        <v>1335163</v>
      </c>
      <c r="AJ231" s="10"/>
      <c r="AK231" s="10">
        <v>1513947</v>
      </c>
      <c r="AL231" s="10"/>
      <c r="AM231" s="10">
        <f>+'Gen Rev'!AI230-'Gen Exp'!AE231+'Gen Exp'!AI231-AK231</f>
        <v>0</v>
      </c>
      <c r="AN231" s="10"/>
    </row>
    <row r="232" spans="1:40" s="21" customFormat="1">
      <c r="A232" s="1" t="s">
        <v>440</v>
      </c>
      <c r="B232" s="1"/>
      <c r="C232" s="1" t="s">
        <v>439</v>
      </c>
      <c r="D232" s="1"/>
      <c r="E232" s="10">
        <v>3621</v>
      </c>
      <c r="F232" s="10"/>
      <c r="G232" s="10">
        <v>0</v>
      </c>
      <c r="H232" s="10"/>
      <c r="I232" s="10">
        <v>0</v>
      </c>
      <c r="J232" s="10"/>
      <c r="K232" s="10">
        <v>0</v>
      </c>
      <c r="L232" s="10"/>
      <c r="M232" s="10">
        <v>0</v>
      </c>
      <c r="N232" s="10"/>
      <c r="O232" s="10">
        <v>0</v>
      </c>
      <c r="P232" s="10"/>
      <c r="Q232" s="10">
        <v>25743</v>
      </c>
      <c r="R232" s="10"/>
      <c r="S232" s="10">
        <v>0</v>
      </c>
      <c r="T232" s="10"/>
      <c r="U232" s="10">
        <v>0</v>
      </c>
      <c r="V232" s="10"/>
      <c r="W232" s="10">
        <v>0</v>
      </c>
      <c r="X232" s="10"/>
      <c r="Y232" s="10">
        <v>0</v>
      </c>
      <c r="Z232" s="10"/>
      <c r="AA232" s="10">
        <v>0</v>
      </c>
      <c r="AB232" s="10"/>
      <c r="AC232" s="10">
        <v>0</v>
      </c>
      <c r="AD232" s="10"/>
      <c r="AE232" s="10">
        <f t="shared" si="4"/>
        <v>29364</v>
      </c>
      <c r="AF232" s="10"/>
      <c r="AG232" s="10">
        <v>-1358</v>
      </c>
      <c r="AH232" s="10"/>
      <c r="AI232" s="10">
        <v>52374</v>
      </c>
      <c r="AJ232" s="10"/>
      <c r="AK232" s="10">
        <v>51016</v>
      </c>
      <c r="AL232" s="10"/>
      <c r="AM232" s="10">
        <f>+'Gen Rev'!AI231-'Gen Exp'!AE232+'Gen Exp'!AI232-AK232</f>
        <v>0</v>
      </c>
      <c r="AN232" s="10"/>
    </row>
    <row r="233" spans="1:40" ht="12.75" hidden="1">
      <c r="A233" s="1" t="s">
        <v>201</v>
      </c>
      <c r="C233" s="23" t="s">
        <v>812</v>
      </c>
      <c r="D233" s="23"/>
      <c r="E233" s="10">
        <v>0</v>
      </c>
      <c r="G233" s="10">
        <v>0</v>
      </c>
      <c r="I233" s="10">
        <v>0</v>
      </c>
      <c r="K233" s="10">
        <v>0</v>
      </c>
      <c r="M233" s="10">
        <v>0</v>
      </c>
      <c r="O233" s="10">
        <v>0</v>
      </c>
      <c r="Q233" s="10">
        <v>0</v>
      </c>
      <c r="S233" s="10">
        <v>0</v>
      </c>
      <c r="U233" s="10">
        <v>0</v>
      </c>
      <c r="W233" s="10">
        <v>0</v>
      </c>
      <c r="Y233" s="10">
        <v>0</v>
      </c>
      <c r="AA233" s="10">
        <v>0</v>
      </c>
      <c r="AC233" s="10">
        <v>0</v>
      </c>
      <c r="AE233" s="10">
        <f t="shared" si="4"/>
        <v>0</v>
      </c>
      <c r="AF233" s="10"/>
      <c r="AM233" s="10">
        <f>+'Gen Rev'!AI234-'Gen Exp'!AE233+'Gen Exp'!AI233-AK233</f>
        <v>0</v>
      </c>
    </row>
    <row r="234" spans="1:40">
      <c r="A234" s="1" t="s">
        <v>478</v>
      </c>
      <c r="C234" s="1" t="s">
        <v>477</v>
      </c>
      <c r="E234" s="10">
        <v>1588</v>
      </c>
      <c r="G234" s="10">
        <v>1172</v>
      </c>
      <c r="I234" s="10">
        <v>0</v>
      </c>
      <c r="K234" s="10">
        <v>0</v>
      </c>
      <c r="M234" s="10">
        <v>0</v>
      </c>
      <c r="O234" s="10">
        <v>0</v>
      </c>
      <c r="Q234" s="10">
        <v>3874</v>
      </c>
      <c r="S234" s="10">
        <v>0</v>
      </c>
      <c r="U234" s="10">
        <v>0</v>
      </c>
      <c r="W234" s="10">
        <v>0</v>
      </c>
      <c r="Y234" s="10">
        <v>0</v>
      </c>
      <c r="AA234" s="10">
        <v>0</v>
      </c>
      <c r="AC234" s="10">
        <v>0</v>
      </c>
      <c r="AE234" s="10">
        <f t="shared" si="4"/>
        <v>6634</v>
      </c>
      <c r="AF234" s="10"/>
      <c r="AG234" s="10">
        <v>1101</v>
      </c>
      <c r="AI234" s="10">
        <v>1416</v>
      </c>
      <c r="AK234" s="10">
        <v>2517</v>
      </c>
      <c r="AM234" s="10">
        <f>+'Gen Rev'!AI233-'Gen Exp'!AE234+'Gen Exp'!AI234-AK234</f>
        <v>0</v>
      </c>
    </row>
    <row r="235" spans="1:40" hidden="1">
      <c r="A235" s="1" t="s">
        <v>383</v>
      </c>
      <c r="C235" s="1" t="s">
        <v>378</v>
      </c>
      <c r="E235" s="10">
        <v>0</v>
      </c>
      <c r="G235" s="10">
        <v>0</v>
      </c>
      <c r="I235" s="10">
        <v>0</v>
      </c>
      <c r="K235" s="10">
        <v>0</v>
      </c>
      <c r="M235" s="10">
        <v>0</v>
      </c>
      <c r="O235" s="10">
        <v>0</v>
      </c>
      <c r="Q235" s="10">
        <v>0</v>
      </c>
      <c r="S235" s="10">
        <v>0</v>
      </c>
      <c r="U235" s="10">
        <v>0</v>
      </c>
      <c r="W235" s="10">
        <v>0</v>
      </c>
      <c r="Y235" s="10">
        <v>0</v>
      </c>
      <c r="AA235" s="10">
        <v>0</v>
      </c>
      <c r="AC235" s="10">
        <v>0</v>
      </c>
      <c r="AE235" s="10">
        <f t="shared" si="4"/>
        <v>0</v>
      </c>
      <c r="AF235" s="10"/>
      <c r="AM235" s="10">
        <f>+'Gen Rev'!AI232-'Gen Exp'!AE235+'Gen Exp'!AI235-AK235</f>
        <v>0</v>
      </c>
    </row>
    <row r="236" spans="1:40" ht="12.75" hidden="1">
      <c r="A236" s="1" t="s">
        <v>148</v>
      </c>
      <c r="C236" s="23" t="s">
        <v>796</v>
      </c>
      <c r="D236" s="23"/>
      <c r="E236" s="10">
        <v>0</v>
      </c>
      <c r="G236" s="10">
        <v>0</v>
      </c>
      <c r="I236" s="10">
        <v>0</v>
      </c>
      <c r="K236" s="10">
        <v>0</v>
      </c>
      <c r="M236" s="10">
        <v>0</v>
      </c>
      <c r="O236" s="10">
        <v>0</v>
      </c>
      <c r="Q236" s="10">
        <v>0</v>
      </c>
      <c r="S236" s="10">
        <v>0</v>
      </c>
      <c r="U236" s="10">
        <v>0</v>
      </c>
      <c r="W236" s="10">
        <v>0</v>
      </c>
      <c r="Y236" s="10">
        <v>0</v>
      </c>
      <c r="AA236" s="10">
        <v>0</v>
      </c>
      <c r="AC236" s="10">
        <v>0</v>
      </c>
      <c r="AE236" s="10">
        <f t="shared" si="4"/>
        <v>0</v>
      </c>
      <c r="AF236" s="10"/>
      <c r="AM236" s="10">
        <v>0</v>
      </c>
    </row>
    <row r="237" spans="1:40" s="10" customFormat="1" ht="12.75" hidden="1">
      <c r="A237" s="10" t="s">
        <v>219</v>
      </c>
      <c r="C237" s="56" t="s">
        <v>818</v>
      </c>
      <c r="D237" s="56"/>
      <c r="E237" s="10">
        <v>0</v>
      </c>
      <c r="G237" s="10">
        <v>0</v>
      </c>
      <c r="I237" s="10">
        <v>0</v>
      </c>
      <c r="K237" s="10">
        <v>0</v>
      </c>
      <c r="M237" s="10">
        <v>0</v>
      </c>
      <c r="O237" s="10">
        <v>0</v>
      </c>
      <c r="Q237" s="10">
        <v>0</v>
      </c>
      <c r="S237" s="10">
        <v>0</v>
      </c>
      <c r="U237" s="10">
        <v>0</v>
      </c>
      <c r="W237" s="10">
        <v>0</v>
      </c>
      <c r="Y237" s="10">
        <v>0</v>
      </c>
      <c r="AA237" s="10">
        <v>0</v>
      </c>
      <c r="AC237" s="10">
        <v>0</v>
      </c>
      <c r="AE237" s="10">
        <f t="shared" si="4"/>
        <v>0</v>
      </c>
      <c r="AM237" s="10">
        <f>+'Gen Rev'!AI234-'Gen Exp'!AE237+'Gen Exp'!AI237-AK237</f>
        <v>0</v>
      </c>
    </row>
    <row r="238" spans="1:40" ht="12.75" hidden="1">
      <c r="A238" s="1" t="s">
        <v>94</v>
      </c>
      <c r="C238" s="23" t="s">
        <v>778</v>
      </c>
      <c r="D238" s="23"/>
      <c r="E238" s="10">
        <v>0</v>
      </c>
      <c r="G238" s="10">
        <v>0</v>
      </c>
      <c r="I238" s="10">
        <v>0</v>
      </c>
      <c r="K238" s="10">
        <v>0</v>
      </c>
      <c r="M238" s="10">
        <v>0</v>
      </c>
      <c r="O238" s="10">
        <v>0</v>
      </c>
      <c r="Q238" s="10">
        <v>0</v>
      </c>
      <c r="S238" s="10">
        <v>0</v>
      </c>
      <c r="U238" s="10">
        <v>0</v>
      </c>
      <c r="W238" s="10">
        <v>0</v>
      </c>
      <c r="Y238" s="10">
        <v>0</v>
      </c>
      <c r="AA238" s="10">
        <v>0</v>
      </c>
      <c r="AC238" s="10">
        <v>0</v>
      </c>
      <c r="AE238" s="10">
        <f t="shared" si="4"/>
        <v>0</v>
      </c>
      <c r="AF238" s="10"/>
      <c r="AM238" s="10">
        <f>+'Gen Rev'!AI235-'Gen Exp'!AE238+'Gen Exp'!AI238-AK238</f>
        <v>0</v>
      </c>
    </row>
    <row r="239" spans="1:40" ht="12.75" hidden="1">
      <c r="A239" s="1" t="s">
        <v>113</v>
      </c>
      <c r="C239" s="23" t="s">
        <v>785</v>
      </c>
      <c r="D239" s="23"/>
      <c r="E239" s="10">
        <v>0</v>
      </c>
      <c r="G239" s="10">
        <v>0</v>
      </c>
      <c r="I239" s="10">
        <v>0</v>
      </c>
      <c r="K239" s="10">
        <v>0</v>
      </c>
      <c r="M239" s="10">
        <v>0</v>
      </c>
      <c r="O239" s="10">
        <v>0</v>
      </c>
      <c r="Q239" s="10">
        <v>0</v>
      </c>
      <c r="S239" s="10">
        <v>0</v>
      </c>
      <c r="U239" s="10">
        <v>0</v>
      </c>
      <c r="W239" s="10">
        <v>0</v>
      </c>
      <c r="Y239" s="10">
        <v>0</v>
      </c>
      <c r="AA239" s="10">
        <v>0</v>
      </c>
      <c r="AC239" s="10">
        <v>0</v>
      </c>
      <c r="AE239" s="10">
        <f t="shared" si="4"/>
        <v>0</v>
      </c>
      <c r="AF239" s="10"/>
      <c r="AM239" s="10">
        <f>+'Gen Rev'!AI236-'Gen Exp'!AE239+'Gen Exp'!AI239-AK239</f>
        <v>0</v>
      </c>
    </row>
    <row r="240" spans="1:40" s="21" customFormat="1" ht="12.6" customHeight="1">
      <c r="A240" s="1" t="s">
        <v>354</v>
      </c>
      <c r="B240" s="1"/>
      <c r="C240" s="1" t="s">
        <v>353</v>
      </c>
      <c r="D240" s="1"/>
      <c r="E240" s="10">
        <v>2103763</v>
      </c>
      <c r="F240" s="10"/>
      <c r="G240" s="10">
        <v>54943</v>
      </c>
      <c r="H240" s="10"/>
      <c r="I240" s="10">
        <v>4036215</v>
      </c>
      <c r="J240" s="10"/>
      <c r="K240" s="10">
        <f>424744+193284</f>
        <v>618028</v>
      </c>
      <c r="L240" s="10"/>
      <c r="M240" s="10">
        <v>0</v>
      </c>
      <c r="N240" s="10"/>
      <c r="O240" s="10">
        <v>131718</v>
      </c>
      <c r="P240" s="10"/>
      <c r="Q240" s="10">
        <v>2574792</v>
      </c>
      <c r="R240" s="10"/>
      <c r="S240" s="10">
        <v>0</v>
      </c>
      <c r="T240" s="10"/>
      <c r="U240" s="10">
        <v>0</v>
      </c>
      <c r="V240" s="10"/>
      <c r="W240" s="10">
        <v>0</v>
      </c>
      <c r="X240" s="10"/>
      <c r="Y240" s="10">
        <v>624124</v>
      </c>
      <c r="Z240" s="10"/>
      <c r="AA240" s="10">
        <v>0</v>
      </c>
      <c r="AB240" s="10"/>
      <c r="AC240" s="10">
        <v>0</v>
      </c>
      <c r="AD240" s="10"/>
      <c r="AE240" s="10">
        <f t="shared" si="4"/>
        <v>10143583</v>
      </c>
      <c r="AF240" s="10"/>
      <c r="AG240" s="46">
        <v>1905558</v>
      </c>
      <c r="AH240" s="46"/>
      <c r="AI240" s="46">
        <v>1792420</v>
      </c>
      <c r="AJ240" s="46"/>
      <c r="AK240" s="46">
        <v>3697978</v>
      </c>
      <c r="AL240" s="46"/>
      <c r="AM240" s="10">
        <f>+'Gen Rev'!AI237-'Gen Exp'!AE240+'Gen Exp'!AI240-AK240</f>
        <v>0</v>
      </c>
      <c r="AN240" s="46"/>
    </row>
    <row r="241" spans="1:40">
      <c r="A241" s="1" t="s">
        <v>693</v>
      </c>
      <c r="C241" s="1" t="s">
        <v>500</v>
      </c>
      <c r="E241" s="10">
        <v>5068</v>
      </c>
      <c r="G241" s="10">
        <v>93</v>
      </c>
      <c r="I241" s="10">
        <v>0</v>
      </c>
      <c r="K241" s="10">
        <v>0</v>
      </c>
      <c r="M241" s="10">
        <v>0</v>
      </c>
      <c r="O241" s="10">
        <v>753</v>
      </c>
      <c r="Q241" s="10">
        <v>51793</v>
      </c>
      <c r="S241" s="10">
        <v>16950</v>
      </c>
      <c r="U241" s="10">
        <v>0</v>
      </c>
      <c r="W241" s="10">
        <v>0</v>
      </c>
      <c r="Y241" s="10">
        <v>0</v>
      </c>
      <c r="AA241" s="10">
        <v>0</v>
      </c>
      <c r="AC241" s="10">
        <v>0</v>
      </c>
      <c r="AE241" s="10">
        <f t="shared" si="4"/>
        <v>74657</v>
      </c>
      <c r="AF241" s="10"/>
      <c r="AG241" s="10">
        <v>-22331</v>
      </c>
      <c r="AI241" s="10">
        <v>24690</v>
      </c>
      <c r="AK241" s="10">
        <v>2359</v>
      </c>
      <c r="AM241" s="10">
        <f>+'Gen Rev'!AI238-'Gen Exp'!AE241+'Gen Exp'!AI241-AK241</f>
        <v>0</v>
      </c>
    </row>
    <row r="242" spans="1:40" hidden="1">
      <c r="A242" s="1" t="s">
        <v>694</v>
      </c>
      <c r="C242" s="1" t="s">
        <v>82</v>
      </c>
      <c r="E242" s="10">
        <v>0</v>
      </c>
      <c r="G242" s="10">
        <v>0</v>
      </c>
      <c r="I242" s="10">
        <v>0</v>
      </c>
      <c r="K242" s="10">
        <v>0</v>
      </c>
      <c r="M242" s="10">
        <v>0</v>
      </c>
      <c r="O242" s="10">
        <v>0</v>
      </c>
      <c r="Q242" s="10">
        <v>0</v>
      </c>
      <c r="S242" s="10">
        <v>0</v>
      </c>
      <c r="U242" s="10">
        <v>0</v>
      </c>
      <c r="W242" s="10">
        <v>0</v>
      </c>
      <c r="Y242" s="10">
        <v>0</v>
      </c>
      <c r="AA242" s="10">
        <v>0</v>
      </c>
      <c r="AC242" s="10">
        <v>0</v>
      </c>
      <c r="AE242" s="10">
        <f t="shared" ref="AE242:AE288" si="5">SUM(E242:AC242)</f>
        <v>0</v>
      </c>
      <c r="AF242" s="40"/>
      <c r="AM242" s="10">
        <f>+'Gen Rev'!AI239-'Gen Exp'!AE242+'Gen Exp'!AI242-AK242</f>
        <v>0</v>
      </c>
    </row>
    <row r="243" spans="1:40" s="21" customFormat="1" ht="12.75" hidden="1">
      <c r="A243" s="1" t="s">
        <v>23</v>
      </c>
      <c r="B243" s="1"/>
      <c r="C243" s="23" t="s">
        <v>756</v>
      </c>
      <c r="D243" s="23"/>
      <c r="E243" s="10">
        <v>0</v>
      </c>
      <c r="F243" s="10"/>
      <c r="G243" s="10">
        <v>0</v>
      </c>
      <c r="H243" s="10"/>
      <c r="I243" s="10">
        <v>0</v>
      </c>
      <c r="J243" s="10"/>
      <c r="K243" s="10">
        <v>0</v>
      </c>
      <c r="L243" s="10"/>
      <c r="M243" s="10">
        <v>0</v>
      </c>
      <c r="N243" s="10"/>
      <c r="O243" s="10">
        <v>0</v>
      </c>
      <c r="P243" s="10"/>
      <c r="Q243" s="10">
        <v>0</v>
      </c>
      <c r="R243" s="10"/>
      <c r="S243" s="10">
        <v>0</v>
      </c>
      <c r="T243" s="10"/>
      <c r="U243" s="10">
        <v>0</v>
      </c>
      <c r="V243" s="10"/>
      <c r="W243" s="10">
        <v>0</v>
      </c>
      <c r="X243" s="10"/>
      <c r="Y243" s="10">
        <v>0</v>
      </c>
      <c r="Z243" s="10"/>
      <c r="AA243" s="10">
        <v>0</v>
      </c>
      <c r="AB243" s="10"/>
      <c r="AC243" s="10">
        <v>0</v>
      </c>
      <c r="AD243" s="10"/>
      <c r="AE243" s="10">
        <f t="shared" si="5"/>
        <v>0</v>
      </c>
      <c r="AF243" s="10"/>
      <c r="AG243" s="46"/>
      <c r="AH243" s="46"/>
      <c r="AI243" s="46"/>
      <c r="AJ243" s="46"/>
      <c r="AK243" s="46"/>
      <c r="AL243" s="46"/>
      <c r="AM243" s="10">
        <f>+'Gen Rev'!AI240-'Gen Exp'!AE243+'Gen Exp'!AI243-AK243</f>
        <v>0</v>
      </c>
      <c r="AN243" s="46"/>
    </row>
    <row r="244" spans="1:40" s="21" customFormat="1" hidden="1">
      <c r="A244" s="1" t="s">
        <v>441</v>
      </c>
      <c r="B244" s="1"/>
      <c r="C244" s="1" t="s">
        <v>439</v>
      </c>
      <c r="D244" s="1"/>
      <c r="E244" s="10">
        <v>0</v>
      </c>
      <c r="F244" s="10"/>
      <c r="G244" s="10">
        <v>0</v>
      </c>
      <c r="H244" s="10"/>
      <c r="I244" s="10">
        <v>0</v>
      </c>
      <c r="J244" s="10"/>
      <c r="K244" s="10">
        <v>0</v>
      </c>
      <c r="L244" s="10"/>
      <c r="M244" s="10">
        <v>0</v>
      </c>
      <c r="N244" s="10"/>
      <c r="O244" s="10">
        <v>0</v>
      </c>
      <c r="P244" s="10"/>
      <c r="Q244" s="10">
        <v>0</v>
      </c>
      <c r="R244" s="10"/>
      <c r="S244" s="10">
        <v>0</v>
      </c>
      <c r="T244" s="10"/>
      <c r="U244" s="10">
        <v>0</v>
      </c>
      <c r="V244" s="10"/>
      <c r="W244" s="10">
        <v>0</v>
      </c>
      <c r="X244" s="10"/>
      <c r="Y244" s="10">
        <v>0</v>
      </c>
      <c r="Z244" s="10"/>
      <c r="AA244" s="10">
        <v>0</v>
      </c>
      <c r="AB244" s="10"/>
      <c r="AC244" s="10">
        <v>0</v>
      </c>
      <c r="AD244" s="10"/>
      <c r="AE244" s="10">
        <f t="shared" si="5"/>
        <v>0</v>
      </c>
      <c r="AF244" s="10"/>
      <c r="AG244" s="10"/>
      <c r="AH244" s="10"/>
      <c r="AI244" s="10"/>
      <c r="AJ244" s="10"/>
      <c r="AK244" s="10"/>
      <c r="AL244" s="10"/>
      <c r="AM244" s="10">
        <f>+'Gen Rev'!AI241-'Gen Exp'!AE244+'Gen Exp'!AI244-AK244</f>
        <v>0</v>
      </c>
      <c r="AN244" s="10"/>
    </row>
    <row r="245" spans="1:40" ht="12.75" hidden="1">
      <c r="A245" s="1" t="s">
        <v>126</v>
      </c>
      <c r="C245" s="23" t="s">
        <v>789</v>
      </c>
      <c r="D245" s="23"/>
      <c r="E245" s="10">
        <v>0</v>
      </c>
      <c r="G245" s="10">
        <v>0</v>
      </c>
      <c r="I245" s="10">
        <v>0</v>
      </c>
      <c r="K245" s="10">
        <v>0</v>
      </c>
      <c r="M245" s="10">
        <v>0</v>
      </c>
      <c r="O245" s="10">
        <v>0</v>
      </c>
      <c r="Q245" s="10">
        <v>0</v>
      </c>
      <c r="S245" s="10">
        <v>0</v>
      </c>
      <c r="U245" s="10">
        <v>0</v>
      </c>
      <c r="W245" s="10">
        <v>0</v>
      </c>
      <c r="Y245" s="10">
        <v>0</v>
      </c>
      <c r="AA245" s="10">
        <v>0</v>
      </c>
      <c r="AC245" s="10">
        <v>0</v>
      </c>
      <c r="AE245" s="10">
        <f t="shared" si="5"/>
        <v>0</v>
      </c>
      <c r="AF245" s="10"/>
      <c r="AM245" s="10">
        <f>+'Gen Rev'!AI242-'Gen Exp'!AE245+'Gen Exp'!AI245-AK245</f>
        <v>0</v>
      </c>
    </row>
    <row r="246" spans="1:40" s="21" customFormat="1" ht="12.75" hidden="1">
      <c r="A246" s="1" t="s">
        <v>42</v>
      </c>
      <c r="B246" s="1"/>
      <c r="C246" s="23" t="s">
        <v>763</v>
      </c>
      <c r="D246" s="23"/>
      <c r="E246" s="10">
        <v>0</v>
      </c>
      <c r="F246" s="10"/>
      <c r="G246" s="10">
        <v>0</v>
      </c>
      <c r="H246" s="10"/>
      <c r="I246" s="10">
        <v>0</v>
      </c>
      <c r="J246" s="10"/>
      <c r="K246" s="10">
        <v>0</v>
      </c>
      <c r="L246" s="10"/>
      <c r="M246" s="10">
        <v>0</v>
      </c>
      <c r="N246" s="10"/>
      <c r="O246" s="10">
        <v>0</v>
      </c>
      <c r="P246" s="10"/>
      <c r="Q246" s="10">
        <v>0</v>
      </c>
      <c r="R246" s="10"/>
      <c r="S246" s="10">
        <v>0</v>
      </c>
      <c r="T246" s="10"/>
      <c r="U246" s="10">
        <v>0</v>
      </c>
      <c r="V246" s="10"/>
      <c r="W246" s="10">
        <v>0</v>
      </c>
      <c r="X246" s="10"/>
      <c r="Y246" s="10">
        <v>0</v>
      </c>
      <c r="Z246" s="10"/>
      <c r="AA246" s="10">
        <v>0</v>
      </c>
      <c r="AB246" s="10"/>
      <c r="AC246" s="10">
        <v>0</v>
      </c>
      <c r="AD246" s="10"/>
      <c r="AE246" s="10">
        <f t="shared" si="5"/>
        <v>0</v>
      </c>
      <c r="AF246" s="10"/>
      <c r="AG246" s="46"/>
      <c r="AH246" s="46"/>
      <c r="AI246" s="46"/>
      <c r="AJ246" s="46"/>
      <c r="AK246" s="46"/>
      <c r="AL246" s="46"/>
      <c r="AM246" s="10">
        <f>+'Gen Rev'!AI243-'Gen Exp'!AE246+'Gen Exp'!AI246-AK246</f>
        <v>0</v>
      </c>
      <c r="AN246" s="46"/>
    </row>
    <row r="247" spans="1:40" s="21" customFormat="1" ht="12.75" hidden="1">
      <c r="A247" s="1" t="s">
        <v>140</v>
      </c>
      <c r="B247" s="1"/>
      <c r="C247" s="23" t="s">
        <v>793</v>
      </c>
      <c r="D247" s="23"/>
      <c r="E247" s="10">
        <v>0</v>
      </c>
      <c r="F247" s="10"/>
      <c r="G247" s="10">
        <v>0</v>
      </c>
      <c r="H247" s="10"/>
      <c r="I247" s="10">
        <v>0</v>
      </c>
      <c r="J247" s="10"/>
      <c r="K247" s="10">
        <v>0</v>
      </c>
      <c r="L247" s="10"/>
      <c r="M247" s="10">
        <v>0</v>
      </c>
      <c r="N247" s="10"/>
      <c r="O247" s="10">
        <v>0</v>
      </c>
      <c r="P247" s="10"/>
      <c r="Q247" s="10">
        <v>0</v>
      </c>
      <c r="R247" s="10"/>
      <c r="S247" s="10">
        <v>0</v>
      </c>
      <c r="T247" s="10"/>
      <c r="U247" s="10">
        <v>0</v>
      </c>
      <c r="V247" s="10"/>
      <c r="W247" s="10">
        <v>0</v>
      </c>
      <c r="X247" s="10"/>
      <c r="Y247" s="10">
        <v>0</v>
      </c>
      <c r="Z247" s="10"/>
      <c r="AA247" s="10">
        <v>0</v>
      </c>
      <c r="AB247" s="10"/>
      <c r="AC247" s="10">
        <v>0</v>
      </c>
      <c r="AD247" s="10"/>
      <c r="AE247" s="10">
        <f t="shared" si="5"/>
        <v>0</v>
      </c>
      <c r="AF247" s="10"/>
      <c r="AG247" s="10"/>
      <c r="AH247" s="10"/>
      <c r="AI247" s="10"/>
      <c r="AJ247" s="10"/>
      <c r="AK247" s="10"/>
      <c r="AL247" s="10"/>
      <c r="AM247" s="10">
        <f>+'Gen Rev'!AI244-'Gen Exp'!AE247+'Gen Exp'!AI247-AK247</f>
        <v>0</v>
      </c>
      <c r="AN247" s="10"/>
    </row>
    <row r="248" spans="1:40" ht="12.75" hidden="1">
      <c r="A248" s="1" t="s">
        <v>264</v>
      </c>
      <c r="C248" s="23" t="s">
        <v>831</v>
      </c>
      <c r="D248" s="23"/>
      <c r="E248" s="10">
        <v>0</v>
      </c>
      <c r="G248" s="10">
        <v>0</v>
      </c>
      <c r="I248" s="10">
        <v>0</v>
      </c>
      <c r="K248" s="10">
        <v>0</v>
      </c>
      <c r="M248" s="10">
        <v>0</v>
      </c>
      <c r="O248" s="10">
        <v>0</v>
      </c>
      <c r="Q248" s="10">
        <v>0</v>
      </c>
      <c r="S248" s="10">
        <v>0</v>
      </c>
      <c r="U248" s="10">
        <v>0</v>
      </c>
      <c r="W248" s="10">
        <v>0</v>
      </c>
      <c r="Y248" s="10">
        <v>0</v>
      </c>
      <c r="AA248" s="10">
        <v>0</v>
      </c>
      <c r="AC248" s="10">
        <v>0</v>
      </c>
      <c r="AE248" s="10">
        <f t="shared" si="5"/>
        <v>0</v>
      </c>
      <c r="AF248" s="10"/>
      <c r="AM248" s="10">
        <f>+'Gen Rev'!AI245-'Gen Exp'!AE248+'Gen Exp'!AI248-AK248</f>
        <v>0</v>
      </c>
    </row>
    <row r="249" spans="1:40" s="21" customFormat="1" ht="12.75" hidden="1">
      <c r="A249" s="1" t="s">
        <v>850</v>
      </c>
      <c r="B249" s="1"/>
      <c r="C249" s="23" t="s">
        <v>781</v>
      </c>
      <c r="D249" s="23"/>
      <c r="E249" s="10">
        <v>0</v>
      </c>
      <c r="F249" s="10"/>
      <c r="G249" s="10">
        <v>0</v>
      </c>
      <c r="H249" s="10"/>
      <c r="I249" s="10">
        <v>0</v>
      </c>
      <c r="J249" s="10"/>
      <c r="K249" s="10">
        <v>0</v>
      </c>
      <c r="L249" s="10"/>
      <c r="M249" s="10">
        <v>0</v>
      </c>
      <c r="N249" s="10"/>
      <c r="O249" s="10">
        <v>0</v>
      </c>
      <c r="P249" s="10"/>
      <c r="Q249" s="10">
        <v>0</v>
      </c>
      <c r="R249" s="10"/>
      <c r="S249" s="10">
        <v>0</v>
      </c>
      <c r="T249" s="10"/>
      <c r="U249" s="10">
        <v>0</v>
      </c>
      <c r="V249" s="10"/>
      <c r="W249" s="10">
        <v>0</v>
      </c>
      <c r="X249" s="10"/>
      <c r="Y249" s="10">
        <v>0</v>
      </c>
      <c r="Z249" s="10"/>
      <c r="AA249" s="10">
        <v>0</v>
      </c>
      <c r="AB249" s="10"/>
      <c r="AC249" s="10">
        <v>0</v>
      </c>
      <c r="AD249" s="10"/>
      <c r="AE249" s="10">
        <f t="shared" si="5"/>
        <v>0</v>
      </c>
      <c r="AF249" s="10"/>
      <c r="AG249" s="10"/>
      <c r="AH249" s="10"/>
      <c r="AI249" s="10"/>
      <c r="AJ249" s="10"/>
      <c r="AK249" s="10"/>
      <c r="AL249" s="10"/>
      <c r="AM249" s="10">
        <f>+'Gen Rev'!AI246-'Gen Exp'!AE249+'Gen Exp'!AI249-AK249</f>
        <v>0</v>
      </c>
      <c r="AN249" s="10"/>
    </row>
    <row r="250" spans="1:40" ht="12.75" hidden="1">
      <c r="A250" s="1" t="s">
        <v>4</v>
      </c>
      <c r="C250" s="23" t="s">
        <v>751</v>
      </c>
      <c r="D250" s="23"/>
      <c r="E250" s="10">
        <v>0</v>
      </c>
      <c r="G250" s="10">
        <v>0</v>
      </c>
      <c r="I250" s="10">
        <v>0</v>
      </c>
      <c r="K250" s="10">
        <v>0</v>
      </c>
      <c r="M250" s="10">
        <v>0</v>
      </c>
      <c r="O250" s="10">
        <v>0</v>
      </c>
      <c r="Q250" s="10">
        <v>0</v>
      </c>
      <c r="S250" s="10">
        <v>0</v>
      </c>
      <c r="U250" s="10">
        <v>0</v>
      </c>
      <c r="W250" s="10">
        <v>0</v>
      </c>
      <c r="Y250" s="10">
        <v>0</v>
      </c>
      <c r="AA250" s="10">
        <v>0</v>
      </c>
      <c r="AC250" s="10">
        <v>0</v>
      </c>
      <c r="AE250" s="10">
        <f t="shared" si="5"/>
        <v>0</v>
      </c>
      <c r="AF250" s="10"/>
      <c r="AG250" s="46"/>
      <c r="AH250" s="46"/>
      <c r="AI250" s="46"/>
      <c r="AJ250" s="46"/>
      <c r="AK250" s="46"/>
      <c r="AL250" s="46"/>
      <c r="AM250" s="10">
        <f>+'Gen Rev'!AI247-'Gen Exp'!AE250+'Gen Exp'!AI250-AK250</f>
        <v>0</v>
      </c>
      <c r="AN250" s="46"/>
    </row>
    <row r="251" spans="1:40" s="21" customFormat="1">
      <c r="A251" s="1" t="s">
        <v>442</v>
      </c>
      <c r="B251" s="1"/>
      <c r="C251" s="1" t="s">
        <v>439</v>
      </c>
      <c r="D251" s="1"/>
      <c r="E251" s="10">
        <v>28800</v>
      </c>
      <c r="F251" s="10"/>
      <c r="G251" s="10">
        <v>825</v>
      </c>
      <c r="H251" s="10"/>
      <c r="I251" s="10">
        <v>0</v>
      </c>
      <c r="J251" s="10"/>
      <c r="K251" s="10">
        <v>0</v>
      </c>
      <c r="L251" s="10"/>
      <c r="M251" s="10">
        <v>0</v>
      </c>
      <c r="N251" s="10"/>
      <c r="O251" s="10">
        <v>0</v>
      </c>
      <c r="P251" s="10"/>
      <c r="Q251" s="10">
        <v>35587</v>
      </c>
      <c r="R251" s="10"/>
      <c r="S251" s="10">
        <v>0</v>
      </c>
      <c r="T251" s="10"/>
      <c r="U251" s="10">
        <v>0</v>
      </c>
      <c r="V251" s="10"/>
      <c r="W251" s="10">
        <v>0</v>
      </c>
      <c r="X251" s="10"/>
      <c r="Y251" s="10">
        <v>0</v>
      </c>
      <c r="Z251" s="10"/>
      <c r="AA251" s="10">
        <v>0</v>
      </c>
      <c r="AB251" s="10"/>
      <c r="AC251" s="10">
        <v>0</v>
      </c>
      <c r="AD251" s="10"/>
      <c r="AE251" s="10">
        <f t="shared" si="5"/>
        <v>65212</v>
      </c>
      <c r="AF251" s="10"/>
      <c r="AG251" s="10">
        <v>-9288</v>
      </c>
      <c r="AH251" s="10"/>
      <c r="AI251" s="10">
        <v>43835</v>
      </c>
      <c r="AJ251" s="10"/>
      <c r="AK251" s="10">
        <f>43835-9288</f>
        <v>34547</v>
      </c>
      <c r="AL251" s="10"/>
      <c r="AM251" s="10">
        <f>+'Gen Rev'!AI248-'Gen Exp'!AE251+'Gen Exp'!AI251-AK251</f>
        <v>0</v>
      </c>
      <c r="AN251" s="10"/>
    </row>
    <row r="252" spans="1:40" s="15" customFormat="1">
      <c r="A252" s="1" t="s">
        <v>548</v>
      </c>
      <c r="B252" s="1"/>
      <c r="C252" s="1" t="s">
        <v>545</v>
      </c>
      <c r="D252" s="1"/>
      <c r="E252" s="10">
        <v>576756</v>
      </c>
      <c r="F252" s="10"/>
      <c r="G252" s="10">
        <v>17897</v>
      </c>
      <c r="H252" s="10"/>
      <c r="I252" s="10">
        <v>4168</v>
      </c>
      <c r="J252" s="10"/>
      <c r="K252" s="10">
        <v>7145</v>
      </c>
      <c r="L252" s="10"/>
      <c r="M252" s="10">
        <v>0</v>
      </c>
      <c r="N252" s="10"/>
      <c r="O252" s="10">
        <v>149719</v>
      </c>
      <c r="P252" s="10"/>
      <c r="Q252" s="10">
        <v>260988</v>
      </c>
      <c r="R252" s="10"/>
      <c r="S252" s="10">
        <v>0</v>
      </c>
      <c r="T252" s="10"/>
      <c r="U252" s="10">
        <v>0</v>
      </c>
      <c r="V252" s="10"/>
      <c r="W252" s="10">
        <v>0</v>
      </c>
      <c r="X252" s="10"/>
      <c r="Y252" s="10">
        <v>0</v>
      </c>
      <c r="Z252" s="10"/>
      <c r="AA252" s="10">
        <v>0</v>
      </c>
      <c r="AB252" s="10"/>
      <c r="AC252" s="10">
        <v>300</v>
      </c>
      <c r="AD252" s="10"/>
      <c r="AE252" s="10">
        <f t="shared" si="5"/>
        <v>1016973</v>
      </c>
      <c r="AF252" s="10"/>
      <c r="AG252" s="24">
        <v>16109</v>
      </c>
      <c r="AH252" s="24"/>
      <c r="AI252" s="24">
        <v>28386</v>
      </c>
      <c r="AJ252" s="24"/>
      <c r="AK252" s="24">
        <v>44495</v>
      </c>
      <c r="AL252" s="24"/>
      <c r="AM252" s="10">
        <f>+'Gen Rev'!AI249-'Gen Exp'!AE252+'Gen Exp'!AI252-AK252</f>
        <v>0</v>
      </c>
      <c r="AN252" s="24"/>
    </row>
    <row r="253" spans="1:40" hidden="1">
      <c r="A253" s="1" t="s">
        <v>585</v>
      </c>
      <c r="C253" s="1" t="s">
        <v>586</v>
      </c>
      <c r="E253" s="10">
        <v>0</v>
      </c>
      <c r="G253" s="10">
        <v>0</v>
      </c>
      <c r="I253" s="10">
        <v>0</v>
      </c>
      <c r="K253" s="10">
        <v>0</v>
      </c>
      <c r="M253" s="10">
        <v>0</v>
      </c>
      <c r="O253" s="10">
        <v>0</v>
      </c>
      <c r="Q253" s="10">
        <v>0</v>
      </c>
      <c r="S253" s="10">
        <v>0</v>
      </c>
      <c r="U253" s="10">
        <v>0</v>
      </c>
      <c r="W253" s="10">
        <v>0</v>
      </c>
      <c r="Y253" s="10">
        <v>0</v>
      </c>
      <c r="AA253" s="10">
        <v>0</v>
      </c>
      <c r="AC253" s="10">
        <v>0</v>
      </c>
      <c r="AE253" s="10">
        <f t="shared" si="5"/>
        <v>0</v>
      </c>
      <c r="AF253" s="10"/>
      <c r="AM253" s="10">
        <f>+'Gen Rev'!AI252-'Gen Exp'!AE253+'Gen Exp'!AI253-AK253</f>
        <v>0</v>
      </c>
    </row>
    <row r="254" spans="1:40" s="10" customFormat="1" ht="12.75" hidden="1">
      <c r="A254" s="10" t="s">
        <v>256</v>
      </c>
      <c r="C254" s="56" t="s">
        <v>830</v>
      </c>
      <c r="D254" s="56"/>
      <c r="E254" s="10">
        <v>0</v>
      </c>
      <c r="G254" s="10">
        <v>0</v>
      </c>
      <c r="I254" s="10">
        <v>0</v>
      </c>
      <c r="K254" s="10">
        <v>0</v>
      </c>
      <c r="M254" s="10">
        <v>0</v>
      </c>
      <c r="O254" s="10">
        <v>0</v>
      </c>
      <c r="Q254" s="10">
        <v>0</v>
      </c>
      <c r="S254" s="10">
        <v>0</v>
      </c>
      <c r="U254" s="10">
        <v>0</v>
      </c>
      <c r="W254" s="10">
        <v>0</v>
      </c>
      <c r="Y254" s="10">
        <v>0</v>
      </c>
      <c r="AA254" s="10">
        <v>0</v>
      </c>
      <c r="AC254" s="10">
        <v>0</v>
      </c>
      <c r="AE254" s="10">
        <f t="shared" si="5"/>
        <v>0</v>
      </c>
      <c r="AM254" s="10">
        <f>+'Gen Rev'!AI252-'Gen Exp'!AE254+'Gen Exp'!AI254-AK254</f>
        <v>0</v>
      </c>
    </row>
    <row r="255" spans="1:40" ht="12.75" hidden="1">
      <c r="A255" s="1" t="s">
        <v>183</v>
      </c>
      <c r="C255" s="23" t="s">
        <v>808</v>
      </c>
      <c r="D255" s="23"/>
      <c r="E255" s="10">
        <v>0</v>
      </c>
      <c r="G255" s="10">
        <v>0</v>
      </c>
      <c r="I255" s="10">
        <v>0</v>
      </c>
      <c r="K255" s="10">
        <v>0</v>
      </c>
      <c r="M255" s="10">
        <v>0</v>
      </c>
      <c r="O255" s="10">
        <v>0</v>
      </c>
      <c r="Q255" s="10">
        <v>0</v>
      </c>
      <c r="S255" s="10">
        <v>0</v>
      </c>
      <c r="U255" s="10">
        <v>0</v>
      </c>
      <c r="W255" s="10">
        <v>0</v>
      </c>
      <c r="Y255" s="10">
        <v>0</v>
      </c>
      <c r="AA255" s="10">
        <v>0</v>
      </c>
      <c r="AC255" s="10">
        <v>0</v>
      </c>
      <c r="AE255" s="10">
        <f t="shared" si="5"/>
        <v>0</v>
      </c>
      <c r="AF255" s="10"/>
      <c r="AM255" s="10">
        <f>+'Gen Rev'!AI253-'Gen Exp'!AE255+'Gen Exp'!AI255-AK255</f>
        <v>0</v>
      </c>
    </row>
    <row r="256" spans="1:40" ht="12.75" hidden="1">
      <c r="A256" s="1" t="s">
        <v>7</v>
      </c>
      <c r="C256" s="23" t="s">
        <v>672</v>
      </c>
      <c r="D256" s="23"/>
      <c r="E256" s="10">
        <v>0</v>
      </c>
      <c r="G256" s="10">
        <v>0</v>
      </c>
      <c r="I256" s="10">
        <v>0</v>
      </c>
      <c r="K256" s="10">
        <v>0</v>
      </c>
      <c r="M256" s="10">
        <v>0</v>
      </c>
      <c r="O256" s="10">
        <v>0</v>
      </c>
      <c r="Q256" s="10">
        <v>0</v>
      </c>
      <c r="S256" s="10">
        <v>0</v>
      </c>
      <c r="U256" s="10">
        <v>0</v>
      </c>
      <c r="W256" s="10">
        <v>0</v>
      </c>
      <c r="Y256" s="10">
        <v>0</v>
      </c>
      <c r="AA256" s="10">
        <v>0</v>
      </c>
      <c r="AC256" s="10">
        <v>0</v>
      </c>
      <c r="AE256" s="10">
        <f t="shared" si="5"/>
        <v>0</v>
      </c>
      <c r="AF256" s="10"/>
      <c r="AG256" s="46"/>
      <c r="AH256" s="46"/>
      <c r="AI256" s="46"/>
      <c r="AJ256" s="46"/>
      <c r="AK256" s="46"/>
      <c r="AL256" s="46"/>
      <c r="AM256" s="10">
        <f>+'Gen Rev'!AI254-'Gen Exp'!AE256+'Gen Exp'!AI256-AK256</f>
        <v>0</v>
      </c>
      <c r="AN256" s="46"/>
    </row>
    <row r="257" spans="1:40">
      <c r="A257" s="1" t="s">
        <v>443</v>
      </c>
      <c r="C257" s="1" t="s">
        <v>439</v>
      </c>
      <c r="E257" s="10">
        <v>38992</v>
      </c>
      <c r="G257" s="10">
        <v>0</v>
      </c>
      <c r="I257" s="10">
        <v>0</v>
      </c>
      <c r="K257" s="10">
        <v>0</v>
      </c>
      <c r="M257" s="10">
        <v>0</v>
      </c>
      <c r="O257" s="10">
        <v>0</v>
      </c>
      <c r="Q257" s="10">
        <v>314625</v>
      </c>
      <c r="S257" s="10">
        <v>122329</v>
      </c>
      <c r="U257" s="10">
        <v>0</v>
      </c>
      <c r="W257" s="10">
        <v>0</v>
      </c>
      <c r="Y257" s="10">
        <v>1045926</v>
      </c>
      <c r="AA257" s="10">
        <v>0</v>
      </c>
      <c r="AC257" s="10">
        <v>46898</v>
      </c>
      <c r="AE257" s="10">
        <f t="shared" si="5"/>
        <v>1568770</v>
      </c>
      <c r="AF257" s="10"/>
      <c r="AG257" s="10">
        <v>17628</v>
      </c>
      <c r="AI257" s="10">
        <v>907572</v>
      </c>
      <c r="AK257" s="10">
        <v>925200</v>
      </c>
      <c r="AM257" s="10">
        <f>+'Gen Rev'!AI255-'Gen Exp'!AE257+'Gen Exp'!AI257-AK257</f>
        <v>0</v>
      </c>
    </row>
    <row r="258" spans="1:40" ht="12.75" hidden="1">
      <c r="A258" s="1" t="s">
        <v>214</v>
      </c>
      <c r="C258" s="23" t="s">
        <v>816</v>
      </c>
      <c r="D258" s="23"/>
      <c r="E258" s="10">
        <v>0</v>
      </c>
      <c r="G258" s="10">
        <v>0</v>
      </c>
      <c r="I258" s="10">
        <v>0</v>
      </c>
      <c r="K258" s="10">
        <v>0</v>
      </c>
      <c r="M258" s="10">
        <v>0</v>
      </c>
      <c r="O258" s="10">
        <v>0</v>
      </c>
      <c r="Q258" s="10">
        <v>0</v>
      </c>
      <c r="S258" s="10">
        <v>0</v>
      </c>
      <c r="U258" s="10">
        <v>0</v>
      </c>
      <c r="W258" s="10">
        <v>0</v>
      </c>
      <c r="Y258" s="10">
        <v>0</v>
      </c>
      <c r="AA258" s="10">
        <v>0</v>
      </c>
      <c r="AC258" s="10">
        <v>0</v>
      </c>
      <c r="AE258" s="10">
        <f t="shared" si="5"/>
        <v>0</v>
      </c>
      <c r="AF258" s="10"/>
      <c r="AM258" s="10">
        <f>+'Gen Rev'!AI256-'Gen Exp'!AE258+'Gen Exp'!AI258-AK258</f>
        <v>0</v>
      </c>
    </row>
    <row r="259" spans="1:40" ht="12.6" customHeight="1">
      <c r="A259" s="1" t="s">
        <v>911</v>
      </c>
      <c r="C259" s="1" t="s">
        <v>504</v>
      </c>
      <c r="E259" s="10">
        <v>698</v>
      </c>
      <c r="G259" s="10">
        <v>0</v>
      </c>
      <c r="I259" s="10">
        <v>81</v>
      </c>
      <c r="K259" s="10">
        <v>0</v>
      </c>
      <c r="M259" s="10">
        <v>0</v>
      </c>
      <c r="O259" s="10">
        <v>0</v>
      </c>
      <c r="Q259" s="10">
        <v>10929</v>
      </c>
      <c r="S259" s="10">
        <v>0</v>
      </c>
      <c r="U259" s="10">
        <v>0</v>
      </c>
      <c r="W259" s="10">
        <v>0</v>
      </c>
      <c r="Y259" s="10">
        <v>0</v>
      </c>
      <c r="AA259" s="10">
        <v>0</v>
      </c>
      <c r="AC259" s="10">
        <v>0</v>
      </c>
      <c r="AE259" s="10">
        <f>SUM(E259:AC259)</f>
        <v>11708</v>
      </c>
      <c r="AF259" s="10"/>
      <c r="AG259" s="46">
        <v>-2455</v>
      </c>
      <c r="AH259" s="46"/>
      <c r="AI259" s="46">
        <v>22792</v>
      </c>
      <c r="AJ259" s="46"/>
      <c r="AK259" s="46">
        <v>20298</v>
      </c>
      <c r="AL259" s="46"/>
      <c r="AM259" s="10">
        <f>+'Gen Rev'!AI257-'Gen Exp'!AE259+'Gen Exp'!AI259-AK259</f>
        <v>0</v>
      </c>
      <c r="AN259" s="46"/>
    </row>
    <row r="260" spans="1:40" ht="12.6" customHeight="1">
      <c r="A260" s="1" t="s">
        <v>341</v>
      </c>
      <c r="C260" s="1" t="s">
        <v>342</v>
      </c>
      <c r="E260" s="10">
        <v>707835</v>
      </c>
      <c r="G260" s="10">
        <v>25900</v>
      </c>
      <c r="I260" s="10">
        <v>106591</v>
      </c>
      <c r="K260" s="10">
        <v>12332</v>
      </c>
      <c r="M260" s="10">
        <v>0</v>
      </c>
      <c r="O260" s="10">
        <v>0</v>
      </c>
      <c r="Q260" s="10">
        <v>345613</v>
      </c>
      <c r="S260" s="10">
        <v>134173</v>
      </c>
      <c r="U260" s="10">
        <v>24956</v>
      </c>
      <c r="W260" s="10">
        <v>0</v>
      </c>
      <c r="Y260" s="10">
        <v>509553</v>
      </c>
      <c r="AA260" s="10">
        <v>0</v>
      </c>
      <c r="AC260" s="10">
        <v>4139</v>
      </c>
      <c r="AE260" s="10">
        <f t="shared" si="5"/>
        <v>1871092</v>
      </c>
      <c r="AF260" s="10"/>
      <c r="AG260" s="46">
        <v>-115621</v>
      </c>
      <c r="AH260" s="46"/>
      <c r="AI260" s="46">
        <v>1141839</v>
      </c>
      <c r="AJ260" s="46"/>
      <c r="AK260" s="46">
        <v>1026217</v>
      </c>
      <c r="AL260" s="46"/>
      <c r="AM260" s="10">
        <f>+'Gen Rev'!AI258-'Gen Exp'!AE260+'Gen Exp'!AI260-AK260</f>
        <v>0</v>
      </c>
      <c r="AN260" s="46"/>
    </row>
    <row r="261" spans="1:40" s="21" customFormat="1">
      <c r="A261" s="1" t="s">
        <v>409</v>
      </c>
      <c r="B261" s="1"/>
      <c r="C261" s="1" t="s">
        <v>409</v>
      </c>
      <c r="D261" s="1"/>
      <c r="E261" s="10">
        <v>3513</v>
      </c>
      <c r="F261" s="10"/>
      <c r="G261" s="10">
        <v>360</v>
      </c>
      <c r="H261" s="10"/>
      <c r="I261" s="10">
        <v>4109</v>
      </c>
      <c r="J261" s="10"/>
      <c r="K261" s="10">
        <v>0</v>
      </c>
      <c r="L261" s="10"/>
      <c r="M261" s="10">
        <v>3786</v>
      </c>
      <c r="N261" s="10"/>
      <c r="O261" s="10">
        <v>0</v>
      </c>
      <c r="P261" s="10"/>
      <c r="Q261" s="10">
        <v>22604</v>
      </c>
      <c r="R261" s="10"/>
      <c r="S261" s="10">
        <v>0</v>
      </c>
      <c r="T261" s="10"/>
      <c r="U261" s="10">
        <v>1950</v>
      </c>
      <c r="V261" s="10"/>
      <c r="W261" s="10">
        <v>0</v>
      </c>
      <c r="X261" s="10"/>
      <c r="Y261" s="10">
        <v>0</v>
      </c>
      <c r="Z261" s="10"/>
      <c r="AA261" s="10">
        <v>0</v>
      </c>
      <c r="AB261" s="10"/>
      <c r="AC261" s="10">
        <v>0</v>
      </c>
      <c r="AD261" s="10"/>
      <c r="AE261" s="10">
        <f t="shared" si="5"/>
        <v>36322</v>
      </c>
      <c r="AF261" s="10"/>
      <c r="AG261" s="10">
        <v>808</v>
      </c>
      <c r="AH261" s="10"/>
      <c r="AI261" s="10">
        <v>15009</v>
      </c>
      <c r="AJ261" s="10"/>
      <c r="AK261" s="10">
        <f>808+15009</f>
        <v>15817</v>
      </c>
      <c r="AL261" s="10"/>
      <c r="AM261" s="10">
        <f>+'Gen Rev'!AI259-'Gen Exp'!AE261+'Gen Exp'!AI261-AK261</f>
        <v>0</v>
      </c>
      <c r="AN261" s="10"/>
    </row>
    <row r="262" spans="1:40" ht="12.75" hidden="1">
      <c r="A262" s="1" t="s">
        <v>225</v>
      </c>
      <c r="C262" s="23" t="s">
        <v>820</v>
      </c>
      <c r="D262" s="23"/>
      <c r="E262" s="10">
        <v>0</v>
      </c>
      <c r="G262" s="10">
        <v>0</v>
      </c>
      <c r="I262" s="10">
        <v>0</v>
      </c>
      <c r="K262" s="10">
        <v>0</v>
      </c>
      <c r="M262" s="10">
        <v>0</v>
      </c>
      <c r="O262" s="10">
        <v>0</v>
      </c>
      <c r="Q262" s="10">
        <v>0</v>
      </c>
      <c r="S262" s="10">
        <v>0</v>
      </c>
      <c r="U262" s="10">
        <v>0</v>
      </c>
      <c r="W262" s="10">
        <v>0</v>
      </c>
      <c r="Y262" s="10">
        <v>0</v>
      </c>
      <c r="AA262" s="10">
        <v>0</v>
      </c>
      <c r="AC262" s="10">
        <v>0</v>
      </c>
      <c r="AE262" s="10">
        <f t="shared" si="5"/>
        <v>0</v>
      </c>
      <c r="AF262" s="10"/>
      <c r="AM262" s="10">
        <f>+'Gen Rev'!AI260-'Gen Exp'!AE262+'Gen Exp'!AI262-AK262</f>
        <v>0</v>
      </c>
    </row>
    <row r="263" spans="1:40" ht="12.75" hidden="1">
      <c r="A263" s="1" t="s">
        <v>194</v>
      </c>
      <c r="C263" s="23" t="s">
        <v>811</v>
      </c>
      <c r="D263" s="23"/>
      <c r="E263" s="10">
        <v>0</v>
      </c>
      <c r="G263" s="10">
        <v>0</v>
      </c>
      <c r="I263" s="10">
        <v>0</v>
      </c>
      <c r="K263" s="10">
        <v>0</v>
      </c>
      <c r="M263" s="10">
        <v>0</v>
      </c>
      <c r="O263" s="10">
        <v>0</v>
      </c>
      <c r="Q263" s="10">
        <v>0</v>
      </c>
      <c r="S263" s="10">
        <v>0</v>
      </c>
      <c r="U263" s="10">
        <v>0</v>
      </c>
      <c r="W263" s="10">
        <v>0</v>
      </c>
      <c r="Y263" s="10">
        <v>0</v>
      </c>
      <c r="AA263" s="10">
        <v>0</v>
      </c>
      <c r="AC263" s="10">
        <v>0</v>
      </c>
      <c r="AE263" s="10">
        <f t="shared" si="5"/>
        <v>0</v>
      </c>
      <c r="AF263" s="10"/>
      <c r="AM263" s="10">
        <f>+'Gen Rev'!AI261-'Gen Exp'!AE263+'Gen Exp'!AI263-AK263</f>
        <v>0</v>
      </c>
    </row>
    <row r="264" spans="1:40">
      <c r="A264" s="1" t="s">
        <v>408</v>
      </c>
      <c r="C264" s="1" t="s">
        <v>407</v>
      </c>
      <c r="E264" s="10">
        <v>107788</v>
      </c>
      <c r="G264" s="10">
        <v>0</v>
      </c>
      <c r="I264" s="10">
        <v>0</v>
      </c>
      <c r="K264" s="10">
        <v>3951</v>
      </c>
      <c r="M264" s="10">
        <v>0</v>
      </c>
      <c r="O264" s="10">
        <v>586</v>
      </c>
      <c r="Q264" s="10">
        <v>138814</v>
      </c>
      <c r="S264" s="10">
        <v>4960</v>
      </c>
      <c r="U264" s="10">
        <v>0</v>
      </c>
      <c r="W264" s="10">
        <v>0</v>
      </c>
      <c r="Y264" s="10">
        <v>0</v>
      </c>
      <c r="AA264" s="10">
        <v>0</v>
      </c>
      <c r="AC264" s="10">
        <v>9225</v>
      </c>
      <c r="AE264" s="10">
        <f t="shared" si="5"/>
        <v>265324</v>
      </c>
      <c r="AF264" s="10"/>
      <c r="AG264" s="10">
        <v>-11644</v>
      </c>
      <c r="AI264" s="10">
        <v>56258</v>
      </c>
      <c r="AK264" s="10">
        <v>44614</v>
      </c>
      <c r="AM264" s="10">
        <f>+'Gen Rev'!AI262-'Gen Exp'!AE264+'Gen Exp'!AI264-AK264</f>
        <v>0</v>
      </c>
    </row>
    <row r="265" spans="1:40">
      <c r="A265" s="1" t="s">
        <v>455</v>
      </c>
      <c r="C265" s="1" t="s">
        <v>456</v>
      </c>
      <c r="E265" s="10">
        <v>846946</v>
      </c>
      <c r="G265" s="10">
        <v>9655</v>
      </c>
      <c r="I265" s="10">
        <v>18815</v>
      </c>
      <c r="K265" s="10">
        <v>64670</v>
      </c>
      <c r="M265" s="10">
        <v>47679</v>
      </c>
      <c r="O265" s="10">
        <v>0</v>
      </c>
      <c r="Q265" s="10">
        <v>489868</v>
      </c>
      <c r="S265" s="10">
        <v>92453</v>
      </c>
      <c r="U265" s="10">
        <v>0</v>
      </c>
      <c r="W265" s="10">
        <v>0</v>
      </c>
      <c r="Y265" s="10">
        <v>1260970</v>
      </c>
      <c r="AA265" s="10">
        <v>0</v>
      </c>
      <c r="AC265" s="10">
        <v>100382</v>
      </c>
      <c r="AE265" s="10">
        <f t="shared" si="5"/>
        <v>2931438</v>
      </c>
      <c r="AF265" s="10"/>
      <c r="AG265" s="10">
        <v>-305201</v>
      </c>
      <c r="AI265" s="10">
        <v>5713259</v>
      </c>
      <c r="AK265" s="10">
        <v>5408058</v>
      </c>
      <c r="AM265" s="10">
        <f>+'Gen Rev'!AI263-'Gen Exp'!AE265+'Gen Exp'!AI265-AK265</f>
        <v>0</v>
      </c>
    </row>
    <row r="266" spans="1:40" s="21" customFormat="1" ht="12.6" customHeight="1">
      <c r="A266" s="1" t="s">
        <v>332</v>
      </c>
      <c r="B266" s="1"/>
      <c r="C266" s="1" t="s">
        <v>329</v>
      </c>
      <c r="D266" s="1"/>
      <c r="E266" s="10">
        <v>17597</v>
      </c>
      <c r="F266" s="10"/>
      <c r="G266" s="10">
        <v>787</v>
      </c>
      <c r="H266" s="10"/>
      <c r="I266" s="10">
        <v>8744</v>
      </c>
      <c r="J266" s="10"/>
      <c r="K266" s="10">
        <v>10740</v>
      </c>
      <c r="L266" s="10"/>
      <c r="M266" s="10">
        <v>18865</v>
      </c>
      <c r="N266" s="10"/>
      <c r="O266" s="10">
        <v>12630</v>
      </c>
      <c r="P266" s="10"/>
      <c r="Q266" s="10">
        <v>22271</v>
      </c>
      <c r="R266" s="10"/>
      <c r="S266" s="10">
        <v>0</v>
      </c>
      <c r="T266" s="10"/>
      <c r="U266" s="10">
        <v>0</v>
      </c>
      <c r="V266" s="10"/>
      <c r="W266" s="10">
        <v>0</v>
      </c>
      <c r="X266" s="10"/>
      <c r="Y266" s="10">
        <v>0</v>
      </c>
      <c r="Z266" s="10"/>
      <c r="AA266" s="10">
        <v>0</v>
      </c>
      <c r="AB266" s="10"/>
      <c r="AC266" s="10">
        <v>0</v>
      </c>
      <c r="AD266" s="10"/>
      <c r="AE266" s="10">
        <f t="shared" si="5"/>
        <v>91634</v>
      </c>
      <c r="AF266" s="10"/>
      <c r="AG266" s="10">
        <v>-24358</v>
      </c>
      <c r="AH266" s="10"/>
      <c r="AI266" s="10">
        <v>35237</v>
      </c>
      <c r="AJ266" s="10"/>
      <c r="AK266" s="10">
        <v>10879</v>
      </c>
      <c r="AL266" s="10"/>
      <c r="AM266" s="10">
        <f>+'Gen Rev'!AI264-'Gen Exp'!AE266+'Gen Exp'!AI266-AK266</f>
        <v>0</v>
      </c>
      <c r="AN266" s="10"/>
    </row>
    <row r="267" spans="1:40" ht="12.75" hidden="1">
      <c r="A267" s="1" t="s">
        <v>17</v>
      </c>
      <c r="C267" s="23" t="s">
        <v>755</v>
      </c>
      <c r="D267" s="23"/>
      <c r="E267" s="10">
        <v>0</v>
      </c>
      <c r="G267" s="10">
        <v>0</v>
      </c>
      <c r="I267" s="10">
        <v>0</v>
      </c>
      <c r="K267" s="10">
        <v>0</v>
      </c>
      <c r="M267" s="10">
        <v>0</v>
      </c>
      <c r="O267" s="10">
        <v>0</v>
      </c>
      <c r="Q267" s="10">
        <v>0</v>
      </c>
      <c r="S267" s="10">
        <v>0</v>
      </c>
      <c r="U267" s="10">
        <v>0</v>
      </c>
      <c r="W267" s="10">
        <v>0</v>
      </c>
      <c r="Y267" s="10">
        <v>0</v>
      </c>
      <c r="AA267" s="10">
        <v>0</v>
      </c>
      <c r="AC267" s="10">
        <v>0</v>
      </c>
      <c r="AE267" s="10">
        <f t="shared" si="5"/>
        <v>0</v>
      </c>
      <c r="AF267" s="10"/>
      <c r="AG267" s="46"/>
      <c r="AH267" s="46"/>
      <c r="AI267" s="46"/>
      <c r="AJ267" s="46"/>
      <c r="AK267" s="46"/>
      <c r="AL267" s="46"/>
      <c r="AM267" s="10">
        <f>+'Gen Rev'!AI265-'Gen Exp'!AE267+'Gen Exp'!AI267-AK267</f>
        <v>0</v>
      </c>
      <c r="AN267" s="46"/>
    </row>
    <row r="268" spans="1:40" s="21" customFormat="1" ht="12.6" hidden="1" customHeight="1">
      <c r="A268" s="1" t="s">
        <v>413</v>
      </c>
      <c r="B268" s="1"/>
      <c r="C268" s="1" t="s">
        <v>412</v>
      </c>
      <c r="D268" s="1"/>
      <c r="E268" s="10">
        <v>0</v>
      </c>
      <c r="F268" s="10"/>
      <c r="G268" s="10">
        <v>0</v>
      </c>
      <c r="H268" s="10"/>
      <c r="I268" s="10">
        <v>0</v>
      </c>
      <c r="J268" s="10"/>
      <c r="K268" s="10">
        <v>0</v>
      </c>
      <c r="L268" s="10"/>
      <c r="M268" s="10">
        <v>0</v>
      </c>
      <c r="N268" s="10"/>
      <c r="O268" s="10">
        <v>0</v>
      </c>
      <c r="P268" s="10"/>
      <c r="Q268" s="10">
        <v>0</v>
      </c>
      <c r="R268" s="10"/>
      <c r="S268" s="10">
        <v>0</v>
      </c>
      <c r="T268" s="10"/>
      <c r="U268" s="10">
        <v>0</v>
      </c>
      <c r="V268" s="10"/>
      <c r="W268" s="10">
        <v>0</v>
      </c>
      <c r="X268" s="10"/>
      <c r="Y268" s="10">
        <v>0</v>
      </c>
      <c r="Z268" s="10"/>
      <c r="AA268" s="10">
        <v>0</v>
      </c>
      <c r="AB268" s="10"/>
      <c r="AC268" s="10">
        <v>0</v>
      </c>
      <c r="AD268" s="10"/>
      <c r="AE268" s="10">
        <f t="shared" si="5"/>
        <v>0</v>
      </c>
      <c r="AF268" s="10"/>
      <c r="AG268" s="10"/>
      <c r="AH268" s="10"/>
      <c r="AI268" s="10"/>
      <c r="AJ268" s="10"/>
      <c r="AK268" s="10"/>
      <c r="AL268" s="10"/>
      <c r="AM268" s="10">
        <f>+'Gen Rev'!AI266-'Gen Exp'!AE268+'Gen Exp'!AI268-AK268</f>
        <v>0</v>
      </c>
      <c r="AN268" s="10"/>
    </row>
    <row r="269" spans="1:40" s="19" customFormat="1" ht="12.75" hidden="1">
      <c r="A269" s="10" t="s">
        <v>101</v>
      </c>
      <c r="B269" s="10"/>
      <c r="C269" s="56" t="s">
        <v>781</v>
      </c>
      <c r="D269" s="56"/>
      <c r="E269" s="10">
        <v>0</v>
      </c>
      <c r="F269" s="10"/>
      <c r="G269" s="10">
        <v>0</v>
      </c>
      <c r="H269" s="10"/>
      <c r="I269" s="10">
        <v>0</v>
      </c>
      <c r="J269" s="10"/>
      <c r="K269" s="10">
        <v>0</v>
      </c>
      <c r="L269" s="10"/>
      <c r="M269" s="10">
        <v>0</v>
      </c>
      <c r="N269" s="10"/>
      <c r="O269" s="10">
        <v>0</v>
      </c>
      <c r="P269" s="10"/>
      <c r="Q269" s="10">
        <v>0</v>
      </c>
      <c r="R269" s="10"/>
      <c r="S269" s="10">
        <v>0</v>
      </c>
      <c r="T269" s="10"/>
      <c r="U269" s="10">
        <v>0</v>
      </c>
      <c r="V269" s="10"/>
      <c r="W269" s="10">
        <v>0</v>
      </c>
      <c r="X269" s="10"/>
      <c r="Y269" s="10">
        <v>0</v>
      </c>
      <c r="Z269" s="10"/>
      <c r="AA269" s="10">
        <v>0</v>
      </c>
      <c r="AB269" s="10"/>
      <c r="AC269" s="10">
        <v>0</v>
      </c>
      <c r="AD269" s="10"/>
      <c r="AE269" s="10">
        <f t="shared" si="5"/>
        <v>0</v>
      </c>
      <c r="AF269" s="10"/>
      <c r="AG269" s="10"/>
      <c r="AH269" s="10"/>
      <c r="AI269" s="10"/>
      <c r="AJ269" s="10"/>
      <c r="AK269" s="10"/>
      <c r="AL269" s="10"/>
      <c r="AM269" s="10">
        <f>+'Gen Rev'!AI267-'Gen Exp'!AE269+'Gen Exp'!AI269-AK269</f>
        <v>0</v>
      </c>
      <c r="AN269" s="10"/>
    </row>
    <row r="270" spans="1:40" ht="12.75" hidden="1">
      <c r="A270" s="1" t="s">
        <v>257</v>
      </c>
      <c r="C270" s="23" t="s">
        <v>830</v>
      </c>
      <c r="D270" s="23"/>
      <c r="E270" s="10">
        <v>0</v>
      </c>
      <c r="G270" s="10">
        <v>0</v>
      </c>
      <c r="I270" s="10">
        <v>0</v>
      </c>
      <c r="K270" s="10">
        <v>0</v>
      </c>
      <c r="M270" s="10">
        <v>0</v>
      </c>
      <c r="O270" s="10">
        <v>0</v>
      </c>
      <c r="Q270" s="10">
        <v>0</v>
      </c>
      <c r="S270" s="10">
        <v>0</v>
      </c>
      <c r="U270" s="10">
        <v>0</v>
      </c>
      <c r="W270" s="10">
        <v>0</v>
      </c>
      <c r="Y270" s="10">
        <v>0</v>
      </c>
      <c r="AA270" s="10">
        <v>0</v>
      </c>
      <c r="AC270" s="10">
        <v>0</v>
      </c>
      <c r="AE270" s="10">
        <f t="shared" si="5"/>
        <v>0</v>
      </c>
      <c r="AF270" s="10"/>
      <c r="AM270" s="10">
        <f>+'Gen Rev'!AI268-'Gen Exp'!AE270+'Gen Exp'!AI270-AK270</f>
        <v>0</v>
      </c>
    </row>
    <row r="271" spans="1:40" s="21" customFormat="1" ht="12.6" customHeight="1">
      <c r="A271" s="1" t="s">
        <v>321</v>
      </c>
      <c r="B271" s="1"/>
      <c r="C271" s="1" t="s">
        <v>316</v>
      </c>
      <c r="D271" s="1"/>
      <c r="E271" s="10">
        <v>1471913</v>
      </c>
      <c r="F271" s="10"/>
      <c r="G271" s="10">
        <v>1800</v>
      </c>
      <c r="H271" s="10"/>
      <c r="I271" s="10">
        <v>0</v>
      </c>
      <c r="J271" s="10"/>
      <c r="K271" s="10">
        <v>224120</v>
      </c>
      <c r="L271" s="10"/>
      <c r="M271" s="10">
        <v>91724</v>
      </c>
      <c r="N271" s="10"/>
      <c r="O271" s="10">
        <v>732967</v>
      </c>
      <c r="P271" s="10"/>
      <c r="Q271" s="10">
        <v>671493</v>
      </c>
      <c r="R271" s="10"/>
      <c r="S271" s="10">
        <v>3976361</v>
      </c>
      <c r="T271" s="10"/>
      <c r="U271" s="10">
        <v>0</v>
      </c>
      <c r="V271" s="10"/>
      <c r="W271" s="10">
        <v>175313</v>
      </c>
      <c r="X271" s="10"/>
      <c r="Y271" s="10">
        <v>243000</v>
      </c>
      <c r="Z271" s="10"/>
      <c r="AA271" s="10">
        <v>0</v>
      </c>
      <c r="AB271" s="10"/>
      <c r="AC271" s="10">
        <v>14550</v>
      </c>
      <c r="AD271" s="10"/>
      <c r="AE271" s="10">
        <f t="shared" si="5"/>
        <v>7603241</v>
      </c>
      <c r="AF271" s="10"/>
      <c r="AG271" s="46">
        <v>-2523312</v>
      </c>
      <c r="AH271" s="46"/>
      <c r="AI271" s="46">
        <v>18187398</v>
      </c>
      <c r="AJ271" s="46"/>
      <c r="AK271" s="46">
        <v>15664086</v>
      </c>
      <c r="AL271" s="46"/>
      <c r="AM271" s="10">
        <f>+'Gen Rev'!AI269-'Gen Exp'!AE271+'Gen Exp'!AI271-AK271</f>
        <v>0</v>
      </c>
      <c r="AN271" s="46"/>
    </row>
    <row r="272" spans="1:40" s="21" customFormat="1" ht="12.75" hidden="1">
      <c r="A272" s="1" t="s">
        <v>133</v>
      </c>
      <c r="B272" s="1"/>
      <c r="C272" s="23" t="s">
        <v>791</v>
      </c>
      <c r="D272" s="23"/>
      <c r="E272" s="10">
        <v>0</v>
      </c>
      <c r="F272" s="10"/>
      <c r="G272" s="10">
        <v>0</v>
      </c>
      <c r="H272" s="10"/>
      <c r="I272" s="10">
        <v>0</v>
      </c>
      <c r="J272" s="10"/>
      <c r="K272" s="10">
        <v>0</v>
      </c>
      <c r="L272" s="10"/>
      <c r="M272" s="10">
        <v>0</v>
      </c>
      <c r="N272" s="10"/>
      <c r="O272" s="10">
        <v>0</v>
      </c>
      <c r="P272" s="10"/>
      <c r="Q272" s="10">
        <v>0</v>
      </c>
      <c r="R272" s="10"/>
      <c r="S272" s="10">
        <v>0</v>
      </c>
      <c r="T272" s="10"/>
      <c r="U272" s="10">
        <v>0</v>
      </c>
      <c r="V272" s="10"/>
      <c r="W272" s="10">
        <v>0</v>
      </c>
      <c r="X272" s="10"/>
      <c r="Y272" s="10">
        <v>0</v>
      </c>
      <c r="Z272" s="10"/>
      <c r="AA272" s="10">
        <v>0</v>
      </c>
      <c r="AB272" s="10"/>
      <c r="AC272" s="10">
        <v>0</v>
      </c>
      <c r="AD272" s="10"/>
      <c r="AE272" s="10">
        <f t="shared" si="5"/>
        <v>0</v>
      </c>
      <c r="AF272" s="10"/>
      <c r="AG272" s="10"/>
      <c r="AH272" s="10"/>
      <c r="AI272" s="10"/>
      <c r="AJ272" s="10"/>
      <c r="AK272" s="10"/>
      <c r="AL272" s="10"/>
      <c r="AM272" s="10">
        <f>+'Gen Rev'!AI270-'Gen Exp'!AE272+'Gen Exp'!AI272-AK272</f>
        <v>0</v>
      </c>
      <c r="AN272" s="10"/>
    </row>
    <row r="273" spans="1:40" ht="12.75" hidden="1">
      <c r="A273" s="1" t="s">
        <v>118</v>
      </c>
      <c r="C273" s="23" t="s">
        <v>786</v>
      </c>
      <c r="D273" s="23"/>
      <c r="E273" s="10">
        <v>0</v>
      </c>
      <c r="G273" s="10">
        <v>0</v>
      </c>
      <c r="I273" s="10">
        <v>0</v>
      </c>
      <c r="K273" s="10">
        <v>0</v>
      </c>
      <c r="M273" s="10">
        <v>0</v>
      </c>
      <c r="O273" s="10">
        <v>0</v>
      </c>
      <c r="Q273" s="10">
        <v>0</v>
      </c>
      <c r="S273" s="10">
        <v>0</v>
      </c>
      <c r="U273" s="10">
        <v>0</v>
      </c>
      <c r="W273" s="10">
        <v>0</v>
      </c>
      <c r="Y273" s="10">
        <v>0</v>
      </c>
      <c r="AA273" s="10">
        <v>0</v>
      </c>
      <c r="AC273" s="10">
        <v>0</v>
      </c>
      <c r="AE273" s="10">
        <f t="shared" si="5"/>
        <v>0</v>
      </c>
      <c r="AF273" s="10"/>
      <c r="AM273" s="10">
        <f>+'Gen Rev'!AI271-'Gen Exp'!AE273+'Gen Exp'!AI273-AK273</f>
        <v>0</v>
      </c>
    </row>
    <row r="274" spans="1:40" s="63" customFormat="1" ht="12.6" hidden="1" customHeight="1">
      <c r="A274" s="59" t="s">
        <v>695</v>
      </c>
      <c r="B274" s="59"/>
      <c r="C274" s="59" t="s">
        <v>329</v>
      </c>
      <c r="D274" s="59"/>
      <c r="E274" s="60">
        <f>750+227+8338</f>
        <v>9315</v>
      </c>
      <c r="F274" s="60"/>
      <c r="G274" s="60">
        <v>301</v>
      </c>
      <c r="H274" s="60"/>
      <c r="I274" s="60">
        <v>7696</v>
      </c>
      <c r="J274" s="60"/>
      <c r="K274" s="60">
        <v>0</v>
      </c>
      <c r="L274" s="60"/>
      <c r="M274" s="60">
        <f>5580+574</f>
        <v>6154</v>
      </c>
      <c r="N274" s="60"/>
      <c r="O274" s="60">
        <v>0</v>
      </c>
      <c r="P274" s="60"/>
      <c r="Q274" s="60">
        <f>311+4465+860+5859+1090+151</f>
        <v>12736</v>
      </c>
      <c r="R274" s="60"/>
      <c r="S274" s="60">
        <v>3122</v>
      </c>
      <c r="T274" s="60"/>
      <c r="U274" s="60">
        <v>0</v>
      </c>
      <c r="V274" s="60"/>
      <c r="W274" s="60">
        <v>0</v>
      </c>
      <c r="X274" s="60"/>
      <c r="Y274" s="60">
        <v>0</v>
      </c>
      <c r="Z274" s="60"/>
      <c r="AA274" s="60">
        <v>0</v>
      </c>
      <c r="AB274" s="60"/>
      <c r="AC274" s="60">
        <v>123</v>
      </c>
      <c r="AD274" s="60"/>
      <c r="AE274" s="60">
        <f t="shared" si="5"/>
        <v>39447</v>
      </c>
      <c r="AF274" s="60"/>
      <c r="AG274" s="61">
        <f>27255-39447</f>
        <v>-12192</v>
      </c>
      <c r="AH274" s="61"/>
      <c r="AI274" s="61">
        <v>0</v>
      </c>
      <c r="AJ274" s="61"/>
      <c r="AK274" s="61">
        <v>0</v>
      </c>
      <c r="AL274" s="61"/>
      <c r="AM274" s="60">
        <f>+'Gen Rev'!AI272-'Gen Exp'!AE274+'Gen Exp'!AI274-AK274</f>
        <v>-12192</v>
      </c>
      <c r="AN274" s="61"/>
    </row>
    <row r="275" spans="1:40" ht="12.75" hidden="1">
      <c r="A275" s="1" t="s">
        <v>223</v>
      </c>
      <c r="C275" s="23" t="s">
        <v>819</v>
      </c>
      <c r="D275" s="23"/>
      <c r="E275" s="10">
        <v>0</v>
      </c>
      <c r="G275" s="10">
        <v>0</v>
      </c>
      <c r="I275" s="10">
        <v>0</v>
      </c>
      <c r="K275" s="10">
        <v>0</v>
      </c>
      <c r="M275" s="10">
        <v>0</v>
      </c>
      <c r="O275" s="10">
        <v>0</v>
      </c>
      <c r="Q275" s="10">
        <v>0</v>
      </c>
      <c r="S275" s="10">
        <v>0</v>
      </c>
      <c r="U275" s="10">
        <v>0</v>
      </c>
      <c r="W275" s="10">
        <v>0</v>
      </c>
      <c r="Y275" s="10">
        <v>0</v>
      </c>
      <c r="AA275" s="10">
        <v>0</v>
      </c>
      <c r="AC275" s="10">
        <v>0</v>
      </c>
      <c r="AE275" s="10">
        <f t="shared" si="5"/>
        <v>0</v>
      </c>
      <c r="AF275" s="10"/>
      <c r="AM275" s="10">
        <f>+'Gen Rev'!AI273-'Gen Exp'!AE275+'Gen Exp'!AI275-AK275</f>
        <v>0</v>
      </c>
    </row>
    <row r="276" spans="1:40" s="63" customFormat="1" ht="12.6" hidden="1" customHeight="1">
      <c r="A276" s="59" t="s">
        <v>697</v>
      </c>
      <c r="B276" s="59"/>
      <c r="C276" s="59" t="s">
        <v>696</v>
      </c>
      <c r="D276" s="59"/>
      <c r="E276" s="60">
        <v>1853</v>
      </c>
      <c r="F276" s="60"/>
      <c r="G276" s="60">
        <v>0</v>
      </c>
      <c r="H276" s="60"/>
      <c r="I276" s="60">
        <v>0</v>
      </c>
      <c r="J276" s="60"/>
      <c r="K276" s="60">
        <v>0</v>
      </c>
      <c r="L276" s="60"/>
      <c r="M276" s="60">
        <v>6668</v>
      </c>
      <c r="N276" s="60"/>
      <c r="O276" s="60">
        <v>0</v>
      </c>
      <c r="P276" s="60"/>
      <c r="Q276" s="60">
        <v>19404</v>
      </c>
      <c r="R276" s="60"/>
      <c r="S276" s="60">
        <v>0</v>
      </c>
      <c r="T276" s="60"/>
      <c r="U276" s="60">
        <v>0</v>
      </c>
      <c r="V276" s="60"/>
      <c r="W276" s="60">
        <v>0</v>
      </c>
      <c r="X276" s="60"/>
      <c r="Y276" s="60">
        <v>0</v>
      </c>
      <c r="Z276" s="60"/>
      <c r="AA276" s="60">
        <v>0</v>
      </c>
      <c r="AB276" s="60"/>
      <c r="AC276" s="60">
        <v>0</v>
      </c>
      <c r="AD276" s="60"/>
      <c r="AE276" s="60">
        <f t="shared" si="5"/>
        <v>27925</v>
      </c>
      <c r="AF276" s="60"/>
      <c r="AG276" s="61">
        <v>8470</v>
      </c>
      <c r="AH276" s="61"/>
      <c r="AI276" s="61">
        <v>0</v>
      </c>
      <c r="AJ276" s="61"/>
      <c r="AK276" s="61">
        <v>0</v>
      </c>
      <c r="AL276" s="61"/>
      <c r="AM276" s="60">
        <f>+'Gen Rev'!AI274-'Gen Exp'!AE276+'Gen Exp'!AI276-AK276</f>
        <v>-8470</v>
      </c>
      <c r="AN276" s="61"/>
    </row>
    <row r="277" spans="1:40" s="21" customFormat="1" ht="12.75" hidden="1">
      <c r="A277" s="1" t="s">
        <v>84</v>
      </c>
      <c r="B277" s="1"/>
      <c r="C277" s="23" t="s">
        <v>776</v>
      </c>
      <c r="D277" s="23"/>
      <c r="E277" s="10">
        <v>0</v>
      </c>
      <c r="F277" s="10"/>
      <c r="G277" s="10">
        <v>0</v>
      </c>
      <c r="H277" s="10"/>
      <c r="I277" s="10">
        <v>0</v>
      </c>
      <c r="J277" s="10"/>
      <c r="K277" s="10">
        <v>0</v>
      </c>
      <c r="L277" s="10"/>
      <c r="M277" s="10">
        <v>0</v>
      </c>
      <c r="N277" s="10"/>
      <c r="O277" s="10">
        <v>0</v>
      </c>
      <c r="P277" s="10"/>
      <c r="Q277" s="10">
        <v>0</v>
      </c>
      <c r="R277" s="10"/>
      <c r="S277" s="10">
        <v>0</v>
      </c>
      <c r="T277" s="10"/>
      <c r="U277" s="10">
        <v>0</v>
      </c>
      <c r="V277" s="10"/>
      <c r="W277" s="10">
        <v>0</v>
      </c>
      <c r="X277" s="10"/>
      <c r="Y277" s="10">
        <v>0</v>
      </c>
      <c r="Z277" s="10"/>
      <c r="AA277" s="10">
        <v>0</v>
      </c>
      <c r="AB277" s="10"/>
      <c r="AC277" s="10">
        <v>0</v>
      </c>
      <c r="AD277" s="10"/>
      <c r="AE277" s="10">
        <f t="shared" si="5"/>
        <v>0</v>
      </c>
      <c r="AF277" s="10"/>
      <c r="AG277" s="10"/>
      <c r="AH277" s="10"/>
      <c r="AI277" s="10"/>
      <c r="AJ277" s="10"/>
      <c r="AK277" s="10"/>
      <c r="AL277" s="10"/>
      <c r="AM277" s="10">
        <f>+'Gen Rev'!AI275-'Gen Exp'!AE277+'Gen Exp'!AI277-AK277</f>
        <v>0</v>
      </c>
      <c r="AN277" s="10"/>
    </row>
    <row r="278" spans="1:40" s="21" customFormat="1" ht="12.6" customHeight="1">
      <c r="A278" s="1" t="s">
        <v>698</v>
      </c>
      <c r="B278" s="1"/>
      <c r="C278" s="1" t="s">
        <v>677</v>
      </c>
      <c r="D278" s="1"/>
      <c r="E278" s="10">
        <v>167232</v>
      </c>
      <c r="F278" s="10"/>
      <c r="G278" s="10">
        <v>0</v>
      </c>
      <c r="H278" s="10"/>
      <c r="I278" s="10">
        <v>0</v>
      </c>
      <c r="J278" s="10"/>
      <c r="K278" s="10">
        <v>0</v>
      </c>
      <c r="L278" s="10"/>
      <c r="M278" s="10">
        <v>0</v>
      </c>
      <c r="N278" s="10"/>
      <c r="O278" s="10">
        <v>180129</v>
      </c>
      <c r="P278" s="10"/>
      <c r="Q278" s="10">
        <v>489428</v>
      </c>
      <c r="R278" s="10"/>
      <c r="S278" s="10">
        <v>0</v>
      </c>
      <c r="T278" s="10"/>
      <c r="U278" s="10">
        <v>0</v>
      </c>
      <c r="V278" s="10"/>
      <c r="W278" s="10">
        <v>0</v>
      </c>
      <c r="X278" s="10"/>
      <c r="Y278" s="10">
        <v>70000</v>
      </c>
      <c r="Z278" s="10"/>
      <c r="AA278" s="10">
        <v>0</v>
      </c>
      <c r="AB278" s="10"/>
      <c r="AC278" s="10">
        <v>0</v>
      </c>
      <c r="AD278" s="10"/>
      <c r="AE278" s="10">
        <f t="shared" si="5"/>
        <v>906789</v>
      </c>
      <c r="AF278" s="10"/>
      <c r="AG278" s="46">
        <v>12832</v>
      </c>
      <c r="AH278" s="46"/>
      <c r="AI278" s="46">
        <v>195897</v>
      </c>
      <c r="AJ278" s="46"/>
      <c r="AK278" s="46">
        <v>208730</v>
      </c>
      <c r="AL278" s="46"/>
      <c r="AM278" s="10">
        <f>+'Gen Rev'!AI276-'Gen Exp'!AE278+'Gen Exp'!AI278-AK278</f>
        <v>0</v>
      </c>
      <c r="AN278" s="46"/>
    </row>
    <row r="279" spans="1:40" ht="12.75" hidden="1">
      <c r="A279" s="1" t="s">
        <v>69</v>
      </c>
      <c r="C279" s="23" t="s">
        <v>772</v>
      </c>
      <c r="D279" s="23"/>
      <c r="E279" s="10">
        <v>0</v>
      </c>
      <c r="G279" s="10">
        <v>0</v>
      </c>
      <c r="I279" s="10">
        <v>0</v>
      </c>
      <c r="K279" s="10">
        <v>0</v>
      </c>
      <c r="M279" s="10">
        <v>0</v>
      </c>
      <c r="O279" s="10">
        <v>0</v>
      </c>
      <c r="Q279" s="10">
        <v>0</v>
      </c>
      <c r="S279" s="10">
        <v>0</v>
      </c>
      <c r="U279" s="10">
        <v>0</v>
      </c>
      <c r="W279" s="10">
        <v>0</v>
      </c>
      <c r="Y279" s="10">
        <v>0</v>
      </c>
      <c r="AA279" s="10">
        <v>0</v>
      </c>
      <c r="AC279" s="10">
        <v>0</v>
      </c>
      <c r="AE279" s="10">
        <f t="shared" si="5"/>
        <v>0</v>
      </c>
      <c r="AF279" s="10"/>
      <c r="AG279" s="46"/>
      <c r="AH279" s="46"/>
      <c r="AI279" s="46"/>
      <c r="AJ279" s="46"/>
      <c r="AK279" s="46"/>
      <c r="AL279" s="46"/>
      <c r="AM279" s="10">
        <f>+'Gen Rev'!AI277-'Gen Exp'!AE279+'Gen Exp'!AI279-AK279</f>
        <v>0</v>
      </c>
      <c r="AN279" s="46"/>
    </row>
    <row r="280" spans="1:40" ht="12.75" hidden="1">
      <c r="C280" s="23"/>
      <c r="D280" s="23"/>
      <c r="AE280" s="10" t="s">
        <v>869</v>
      </c>
      <c r="AF280" s="10"/>
      <c r="AG280" s="46"/>
      <c r="AH280" s="46"/>
      <c r="AI280" s="46"/>
      <c r="AJ280" s="46"/>
      <c r="AK280" s="46"/>
      <c r="AL280" s="46"/>
      <c r="AN280" s="46"/>
    </row>
    <row r="281" spans="1:40" s="54" customFormat="1" hidden="1">
      <c r="A281" s="40" t="s">
        <v>699</v>
      </c>
      <c r="B281" s="40"/>
      <c r="C281" s="40" t="s">
        <v>388</v>
      </c>
      <c r="D281" s="40"/>
      <c r="E281" s="40">
        <v>0</v>
      </c>
      <c r="F281" s="40"/>
      <c r="G281" s="40">
        <v>0</v>
      </c>
      <c r="H281" s="40"/>
      <c r="I281" s="40">
        <v>0</v>
      </c>
      <c r="J281" s="40"/>
      <c r="K281" s="40">
        <v>0</v>
      </c>
      <c r="L281" s="40"/>
      <c r="M281" s="40">
        <v>0</v>
      </c>
      <c r="N281" s="40"/>
      <c r="O281" s="40">
        <v>0</v>
      </c>
      <c r="P281" s="40"/>
      <c r="Q281" s="40">
        <v>0</v>
      </c>
      <c r="R281" s="40"/>
      <c r="S281" s="40">
        <v>0</v>
      </c>
      <c r="T281" s="40"/>
      <c r="U281" s="40">
        <v>0</v>
      </c>
      <c r="V281" s="40"/>
      <c r="W281" s="40">
        <v>0</v>
      </c>
      <c r="X281" s="40"/>
      <c r="Y281" s="40">
        <v>0</v>
      </c>
      <c r="Z281" s="40"/>
      <c r="AA281" s="40">
        <v>0</v>
      </c>
      <c r="AB281" s="40"/>
      <c r="AC281" s="40">
        <v>0</v>
      </c>
      <c r="AD281" s="40"/>
      <c r="AE281" s="40">
        <f t="shared" si="5"/>
        <v>0</v>
      </c>
      <c r="AF281" s="40"/>
      <c r="AG281" s="10"/>
      <c r="AH281" s="10"/>
      <c r="AI281" s="10"/>
      <c r="AJ281" s="10"/>
      <c r="AK281" s="10"/>
      <c r="AL281" s="10"/>
      <c r="AM281" s="10">
        <f>+'Gen Rev'!AI286-'Gen Exp'!AE281+'Gen Exp'!AI281-AK281</f>
        <v>0</v>
      </c>
      <c r="AN281" s="10"/>
    </row>
    <row r="282" spans="1:40" s="21" customFormat="1" ht="12.75">
      <c r="A282" s="1" t="s">
        <v>700</v>
      </c>
      <c r="B282" s="1"/>
      <c r="C282" s="23" t="s">
        <v>672</v>
      </c>
      <c r="D282" s="23"/>
      <c r="E282" s="10">
        <v>6197</v>
      </c>
      <c r="F282" s="10"/>
      <c r="G282" s="10">
        <v>642</v>
      </c>
      <c r="H282" s="10"/>
      <c r="I282" s="10">
        <v>8295</v>
      </c>
      <c r="J282" s="10"/>
      <c r="K282" s="10">
        <v>0</v>
      </c>
      <c r="L282" s="10"/>
      <c r="M282" s="10">
        <v>0</v>
      </c>
      <c r="N282" s="10"/>
      <c r="O282" s="10">
        <v>16641</v>
      </c>
      <c r="P282" s="10"/>
      <c r="Q282" s="10">
        <v>49873</v>
      </c>
      <c r="R282" s="10"/>
      <c r="S282" s="10">
        <v>19295</v>
      </c>
      <c r="T282" s="10"/>
      <c r="U282" s="10">
        <v>0</v>
      </c>
      <c r="V282" s="10"/>
      <c r="W282" s="10">
        <v>0</v>
      </c>
      <c r="X282" s="10"/>
      <c r="Y282" s="10">
        <v>0</v>
      </c>
      <c r="Z282" s="10"/>
      <c r="AA282" s="10">
        <v>0</v>
      </c>
      <c r="AB282" s="10"/>
      <c r="AC282" s="10">
        <v>949</v>
      </c>
      <c r="AD282" s="10"/>
      <c r="AE282" s="10">
        <f t="shared" si="5"/>
        <v>101892</v>
      </c>
      <c r="AF282" s="10"/>
      <c r="AG282" s="46">
        <v>2865</v>
      </c>
      <c r="AH282" s="46"/>
      <c r="AI282" s="46">
        <v>57029</v>
      </c>
      <c r="AJ282" s="46"/>
      <c r="AK282" s="46">
        <v>59894</v>
      </c>
      <c r="AL282" s="46"/>
      <c r="AM282" s="10">
        <f>+'Gen Rev'!AI279-'Gen Exp'!AE282+'Gen Exp'!AI282-AK282</f>
        <v>0</v>
      </c>
      <c r="AN282" s="46"/>
    </row>
    <row r="283" spans="1:40" s="21" customFormat="1" hidden="1">
      <c r="A283" s="1" t="s">
        <v>701</v>
      </c>
      <c r="B283" s="1"/>
      <c r="C283" s="1" t="s">
        <v>606</v>
      </c>
      <c r="D283" s="1"/>
      <c r="E283" s="10">
        <v>0</v>
      </c>
      <c r="F283" s="10"/>
      <c r="G283" s="10">
        <v>0</v>
      </c>
      <c r="H283" s="10"/>
      <c r="I283" s="10">
        <v>0</v>
      </c>
      <c r="J283" s="10"/>
      <c r="K283" s="10">
        <v>0</v>
      </c>
      <c r="L283" s="10"/>
      <c r="M283" s="10">
        <v>0</v>
      </c>
      <c r="N283" s="10"/>
      <c r="O283" s="10">
        <v>0</v>
      </c>
      <c r="P283" s="10"/>
      <c r="Q283" s="10">
        <v>0</v>
      </c>
      <c r="R283" s="10"/>
      <c r="S283" s="10">
        <v>0</v>
      </c>
      <c r="T283" s="10"/>
      <c r="U283" s="10">
        <v>0</v>
      </c>
      <c r="V283" s="10"/>
      <c r="W283" s="10">
        <v>0</v>
      </c>
      <c r="X283" s="10"/>
      <c r="Y283" s="10">
        <v>0</v>
      </c>
      <c r="Z283" s="10"/>
      <c r="AA283" s="10">
        <v>0</v>
      </c>
      <c r="AB283" s="10"/>
      <c r="AC283" s="10">
        <v>0</v>
      </c>
      <c r="AD283" s="10"/>
      <c r="AE283" s="10">
        <f t="shared" si="5"/>
        <v>0</v>
      </c>
      <c r="AF283" s="10"/>
      <c r="AG283" s="10"/>
      <c r="AH283" s="10"/>
      <c r="AI283" s="10"/>
      <c r="AJ283" s="10"/>
      <c r="AK283" s="10"/>
      <c r="AL283" s="10"/>
      <c r="AM283" s="10">
        <f>+'Gen Rev'!AI288-'Gen Exp'!AE283+'Gen Exp'!AI283-AK283</f>
        <v>0</v>
      </c>
      <c r="AN283" s="10"/>
    </row>
    <row r="284" spans="1:40" s="59" customFormat="1" ht="12.75" hidden="1">
      <c r="A284" s="59" t="s">
        <v>912</v>
      </c>
      <c r="C284" s="57" t="s">
        <v>801</v>
      </c>
      <c r="D284" s="57"/>
      <c r="E284" s="60">
        <v>500</v>
      </c>
      <c r="F284" s="60"/>
      <c r="G284" s="60">
        <v>0</v>
      </c>
      <c r="H284" s="60"/>
      <c r="I284" s="60">
        <v>0</v>
      </c>
      <c r="J284" s="60"/>
      <c r="K284" s="60">
        <v>0</v>
      </c>
      <c r="L284" s="60"/>
      <c r="M284" s="60">
        <f>500+800+200+688</f>
        <v>2188</v>
      </c>
      <c r="N284" s="60"/>
      <c r="O284" s="60">
        <v>0</v>
      </c>
      <c r="P284" s="60"/>
      <c r="Q284" s="60">
        <f>2647+1703+870+1142</f>
        <v>6362</v>
      </c>
      <c r="R284" s="60"/>
      <c r="S284" s="60">
        <v>0</v>
      </c>
      <c r="T284" s="60"/>
      <c r="U284" s="60">
        <v>0</v>
      </c>
      <c r="V284" s="60"/>
      <c r="W284" s="60">
        <v>0</v>
      </c>
      <c r="X284" s="60"/>
      <c r="Y284" s="60">
        <v>0</v>
      </c>
      <c r="Z284" s="60"/>
      <c r="AA284" s="60">
        <v>0</v>
      </c>
      <c r="AB284" s="60"/>
      <c r="AC284" s="60">
        <v>0</v>
      </c>
      <c r="AD284" s="60"/>
      <c r="AE284" s="60">
        <f>SUM(E284:AC284)</f>
        <v>9050</v>
      </c>
      <c r="AF284" s="60"/>
      <c r="AG284" s="60">
        <v>1048</v>
      </c>
      <c r="AH284" s="60"/>
      <c r="AI284" s="60">
        <v>1878</v>
      </c>
      <c r="AJ284" s="60"/>
      <c r="AK284" s="60">
        <v>3169</v>
      </c>
      <c r="AL284" s="60"/>
      <c r="AM284" s="60">
        <f>+'Gen Rev'!AI280-'Gen Exp'!AE284+'Gen Exp'!AI284-AK284</f>
        <v>-243</v>
      </c>
      <c r="AN284" s="60"/>
    </row>
    <row r="285" spans="1:40" ht="12.75" hidden="1">
      <c r="A285" s="1" t="s">
        <v>102</v>
      </c>
      <c r="C285" s="23" t="s">
        <v>781</v>
      </c>
      <c r="D285" s="23"/>
      <c r="E285" s="10">
        <v>0</v>
      </c>
      <c r="G285" s="10">
        <v>0</v>
      </c>
      <c r="I285" s="10">
        <v>0</v>
      </c>
      <c r="K285" s="10">
        <v>0</v>
      </c>
      <c r="M285" s="10">
        <v>0</v>
      </c>
      <c r="O285" s="10">
        <v>0</v>
      </c>
      <c r="Q285" s="10">
        <v>0</v>
      </c>
      <c r="S285" s="10">
        <v>0</v>
      </c>
      <c r="U285" s="10">
        <v>0</v>
      </c>
      <c r="W285" s="10">
        <v>0</v>
      </c>
      <c r="Y285" s="10">
        <v>0</v>
      </c>
      <c r="AA285" s="10">
        <v>0</v>
      </c>
      <c r="AC285" s="10">
        <v>0</v>
      </c>
      <c r="AE285" s="10">
        <f t="shared" si="5"/>
        <v>0</v>
      </c>
      <c r="AF285" s="10"/>
      <c r="AM285" s="10">
        <f>+'Gen Rev'!AI289-'Gen Exp'!AE285+'Gen Exp'!AI285-AK285</f>
        <v>0</v>
      </c>
    </row>
    <row r="286" spans="1:40" s="21" customFormat="1" ht="12.75">
      <c r="A286" s="1" t="s">
        <v>131</v>
      </c>
      <c r="B286" s="1"/>
      <c r="C286" s="23" t="s">
        <v>790</v>
      </c>
      <c r="D286" s="23"/>
      <c r="E286" s="10">
        <v>1017635</v>
      </c>
      <c r="F286" s="10"/>
      <c r="G286" s="10">
        <v>14997</v>
      </c>
      <c r="H286" s="10"/>
      <c r="I286" s="10">
        <v>62786</v>
      </c>
      <c r="J286" s="10"/>
      <c r="K286" s="10">
        <v>215626</v>
      </c>
      <c r="L286" s="10"/>
      <c r="M286" s="10">
        <v>0</v>
      </c>
      <c r="N286" s="10"/>
      <c r="O286" s="10">
        <v>44188</v>
      </c>
      <c r="P286" s="10"/>
      <c r="Q286" s="10">
        <v>479392</v>
      </c>
      <c r="R286" s="10"/>
      <c r="S286" s="10">
        <v>0</v>
      </c>
      <c r="T286" s="10"/>
      <c r="U286" s="10">
        <v>0</v>
      </c>
      <c r="V286" s="10"/>
      <c r="W286" s="10">
        <v>0</v>
      </c>
      <c r="X286" s="10"/>
      <c r="Y286" s="10">
        <v>233576</v>
      </c>
      <c r="Z286" s="10"/>
      <c r="AA286" s="10">
        <v>0</v>
      </c>
      <c r="AB286" s="10"/>
      <c r="AC286" s="10">
        <v>33311</v>
      </c>
      <c r="AD286" s="10"/>
      <c r="AE286" s="10">
        <f t="shared" si="5"/>
        <v>2101511</v>
      </c>
      <c r="AF286" s="10"/>
      <c r="AG286" s="10">
        <v>-279406</v>
      </c>
      <c r="AH286" s="10"/>
      <c r="AI286" s="10">
        <v>770073</v>
      </c>
      <c r="AJ286" s="10"/>
      <c r="AK286" s="10">
        <v>490667</v>
      </c>
      <c r="AL286" s="10"/>
      <c r="AM286" s="10">
        <f>+'Gen Rev'!AI281-'Gen Exp'!AE286+'Gen Exp'!AI286-AK286</f>
        <v>0</v>
      </c>
      <c r="AN286" s="10"/>
    </row>
    <row r="287" spans="1:40">
      <c r="A287" s="1" t="s">
        <v>702</v>
      </c>
      <c r="C287" s="1" t="s">
        <v>504</v>
      </c>
      <c r="E287" s="10">
        <v>44714</v>
      </c>
      <c r="G287" s="10">
        <v>0</v>
      </c>
      <c r="I287" s="10">
        <v>0</v>
      </c>
      <c r="K287" s="10">
        <v>0</v>
      </c>
      <c r="M287" s="10">
        <v>0</v>
      </c>
      <c r="O287" s="10">
        <v>3642</v>
      </c>
      <c r="Q287" s="10">
        <v>58990</v>
      </c>
      <c r="S287" s="10">
        <v>0</v>
      </c>
      <c r="U287" s="10">
        <v>0</v>
      </c>
      <c r="W287" s="10">
        <v>0</v>
      </c>
      <c r="Y287" s="10">
        <v>0</v>
      </c>
      <c r="AA287" s="10">
        <v>0</v>
      </c>
      <c r="AC287" s="10">
        <v>0</v>
      </c>
      <c r="AE287" s="10">
        <f t="shared" si="5"/>
        <v>107346</v>
      </c>
      <c r="AF287" s="10"/>
      <c r="AG287" s="10">
        <v>-404</v>
      </c>
      <c r="AI287" s="10">
        <v>29202</v>
      </c>
      <c r="AK287" s="10">
        <v>28798</v>
      </c>
      <c r="AM287" s="10">
        <f>+'Gen Rev'!AI282-'Gen Exp'!AE287+'Gen Exp'!AI287-AK287</f>
        <v>0</v>
      </c>
    </row>
    <row r="288" spans="1:40" ht="12.75" hidden="1">
      <c r="A288" s="1" t="s">
        <v>847</v>
      </c>
      <c r="C288" s="23" t="s">
        <v>813</v>
      </c>
      <c r="D288" s="23"/>
      <c r="E288" s="10">
        <v>0</v>
      </c>
      <c r="G288" s="10">
        <v>0</v>
      </c>
      <c r="I288" s="10">
        <v>0</v>
      </c>
      <c r="K288" s="10">
        <v>0</v>
      </c>
      <c r="M288" s="10">
        <v>0</v>
      </c>
      <c r="O288" s="10">
        <v>0</v>
      </c>
      <c r="Q288" s="10">
        <v>0</v>
      </c>
      <c r="S288" s="10">
        <v>0</v>
      </c>
      <c r="U288" s="10">
        <v>0</v>
      </c>
      <c r="W288" s="10">
        <v>0</v>
      </c>
      <c r="Y288" s="10">
        <v>0</v>
      </c>
      <c r="AA288" s="10">
        <v>0</v>
      </c>
      <c r="AC288" s="10">
        <v>0</v>
      </c>
      <c r="AE288" s="10">
        <f t="shared" si="5"/>
        <v>0</v>
      </c>
      <c r="AF288" s="10"/>
      <c r="AM288" s="10">
        <f>+'Gen Rev'!AI284-'Gen Exp'!AE288+'Gen Exp'!AI288-AK288</f>
        <v>29580</v>
      </c>
    </row>
    <row r="289" spans="1:40" s="21" customFormat="1" ht="12.6" customHeight="1">
      <c r="A289" s="1" t="s">
        <v>703</v>
      </c>
      <c r="B289" s="1"/>
      <c r="C289" s="1" t="s">
        <v>348</v>
      </c>
      <c r="D289" s="1"/>
      <c r="E289" s="10">
        <v>151410</v>
      </c>
      <c r="F289" s="10"/>
      <c r="G289" s="10">
        <v>1261</v>
      </c>
      <c r="H289" s="10"/>
      <c r="I289" s="10">
        <v>0</v>
      </c>
      <c r="J289" s="10"/>
      <c r="K289" s="10">
        <v>26079</v>
      </c>
      <c r="L289" s="10"/>
      <c r="M289" s="10">
        <v>0</v>
      </c>
      <c r="N289" s="10"/>
      <c r="O289" s="10">
        <v>89620</v>
      </c>
      <c r="P289" s="10"/>
      <c r="Q289" s="10">
        <v>305295</v>
      </c>
      <c r="R289" s="10"/>
      <c r="S289" s="10">
        <v>84076</v>
      </c>
      <c r="T289" s="10"/>
      <c r="U289" s="10">
        <v>0</v>
      </c>
      <c r="V289" s="10"/>
      <c r="W289" s="10">
        <v>0</v>
      </c>
      <c r="X289" s="10"/>
      <c r="Y289" s="10">
        <v>1929</v>
      </c>
      <c r="Z289" s="10"/>
      <c r="AA289" s="10">
        <v>0</v>
      </c>
      <c r="AB289" s="10"/>
      <c r="AC289" s="10">
        <v>0</v>
      </c>
      <c r="AD289" s="10"/>
      <c r="AE289" s="10">
        <f t="shared" ref="AE289:AE333" si="6">SUM(E289:AC289)</f>
        <v>659670</v>
      </c>
      <c r="AF289" s="40"/>
      <c r="AG289" s="46">
        <v>-87252</v>
      </c>
      <c r="AH289" s="46"/>
      <c r="AI289" s="46">
        <v>711478</v>
      </c>
      <c r="AJ289" s="46"/>
      <c r="AK289" s="46">
        <v>624226</v>
      </c>
      <c r="AL289" s="46"/>
      <c r="AM289" s="10">
        <f>+'Gen Rev'!AI283-'Gen Exp'!AE289+'Gen Exp'!AI289-AK289</f>
        <v>0</v>
      </c>
      <c r="AN289" s="46"/>
    </row>
    <row r="290" spans="1:40" s="63" customFormat="1" hidden="1">
      <c r="A290" s="59" t="s">
        <v>704</v>
      </c>
      <c r="B290" s="59"/>
      <c r="C290" s="59" t="s">
        <v>541</v>
      </c>
      <c r="D290" s="59"/>
      <c r="E290" s="60">
        <v>3441</v>
      </c>
      <c r="F290" s="60"/>
      <c r="G290" s="60">
        <v>0</v>
      </c>
      <c r="H290" s="60"/>
      <c r="I290" s="60">
        <v>2925</v>
      </c>
      <c r="J290" s="60"/>
      <c r="K290" s="60">
        <v>354</v>
      </c>
      <c r="L290" s="60"/>
      <c r="M290" s="60">
        <v>13253</v>
      </c>
      <c r="N290" s="60"/>
      <c r="O290" s="60">
        <v>2779</v>
      </c>
      <c r="P290" s="60"/>
      <c r="Q290" s="60">
        <v>10173</v>
      </c>
      <c r="R290" s="60"/>
      <c r="S290" s="60">
        <v>0</v>
      </c>
      <c r="T290" s="60"/>
      <c r="U290" s="60">
        <v>0</v>
      </c>
      <c r="V290" s="60"/>
      <c r="W290" s="60">
        <v>0</v>
      </c>
      <c r="X290" s="60"/>
      <c r="Y290" s="60">
        <v>0</v>
      </c>
      <c r="Z290" s="60"/>
      <c r="AA290" s="60">
        <v>0</v>
      </c>
      <c r="AB290" s="60"/>
      <c r="AC290" s="60">
        <v>0</v>
      </c>
      <c r="AD290" s="60"/>
      <c r="AE290" s="60">
        <f t="shared" si="6"/>
        <v>32925</v>
      </c>
      <c r="AF290" s="60"/>
      <c r="AG290" s="60">
        <v>-3345</v>
      </c>
      <c r="AH290" s="60"/>
      <c r="AI290" s="60">
        <v>32963</v>
      </c>
      <c r="AJ290" s="60"/>
      <c r="AK290" s="60">
        <v>28180</v>
      </c>
      <c r="AL290" s="60"/>
      <c r="AM290" s="60">
        <f>+'Gen Rev'!AI284-'Gen Exp'!AE290+'Gen Exp'!AI290-AK290</f>
        <v>1438</v>
      </c>
      <c r="AN290" s="60"/>
    </row>
    <row r="291" spans="1:40" ht="12.75">
      <c r="A291" s="1" t="s">
        <v>913</v>
      </c>
      <c r="C291" s="23" t="s">
        <v>412</v>
      </c>
      <c r="D291" s="23"/>
      <c r="E291" s="10">
        <v>17798</v>
      </c>
      <c r="G291" s="10">
        <v>3224</v>
      </c>
      <c r="I291" s="10">
        <v>18905</v>
      </c>
      <c r="K291" s="10">
        <v>0</v>
      </c>
      <c r="M291" s="10">
        <v>8761</v>
      </c>
      <c r="O291" s="10">
        <v>0</v>
      </c>
      <c r="Q291" s="10">
        <v>39486</v>
      </c>
      <c r="S291" s="10">
        <v>0</v>
      </c>
      <c r="U291" s="10">
        <v>0</v>
      </c>
      <c r="W291" s="10">
        <v>0</v>
      </c>
      <c r="Y291" s="10">
        <v>0</v>
      </c>
      <c r="AA291" s="10">
        <v>0</v>
      </c>
      <c r="AC291" s="10">
        <v>0</v>
      </c>
      <c r="AE291" s="10">
        <f>SUM(E291:AC291)</f>
        <v>88174</v>
      </c>
      <c r="AF291" s="10"/>
      <c r="AG291" s="10">
        <v>32568</v>
      </c>
      <c r="AI291" s="10">
        <v>114894</v>
      </c>
      <c r="AK291" s="10">
        <v>147463</v>
      </c>
      <c r="AM291" s="10">
        <f>+'Gen Rev'!AI285-'Gen Exp'!AE291+'Gen Exp'!AI291-AK291</f>
        <v>0</v>
      </c>
    </row>
    <row r="292" spans="1:40" ht="12.75" hidden="1">
      <c r="A292" s="1" t="s">
        <v>213</v>
      </c>
      <c r="C292" s="23" t="s">
        <v>815</v>
      </c>
      <c r="D292" s="23"/>
      <c r="E292" s="10">
        <v>0</v>
      </c>
      <c r="G292" s="10">
        <v>0</v>
      </c>
      <c r="I292" s="10">
        <v>0</v>
      </c>
      <c r="K292" s="10">
        <v>0</v>
      </c>
      <c r="M292" s="10">
        <v>0</v>
      </c>
      <c r="O292" s="10">
        <v>0</v>
      </c>
      <c r="Q292" s="10">
        <v>0</v>
      </c>
      <c r="S292" s="10">
        <v>0</v>
      </c>
      <c r="U292" s="10">
        <v>0</v>
      </c>
      <c r="W292" s="10">
        <v>0</v>
      </c>
      <c r="Y292" s="10">
        <v>0</v>
      </c>
      <c r="AA292" s="10">
        <v>0</v>
      </c>
      <c r="AC292" s="10">
        <v>0</v>
      </c>
      <c r="AE292" s="10">
        <f t="shared" si="6"/>
        <v>0</v>
      </c>
      <c r="AF292" s="10"/>
      <c r="AM292" s="10">
        <f>+'Gen Rev'!AI286-'Gen Exp'!AE292+'Gen Exp'!AI292-AK292</f>
        <v>0</v>
      </c>
    </row>
    <row r="293" spans="1:40" s="21" customFormat="1" ht="12.75" hidden="1">
      <c r="A293" s="1" t="s">
        <v>136</v>
      </c>
      <c r="B293" s="1"/>
      <c r="C293" s="23" t="s">
        <v>792</v>
      </c>
      <c r="D293" s="23"/>
      <c r="E293" s="10">
        <v>0</v>
      </c>
      <c r="F293" s="10"/>
      <c r="G293" s="10">
        <v>0</v>
      </c>
      <c r="H293" s="10"/>
      <c r="I293" s="10">
        <v>0</v>
      </c>
      <c r="J293" s="10"/>
      <c r="K293" s="10">
        <v>0</v>
      </c>
      <c r="L293" s="10"/>
      <c r="M293" s="10">
        <v>0</v>
      </c>
      <c r="N293" s="10"/>
      <c r="O293" s="10">
        <v>0</v>
      </c>
      <c r="P293" s="10"/>
      <c r="Q293" s="10">
        <v>0</v>
      </c>
      <c r="R293" s="10"/>
      <c r="S293" s="10">
        <v>0</v>
      </c>
      <c r="T293" s="10"/>
      <c r="U293" s="10">
        <v>0</v>
      </c>
      <c r="V293" s="10"/>
      <c r="W293" s="10">
        <v>0</v>
      </c>
      <c r="X293" s="10"/>
      <c r="Y293" s="10">
        <v>0</v>
      </c>
      <c r="Z293" s="10"/>
      <c r="AA293" s="10">
        <v>0</v>
      </c>
      <c r="AB293" s="10"/>
      <c r="AC293" s="10">
        <v>0</v>
      </c>
      <c r="AD293" s="10"/>
      <c r="AE293" s="10">
        <f t="shared" si="6"/>
        <v>0</v>
      </c>
      <c r="AF293" s="10"/>
      <c r="AG293" s="10"/>
      <c r="AH293" s="10"/>
      <c r="AI293" s="10"/>
      <c r="AJ293" s="10"/>
      <c r="AK293" s="10"/>
      <c r="AL293" s="10"/>
      <c r="AM293" s="10">
        <f>+'Gen Rev'!AI287-'Gen Exp'!AE293+'Gen Exp'!AI293-AK293</f>
        <v>0</v>
      </c>
      <c r="AN293" s="10"/>
    </row>
    <row r="294" spans="1:40" ht="12.75" hidden="1">
      <c r="A294" s="1" t="s">
        <v>265</v>
      </c>
      <c r="C294" s="23" t="s">
        <v>831</v>
      </c>
      <c r="D294" s="23"/>
      <c r="E294" s="10">
        <v>0</v>
      </c>
      <c r="G294" s="10">
        <v>0</v>
      </c>
      <c r="I294" s="10">
        <v>0</v>
      </c>
      <c r="K294" s="10">
        <v>0</v>
      </c>
      <c r="M294" s="10">
        <v>0</v>
      </c>
      <c r="O294" s="10">
        <v>0</v>
      </c>
      <c r="Q294" s="10">
        <v>0</v>
      </c>
      <c r="S294" s="10">
        <v>0</v>
      </c>
      <c r="U294" s="10">
        <v>0</v>
      </c>
      <c r="W294" s="10">
        <v>0</v>
      </c>
      <c r="Y294" s="10">
        <v>0</v>
      </c>
      <c r="AA294" s="10">
        <v>0</v>
      </c>
      <c r="AC294" s="10">
        <v>0</v>
      </c>
      <c r="AE294" s="10">
        <f t="shared" si="6"/>
        <v>0</v>
      </c>
      <c r="AF294" s="10"/>
      <c r="AM294" s="10">
        <f>+'Gen Rev'!AI288-'Gen Exp'!AE294+'Gen Exp'!AI294-AK294</f>
        <v>0</v>
      </c>
    </row>
    <row r="295" spans="1:40" hidden="1">
      <c r="A295" s="1" t="s">
        <v>705</v>
      </c>
      <c r="C295" s="1" t="s">
        <v>439</v>
      </c>
      <c r="E295" s="10">
        <v>0</v>
      </c>
      <c r="G295" s="10">
        <v>0</v>
      </c>
      <c r="I295" s="10">
        <v>0</v>
      </c>
      <c r="K295" s="10">
        <v>0</v>
      </c>
      <c r="M295" s="10">
        <v>0</v>
      </c>
      <c r="O295" s="10">
        <v>0</v>
      </c>
      <c r="Q295" s="10">
        <v>0</v>
      </c>
      <c r="S295" s="10">
        <v>0</v>
      </c>
      <c r="U295" s="10">
        <v>0</v>
      </c>
      <c r="W295" s="10">
        <v>0</v>
      </c>
      <c r="Y295" s="10">
        <v>0</v>
      </c>
      <c r="AA295" s="10">
        <v>0</v>
      </c>
      <c r="AC295" s="10">
        <v>0</v>
      </c>
      <c r="AE295" s="10">
        <f t="shared" si="6"/>
        <v>0</v>
      </c>
      <c r="AF295" s="10"/>
      <c r="AM295" s="10">
        <f>+'Gen Rev'!AI289-'Gen Exp'!AE295+'Gen Exp'!AI295-AK295</f>
        <v>0</v>
      </c>
    </row>
    <row r="296" spans="1:40" s="21" customFormat="1">
      <c r="A296" s="1" t="s">
        <v>706</v>
      </c>
      <c r="B296" s="1"/>
      <c r="C296" s="1" t="s">
        <v>430</v>
      </c>
      <c r="D296" s="1"/>
      <c r="E296" s="10">
        <v>1213929</v>
      </c>
      <c r="F296" s="10"/>
      <c r="G296" s="10">
        <v>17687</v>
      </c>
      <c r="H296" s="10"/>
      <c r="I296" s="10">
        <v>1850</v>
      </c>
      <c r="J296" s="10"/>
      <c r="K296" s="10">
        <v>0</v>
      </c>
      <c r="L296" s="10"/>
      <c r="M296" s="10">
        <v>57989</v>
      </c>
      <c r="N296" s="10"/>
      <c r="O296" s="10">
        <v>365445</v>
      </c>
      <c r="P296" s="10"/>
      <c r="Q296" s="10">
        <v>240050</v>
      </c>
      <c r="R296" s="10"/>
      <c r="S296" s="10">
        <v>13613</v>
      </c>
      <c r="T296" s="10"/>
      <c r="U296" s="10">
        <v>0</v>
      </c>
      <c r="V296" s="10"/>
      <c r="W296" s="10">
        <v>0</v>
      </c>
      <c r="X296" s="10"/>
      <c r="Y296" s="10">
        <v>100000</v>
      </c>
      <c r="Z296" s="10"/>
      <c r="AA296" s="10">
        <v>0</v>
      </c>
      <c r="AB296" s="10"/>
      <c r="AC296" s="10">
        <v>0</v>
      </c>
      <c r="AD296" s="10"/>
      <c r="AE296" s="10">
        <f t="shared" si="6"/>
        <v>2010563</v>
      </c>
      <c r="AF296" s="10"/>
      <c r="AG296" s="10">
        <v>101172</v>
      </c>
      <c r="AH296" s="10"/>
      <c r="AI296" s="10">
        <v>878247</v>
      </c>
      <c r="AJ296" s="10"/>
      <c r="AK296" s="10">
        <v>979419</v>
      </c>
      <c r="AL296" s="10"/>
      <c r="AM296" s="10">
        <f>+'Gen Rev'!AI290-'Gen Exp'!AE296+'Gen Exp'!AI296-AK296</f>
        <v>0</v>
      </c>
      <c r="AN296" s="10"/>
    </row>
    <row r="297" spans="1:40" s="21" customFormat="1" ht="12.75" hidden="1">
      <c r="A297" s="1" t="s">
        <v>5</v>
      </c>
      <c r="B297" s="1"/>
      <c r="C297" s="23" t="s">
        <v>751</v>
      </c>
      <c r="D297" s="23"/>
      <c r="E297" s="10">
        <v>0</v>
      </c>
      <c r="F297" s="10"/>
      <c r="G297" s="10">
        <v>0</v>
      </c>
      <c r="H297" s="10"/>
      <c r="I297" s="10">
        <v>0</v>
      </c>
      <c r="J297" s="10"/>
      <c r="K297" s="10">
        <v>0</v>
      </c>
      <c r="L297" s="10"/>
      <c r="M297" s="10">
        <v>0</v>
      </c>
      <c r="N297" s="10"/>
      <c r="O297" s="10">
        <v>0</v>
      </c>
      <c r="P297" s="10"/>
      <c r="Q297" s="10">
        <v>0</v>
      </c>
      <c r="R297" s="10"/>
      <c r="S297" s="10">
        <v>0</v>
      </c>
      <c r="T297" s="10"/>
      <c r="U297" s="10">
        <v>0</v>
      </c>
      <c r="V297" s="10"/>
      <c r="W297" s="10">
        <v>0</v>
      </c>
      <c r="X297" s="10"/>
      <c r="Y297" s="10">
        <v>0</v>
      </c>
      <c r="Z297" s="10"/>
      <c r="AA297" s="10">
        <v>0</v>
      </c>
      <c r="AB297" s="10"/>
      <c r="AC297" s="10">
        <v>0</v>
      </c>
      <c r="AD297" s="10"/>
      <c r="AE297" s="10">
        <f t="shared" si="6"/>
        <v>0</v>
      </c>
      <c r="AF297" s="10"/>
      <c r="AG297" s="10"/>
      <c r="AH297" s="10"/>
      <c r="AI297" s="10"/>
      <c r="AJ297" s="10"/>
      <c r="AK297" s="10"/>
      <c r="AL297" s="10"/>
      <c r="AM297" s="10">
        <f>+'Gen Rev'!AI291-'Gen Exp'!AE297+'Gen Exp'!AI297-AK297</f>
        <v>0</v>
      </c>
      <c r="AN297" s="10"/>
    </row>
    <row r="298" spans="1:40" ht="12.75" hidden="1">
      <c r="A298" s="1" t="s">
        <v>137</v>
      </c>
      <c r="C298" s="23" t="s">
        <v>792</v>
      </c>
      <c r="D298" s="23"/>
      <c r="E298" s="10">
        <v>0</v>
      </c>
      <c r="G298" s="10">
        <v>0</v>
      </c>
      <c r="I298" s="10">
        <v>0</v>
      </c>
      <c r="K298" s="10">
        <v>0</v>
      </c>
      <c r="M298" s="10">
        <v>0</v>
      </c>
      <c r="O298" s="10">
        <v>0</v>
      </c>
      <c r="Q298" s="10">
        <v>0</v>
      </c>
      <c r="S298" s="10">
        <v>0</v>
      </c>
      <c r="U298" s="10">
        <v>0</v>
      </c>
      <c r="W298" s="10">
        <v>0</v>
      </c>
      <c r="Y298" s="10">
        <v>0</v>
      </c>
      <c r="AA298" s="10">
        <v>0</v>
      </c>
      <c r="AC298" s="10">
        <v>0</v>
      </c>
      <c r="AE298" s="10">
        <f t="shared" si="6"/>
        <v>0</v>
      </c>
      <c r="AF298" s="10"/>
      <c r="AM298" s="10">
        <f>+'Gen Rev'!AI292-'Gen Exp'!AE298+'Gen Exp'!AI298-AK298</f>
        <v>0</v>
      </c>
    </row>
    <row r="299" spans="1:40" s="21" customFormat="1" hidden="1">
      <c r="A299" s="1" t="s">
        <v>708</v>
      </c>
      <c r="B299" s="1"/>
      <c r="C299" s="1" t="s">
        <v>430</v>
      </c>
      <c r="D299" s="1"/>
      <c r="E299" s="10">
        <v>0</v>
      </c>
      <c r="F299" s="10"/>
      <c r="G299" s="10">
        <v>0</v>
      </c>
      <c r="H299" s="10"/>
      <c r="I299" s="10">
        <v>0</v>
      </c>
      <c r="J299" s="10"/>
      <c r="K299" s="10">
        <v>0</v>
      </c>
      <c r="L299" s="10"/>
      <c r="M299" s="10">
        <v>0</v>
      </c>
      <c r="N299" s="10"/>
      <c r="O299" s="10">
        <v>0</v>
      </c>
      <c r="P299" s="10"/>
      <c r="Q299" s="10">
        <v>0</v>
      </c>
      <c r="R299" s="10"/>
      <c r="S299" s="10">
        <v>0</v>
      </c>
      <c r="T299" s="10"/>
      <c r="U299" s="10">
        <v>0</v>
      </c>
      <c r="V299" s="10"/>
      <c r="W299" s="10">
        <v>0</v>
      </c>
      <c r="X299" s="10"/>
      <c r="Y299" s="10">
        <v>0</v>
      </c>
      <c r="Z299" s="10"/>
      <c r="AA299" s="10">
        <v>0</v>
      </c>
      <c r="AB299" s="10"/>
      <c r="AC299" s="10">
        <v>0</v>
      </c>
      <c r="AD299" s="10"/>
      <c r="AE299" s="10">
        <f t="shared" si="6"/>
        <v>0</v>
      </c>
      <c r="AF299" s="10"/>
      <c r="AG299" s="10"/>
      <c r="AH299" s="10"/>
      <c r="AI299" s="10"/>
      <c r="AJ299" s="10"/>
      <c r="AK299" s="10"/>
      <c r="AL299" s="10"/>
      <c r="AM299" s="10">
        <f>+'Gen Rev'!AI293-'Gen Exp'!AE299+'Gen Exp'!AI299-AK299</f>
        <v>0</v>
      </c>
      <c r="AN299" s="10"/>
    </row>
    <row r="300" spans="1:40">
      <c r="A300" s="1" t="s">
        <v>835</v>
      </c>
      <c r="C300" s="1" t="s">
        <v>554</v>
      </c>
      <c r="E300" s="10">
        <v>859420</v>
      </c>
      <c r="G300" s="10">
        <v>346</v>
      </c>
      <c r="I300" s="10">
        <v>25288</v>
      </c>
      <c r="K300" s="10">
        <v>31451</v>
      </c>
      <c r="M300" s="10">
        <v>0</v>
      </c>
      <c r="O300" s="10">
        <v>155079</v>
      </c>
      <c r="Q300" s="10">
        <v>413139</v>
      </c>
      <c r="S300" s="10">
        <v>0</v>
      </c>
      <c r="U300" s="10">
        <v>0</v>
      </c>
      <c r="W300" s="10">
        <v>0</v>
      </c>
      <c r="Y300" s="10">
        <v>160489</v>
      </c>
      <c r="AA300" s="10">
        <v>4976</v>
      </c>
      <c r="AC300" s="10">
        <v>0</v>
      </c>
      <c r="AE300" s="10">
        <f t="shared" si="6"/>
        <v>1650188</v>
      </c>
      <c r="AF300" s="10"/>
      <c r="AG300" s="10">
        <v>-202568</v>
      </c>
      <c r="AI300" s="10">
        <v>1768459</v>
      </c>
      <c r="AK300" s="10">
        <v>1565891</v>
      </c>
      <c r="AM300" s="10">
        <f>+'Gen Rev'!AI294-'Gen Exp'!AE300+'Gen Exp'!AI300-AK300</f>
        <v>0</v>
      </c>
    </row>
    <row r="301" spans="1:40" hidden="1">
      <c r="A301" s="1" t="s">
        <v>707</v>
      </c>
      <c r="C301" s="1" t="s">
        <v>447</v>
      </c>
      <c r="E301" s="10">
        <v>0</v>
      </c>
      <c r="G301" s="10">
        <v>0</v>
      </c>
      <c r="I301" s="10">
        <v>0</v>
      </c>
      <c r="K301" s="10">
        <v>0</v>
      </c>
      <c r="M301" s="10">
        <v>0</v>
      </c>
      <c r="O301" s="10">
        <v>0</v>
      </c>
      <c r="Q301" s="10">
        <v>0</v>
      </c>
      <c r="S301" s="10">
        <v>0</v>
      </c>
      <c r="U301" s="10">
        <v>0</v>
      </c>
      <c r="W301" s="10">
        <v>0</v>
      </c>
      <c r="Y301" s="10">
        <v>0</v>
      </c>
      <c r="AA301" s="10">
        <v>0</v>
      </c>
      <c r="AC301" s="10">
        <v>0</v>
      </c>
      <c r="AE301" s="10">
        <f t="shared" si="6"/>
        <v>0</v>
      </c>
      <c r="AF301" s="10"/>
      <c r="AM301" s="10">
        <f>+'Gen Rev'!AI295-'Gen Exp'!AE301+'Gen Exp'!AI301-AK301</f>
        <v>0</v>
      </c>
    </row>
    <row r="302" spans="1:40" hidden="1">
      <c r="A302" s="1" t="s">
        <v>709</v>
      </c>
      <c r="C302" s="1" t="s">
        <v>464</v>
      </c>
      <c r="E302" s="10">
        <v>0</v>
      </c>
      <c r="G302" s="10">
        <v>0</v>
      </c>
      <c r="I302" s="10">
        <v>0</v>
      </c>
      <c r="K302" s="10">
        <v>0</v>
      </c>
      <c r="M302" s="10">
        <v>0</v>
      </c>
      <c r="O302" s="10">
        <v>0</v>
      </c>
      <c r="Q302" s="10">
        <v>0</v>
      </c>
      <c r="S302" s="10">
        <v>0</v>
      </c>
      <c r="U302" s="10">
        <v>0</v>
      </c>
      <c r="W302" s="10">
        <v>0</v>
      </c>
      <c r="Y302" s="10">
        <v>0</v>
      </c>
      <c r="AA302" s="10">
        <v>0</v>
      </c>
      <c r="AC302" s="10">
        <v>0</v>
      </c>
      <c r="AE302" s="10">
        <f t="shared" si="6"/>
        <v>0</v>
      </c>
      <c r="AF302" s="10"/>
      <c r="AM302" s="10">
        <f>+'Gen Rev'!AI296-'Gen Exp'!AE302+'Gen Exp'!AI302-AK302</f>
        <v>0</v>
      </c>
    </row>
    <row r="303" spans="1:40" ht="12.75" hidden="1">
      <c r="A303" s="1" t="s">
        <v>184</v>
      </c>
      <c r="C303" s="23" t="s">
        <v>808</v>
      </c>
      <c r="D303" s="23"/>
      <c r="E303" s="10">
        <v>0</v>
      </c>
      <c r="G303" s="10">
        <v>0</v>
      </c>
      <c r="I303" s="10">
        <v>0</v>
      </c>
      <c r="K303" s="10">
        <v>0</v>
      </c>
      <c r="M303" s="10">
        <v>0</v>
      </c>
      <c r="O303" s="10">
        <v>0</v>
      </c>
      <c r="Q303" s="10">
        <v>0</v>
      </c>
      <c r="S303" s="10">
        <v>0</v>
      </c>
      <c r="U303" s="10">
        <v>0</v>
      </c>
      <c r="W303" s="10">
        <v>0</v>
      </c>
      <c r="Y303" s="10">
        <v>0</v>
      </c>
      <c r="AA303" s="10">
        <v>0</v>
      </c>
      <c r="AC303" s="10">
        <v>0</v>
      </c>
      <c r="AE303" s="10">
        <f t="shared" si="6"/>
        <v>0</v>
      </c>
      <c r="AF303" s="10"/>
      <c r="AM303" s="10">
        <f>+'Gen Rev'!AI297-'Gen Exp'!AE303+'Gen Exp'!AI303-AK303</f>
        <v>0</v>
      </c>
    </row>
    <row r="304" spans="1:40" ht="12.75" hidden="1">
      <c r="A304" s="1" t="s">
        <v>162</v>
      </c>
      <c r="C304" s="23" t="s">
        <v>800</v>
      </c>
      <c r="D304" s="23"/>
      <c r="E304" s="10">
        <v>0</v>
      </c>
      <c r="G304" s="10">
        <v>0</v>
      </c>
      <c r="I304" s="10">
        <v>0</v>
      </c>
      <c r="K304" s="10">
        <v>0</v>
      </c>
      <c r="M304" s="10">
        <v>0</v>
      </c>
      <c r="O304" s="10">
        <v>0</v>
      </c>
      <c r="Q304" s="10">
        <v>0</v>
      </c>
      <c r="S304" s="10">
        <v>0</v>
      </c>
      <c r="U304" s="10">
        <v>0</v>
      </c>
      <c r="W304" s="10">
        <v>0</v>
      </c>
      <c r="Y304" s="10">
        <v>0</v>
      </c>
      <c r="AA304" s="10">
        <v>0</v>
      </c>
      <c r="AC304" s="10">
        <v>0</v>
      </c>
      <c r="AE304" s="10">
        <f t="shared" si="6"/>
        <v>0</v>
      </c>
      <c r="AF304" s="10"/>
      <c r="AM304" s="10">
        <f>+'Gen Rev'!AI298-'Gen Exp'!AE304+'Gen Exp'!AI304-AK304</f>
        <v>0</v>
      </c>
    </row>
    <row r="305" spans="1:40" ht="12.75" hidden="1">
      <c r="A305" s="1" t="s">
        <v>111</v>
      </c>
      <c r="C305" s="23" t="s">
        <v>784</v>
      </c>
      <c r="D305" s="23"/>
      <c r="E305" s="10">
        <v>0</v>
      </c>
      <c r="G305" s="10">
        <v>0</v>
      </c>
      <c r="I305" s="10">
        <v>0</v>
      </c>
      <c r="K305" s="10">
        <v>0</v>
      </c>
      <c r="M305" s="10">
        <v>0</v>
      </c>
      <c r="O305" s="10">
        <v>0</v>
      </c>
      <c r="Q305" s="10">
        <v>0</v>
      </c>
      <c r="S305" s="10">
        <v>0</v>
      </c>
      <c r="U305" s="10">
        <v>0</v>
      </c>
      <c r="W305" s="10">
        <v>0</v>
      </c>
      <c r="Y305" s="10">
        <v>0</v>
      </c>
      <c r="AA305" s="10">
        <v>0</v>
      </c>
      <c r="AC305" s="10">
        <v>0</v>
      </c>
      <c r="AE305" s="10">
        <f t="shared" si="6"/>
        <v>0</v>
      </c>
      <c r="AF305" s="10"/>
      <c r="AM305" s="10">
        <f>+'Gen Rev'!AI299-'Gen Exp'!AE305+'Gen Exp'!AI305-AK305</f>
        <v>0</v>
      </c>
    </row>
    <row r="306" spans="1:40" ht="12.75" hidden="1">
      <c r="A306" s="1" t="s">
        <v>29</v>
      </c>
      <c r="C306" s="23" t="s">
        <v>758</v>
      </c>
      <c r="D306" s="23"/>
      <c r="E306" s="10">
        <v>0</v>
      </c>
      <c r="G306" s="10">
        <v>0</v>
      </c>
      <c r="I306" s="10">
        <v>0</v>
      </c>
      <c r="K306" s="10">
        <v>0</v>
      </c>
      <c r="M306" s="10">
        <v>0</v>
      </c>
      <c r="O306" s="10">
        <v>0</v>
      </c>
      <c r="Q306" s="10">
        <v>0</v>
      </c>
      <c r="S306" s="10">
        <v>0</v>
      </c>
      <c r="U306" s="10">
        <v>0</v>
      </c>
      <c r="W306" s="10">
        <v>0</v>
      </c>
      <c r="Y306" s="10">
        <v>0</v>
      </c>
      <c r="AA306" s="10">
        <v>0</v>
      </c>
      <c r="AC306" s="10">
        <v>0</v>
      </c>
      <c r="AE306" s="10">
        <f t="shared" si="6"/>
        <v>0</v>
      </c>
      <c r="AF306" s="10"/>
      <c r="AG306" s="46"/>
      <c r="AH306" s="46"/>
      <c r="AI306" s="46"/>
      <c r="AJ306" s="46"/>
      <c r="AK306" s="46"/>
      <c r="AL306" s="46"/>
      <c r="AM306" s="10">
        <f>+'Gen Rev'!AI300-'Gen Exp'!AE306+'Gen Exp'!AI306-AK306</f>
        <v>0</v>
      </c>
      <c r="AN306" s="46"/>
    </row>
    <row r="307" spans="1:40" ht="12.75" hidden="1">
      <c r="A307" s="1" t="s">
        <v>43</v>
      </c>
      <c r="C307" s="23" t="s">
        <v>763</v>
      </c>
      <c r="D307" s="23"/>
      <c r="E307" s="10">
        <v>0</v>
      </c>
      <c r="G307" s="10">
        <v>0</v>
      </c>
      <c r="I307" s="10">
        <v>0</v>
      </c>
      <c r="K307" s="10">
        <v>0</v>
      </c>
      <c r="M307" s="10">
        <v>0</v>
      </c>
      <c r="O307" s="10">
        <v>0</v>
      </c>
      <c r="Q307" s="10">
        <v>0</v>
      </c>
      <c r="S307" s="10">
        <v>0</v>
      </c>
      <c r="U307" s="10">
        <v>0</v>
      </c>
      <c r="W307" s="10">
        <v>0</v>
      </c>
      <c r="Y307" s="10">
        <v>0</v>
      </c>
      <c r="AA307" s="10">
        <v>0</v>
      </c>
      <c r="AC307" s="10">
        <v>0</v>
      </c>
      <c r="AE307" s="10">
        <f t="shared" si="6"/>
        <v>0</v>
      </c>
      <c r="AF307" s="10"/>
      <c r="AG307" s="46"/>
      <c r="AH307" s="46"/>
      <c r="AI307" s="46"/>
      <c r="AJ307" s="46"/>
      <c r="AK307" s="46"/>
      <c r="AL307" s="46"/>
      <c r="AM307" s="10">
        <f>+'Gen Rev'!AI301-'Gen Exp'!AE307+'Gen Exp'!AI307-AK307</f>
        <v>0</v>
      </c>
      <c r="AN307" s="46"/>
    </row>
    <row r="308" spans="1:40">
      <c r="A308" s="1" t="s">
        <v>914</v>
      </c>
      <c r="C308" s="1" t="s">
        <v>517</v>
      </c>
      <c r="E308" s="10">
        <v>284775</v>
      </c>
      <c r="G308" s="10">
        <v>1368</v>
      </c>
      <c r="I308" s="10">
        <v>264945</v>
      </c>
      <c r="K308" s="10">
        <v>416715</v>
      </c>
      <c r="M308" s="10">
        <v>0</v>
      </c>
      <c r="O308" s="10">
        <v>0</v>
      </c>
      <c r="Q308" s="10">
        <v>75745</v>
      </c>
      <c r="S308" s="10">
        <v>1453344</v>
      </c>
      <c r="U308" s="10">
        <v>549220</v>
      </c>
      <c r="W308" s="10">
        <v>24655</v>
      </c>
      <c r="Y308" s="10">
        <v>1854732</v>
      </c>
      <c r="AA308" s="10">
        <v>0</v>
      </c>
      <c r="AC308" s="10">
        <v>0</v>
      </c>
      <c r="AE308" s="10">
        <f t="shared" si="6"/>
        <v>4925499</v>
      </c>
      <c r="AF308" s="10"/>
      <c r="AG308" s="10">
        <v>-131325</v>
      </c>
      <c r="AI308" s="10">
        <v>-607879</v>
      </c>
      <c r="AK308" s="10">
        <v>-739204</v>
      </c>
      <c r="AM308" s="10">
        <f>+'Gen Rev'!AI302-'Gen Exp'!AE308+'Gen Exp'!AI308-AK308</f>
        <v>0</v>
      </c>
    </row>
    <row r="309" spans="1:40">
      <c r="A309" s="1" t="s">
        <v>512</v>
      </c>
      <c r="C309" s="1" t="s">
        <v>513</v>
      </c>
      <c r="E309" s="10">
        <v>763413</v>
      </c>
      <c r="G309" s="10">
        <v>0</v>
      </c>
      <c r="I309" s="10">
        <v>0</v>
      </c>
      <c r="K309" s="10">
        <v>9086</v>
      </c>
      <c r="M309" s="10">
        <v>0</v>
      </c>
      <c r="O309" s="10">
        <v>12001</v>
      </c>
      <c r="Q309" s="10">
        <v>166523</v>
      </c>
      <c r="S309" s="10">
        <v>431422</v>
      </c>
      <c r="U309" s="10">
        <v>46917</v>
      </c>
      <c r="W309" s="10">
        <v>0</v>
      </c>
      <c r="Y309" s="10">
        <v>0</v>
      </c>
      <c r="AA309" s="10">
        <v>0</v>
      </c>
      <c r="AC309" s="10">
        <v>0</v>
      </c>
      <c r="AE309" s="10">
        <f t="shared" si="6"/>
        <v>1429362</v>
      </c>
      <c r="AF309" s="10"/>
      <c r="AG309" s="10">
        <v>-434075</v>
      </c>
      <c r="AI309" s="10">
        <v>716945</v>
      </c>
      <c r="AK309" s="10">
        <v>282871</v>
      </c>
      <c r="AM309" s="10">
        <f>+'Gen Rev'!AI303-'Gen Exp'!AE309+'Gen Exp'!AI309-AK309</f>
        <v>0</v>
      </c>
    </row>
    <row r="310" spans="1:40" ht="12.75" hidden="1">
      <c r="A310" s="1" t="s">
        <v>165</v>
      </c>
      <c r="C310" s="23" t="s">
        <v>801</v>
      </c>
      <c r="D310" s="23"/>
      <c r="E310" s="10">
        <v>0</v>
      </c>
      <c r="G310" s="10">
        <v>0</v>
      </c>
      <c r="I310" s="10">
        <v>0</v>
      </c>
      <c r="K310" s="10">
        <v>0</v>
      </c>
      <c r="M310" s="10">
        <v>0</v>
      </c>
      <c r="O310" s="10">
        <v>0</v>
      </c>
      <c r="Q310" s="10">
        <v>0</v>
      </c>
      <c r="S310" s="10">
        <v>0</v>
      </c>
      <c r="U310" s="10">
        <v>0</v>
      </c>
      <c r="W310" s="10">
        <v>0</v>
      </c>
      <c r="Y310" s="10">
        <v>0</v>
      </c>
      <c r="AA310" s="10">
        <v>0</v>
      </c>
      <c r="AC310" s="10">
        <v>0</v>
      </c>
      <c r="AE310" s="10">
        <f t="shared" si="6"/>
        <v>0</v>
      </c>
      <c r="AF310" s="10"/>
      <c r="AM310" s="10">
        <f>+'Gen Rev'!AI304-'Gen Exp'!AE310+'Gen Exp'!AI310-AK310</f>
        <v>0</v>
      </c>
    </row>
    <row r="311" spans="1:40">
      <c r="A311" s="1" t="s">
        <v>525</v>
      </c>
      <c r="C311" s="1" t="s">
        <v>523</v>
      </c>
      <c r="E311" s="10">
        <v>918078</v>
      </c>
      <c r="G311" s="10">
        <v>0</v>
      </c>
      <c r="I311" s="10">
        <v>210567</v>
      </c>
      <c r="K311" s="10">
        <v>30972</v>
      </c>
      <c r="M311" s="10">
        <v>0</v>
      </c>
      <c r="O311" s="10">
        <v>0</v>
      </c>
      <c r="Q311" s="10">
        <v>609460</v>
      </c>
      <c r="S311" s="10">
        <v>0</v>
      </c>
      <c r="U311" s="10">
        <v>0</v>
      </c>
      <c r="W311" s="10">
        <v>0</v>
      </c>
      <c r="Y311" s="10">
        <v>0</v>
      </c>
      <c r="AA311" s="10">
        <v>0</v>
      </c>
      <c r="AC311" s="10">
        <v>414750</v>
      </c>
      <c r="AE311" s="10">
        <f t="shared" si="6"/>
        <v>2183827</v>
      </c>
      <c r="AF311" s="10"/>
      <c r="AG311" s="10">
        <v>-147507</v>
      </c>
      <c r="AI311" s="10">
        <v>965489</v>
      </c>
      <c r="AK311" s="10">
        <f>965489-147507</f>
        <v>817982</v>
      </c>
      <c r="AM311" s="10">
        <f>+'Gen Rev'!AI305-'Gen Exp'!AE311+'Gen Exp'!AI311-AK311</f>
        <v>0</v>
      </c>
    </row>
    <row r="312" spans="1:40" s="21" customFormat="1" ht="12.75" hidden="1">
      <c r="A312" s="1" t="s">
        <v>106</v>
      </c>
      <c r="B312" s="1"/>
      <c r="C312" s="23" t="s">
        <v>782</v>
      </c>
      <c r="D312" s="23"/>
      <c r="E312" s="10">
        <v>0</v>
      </c>
      <c r="F312" s="10"/>
      <c r="G312" s="10">
        <v>0</v>
      </c>
      <c r="H312" s="10"/>
      <c r="I312" s="10">
        <v>0</v>
      </c>
      <c r="J312" s="10"/>
      <c r="K312" s="10">
        <v>0</v>
      </c>
      <c r="L312" s="10"/>
      <c r="M312" s="10">
        <v>0</v>
      </c>
      <c r="N312" s="10"/>
      <c r="O312" s="10">
        <v>0</v>
      </c>
      <c r="P312" s="10"/>
      <c r="Q312" s="10">
        <v>0</v>
      </c>
      <c r="R312" s="10"/>
      <c r="S312" s="10">
        <v>0</v>
      </c>
      <c r="T312" s="10"/>
      <c r="U312" s="10">
        <v>0</v>
      </c>
      <c r="V312" s="10"/>
      <c r="W312" s="10">
        <v>0</v>
      </c>
      <c r="X312" s="10"/>
      <c r="Y312" s="10">
        <v>0</v>
      </c>
      <c r="Z312" s="10"/>
      <c r="AA312" s="10">
        <v>0</v>
      </c>
      <c r="AB312" s="10"/>
      <c r="AC312" s="10">
        <v>0</v>
      </c>
      <c r="AD312" s="10"/>
      <c r="AE312" s="10">
        <f t="shared" si="6"/>
        <v>0</v>
      </c>
      <c r="AF312" s="10"/>
      <c r="AG312" s="10"/>
      <c r="AH312" s="10"/>
      <c r="AI312" s="10"/>
      <c r="AJ312" s="10"/>
      <c r="AK312" s="10"/>
      <c r="AL312" s="10"/>
      <c r="AM312" s="10">
        <f>+'Gen Rev'!AI306-'Gen Exp'!AE312+'Gen Exp'!AI312-AK312</f>
        <v>0</v>
      </c>
      <c r="AN312" s="10"/>
    </row>
    <row r="313" spans="1:40" s="10" customFormat="1" ht="12.75" hidden="1">
      <c r="A313" s="10" t="s">
        <v>226</v>
      </c>
      <c r="C313" s="56" t="s">
        <v>820</v>
      </c>
      <c r="D313" s="56"/>
      <c r="E313" s="10">
        <v>0</v>
      </c>
      <c r="G313" s="10">
        <v>0</v>
      </c>
      <c r="I313" s="10">
        <v>0</v>
      </c>
      <c r="K313" s="10">
        <v>0</v>
      </c>
      <c r="M313" s="10">
        <v>0</v>
      </c>
      <c r="O313" s="10">
        <v>0</v>
      </c>
      <c r="Q313" s="10">
        <v>0</v>
      </c>
      <c r="S313" s="10">
        <v>0</v>
      </c>
      <c r="U313" s="10">
        <v>0</v>
      </c>
      <c r="W313" s="10">
        <v>0</v>
      </c>
      <c r="Y313" s="10">
        <v>0</v>
      </c>
      <c r="AA313" s="10">
        <v>0</v>
      </c>
      <c r="AC313" s="10">
        <v>0</v>
      </c>
      <c r="AE313" s="10">
        <f t="shared" si="6"/>
        <v>0</v>
      </c>
      <c r="AM313" s="10">
        <f>+'Gen Rev'!AI307-'Gen Exp'!AE313+'Gen Exp'!AI313-AK313</f>
        <v>0</v>
      </c>
    </row>
    <row r="314" spans="1:40">
      <c r="A314" s="1" t="s">
        <v>383</v>
      </c>
      <c r="C314" s="1" t="s">
        <v>378</v>
      </c>
      <c r="E314" s="10">
        <v>650833</v>
      </c>
      <c r="G314" s="10">
        <v>1709</v>
      </c>
      <c r="I314" s="10">
        <v>0</v>
      </c>
      <c r="K314" s="10">
        <v>34464</v>
      </c>
      <c r="M314" s="10">
        <v>0</v>
      </c>
      <c r="O314" s="10">
        <v>0</v>
      </c>
      <c r="Q314" s="10">
        <v>757897</v>
      </c>
      <c r="S314" s="10">
        <v>0</v>
      </c>
      <c r="U314" s="10">
        <v>0</v>
      </c>
      <c r="W314" s="10">
        <v>0</v>
      </c>
      <c r="Y314" s="10">
        <v>74000</v>
      </c>
      <c r="AA314" s="10">
        <v>0</v>
      </c>
      <c r="AC314" s="10">
        <v>0</v>
      </c>
      <c r="AE314" s="10">
        <f t="shared" si="6"/>
        <v>1518903</v>
      </c>
      <c r="AF314" s="10"/>
      <c r="AG314" s="10">
        <v>19060</v>
      </c>
      <c r="AI314" s="10">
        <v>552813</v>
      </c>
      <c r="AK314" s="10">
        <v>571874</v>
      </c>
      <c r="AM314" s="10">
        <f>+'Gen Rev'!AI308-'Gen Exp'!AE314+'Gen Exp'!AI314-AK314</f>
        <v>0</v>
      </c>
    </row>
    <row r="315" spans="1:40" s="21" customFormat="1" ht="12.75" hidden="1">
      <c r="A315" s="1" t="s">
        <v>215</v>
      </c>
      <c r="B315" s="1"/>
      <c r="C315" s="23" t="s">
        <v>816</v>
      </c>
      <c r="D315" s="23"/>
      <c r="E315" s="10">
        <v>0</v>
      </c>
      <c r="F315" s="10"/>
      <c r="G315" s="10">
        <v>0</v>
      </c>
      <c r="H315" s="10"/>
      <c r="I315" s="10">
        <v>0</v>
      </c>
      <c r="J315" s="10"/>
      <c r="K315" s="10">
        <v>0</v>
      </c>
      <c r="L315" s="10"/>
      <c r="M315" s="10">
        <v>0</v>
      </c>
      <c r="N315" s="10"/>
      <c r="O315" s="10">
        <v>0</v>
      </c>
      <c r="P315" s="10"/>
      <c r="Q315" s="10">
        <v>0</v>
      </c>
      <c r="R315" s="10"/>
      <c r="S315" s="10">
        <v>0</v>
      </c>
      <c r="T315" s="10"/>
      <c r="U315" s="10">
        <v>0</v>
      </c>
      <c r="V315" s="10"/>
      <c r="W315" s="10">
        <v>0</v>
      </c>
      <c r="X315" s="10"/>
      <c r="Y315" s="10">
        <v>0</v>
      </c>
      <c r="Z315" s="10"/>
      <c r="AA315" s="10">
        <v>0</v>
      </c>
      <c r="AB315" s="10"/>
      <c r="AC315" s="10">
        <v>0</v>
      </c>
      <c r="AD315" s="10"/>
      <c r="AE315" s="10">
        <f t="shared" si="6"/>
        <v>0</v>
      </c>
      <c r="AF315" s="10"/>
      <c r="AG315" s="10"/>
      <c r="AH315" s="10"/>
      <c r="AI315" s="10"/>
      <c r="AJ315" s="10"/>
      <c r="AK315" s="10"/>
      <c r="AL315" s="10"/>
      <c r="AM315" s="10">
        <f>+'Gen Rev'!AI309-'Gen Exp'!AE315+'Gen Exp'!AI315-AK315</f>
        <v>0</v>
      </c>
      <c r="AN315" s="10"/>
    </row>
    <row r="316" spans="1:40" ht="12.75" hidden="1">
      <c r="A316" s="1" t="s">
        <v>851</v>
      </c>
      <c r="C316" s="23" t="s">
        <v>766</v>
      </c>
      <c r="D316" s="23"/>
      <c r="E316" s="10">
        <v>0</v>
      </c>
      <c r="G316" s="10">
        <v>0</v>
      </c>
      <c r="I316" s="10">
        <v>0</v>
      </c>
      <c r="K316" s="10">
        <v>0</v>
      </c>
      <c r="M316" s="10">
        <v>0</v>
      </c>
      <c r="O316" s="10">
        <v>0</v>
      </c>
      <c r="Q316" s="10">
        <v>0</v>
      </c>
      <c r="S316" s="10">
        <v>0</v>
      </c>
      <c r="U316" s="10">
        <v>0</v>
      </c>
      <c r="W316" s="10">
        <v>0</v>
      </c>
      <c r="Y316" s="10">
        <v>0</v>
      </c>
      <c r="AA316" s="10">
        <v>0</v>
      </c>
      <c r="AC316" s="10">
        <v>0</v>
      </c>
      <c r="AE316" s="10">
        <f t="shared" si="6"/>
        <v>0</v>
      </c>
      <c r="AF316" s="10"/>
      <c r="AG316" s="46"/>
      <c r="AH316" s="46"/>
      <c r="AI316" s="46"/>
      <c r="AJ316" s="46"/>
      <c r="AK316" s="46"/>
      <c r="AL316" s="46"/>
      <c r="AM316" s="10">
        <f>+'Gen Rev'!AI310-'Gen Exp'!AE316+'Gen Exp'!AI316-AK316</f>
        <v>0</v>
      </c>
      <c r="AN316" s="46"/>
    </row>
    <row r="317" spans="1:40" ht="12.75" hidden="1">
      <c r="A317" s="1" t="s">
        <v>44</v>
      </c>
      <c r="C317" s="23" t="s">
        <v>763</v>
      </c>
      <c r="D317" s="23"/>
      <c r="E317" s="10">
        <v>0</v>
      </c>
      <c r="G317" s="10">
        <v>0</v>
      </c>
      <c r="I317" s="10">
        <v>0</v>
      </c>
      <c r="K317" s="10">
        <v>0</v>
      </c>
      <c r="M317" s="10">
        <v>0</v>
      </c>
      <c r="O317" s="10">
        <v>0</v>
      </c>
      <c r="Q317" s="10">
        <v>0</v>
      </c>
      <c r="S317" s="10">
        <v>0</v>
      </c>
      <c r="U317" s="10">
        <v>0</v>
      </c>
      <c r="W317" s="10">
        <v>0</v>
      </c>
      <c r="Y317" s="10">
        <v>0</v>
      </c>
      <c r="AA317" s="10">
        <v>0</v>
      </c>
      <c r="AC317" s="10">
        <v>0</v>
      </c>
      <c r="AE317" s="10">
        <f t="shared" si="6"/>
        <v>0</v>
      </c>
      <c r="AF317" s="10"/>
      <c r="AG317" s="46"/>
      <c r="AH317" s="46"/>
      <c r="AI317" s="46"/>
      <c r="AJ317" s="46"/>
      <c r="AK317" s="46"/>
      <c r="AL317" s="46"/>
      <c r="AM317" s="10">
        <f>+'Gen Rev'!AI311-'Gen Exp'!AE317+'Gen Exp'!AI317-AK317</f>
        <v>0</v>
      </c>
      <c r="AN317" s="46"/>
    </row>
    <row r="318" spans="1:40">
      <c r="A318" s="1" t="s">
        <v>542</v>
      </c>
      <c r="C318" s="1" t="s">
        <v>541</v>
      </c>
      <c r="E318" s="10">
        <v>10623</v>
      </c>
      <c r="G318" s="10">
        <v>0</v>
      </c>
      <c r="I318" s="10">
        <v>0</v>
      </c>
      <c r="K318" s="10">
        <v>0</v>
      </c>
      <c r="M318" s="10">
        <v>0</v>
      </c>
      <c r="O318" s="10">
        <v>635</v>
      </c>
      <c r="Q318" s="10">
        <v>16001</v>
      </c>
      <c r="S318" s="10">
        <v>0</v>
      </c>
      <c r="U318" s="10">
        <v>0</v>
      </c>
      <c r="W318" s="10">
        <v>0</v>
      </c>
      <c r="Y318" s="10">
        <v>1886</v>
      </c>
      <c r="AA318" s="10">
        <v>0</v>
      </c>
      <c r="AC318" s="10">
        <v>0</v>
      </c>
      <c r="AE318" s="10">
        <f t="shared" si="6"/>
        <v>29145</v>
      </c>
      <c r="AF318" s="10"/>
      <c r="AG318" s="10">
        <f>18901-54518</f>
        <v>-35617</v>
      </c>
      <c r="AI318" s="10">
        <v>28567</v>
      </c>
      <c r="AK318" s="10">
        <v>18323</v>
      </c>
      <c r="AM318" s="10">
        <f>+'Gen Rev'!AI312-'Gen Exp'!AE318+'Gen Exp'!AI318-AK318</f>
        <v>0</v>
      </c>
    </row>
    <row r="319" spans="1:40" s="21" customFormat="1" ht="12.75" hidden="1">
      <c r="A319" s="1" t="s">
        <v>95</v>
      </c>
      <c r="B319" s="1"/>
      <c r="C319" s="23" t="s">
        <v>778</v>
      </c>
      <c r="D319" s="23"/>
      <c r="E319" s="10">
        <v>0</v>
      </c>
      <c r="F319" s="10"/>
      <c r="G319" s="10">
        <v>0</v>
      </c>
      <c r="H319" s="10"/>
      <c r="I319" s="10">
        <v>0</v>
      </c>
      <c r="J319" s="10"/>
      <c r="K319" s="10">
        <v>0</v>
      </c>
      <c r="L319" s="10"/>
      <c r="M319" s="10">
        <v>0</v>
      </c>
      <c r="N319" s="10"/>
      <c r="O319" s="10">
        <v>0</v>
      </c>
      <c r="P319" s="10"/>
      <c r="Q319" s="10">
        <v>0</v>
      </c>
      <c r="R319" s="10"/>
      <c r="S319" s="10">
        <v>0</v>
      </c>
      <c r="T319" s="10"/>
      <c r="U319" s="10">
        <v>0</v>
      </c>
      <c r="V319" s="10"/>
      <c r="W319" s="10">
        <v>0</v>
      </c>
      <c r="X319" s="10"/>
      <c r="Y319" s="10">
        <v>0</v>
      </c>
      <c r="Z319" s="10"/>
      <c r="AA319" s="10">
        <v>0</v>
      </c>
      <c r="AB319" s="10"/>
      <c r="AC319" s="10">
        <v>0</v>
      </c>
      <c r="AD319" s="10"/>
      <c r="AE319" s="10">
        <f t="shared" si="6"/>
        <v>0</v>
      </c>
      <c r="AF319" s="10"/>
      <c r="AG319" s="10"/>
      <c r="AH319" s="10"/>
      <c r="AI319" s="10"/>
      <c r="AJ319" s="10"/>
      <c r="AK319" s="10"/>
      <c r="AL319" s="10"/>
      <c r="AM319" s="10">
        <f>+'Gen Rev'!AI313-'Gen Exp'!AE319+'Gen Exp'!AI319-AK319</f>
        <v>0</v>
      </c>
      <c r="AN319" s="10"/>
    </row>
    <row r="320" spans="1:40">
      <c r="A320" s="1" t="s">
        <v>465</v>
      </c>
      <c r="C320" s="1" t="s">
        <v>466</v>
      </c>
      <c r="E320" s="10">
        <v>660594</v>
      </c>
      <c r="G320" s="10">
        <v>0</v>
      </c>
      <c r="I320" s="10">
        <v>20611</v>
      </c>
      <c r="K320" s="10">
        <v>17513</v>
      </c>
      <c r="M320" s="10">
        <v>0</v>
      </c>
      <c r="O320" s="10">
        <v>199477</v>
      </c>
      <c r="Q320" s="10">
        <v>251082</v>
      </c>
      <c r="S320" s="10">
        <v>33618</v>
      </c>
      <c r="U320" s="10">
        <v>0</v>
      </c>
      <c r="W320" s="10">
        <v>0</v>
      </c>
      <c r="Y320" s="10">
        <v>6500</v>
      </c>
      <c r="AA320" s="10">
        <v>0</v>
      </c>
      <c r="AC320" s="10">
        <v>0</v>
      </c>
      <c r="AE320" s="10">
        <f t="shared" si="6"/>
        <v>1189395</v>
      </c>
      <c r="AF320" s="10"/>
      <c r="AG320" s="10">
        <v>-69284</v>
      </c>
      <c r="AI320" s="10">
        <v>711903</v>
      </c>
      <c r="AK320" s="10">
        <v>642619</v>
      </c>
      <c r="AM320" s="10">
        <f>+'Gen Rev'!AI314-'Gen Exp'!AE320+'Gen Exp'!AI320-AK320</f>
        <v>0</v>
      </c>
    </row>
    <row r="321" spans="1:40" s="15" customFormat="1">
      <c r="A321" s="15" t="s">
        <v>560</v>
      </c>
      <c r="C321" s="15" t="s">
        <v>562</v>
      </c>
      <c r="E321" s="10">
        <v>1419925</v>
      </c>
      <c r="F321" s="24"/>
      <c r="G321" s="10">
        <v>22948</v>
      </c>
      <c r="H321" s="24"/>
      <c r="I321" s="10">
        <v>212812</v>
      </c>
      <c r="J321" s="24"/>
      <c r="K321" s="10">
        <v>119975</v>
      </c>
      <c r="L321" s="24"/>
      <c r="M321" s="10">
        <v>0</v>
      </c>
      <c r="N321" s="24"/>
      <c r="O321" s="10">
        <v>0</v>
      </c>
      <c r="P321" s="24"/>
      <c r="Q321" s="10">
        <v>957691</v>
      </c>
      <c r="R321" s="24"/>
      <c r="S321" s="10">
        <v>0</v>
      </c>
      <c r="T321" s="24"/>
      <c r="U321" s="10">
        <v>0</v>
      </c>
      <c r="V321" s="24"/>
      <c r="W321" s="10">
        <v>0</v>
      </c>
      <c r="X321" s="24"/>
      <c r="Y321" s="10">
        <v>297085</v>
      </c>
      <c r="Z321" s="24"/>
      <c r="AA321" s="10">
        <v>0</v>
      </c>
      <c r="AB321" s="24"/>
      <c r="AC321" s="10">
        <v>0</v>
      </c>
      <c r="AD321" s="24"/>
      <c r="AE321" s="24">
        <f t="shared" si="6"/>
        <v>3030436</v>
      </c>
      <c r="AF321" s="24"/>
      <c r="AG321" s="24">
        <v>-258753</v>
      </c>
      <c r="AH321" s="24"/>
      <c r="AI321" s="24">
        <v>1202197</v>
      </c>
      <c r="AJ321" s="24"/>
      <c r="AK321" s="24">
        <v>943444</v>
      </c>
      <c r="AL321" s="24"/>
      <c r="AM321" s="10">
        <f>+'Gen Rev'!AI315-'Gen Exp'!AE321+'Gen Exp'!AI321-AK321</f>
        <v>0</v>
      </c>
      <c r="AN321" s="24"/>
    </row>
    <row r="322" spans="1:40" s="21" customFormat="1" ht="12.75" hidden="1">
      <c r="A322" s="1" t="s">
        <v>88</v>
      </c>
      <c r="B322" s="1"/>
      <c r="C322" s="23" t="s">
        <v>777</v>
      </c>
      <c r="D322" s="23"/>
      <c r="E322" s="10">
        <v>0</v>
      </c>
      <c r="F322" s="10"/>
      <c r="G322" s="10">
        <v>0</v>
      </c>
      <c r="H322" s="10"/>
      <c r="I322" s="10">
        <v>0</v>
      </c>
      <c r="J322" s="10"/>
      <c r="K322" s="10">
        <v>0</v>
      </c>
      <c r="L322" s="10"/>
      <c r="M322" s="10">
        <v>0</v>
      </c>
      <c r="N322" s="10"/>
      <c r="O322" s="10">
        <v>0</v>
      </c>
      <c r="P322" s="10"/>
      <c r="Q322" s="10">
        <v>0</v>
      </c>
      <c r="R322" s="10"/>
      <c r="S322" s="10">
        <v>0</v>
      </c>
      <c r="T322" s="10"/>
      <c r="U322" s="10">
        <v>0</v>
      </c>
      <c r="V322" s="10"/>
      <c r="W322" s="10">
        <v>0</v>
      </c>
      <c r="X322" s="10"/>
      <c r="Y322" s="10">
        <v>0</v>
      </c>
      <c r="Z322" s="10"/>
      <c r="AA322" s="10">
        <v>0</v>
      </c>
      <c r="AB322" s="10"/>
      <c r="AC322" s="10">
        <v>0</v>
      </c>
      <c r="AD322" s="10"/>
      <c r="AE322" s="10">
        <f t="shared" si="6"/>
        <v>0</v>
      </c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2.75" hidden="1">
      <c r="A323" s="1" t="s">
        <v>245</v>
      </c>
      <c r="C323" s="23" t="s">
        <v>827</v>
      </c>
      <c r="D323" s="23"/>
      <c r="E323" s="10">
        <v>0</v>
      </c>
      <c r="G323" s="10">
        <v>0</v>
      </c>
      <c r="I323" s="10">
        <v>0</v>
      </c>
      <c r="K323" s="10">
        <v>0</v>
      </c>
      <c r="M323" s="10">
        <v>0</v>
      </c>
      <c r="O323" s="10">
        <v>0</v>
      </c>
      <c r="Q323" s="10">
        <v>0</v>
      </c>
      <c r="S323" s="10">
        <v>0</v>
      </c>
      <c r="U323" s="10">
        <v>0</v>
      </c>
      <c r="W323" s="10">
        <v>0</v>
      </c>
      <c r="Y323" s="10">
        <v>0</v>
      </c>
      <c r="AA323" s="10">
        <v>0</v>
      </c>
      <c r="AC323" s="10">
        <v>0</v>
      </c>
      <c r="AE323" s="10">
        <f t="shared" si="6"/>
        <v>0</v>
      </c>
      <c r="AF323" s="10"/>
      <c r="AM323" s="10">
        <f>+'Gen Rev'!AI316-'Gen Exp'!AE323+'Gen Exp'!AI323-AK323</f>
        <v>0</v>
      </c>
    </row>
    <row r="324" spans="1:40" ht="12.75" hidden="1">
      <c r="A324" s="1" t="s">
        <v>858</v>
      </c>
      <c r="C324" s="23" t="s">
        <v>795</v>
      </c>
      <c r="D324" s="23"/>
      <c r="E324" s="10">
        <v>0</v>
      </c>
      <c r="G324" s="10">
        <v>0</v>
      </c>
      <c r="I324" s="10">
        <v>0</v>
      </c>
      <c r="K324" s="10">
        <v>0</v>
      </c>
      <c r="M324" s="10">
        <v>0</v>
      </c>
      <c r="O324" s="10">
        <v>0</v>
      </c>
      <c r="Q324" s="10">
        <v>0</v>
      </c>
      <c r="S324" s="10">
        <v>0</v>
      </c>
      <c r="U324" s="10">
        <v>0</v>
      </c>
      <c r="W324" s="10">
        <v>0</v>
      </c>
      <c r="Y324" s="10">
        <v>0</v>
      </c>
      <c r="AA324" s="10">
        <v>0</v>
      </c>
      <c r="AC324" s="10">
        <v>0</v>
      </c>
      <c r="AE324" s="10">
        <f t="shared" si="6"/>
        <v>0</v>
      </c>
      <c r="AF324" s="10"/>
      <c r="AM324" s="10">
        <f>+'Gen Rev'!AI317-'Gen Exp'!AE324+'Gen Exp'!AI324-AK324</f>
        <v>0</v>
      </c>
    </row>
    <row r="325" spans="1:40" ht="12.75" hidden="1">
      <c r="A325" s="1" t="s">
        <v>246</v>
      </c>
      <c r="C325" s="23" t="s">
        <v>827</v>
      </c>
      <c r="D325" s="23"/>
      <c r="E325" s="10">
        <v>0</v>
      </c>
      <c r="G325" s="10">
        <v>0</v>
      </c>
      <c r="I325" s="10">
        <v>0</v>
      </c>
      <c r="K325" s="10">
        <v>0</v>
      </c>
      <c r="M325" s="10">
        <v>0</v>
      </c>
      <c r="O325" s="10">
        <v>0</v>
      </c>
      <c r="Q325" s="10">
        <v>0</v>
      </c>
      <c r="S325" s="10">
        <v>0</v>
      </c>
      <c r="U325" s="10">
        <v>0</v>
      </c>
      <c r="W325" s="10">
        <v>0</v>
      </c>
      <c r="Y325" s="10">
        <v>0</v>
      </c>
      <c r="AA325" s="10">
        <v>0</v>
      </c>
      <c r="AC325" s="10">
        <v>0</v>
      </c>
      <c r="AE325" s="10">
        <f t="shared" si="6"/>
        <v>0</v>
      </c>
      <c r="AF325" s="10"/>
      <c r="AM325" s="10">
        <f>+'Gen Rev'!AI318-'Gen Exp'!AE325+'Gen Exp'!AI325-AK325</f>
        <v>0</v>
      </c>
    </row>
    <row r="326" spans="1:40">
      <c r="A326" s="1" t="s">
        <v>456</v>
      </c>
      <c r="C326" s="1" t="s">
        <v>523</v>
      </c>
      <c r="E326" s="10">
        <v>25000</v>
      </c>
      <c r="G326" s="10">
        <v>0</v>
      </c>
      <c r="I326" s="10">
        <v>0</v>
      </c>
      <c r="K326" s="10">
        <v>869</v>
      </c>
      <c r="M326" s="10">
        <v>0</v>
      </c>
      <c r="O326" s="10">
        <v>0</v>
      </c>
      <c r="Q326" s="10">
        <v>34476</v>
      </c>
      <c r="S326" s="10">
        <v>1708</v>
      </c>
      <c r="U326" s="10">
        <v>0</v>
      </c>
      <c r="W326" s="10">
        <v>0</v>
      </c>
      <c r="Y326" s="10">
        <v>50719</v>
      </c>
      <c r="AA326" s="10">
        <v>0</v>
      </c>
      <c r="AC326" s="10">
        <v>0</v>
      </c>
      <c r="AE326" s="10">
        <f t="shared" si="6"/>
        <v>112772</v>
      </c>
      <c r="AF326" s="10"/>
      <c r="AG326" s="10">
        <v>-26810</v>
      </c>
      <c r="AI326" s="10">
        <v>63433</v>
      </c>
      <c r="AK326" s="10">
        <v>36623</v>
      </c>
      <c r="AM326" s="10">
        <f>+'Gen Rev'!AI320-'Gen Exp'!AE326+'Gen Exp'!AI326-AK326</f>
        <v>0</v>
      </c>
    </row>
    <row r="327" spans="1:40" hidden="1">
      <c r="A327" s="1" t="s">
        <v>609</v>
      </c>
      <c r="C327" s="1" t="s">
        <v>606</v>
      </c>
      <c r="E327" s="10">
        <v>0</v>
      </c>
      <c r="G327" s="10">
        <v>0</v>
      </c>
      <c r="I327" s="10">
        <v>0</v>
      </c>
      <c r="K327" s="10">
        <v>0</v>
      </c>
      <c r="M327" s="10">
        <v>0</v>
      </c>
      <c r="O327" s="10">
        <v>0</v>
      </c>
      <c r="Q327" s="10">
        <v>0</v>
      </c>
      <c r="S327" s="10">
        <v>0</v>
      </c>
      <c r="U327" s="10">
        <v>0</v>
      </c>
      <c r="W327" s="10">
        <v>0</v>
      </c>
      <c r="Y327" s="10">
        <v>0</v>
      </c>
      <c r="AA327" s="10">
        <v>0</v>
      </c>
      <c r="AC327" s="10">
        <v>0</v>
      </c>
      <c r="AE327" s="10">
        <f t="shared" si="6"/>
        <v>0</v>
      </c>
      <c r="AF327" s="10"/>
      <c r="AM327" s="10">
        <f>+'Gen Rev'!AI321-'Gen Exp'!AE327+'Gen Exp'!AI327-AK327</f>
        <v>0</v>
      </c>
    </row>
    <row r="328" spans="1:40" s="21" customFormat="1" ht="12.75" hidden="1">
      <c r="A328" s="1" t="s">
        <v>110</v>
      </c>
      <c r="B328" s="1"/>
      <c r="C328" s="23" t="s">
        <v>783</v>
      </c>
      <c r="D328" s="23"/>
      <c r="E328" s="10">
        <v>0</v>
      </c>
      <c r="F328" s="10"/>
      <c r="G328" s="10">
        <v>0</v>
      </c>
      <c r="H328" s="10"/>
      <c r="I328" s="10">
        <v>0</v>
      </c>
      <c r="J328" s="10"/>
      <c r="K328" s="10">
        <v>0</v>
      </c>
      <c r="L328" s="10"/>
      <c r="M328" s="10">
        <v>0</v>
      </c>
      <c r="N328" s="10"/>
      <c r="O328" s="10">
        <v>0</v>
      </c>
      <c r="P328" s="10"/>
      <c r="Q328" s="10">
        <v>0</v>
      </c>
      <c r="R328" s="10"/>
      <c r="S328" s="10">
        <v>0</v>
      </c>
      <c r="T328" s="10"/>
      <c r="U328" s="10">
        <v>0</v>
      </c>
      <c r="V328" s="10"/>
      <c r="W328" s="10">
        <v>0</v>
      </c>
      <c r="X328" s="10"/>
      <c r="Y328" s="10">
        <v>0</v>
      </c>
      <c r="Z328" s="10"/>
      <c r="AA328" s="10">
        <v>0</v>
      </c>
      <c r="AB328" s="10"/>
      <c r="AC328" s="10">
        <v>0</v>
      </c>
      <c r="AD328" s="10"/>
      <c r="AE328" s="10">
        <f t="shared" si="6"/>
        <v>0</v>
      </c>
      <c r="AF328" s="10"/>
      <c r="AG328" s="10"/>
      <c r="AH328" s="10"/>
      <c r="AI328" s="10"/>
      <c r="AJ328" s="10"/>
      <c r="AK328" s="10"/>
      <c r="AL328" s="10"/>
      <c r="AM328" s="10">
        <f>+'Gen Rev'!AI322-'Gen Exp'!AE328+'Gen Exp'!AI328-AK328</f>
        <v>0</v>
      </c>
      <c r="AN328" s="10"/>
    </row>
    <row r="329" spans="1:40" s="21" customFormat="1" ht="12.75" hidden="1">
      <c r="A329" s="1" t="s">
        <v>78</v>
      </c>
      <c r="B329" s="1"/>
      <c r="C329" s="23" t="s">
        <v>774</v>
      </c>
      <c r="D329" s="23"/>
      <c r="E329" s="10">
        <v>0</v>
      </c>
      <c r="F329" s="10"/>
      <c r="G329" s="10">
        <v>0</v>
      </c>
      <c r="H329" s="10"/>
      <c r="I329" s="10">
        <v>0</v>
      </c>
      <c r="J329" s="10"/>
      <c r="K329" s="10">
        <v>0</v>
      </c>
      <c r="L329" s="10"/>
      <c r="M329" s="10">
        <v>0</v>
      </c>
      <c r="N329" s="10"/>
      <c r="O329" s="10">
        <v>0</v>
      </c>
      <c r="P329" s="10"/>
      <c r="Q329" s="10">
        <v>0</v>
      </c>
      <c r="R329" s="10"/>
      <c r="S329" s="10">
        <v>0</v>
      </c>
      <c r="T329" s="10"/>
      <c r="U329" s="10">
        <v>0</v>
      </c>
      <c r="V329" s="10"/>
      <c r="W329" s="10">
        <v>0</v>
      </c>
      <c r="X329" s="10"/>
      <c r="Y329" s="10">
        <v>0</v>
      </c>
      <c r="Z329" s="10"/>
      <c r="AA329" s="10">
        <v>0</v>
      </c>
      <c r="AB329" s="10"/>
      <c r="AC329" s="10">
        <v>0</v>
      </c>
      <c r="AD329" s="10"/>
      <c r="AE329" s="10">
        <f t="shared" si="6"/>
        <v>0</v>
      </c>
      <c r="AF329" s="10"/>
      <c r="AG329" s="10"/>
      <c r="AH329" s="10"/>
      <c r="AI329" s="10"/>
      <c r="AJ329" s="10"/>
      <c r="AK329" s="10"/>
      <c r="AL329" s="10"/>
      <c r="AM329" s="10">
        <f>+'Gen Rev'!AI323-'Gen Exp'!AE329+'Gen Exp'!AI329-AK329</f>
        <v>0</v>
      </c>
      <c r="AN329" s="10"/>
    </row>
    <row r="330" spans="1:40" s="21" customFormat="1" hidden="1">
      <c r="A330" s="15" t="s">
        <v>432</v>
      </c>
      <c r="B330" s="15"/>
      <c r="C330" s="15" t="s">
        <v>430</v>
      </c>
      <c r="D330" s="15"/>
      <c r="E330" s="10">
        <v>0</v>
      </c>
      <c r="F330" s="10"/>
      <c r="G330" s="10">
        <v>0</v>
      </c>
      <c r="H330" s="10"/>
      <c r="I330" s="10">
        <v>0</v>
      </c>
      <c r="J330" s="10"/>
      <c r="K330" s="10">
        <v>0</v>
      </c>
      <c r="L330" s="10"/>
      <c r="M330" s="10">
        <v>0</v>
      </c>
      <c r="N330" s="10"/>
      <c r="O330" s="10">
        <v>0</v>
      </c>
      <c r="P330" s="10"/>
      <c r="Q330" s="10">
        <v>0</v>
      </c>
      <c r="R330" s="10"/>
      <c r="S330" s="10">
        <v>0</v>
      </c>
      <c r="T330" s="10"/>
      <c r="U330" s="10">
        <v>0</v>
      </c>
      <c r="V330" s="10"/>
      <c r="W330" s="10">
        <v>0</v>
      </c>
      <c r="X330" s="10"/>
      <c r="Y330" s="10">
        <v>0</v>
      </c>
      <c r="Z330" s="10"/>
      <c r="AA330" s="10">
        <v>0</v>
      </c>
      <c r="AB330" s="10"/>
      <c r="AC330" s="10">
        <v>0</v>
      </c>
      <c r="AD330" s="10"/>
      <c r="AE330" s="10">
        <f t="shared" si="6"/>
        <v>0</v>
      </c>
      <c r="AF330" s="10"/>
      <c r="AG330" s="10"/>
      <c r="AH330" s="10"/>
      <c r="AI330" s="10"/>
      <c r="AJ330" s="10"/>
      <c r="AK330" s="10"/>
      <c r="AL330" s="10"/>
      <c r="AM330" s="10">
        <f>+'Gen Rev'!AI324-'Gen Exp'!AE330+'Gen Exp'!AI330-AK330</f>
        <v>0</v>
      </c>
      <c r="AN330" s="10"/>
    </row>
    <row r="331" spans="1:40" ht="12.75" hidden="1">
      <c r="A331" s="1" t="s">
        <v>236</v>
      </c>
      <c r="C331" s="23" t="s">
        <v>824</v>
      </c>
      <c r="D331" s="23"/>
      <c r="E331" s="10">
        <v>0</v>
      </c>
      <c r="G331" s="10">
        <v>0</v>
      </c>
      <c r="I331" s="10">
        <v>0</v>
      </c>
      <c r="K331" s="10">
        <v>0</v>
      </c>
      <c r="M331" s="10">
        <v>0</v>
      </c>
      <c r="O331" s="10">
        <v>0</v>
      </c>
      <c r="Q331" s="10">
        <v>0</v>
      </c>
      <c r="S331" s="10">
        <v>0</v>
      </c>
      <c r="U331" s="10">
        <v>0</v>
      </c>
      <c r="W331" s="10">
        <v>0</v>
      </c>
      <c r="Y331" s="10">
        <v>0</v>
      </c>
      <c r="AA331" s="10">
        <v>0</v>
      </c>
      <c r="AC331" s="10">
        <v>0</v>
      </c>
      <c r="AE331" s="10">
        <f t="shared" si="6"/>
        <v>0</v>
      </c>
      <c r="AF331" s="10"/>
      <c r="AM331" s="10">
        <f>+'Gen Rev'!AI325-'Gen Exp'!AE331+'Gen Exp'!AI331-AK331</f>
        <v>0</v>
      </c>
    </row>
    <row r="332" spans="1:40">
      <c r="A332" s="15" t="s">
        <v>549</v>
      </c>
      <c r="B332" s="15"/>
      <c r="C332" s="15" t="s">
        <v>545</v>
      </c>
      <c r="D332" s="15"/>
      <c r="E332" s="10">
        <v>170209</v>
      </c>
      <c r="F332" s="24"/>
      <c r="G332" s="10">
        <v>4110</v>
      </c>
      <c r="H332" s="24"/>
      <c r="I332" s="10">
        <v>18188</v>
      </c>
      <c r="J332" s="24"/>
      <c r="K332" s="10">
        <v>0</v>
      </c>
      <c r="L332" s="24"/>
      <c r="M332" s="10">
        <v>9866</v>
      </c>
      <c r="N332" s="24"/>
      <c r="O332" s="10">
        <v>20374</v>
      </c>
      <c r="P332" s="24"/>
      <c r="Q332" s="10">
        <v>65349</v>
      </c>
      <c r="R332" s="24"/>
      <c r="S332" s="10">
        <v>6391</v>
      </c>
      <c r="T332" s="24"/>
      <c r="U332" s="10">
        <v>3571</v>
      </c>
      <c r="V332" s="24"/>
      <c r="W332" s="10">
        <v>0</v>
      </c>
      <c r="X332" s="24"/>
      <c r="Y332" s="10">
        <v>13627</v>
      </c>
      <c r="Z332" s="24"/>
      <c r="AA332" s="10">
        <v>0</v>
      </c>
      <c r="AB332" s="24"/>
      <c r="AC332" s="10">
        <v>0</v>
      </c>
      <c r="AD332" s="24"/>
      <c r="AE332" s="10">
        <f t="shared" si="6"/>
        <v>311685</v>
      </c>
      <c r="AF332" s="10"/>
      <c r="AG332" s="10">
        <v>-31881</v>
      </c>
      <c r="AI332" s="10">
        <v>62180</v>
      </c>
      <c r="AK332" s="10">
        <v>30299</v>
      </c>
      <c r="AM332" s="10">
        <f>+'Gen Rev'!AI326-'Gen Exp'!AE332+'Gen Exp'!AI332-AK332</f>
        <v>0</v>
      </c>
    </row>
    <row r="333" spans="1:40" s="10" customFormat="1" ht="12.75" hidden="1">
      <c r="A333" s="10" t="s">
        <v>242</v>
      </c>
      <c r="C333" s="56" t="s">
        <v>826</v>
      </c>
      <c r="D333" s="56"/>
      <c r="E333" s="10">
        <v>0</v>
      </c>
      <c r="G333" s="10">
        <v>0</v>
      </c>
      <c r="I333" s="10">
        <v>0</v>
      </c>
      <c r="K333" s="10">
        <v>0</v>
      </c>
      <c r="M333" s="10">
        <v>0</v>
      </c>
      <c r="O333" s="10">
        <v>0</v>
      </c>
      <c r="Q333" s="10">
        <v>0</v>
      </c>
      <c r="S333" s="10">
        <v>0</v>
      </c>
      <c r="U333" s="10">
        <v>0</v>
      </c>
      <c r="W333" s="10">
        <v>0</v>
      </c>
      <c r="Y333" s="10">
        <v>0</v>
      </c>
      <c r="AA333" s="10">
        <v>0</v>
      </c>
      <c r="AC333" s="10">
        <v>0</v>
      </c>
      <c r="AE333" s="10">
        <f t="shared" si="6"/>
        <v>0</v>
      </c>
      <c r="AM333" s="10">
        <f>+'Gen Rev'!AI327-'Gen Exp'!AE333+'Gen Exp'!AI333-AK333</f>
        <v>0</v>
      </c>
    </row>
    <row r="334" spans="1:40" ht="12.75" hidden="1">
      <c r="A334" s="1" t="s">
        <v>107</v>
      </c>
      <c r="C334" s="23" t="s">
        <v>782</v>
      </c>
      <c r="D334" s="23"/>
      <c r="E334" s="10">
        <v>0</v>
      </c>
      <c r="G334" s="10">
        <v>0</v>
      </c>
      <c r="I334" s="10">
        <v>0</v>
      </c>
      <c r="K334" s="10">
        <v>0</v>
      </c>
      <c r="M334" s="10">
        <v>0</v>
      </c>
      <c r="O334" s="10">
        <v>0</v>
      </c>
      <c r="Q334" s="10">
        <v>0</v>
      </c>
      <c r="S334" s="10">
        <v>0</v>
      </c>
      <c r="U334" s="10">
        <v>0</v>
      </c>
      <c r="W334" s="10">
        <v>0</v>
      </c>
      <c r="Y334" s="10">
        <v>0</v>
      </c>
      <c r="AA334" s="10">
        <v>0</v>
      </c>
      <c r="AC334" s="10">
        <v>0</v>
      </c>
      <c r="AE334" s="10">
        <f t="shared" ref="AE334:AE379" si="7">SUM(E334:AC334)</f>
        <v>0</v>
      </c>
      <c r="AF334" s="40"/>
      <c r="AM334" s="10">
        <f>+'Gen Rev'!AI328-'Gen Exp'!AE334+'Gen Exp'!AI334-AK334</f>
        <v>0</v>
      </c>
    </row>
    <row r="335" spans="1:40" ht="12.75" hidden="1">
      <c r="A335" s="1" t="s">
        <v>30</v>
      </c>
      <c r="C335" s="23" t="s">
        <v>758</v>
      </c>
      <c r="D335" s="23"/>
      <c r="E335" s="10">
        <v>0</v>
      </c>
      <c r="G335" s="10">
        <v>0</v>
      </c>
      <c r="I335" s="10">
        <v>0</v>
      </c>
      <c r="K335" s="10">
        <v>0</v>
      </c>
      <c r="M335" s="10">
        <v>0</v>
      </c>
      <c r="O335" s="10">
        <v>0</v>
      </c>
      <c r="Q335" s="10">
        <v>0</v>
      </c>
      <c r="S335" s="10">
        <v>0</v>
      </c>
      <c r="U335" s="10">
        <v>0</v>
      </c>
      <c r="W335" s="10">
        <v>0</v>
      </c>
      <c r="Y335" s="10">
        <v>0</v>
      </c>
      <c r="AA335" s="10">
        <v>0</v>
      </c>
      <c r="AC335" s="10">
        <v>0</v>
      </c>
      <c r="AE335" s="10">
        <f t="shared" si="7"/>
        <v>0</v>
      </c>
      <c r="AF335" s="10"/>
      <c r="AG335" s="46"/>
      <c r="AH335" s="46"/>
      <c r="AI335" s="46"/>
      <c r="AJ335" s="46"/>
      <c r="AK335" s="46"/>
      <c r="AL335" s="46"/>
      <c r="AM335" s="10">
        <f>+'Gen Rev'!AI329-'Gen Exp'!AE335+'Gen Exp'!AI335-AK335</f>
        <v>0</v>
      </c>
      <c r="AN335" s="46"/>
    </row>
    <row r="336" spans="1:40" s="10" customFormat="1" ht="12.75" hidden="1">
      <c r="A336" s="10" t="s">
        <v>195</v>
      </c>
      <c r="C336" s="56" t="s">
        <v>811</v>
      </c>
      <c r="D336" s="56"/>
      <c r="E336" s="10">
        <v>0</v>
      </c>
      <c r="G336" s="10">
        <v>0</v>
      </c>
      <c r="I336" s="10">
        <v>0</v>
      </c>
      <c r="K336" s="10">
        <v>0</v>
      </c>
      <c r="M336" s="10">
        <v>0</v>
      </c>
      <c r="O336" s="10">
        <v>0</v>
      </c>
      <c r="Q336" s="10">
        <v>0</v>
      </c>
      <c r="S336" s="10">
        <v>0</v>
      </c>
      <c r="U336" s="10">
        <v>0</v>
      </c>
      <c r="W336" s="10">
        <v>0</v>
      </c>
      <c r="Y336" s="10">
        <v>0</v>
      </c>
      <c r="AA336" s="10">
        <v>0</v>
      </c>
      <c r="AC336" s="10">
        <v>0</v>
      </c>
      <c r="AE336" s="10">
        <f t="shared" si="7"/>
        <v>0</v>
      </c>
      <c r="AM336" s="10">
        <f>+'Gen Rev'!AI330-'Gen Exp'!AE336+'Gen Exp'!AI336-AK336</f>
        <v>0</v>
      </c>
    </row>
    <row r="337" spans="1:40" s="21" customFormat="1" ht="12.75" hidden="1">
      <c r="A337" s="1" t="s">
        <v>73</v>
      </c>
      <c r="B337" s="1"/>
      <c r="C337" s="23" t="s">
        <v>773</v>
      </c>
      <c r="D337" s="23"/>
      <c r="E337" s="10">
        <v>0</v>
      </c>
      <c r="F337" s="10"/>
      <c r="G337" s="10">
        <v>0</v>
      </c>
      <c r="H337" s="10"/>
      <c r="I337" s="10">
        <v>0</v>
      </c>
      <c r="J337" s="10"/>
      <c r="K337" s="10">
        <v>0</v>
      </c>
      <c r="L337" s="10"/>
      <c r="M337" s="10">
        <v>0</v>
      </c>
      <c r="N337" s="10"/>
      <c r="O337" s="10">
        <v>0</v>
      </c>
      <c r="P337" s="10"/>
      <c r="Q337" s="10">
        <v>0</v>
      </c>
      <c r="R337" s="10"/>
      <c r="S337" s="10">
        <v>0</v>
      </c>
      <c r="T337" s="10"/>
      <c r="U337" s="10">
        <v>0</v>
      </c>
      <c r="V337" s="10"/>
      <c r="W337" s="10">
        <v>0</v>
      </c>
      <c r="X337" s="10"/>
      <c r="Y337" s="10">
        <v>0</v>
      </c>
      <c r="Z337" s="10"/>
      <c r="AA337" s="10">
        <v>0</v>
      </c>
      <c r="AB337" s="10"/>
      <c r="AC337" s="10">
        <v>0</v>
      </c>
      <c r="AD337" s="10"/>
      <c r="AE337" s="10">
        <f t="shared" si="7"/>
        <v>0</v>
      </c>
      <c r="AF337" s="10"/>
      <c r="AG337" s="10"/>
      <c r="AH337" s="10"/>
      <c r="AI337" s="10"/>
      <c r="AJ337" s="10"/>
      <c r="AK337" s="10"/>
      <c r="AL337" s="10"/>
      <c r="AM337" s="10">
        <f>+'Gen Rev'!AI331-'Gen Exp'!AE337+'Gen Exp'!AI337-AK337</f>
        <v>0</v>
      </c>
      <c r="AN337" s="10"/>
    </row>
    <row r="338" spans="1:40" ht="12.75" hidden="1">
      <c r="A338" s="1" t="s">
        <v>846</v>
      </c>
      <c r="C338" s="23" t="s">
        <v>807</v>
      </c>
      <c r="D338" s="23"/>
      <c r="E338" s="10">
        <v>0</v>
      </c>
      <c r="G338" s="10">
        <v>0</v>
      </c>
      <c r="I338" s="10">
        <v>0</v>
      </c>
      <c r="K338" s="10">
        <v>0</v>
      </c>
      <c r="M338" s="10">
        <v>0</v>
      </c>
      <c r="O338" s="10">
        <v>0</v>
      </c>
      <c r="Q338" s="10">
        <v>0</v>
      </c>
      <c r="S338" s="10">
        <v>0</v>
      </c>
      <c r="U338" s="10">
        <v>0</v>
      </c>
      <c r="W338" s="10">
        <v>0</v>
      </c>
      <c r="Y338" s="10">
        <v>0</v>
      </c>
      <c r="AA338" s="10">
        <v>0</v>
      </c>
      <c r="AC338" s="10">
        <v>0</v>
      </c>
      <c r="AE338" s="10">
        <f t="shared" si="7"/>
        <v>0</v>
      </c>
      <c r="AF338" s="10"/>
      <c r="AM338" s="10">
        <f>+'Gen Rev'!AI332-'Gen Exp'!AE338+'Gen Exp'!AI338-AK338</f>
        <v>0</v>
      </c>
    </row>
    <row r="339" spans="1:40" s="21" customFormat="1" hidden="1">
      <c r="A339" s="1" t="s">
        <v>173</v>
      </c>
      <c r="B339" s="1"/>
      <c r="C339" s="1" t="s">
        <v>243</v>
      </c>
      <c r="D339" s="1"/>
      <c r="E339" s="10">
        <v>0</v>
      </c>
      <c r="F339" s="10"/>
      <c r="G339" s="10">
        <v>0</v>
      </c>
      <c r="H339" s="10"/>
      <c r="I339" s="10">
        <v>0</v>
      </c>
      <c r="J339" s="10"/>
      <c r="K339" s="10">
        <v>0</v>
      </c>
      <c r="L339" s="10"/>
      <c r="M339" s="10">
        <v>0</v>
      </c>
      <c r="N339" s="10"/>
      <c r="O339" s="10">
        <v>0</v>
      </c>
      <c r="P339" s="10"/>
      <c r="Q339" s="10">
        <v>0</v>
      </c>
      <c r="R339" s="10"/>
      <c r="S339" s="10">
        <v>0</v>
      </c>
      <c r="T339" s="10"/>
      <c r="U339" s="10">
        <v>0</v>
      </c>
      <c r="V339" s="10"/>
      <c r="W339" s="10">
        <v>0</v>
      </c>
      <c r="X339" s="10"/>
      <c r="Y339" s="10">
        <v>0</v>
      </c>
      <c r="Z339" s="10"/>
      <c r="AA339" s="10">
        <v>0</v>
      </c>
      <c r="AB339" s="10"/>
      <c r="AC339" s="10">
        <v>0</v>
      </c>
      <c r="AD339" s="10"/>
      <c r="AE339" s="10">
        <f t="shared" si="7"/>
        <v>0</v>
      </c>
      <c r="AF339" s="10"/>
      <c r="AG339" s="10"/>
      <c r="AH339" s="10"/>
      <c r="AI339" s="10"/>
      <c r="AJ339" s="10"/>
      <c r="AK339" s="10"/>
      <c r="AL339" s="10"/>
      <c r="AM339" s="10">
        <f>+'Gen Rev'!AI333-'Gen Exp'!AE339+'Gen Exp'!AI339-AK339</f>
        <v>0</v>
      </c>
      <c r="AN339" s="10"/>
    </row>
    <row r="340" spans="1:40" s="21" customFormat="1">
      <c r="A340" s="1" t="s">
        <v>384</v>
      </c>
      <c r="B340" s="1"/>
      <c r="C340" s="1" t="s">
        <v>378</v>
      </c>
      <c r="D340" s="1"/>
      <c r="E340" s="10">
        <v>1690221</v>
      </c>
      <c r="F340" s="10"/>
      <c r="G340" s="10">
        <v>6677</v>
      </c>
      <c r="H340" s="10"/>
      <c r="I340" s="10">
        <v>737392</v>
      </c>
      <c r="J340" s="10"/>
      <c r="K340" s="10">
        <v>101270</v>
      </c>
      <c r="L340" s="10"/>
      <c r="M340" s="10">
        <v>257231</v>
      </c>
      <c r="N340" s="10"/>
      <c r="O340" s="10">
        <v>14339</v>
      </c>
      <c r="P340" s="10"/>
      <c r="Q340" s="10">
        <v>585368</v>
      </c>
      <c r="R340" s="10"/>
      <c r="S340" s="10">
        <v>0</v>
      </c>
      <c r="T340" s="10"/>
      <c r="U340" s="10">
        <v>0</v>
      </c>
      <c r="V340" s="10"/>
      <c r="W340" s="10">
        <v>0</v>
      </c>
      <c r="X340" s="10"/>
      <c r="Y340" s="10">
        <v>0</v>
      </c>
      <c r="Z340" s="10"/>
      <c r="AA340" s="10">
        <v>0</v>
      </c>
      <c r="AB340" s="10"/>
      <c r="AC340" s="10">
        <v>0</v>
      </c>
      <c r="AD340" s="10"/>
      <c r="AE340" s="10">
        <f t="shared" si="7"/>
        <v>3392498</v>
      </c>
      <c r="AF340" s="10"/>
      <c r="AG340" s="10">
        <v>-397248</v>
      </c>
      <c r="AH340" s="10"/>
      <c r="AI340" s="10">
        <v>1665249</v>
      </c>
      <c r="AJ340" s="10"/>
      <c r="AK340" s="10">
        <v>1268001</v>
      </c>
      <c r="AL340" s="10"/>
      <c r="AM340" s="10">
        <f>+'Gen Rev'!AI334-'Gen Exp'!AE340+'Gen Exp'!AI340-AK340</f>
        <v>0</v>
      </c>
      <c r="AN340" s="10"/>
    </row>
    <row r="341" spans="1:40">
      <c r="A341" s="1" t="s">
        <v>591</v>
      </c>
      <c r="C341" s="1" t="s">
        <v>590</v>
      </c>
      <c r="E341" s="10">
        <v>4245</v>
      </c>
      <c r="G341" s="10">
        <v>0</v>
      </c>
      <c r="I341" s="10">
        <v>0</v>
      </c>
      <c r="K341" s="10">
        <v>12</v>
      </c>
      <c r="M341" s="10">
        <v>2948</v>
      </c>
      <c r="O341" s="10">
        <v>5629</v>
      </c>
      <c r="Q341" s="10">
        <v>17740</v>
      </c>
      <c r="S341" s="10">
        <v>0</v>
      </c>
      <c r="U341" s="10">
        <v>0</v>
      </c>
      <c r="W341" s="10">
        <v>0</v>
      </c>
      <c r="Y341" s="10">
        <v>15000</v>
      </c>
      <c r="AA341" s="10">
        <v>0</v>
      </c>
      <c r="AC341" s="10">
        <v>0</v>
      </c>
      <c r="AE341" s="10">
        <f t="shared" si="7"/>
        <v>45574</v>
      </c>
      <c r="AF341" s="10"/>
      <c r="AG341" s="10">
        <v>-5931</v>
      </c>
      <c r="AI341" s="10">
        <v>33240</v>
      </c>
      <c r="AK341" s="10">
        <v>27309</v>
      </c>
      <c r="AM341" s="10">
        <f>+'Gen Rev'!AI336-'Gen Exp'!AE341+'Gen Exp'!AI341-AK341</f>
        <v>0</v>
      </c>
    </row>
    <row r="342" spans="1:40">
      <c r="A342" s="1" t="s">
        <v>686</v>
      </c>
      <c r="C342" s="1" t="s">
        <v>593</v>
      </c>
      <c r="E342" s="10">
        <v>74595</v>
      </c>
      <c r="G342" s="10">
        <v>1315</v>
      </c>
      <c r="I342" s="10">
        <v>11491</v>
      </c>
      <c r="K342" s="10">
        <v>148</v>
      </c>
      <c r="M342" s="10">
        <v>0</v>
      </c>
      <c r="O342" s="10">
        <v>215</v>
      </c>
      <c r="Q342" s="10">
        <v>86966</v>
      </c>
      <c r="S342" s="10">
        <v>0</v>
      </c>
      <c r="U342" s="10">
        <v>0</v>
      </c>
      <c r="W342" s="10">
        <v>0</v>
      </c>
      <c r="Y342" s="10">
        <v>0</v>
      </c>
      <c r="AA342" s="10">
        <v>0</v>
      </c>
      <c r="AC342" s="10">
        <v>1775</v>
      </c>
      <c r="AE342" s="10">
        <f t="shared" si="7"/>
        <v>176505</v>
      </c>
      <c r="AF342" s="10"/>
      <c r="AG342" s="10">
        <v>-20884</v>
      </c>
      <c r="AI342" s="10">
        <v>22338</v>
      </c>
      <c r="AK342" s="10">
        <v>1454</v>
      </c>
      <c r="AM342" s="10">
        <f>+'Gen Rev'!AI337-'Gen Exp'!AE342+'Gen Exp'!AI342-AK342</f>
        <v>0</v>
      </c>
    </row>
    <row r="343" spans="1:40" s="21" customFormat="1" ht="12.75" hidden="1">
      <c r="A343" s="1" t="s">
        <v>123</v>
      </c>
      <c r="B343" s="1"/>
      <c r="C343" s="23" t="s">
        <v>787</v>
      </c>
      <c r="D343" s="23"/>
      <c r="E343" s="10">
        <v>0</v>
      </c>
      <c r="F343" s="10"/>
      <c r="G343" s="10">
        <v>0</v>
      </c>
      <c r="H343" s="10"/>
      <c r="I343" s="10">
        <v>0</v>
      </c>
      <c r="J343" s="10"/>
      <c r="K343" s="10">
        <v>0</v>
      </c>
      <c r="L343" s="10"/>
      <c r="M343" s="10">
        <v>0</v>
      </c>
      <c r="N343" s="10"/>
      <c r="O343" s="10">
        <v>0</v>
      </c>
      <c r="P343" s="10"/>
      <c r="Q343" s="10">
        <v>0</v>
      </c>
      <c r="R343" s="10"/>
      <c r="S343" s="10">
        <v>0</v>
      </c>
      <c r="T343" s="10"/>
      <c r="U343" s="10">
        <v>0</v>
      </c>
      <c r="V343" s="10"/>
      <c r="W343" s="10">
        <v>0</v>
      </c>
      <c r="X343" s="10"/>
      <c r="Y343" s="10">
        <v>0</v>
      </c>
      <c r="Z343" s="10"/>
      <c r="AA343" s="10">
        <v>0</v>
      </c>
      <c r="AB343" s="10"/>
      <c r="AC343" s="10">
        <v>0</v>
      </c>
      <c r="AD343" s="10"/>
      <c r="AE343" s="10">
        <f t="shared" si="7"/>
        <v>0</v>
      </c>
      <c r="AF343" s="10"/>
      <c r="AG343" s="10"/>
      <c r="AH343" s="10"/>
      <c r="AI343" s="10"/>
      <c r="AJ343" s="10"/>
      <c r="AK343" s="10"/>
      <c r="AL343" s="10"/>
      <c r="AM343" s="10">
        <f>+'Gen Rev'!AI338-'Gen Exp'!AE343+'Gen Exp'!AI343-AK343</f>
        <v>0</v>
      </c>
      <c r="AN343" s="10"/>
    </row>
    <row r="344" spans="1:40" s="21" customFormat="1" ht="12.6" hidden="1" customHeight="1">
      <c r="A344" s="1" t="s">
        <v>301</v>
      </c>
      <c r="B344" s="1"/>
      <c r="C344" s="1" t="s">
        <v>299</v>
      </c>
      <c r="D344" s="1"/>
      <c r="E344" s="10">
        <v>0</v>
      </c>
      <c r="F344" s="10"/>
      <c r="G344" s="10">
        <v>0</v>
      </c>
      <c r="H344" s="10"/>
      <c r="I344" s="10">
        <v>0</v>
      </c>
      <c r="J344" s="10"/>
      <c r="K344" s="10">
        <v>0</v>
      </c>
      <c r="L344" s="10"/>
      <c r="M344" s="10">
        <v>0</v>
      </c>
      <c r="N344" s="10"/>
      <c r="O344" s="10">
        <v>0</v>
      </c>
      <c r="P344" s="10"/>
      <c r="Q344" s="10">
        <v>0</v>
      </c>
      <c r="R344" s="10"/>
      <c r="S344" s="10">
        <v>0</v>
      </c>
      <c r="T344" s="10"/>
      <c r="U344" s="10">
        <v>0</v>
      </c>
      <c r="V344" s="10"/>
      <c r="W344" s="10">
        <v>0</v>
      </c>
      <c r="X344" s="10"/>
      <c r="Y344" s="10">
        <v>0</v>
      </c>
      <c r="Z344" s="10"/>
      <c r="AA344" s="10">
        <v>0</v>
      </c>
      <c r="AB344" s="10"/>
      <c r="AC344" s="10">
        <v>0</v>
      </c>
      <c r="AD344" s="10"/>
      <c r="AE344" s="10">
        <f t="shared" si="7"/>
        <v>0</v>
      </c>
      <c r="AF344" s="10"/>
      <c r="AG344" s="46"/>
      <c r="AH344" s="46"/>
      <c r="AI344" s="46"/>
      <c r="AJ344" s="46"/>
      <c r="AK344" s="46"/>
      <c r="AL344" s="46"/>
      <c r="AM344" s="10">
        <f>+'Gen Rev'!AI339-'Gen Exp'!AE344+'Gen Exp'!AI344-AK344</f>
        <v>0</v>
      </c>
      <c r="AN344" s="46"/>
    </row>
    <row r="345" spans="1:40" ht="12.75" hidden="1">
      <c r="A345" s="1" t="s">
        <v>247</v>
      </c>
      <c r="C345" s="23" t="s">
        <v>827</v>
      </c>
      <c r="D345" s="23"/>
      <c r="E345" s="10">
        <v>0</v>
      </c>
      <c r="G345" s="10">
        <v>0</v>
      </c>
      <c r="I345" s="10">
        <v>0</v>
      </c>
      <c r="K345" s="10">
        <v>0</v>
      </c>
      <c r="M345" s="10">
        <v>0</v>
      </c>
      <c r="O345" s="10">
        <v>0</v>
      </c>
      <c r="Q345" s="10">
        <v>0</v>
      </c>
      <c r="S345" s="10">
        <v>0</v>
      </c>
      <c r="U345" s="10">
        <v>0</v>
      </c>
      <c r="W345" s="10">
        <v>0</v>
      </c>
      <c r="Y345" s="10">
        <v>0</v>
      </c>
      <c r="AA345" s="10">
        <v>0</v>
      </c>
      <c r="AC345" s="10">
        <v>0</v>
      </c>
      <c r="AE345" s="10">
        <f t="shared" si="7"/>
        <v>0</v>
      </c>
      <c r="AF345" s="10"/>
      <c r="AM345" s="10">
        <f>+'Gen Rev'!AI340-'Gen Exp'!AE345+'Gen Exp'!AI345-AK345</f>
        <v>0</v>
      </c>
    </row>
    <row r="346" spans="1:40" s="31" customFormat="1" ht="12.6" hidden="1" customHeight="1">
      <c r="A346" s="15" t="s">
        <v>322</v>
      </c>
      <c r="B346" s="15"/>
      <c r="C346" s="15" t="s">
        <v>316</v>
      </c>
      <c r="D346" s="15"/>
      <c r="E346" s="10">
        <v>0</v>
      </c>
      <c r="F346" s="24"/>
      <c r="G346" s="10">
        <v>0</v>
      </c>
      <c r="H346" s="24"/>
      <c r="I346" s="10">
        <v>0</v>
      </c>
      <c r="J346" s="24"/>
      <c r="K346" s="10">
        <v>0</v>
      </c>
      <c r="L346" s="24"/>
      <c r="M346" s="10">
        <v>0</v>
      </c>
      <c r="N346" s="24"/>
      <c r="O346" s="10">
        <v>0</v>
      </c>
      <c r="P346" s="24"/>
      <c r="Q346" s="10">
        <v>0</v>
      </c>
      <c r="R346" s="24"/>
      <c r="S346" s="10">
        <v>0</v>
      </c>
      <c r="T346" s="24"/>
      <c r="U346" s="10">
        <v>0</v>
      </c>
      <c r="V346" s="24"/>
      <c r="W346" s="10">
        <v>0</v>
      </c>
      <c r="X346" s="24"/>
      <c r="Y346" s="10">
        <v>0</v>
      </c>
      <c r="Z346" s="24"/>
      <c r="AA346" s="10">
        <v>0</v>
      </c>
      <c r="AB346" s="24"/>
      <c r="AC346" s="10">
        <v>0</v>
      </c>
      <c r="AD346" s="24"/>
      <c r="AE346" s="24">
        <f t="shared" si="7"/>
        <v>0</v>
      </c>
      <c r="AF346" s="24"/>
      <c r="AG346" s="47"/>
      <c r="AH346" s="47"/>
      <c r="AI346" s="47"/>
      <c r="AJ346" s="47"/>
      <c r="AK346" s="47"/>
      <c r="AL346" s="47"/>
      <c r="AM346" s="10">
        <f>+'Gen Rev'!AI341-'Gen Exp'!AE346+'Gen Exp'!AI346-AK346</f>
        <v>0</v>
      </c>
      <c r="AN346" s="47"/>
    </row>
    <row r="347" spans="1:40" s="10" customFormat="1">
      <c r="A347" s="24" t="s">
        <v>302</v>
      </c>
      <c r="B347" s="24"/>
      <c r="C347" s="10" t="s">
        <v>82</v>
      </c>
      <c r="E347" s="10">
        <v>45408</v>
      </c>
      <c r="G347" s="10">
        <v>530</v>
      </c>
      <c r="I347" s="10">
        <v>0</v>
      </c>
      <c r="K347" s="10">
        <v>0</v>
      </c>
      <c r="M347" s="10">
        <v>0</v>
      </c>
      <c r="O347" s="10">
        <v>0</v>
      </c>
      <c r="Q347" s="10">
        <v>218519</v>
      </c>
      <c r="S347" s="10">
        <v>15264</v>
      </c>
      <c r="U347" s="10">
        <v>4304</v>
      </c>
      <c r="W347" s="10">
        <v>0</v>
      </c>
      <c r="Y347" s="10">
        <v>0</v>
      </c>
      <c r="AA347" s="10">
        <v>0</v>
      </c>
      <c r="AC347" s="10">
        <v>0</v>
      </c>
      <c r="AE347" s="10">
        <f t="shared" si="7"/>
        <v>284025</v>
      </c>
      <c r="AG347" s="10">
        <v>-40257</v>
      </c>
      <c r="AI347" s="10">
        <v>118161</v>
      </c>
      <c r="AK347" s="10">
        <v>77904</v>
      </c>
      <c r="AM347" s="10">
        <f>+'Gen Rev'!AI342-'Gen Exp'!AE347+'Gen Exp'!AI347-AK347</f>
        <v>0</v>
      </c>
    </row>
    <row r="348" spans="1:40" ht="12.75" hidden="1">
      <c r="A348" s="1" t="s">
        <v>108</v>
      </c>
      <c r="C348" s="23" t="s">
        <v>782</v>
      </c>
      <c r="D348" s="23"/>
      <c r="E348" s="10">
        <v>0</v>
      </c>
      <c r="G348" s="10">
        <v>0</v>
      </c>
      <c r="I348" s="10">
        <v>0</v>
      </c>
      <c r="K348" s="10">
        <v>0</v>
      </c>
      <c r="M348" s="10">
        <v>0</v>
      </c>
      <c r="O348" s="10">
        <v>0</v>
      </c>
      <c r="Q348" s="10">
        <v>0</v>
      </c>
      <c r="S348" s="10">
        <v>0</v>
      </c>
      <c r="U348" s="10">
        <v>0</v>
      </c>
      <c r="W348" s="10">
        <v>0</v>
      </c>
      <c r="Y348" s="10">
        <v>0</v>
      </c>
      <c r="AA348" s="10">
        <v>0</v>
      </c>
      <c r="AC348" s="10">
        <v>0</v>
      </c>
      <c r="AE348" s="10">
        <f t="shared" si="7"/>
        <v>0</v>
      </c>
      <c r="AF348" s="10"/>
      <c r="AM348" s="10">
        <f>+'Gen Rev'!AI343-'Gen Exp'!AE348+'Gen Exp'!AI348-AK348</f>
        <v>0</v>
      </c>
    </row>
    <row r="349" spans="1:40" s="21" customFormat="1">
      <c r="A349" s="1" t="s">
        <v>389</v>
      </c>
      <c r="B349" s="1"/>
      <c r="C349" s="1" t="s">
        <v>388</v>
      </c>
      <c r="D349" s="1"/>
      <c r="E349" s="10">
        <v>289833</v>
      </c>
      <c r="F349" s="10"/>
      <c r="G349" s="10">
        <v>25486</v>
      </c>
      <c r="H349" s="10"/>
      <c r="I349" s="10">
        <v>701217</v>
      </c>
      <c r="J349" s="10"/>
      <c r="K349" s="10">
        <v>22386</v>
      </c>
      <c r="L349" s="10"/>
      <c r="M349" s="10">
        <v>2054</v>
      </c>
      <c r="N349" s="10"/>
      <c r="O349" s="10">
        <v>212627</v>
      </c>
      <c r="P349" s="10"/>
      <c r="Q349" s="10">
        <v>236330</v>
      </c>
      <c r="R349" s="10"/>
      <c r="S349" s="10">
        <v>0</v>
      </c>
      <c r="T349" s="10"/>
      <c r="U349" s="10">
        <v>0</v>
      </c>
      <c r="V349" s="10"/>
      <c r="W349" s="10">
        <v>0</v>
      </c>
      <c r="X349" s="10"/>
      <c r="Y349" s="10">
        <v>20104</v>
      </c>
      <c r="Z349" s="10"/>
      <c r="AA349" s="10">
        <v>0</v>
      </c>
      <c r="AB349" s="10"/>
      <c r="AC349" s="10">
        <v>0</v>
      </c>
      <c r="AD349" s="10"/>
      <c r="AE349" s="10">
        <f t="shared" si="7"/>
        <v>1510037</v>
      </c>
      <c r="AF349" s="10"/>
      <c r="AG349" s="10">
        <v>-37454</v>
      </c>
      <c r="AH349" s="10"/>
      <c r="AI349" s="10">
        <v>881997</v>
      </c>
      <c r="AJ349" s="10"/>
      <c r="AK349" s="10">
        <v>844543</v>
      </c>
      <c r="AL349" s="10"/>
      <c r="AM349" s="10">
        <f>+'Gen Rev'!AI344-'Gen Exp'!AE349+'Gen Exp'!AI349-AK349</f>
        <v>0</v>
      </c>
      <c r="AN349" s="10"/>
    </row>
    <row r="350" spans="1:40" ht="12.75" hidden="1">
      <c r="A350" s="1" t="s">
        <v>168</v>
      </c>
      <c r="C350" s="23" t="s">
        <v>803</v>
      </c>
      <c r="D350" s="23"/>
      <c r="E350" s="10">
        <v>0</v>
      </c>
      <c r="G350" s="10">
        <v>0</v>
      </c>
      <c r="I350" s="10">
        <v>0</v>
      </c>
      <c r="K350" s="10">
        <v>0</v>
      </c>
      <c r="M350" s="10">
        <v>0</v>
      </c>
      <c r="O350" s="10">
        <v>0</v>
      </c>
      <c r="Q350" s="10">
        <v>0</v>
      </c>
      <c r="S350" s="10">
        <v>0</v>
      </c>
      <c r="U350" s="10">
        <v>0</v>
      </c>
      <c r="W350" s="10">
        <v>0</v>
      </c>
      <c r="Y350" s="10">
        <v>0</v>
      </c>
      <c r="AA350" s="10">
        <v>0</v>
      </c>
      <c r="AC350" s="10">
        <v>0</v>
      </c>
      <c r="AE350" s="10">
        <f t="shared" si="7"/>
        <v>0</v>
      </c>
      <c r="AF350" s="10"/>
      <c r="AM350" s="10">
        <f>+'Gen Rev'!AI345-'Gen Exp'!AE350+'Gen Exp'!AI350-AK350</f>
        <v>0</v>
      </c>
    </row>
    <row r="351" spans="1:40">
      <c r="A351" s="1" t="s">
        <v>563</v>
      </c>
      <c r="C351" s="1" t="s">
        <v>562</v>
      </c>
      <c r="E351" s="10">
        <v>391721</v>
      </c>
      <c r="G351" s="10">
        <v>2930</v>
      </c>
      <c r="I351" s="10">
        <v>20727</v>
      </c>
      <c r="K351" s="10">
        <v>3462</v>
      </c>
      <c r="M351" s="10">
        <v>119985</v>
      </c>
      <c r="O351" s="10">
        <v>1025</v>
      </c>
      <c r="Q351" s="10">
        <v>507512</v>
      </c>
      <c r="S351" s="10">
        <v>0</v>
      </c>
      <c r="U351" s="10">
        <v>0</v>
      </c>
      <c r="W351" s="10">
        <v>0</v>
      </c>
      <c r="Y351" s="10">
        <v>0</v>
      </c>
      <c r="AA351" s="10">
        <v>0</v>
      </c>
      <c r="AC351" s="10">
        <v>0</v>
      </c>
      <c r="AE351" s="10">
        <f t="shared" si="7"/>
        <v>1047362</v>
      </c>
      <c r="AF351" s="10"/>
      <c r="AG351" s="10">
        <v>-33179</v>
      </c>
      <c r="AI351" s="10">
        <v>108464</v>
      </c>
      <c r="AK351" s="10">
        <v>75285</v>
      </c>
      <c r="AM351" s="10">
        <f>+'Gen Rev'!AI346-'Gen Exp'!AE351+'Gen Exp'!AI351-AK351</f>
        <v>0</v>
      </c>
    </row>
    <row r="352" spans="1:40">
      <c r="A352" s="1" t="s">
        <v>399</v>
      </c>
      <c r="C352" s="1" t="s">
        <v>396</v>
      </c>
      <c r="E352" s="10">
        <v>1</v>
      </c>
      <c r="G352" s="10">
        <v>1504</v>
      </c>
      <c r="I352" s="10">
        <v>440</v>
      </c>
      <c r="K352" s="10">
        <v>0</v>
      </c>
      <c r="M352" s="10">
        <v>2918</v>
      </c>
      <c r="O352" s="10">
        <v>10971</v>
      </c>
      <c r="Q352" s="10">
        <v>81419</v>
      </c>
      <c r="S352" s="10">
        <v>4324</v>
      </c>
      <c r="U352" s="10">
        <v>0</v>
      </c>
      <c r="W352" s="10">
        <v>0</v>
      </c>
      <c r="Y352" s="10">
        <v>0</v>
      </c>
      <c r="AA352" s="10">
        <v>0</v>
      </c>
      <c r="AC352" s="10">
        <v>0</v>
      </c>
      <c r="AE352" s="10">
        <f t="shared" si="7"/>
        <v>101577</v>
      </c>
      <c r="AF352" s="10"/>
      <c r="AG352" s="10">
        <v>-5269</v>
      </c>
      <c r="AI352" s="10">
        <v>76381</v>
      </c>
      <c r="AK352" s="10">
        <v>71113</v>
      </c>
      <c r="AM352" s="10">
        <f>+'Gen Rev'!AI347-'Gen Exp'!AE352+'Gen Exp'!AI352-AK352</f>
        <v>0</v>
      </c>
    </row>
    <row r="353" spans="1:40" ht="12.6" hidden="1" customHeight="1">
      <c r="A353" s="1" t="s">
        <v>286</v>
      </c>
      <c r="C353" s="1" t="s">
        <v>287</v>
      </c>
      <c r="E353" s="10">
        <v>0</v>
      </c>
      <c r="G353" s="10">
        <v>0</v>
      </c>
      <c r="I353" s="10">
        <v>0</v>
      </c>
      <c r="K353" s="10">
        <v>0</v>
      </c>
      <c r="M353" s="10">
        <v>0</v>
      </c>
      <c r="O353" s="10">
        <v>0</v>
      </c>
      <c r="Q353" s="10">
        <v>0</v>
      </c>
      <c r="S353" s="10">
        <v>0</v>
      </c>
      <c r="U353" s="10">
        <v>0</v>
      </c>
      <c r="W353" s="10">
        <v>0</v>
      </c>
      <c r="Y353" s="10">
        <v>0</v>
      </c>
      <c r="AA353" s="10">
        <v>0</v>
      </c>
      <c r="AC353" s="10">
        <v>0</v>
      </c>
      <c r="AE353" s="10">
        <f t="shared" si="7"/>
        <v>0</v>
      </c>
      <c r="AF353" s="10"/>
      <c r="AG353" s="46"/>
      <c r="AH353" s="46"/>
      <c r="AI353" s="46"/>
      <c r="AJ353" s="46"/>
      <c r="AK353" s="46"/>
      <c r="AL353" s="46"/>
      <c r="AM353" s="10">
        <f>+'Gen Rev'!AI348-'Gen Exp'!AE353+'Gen Exp'!AI353-AK353</f>
        <v>0</v>
      </c>
      <c r="AN353" s="46"/>
    </row>
    <row r="354" spans="1:40" ht="12.75" hidden="1">
      <c r="A354" s="1" t="s">
        <v>185</v>
      </c>
      <c r="C354" s="23" t="s">
        <v>808</v>
      </c>
      <c r="D354" s="23"/>
      <c r="E354" s="10">
        <v>0</v>
      </c>
      <c r="G354" s="10">
        <v>0</v>
      </c>
      <c r="I354" s="10">
        <v>0</v>
      </c>
      <c r="K354" s="10">
        <v>0</v>
      </c>
      <c r="M354" s="10">
        <v>0</v>
      </c>
      <c r="O354" s="10">
        <v>0</v>
      </c>
      <c r="Q354" s="10">
        <v>0</v>
      </c>
      <c r="S354" s="10">
        <v>0</v>
      </c>
      <c r="U354" s="10">
        <v>0</v>
      </c>
      <c r="W354" s="10">
        <v>0</v>
      </c>
      <c r="Y354" s="10">
        <v>0</v>
      </c>
      <c r="AA354" s="10">
        <v>0</v>
      </c>
      <c r="AC354" s="10">
        <v>0</v>
      </c>
      <c r="AE354" s="10">
        <f t="shared" si="7"/>
        <v>0</v>
      </c>
      <c r="AF354" s="10"/>
      <c r="AM354" s="10">
        <f>+'Gen Rev'!AI349-'Gen Exp'!AE354+'Gen Exp'!AI354-AK354</f>
        <v>0</v>
      </c>
    </row>
    <row r="355" spans="1:40" ht="12.75" hidden="1">
      <c r="A355" s="1" t="s">
        <v>852</v>
      </c>
      <c r="C355" s="23" t="s">
        <v>799</v>
      </c>
      <c r="D355" s="23"/>
      <c r="E355" s="10">
        <v>0</v>
      </c>
      <c r="G355" s="10">
        <v>0</v>
      </c>
      <c r="I355" s="10">
        <v>0</v>
      </c>
      <c r="K355" s="10">
        <v>0</v>
      </c>
      <c r="M355" s="10">
        <v>0</v>
      </c>
      <c r="O355" s="10">
        <v>0</v>
      </c>
      <c r="Q355" s="10">
        <v>0</v>
      </c>
      <c r="S355" s="10">
        <v>0</v>
      </c>
      <c r="U355" s="10">
        <v>0</v>
      </c>
      <c r="W355" s="10">
        <v>0</v>
      </c>
      <c r="Y355" s="10">
        <v>0</v>
      </c>
      <c r="AA355" s="10">
        <v>0</v>
      </c>
      <c r="AC355" s="10">
        <v>0</v>
      </c>
      <c r="AE355" s="10">
        <f t="shared" si="7"/>
        <v>0</v>
      </c>
      <c r="AF355" s="10"/>
      <c r="AM355" s="10">
        <f>+'Gen Rev'!AI350-'Gen Exp'!AE355+'Gen Exp'!AI355-AK355</f>
        <v>0</v>
      </c>
    </row>
    <row r="356" spans="1:40" s="21" customFormat="1">
      <c r="A356" s="1" t="s">
        <v>361</v>
      </c>
      <c r="B356" s="1"/>
      <c r="C356" s="1" t="s">
        <v>358</v>
      </c>
      <c r="D356" s="1"/>
      <c r="E356" s="10">
        <v>14160</v>
      </c>
      <c r="F356" s="10"/>
      <c r="G356" s="10">
        <v>0</v>
      </c>
      <c r="H356" s="10"/>
      <c r="I356" s="10">
        <v>22751</v>
      </c>
      <c r="J356" s="10"/>
      <c r="K356" s="10">
        <v>12599</v>
      </c>
      <c r="L356" s="10"/>
      <c r="M356" s="10">
        <v>0</v>
      </c>
      <c r="N356" s="10"/>
      <c r="O356" s="10">
        <v>0</v>
      </c>
      <c r="P356" s="10"/>
      <c r="Q356" s="10">
        <v>179930</v>
      </c>
      <c r="R356" s="10"/>
      <c r="S356" s="10">
        <v>160595</v>
      </c>
      <c r="T356" s="10"/>
      <c r="U356" s="10">
        <v>0</v>
      </c>
      <c r="V356" s="10"/>
      <c r="W356" s="10">
        <v>0</v>
      </c>
      <c r="X356" s="10"/>
      <c r="Y356" s="10">
        <v>83643</v>
      </c>
      <c r="Z356" s="10"/>
      <c r="AA356" s="10">
        <v>0</v>
      </c>
      <c r="AB356" s="10"/>
      <c r="AC356" s="10">
        <v>0</v>
      </c>
      <c r="AD356" s="10"/>
      <c r="AE356" s="10">
        <f t="shared" si="7"/>
        <v>473678</v>
      </c>
      <c r="AF356" s="10"/>
      <c r="AG356" s="10">
        <v>-136762</v>
      </c>
      <c r="AH356" s="10"/>
      <c r="AI356" s="10">
        <v>442335</v>
      </c>
      <c r="AJ356" s="10"/>
      <c r="AK356" s="10">
        <v>305573</v>
      </c>
      <c r="AL356" s="10"/>
      <c r="AM356" s="10">
        <f>+'Gen Rev'!AI351-'Gen Exp'!AE356+'Gen Exp'!AI356-AK356</f>
        <v>0</v>
      </c>
      <c r="AN356" s="10"/>
    </row>
    <row r="357" spans="1:40" ht="12.75" hidden="1">
      <c r="A357" s="1" t="s">
        <v>227</v>
      </c>
      <c r="C357" s="23" t="s">
        <v>820</v>
      </c>
      <c r="D357" s="23"/>
      <c r="E357" s="10">
        <v>0</v>
      </c>
      <c r="G357" s="10">
        <v>0</v>
      </c>
      <c r="I357" s="10">
        <v>0</v>
      </c>
      <c r="K357" s="10">
        <v>0</v>
      </c>
      <c r="M357" s="10">
        <v>0</v>
      </c>
      <c r="O357" s="10">
        <v>0</v>
      </c>
      <c r="Q357" s="10">
        <v>0</v>
      </c>
      <c r="S357" s="10">
        <v>0</v>
      </c>
      <c r="U357" s="10">
        <v>0</v>
      </c>
      <c r="W357" s="10">
        <v>0</v>
      </c>
      <c r="Y357" s="10">
        <v>0</v>
      </c>
      <c r="AA357" s="10">
        <v>0</v>
      </c>
      <c r="AC357" s="10">
        <v>0</v>
      </c>
      <c r="AE357" s="10">
        <f t="shared" si="7"/>
        <v>0</v>
      </c>
      <c r="AF357" s="10"/>
      <c r="AM357" s="10">
        <f>+'Gen Rev'!AI352-'Gen Exp'!AE357+'Gen Exp'!AI357-AK357</f>
        <v>0</v>
      </c>
    </row>
    <row r="358" spans="1:40" s="21" customFormat="1" hidden="1">
      <c r="A358" s="1" t="s">
        <v>367</v>
      </c>
      <c r="B358" s="1"/>
      <c r="C358" s="1" t="s">
        <v>368</v>
      </c>
      <c r="D358" s="1"/>
      <c r="E358" s="10">
        <v>0</v>
      </c>
      <c r="F358" s="10"/>
      <c r="G358" s="10">
        <v>0</v>
      </c>
      <c r="H358" s="10"/>
      <c r="I358" s="10">
        <v>0</v>
      </c>
      <c r="J358" s="10"/>
      <c r="K358" s="10">
        <v>0</v>
      </c>
      <c r="L358" s="10"/>
      <c r="M358" s="10">
        <v>0</v>
      </c>
      <c r="N358" s="10"/>
      <c r="O358" s="10">
        <v>0</v>
      </c>
      <c r="P358" s="10"/>
      <c r="Q358" s="10">
        <v>0</v>
      </c>
      <c r="R358" s="10"/>
      <c r="S358" s="10">
        <v>0</v>
      </c>
      <c r="T358" s="10"/>
      <c r="U358" s="10">
        <v>0</v>
      </c>
      <c r="V358" s="10"/>
      <c r="W358" s="10">
        <v>0</v>
      </c>
      <c r="X358" s="10"/>
      <c r="Y358" s="10">
        <v>0</v>
      </c>
      <c r="Z358" s="10"/>
      <c r="AA358" s="10">
        <v>0</v>
      </c>
      <c r="AB358" s="10"/>
      <c r="AC358" s="10">
        <v>0</v>
      </c>
      <c r="AD358" s="10"/>
      <c r="AE358" s="10">
        <f t="shared" si="7"/>
        <v>0</v>
      </c>
      <c r="AF358" s="10"/>
      <c r="AG358" s="10"/>
      <c r="AH358" s="10"/>
      <c r="AI358" s="10"/>
      <c r="AJ358" s="10"/>
      <c r="AK358" s="10"/>
      <c r="AL358" s="10"/>
      <c r="AM358" s="10">
        <f>+'Gen Rev'!AI353-'Gen Exp'!AE358+'Gen Exp'!AI358-AK358</f>
        <v>0</v>
      </c>
      <c r="AN358" s="10"/>
    </row>
    <row r="359" spans="1:40" hidden="1">
      <c r="A359" s="1" t="s">
        <v>156</v>
      </c>
      <c r="C359" s="1" t="s">
        <v>467</v>
      </c>
      <c r="E359" s="10">
        <v>0</v>
      </c>
      <c r="G359" s="10">
        <v>0</v>
      </c>
      <c r="I359" s="10">
        <v>0</v>
      </c>
      <c r="K359" s="10">
        <v>0</v>
      </c>
      <c r="M359" s="10">
        <v>0</v>
      </c>
      <c r="O359" s="10">
        <v>0</v>
      </c>
      <c r="Q359" s="10">
        <v>0</v>
      </c>
      <c r="S359" s="10">
        <v>0</v>
      </c>
      <c r="U359" s="10">
        <v>0</v>
      </c>
      <c r="W359" s="10">
        <v>0</v>
      </c>
      <c r="Y359" s="10">
        <v>0</v>
      </c>
      <c r="AA359" s="10">
        <v>0</v>
      </c>
      <c r="AC359" s="10">
        <v>0</v>
      </c>
      <c r="AE359" s="10">
        <f t="shared" si="7"/>
        <v>0</v>
      </c>
      <c r="AF359" s="10"/>
      <c r="AM359" s="10">
        <f>+'Gen Rev'!AI354-'Gen Exp'!AE359+'Gen Exp'!AI359-AK359</f>
        <v>0</v>
      </c>
    </row>
    <row r="360" spans="1:40" ht="12.75">
      <c r="A360" s="1" t="s">
        <v>915</v>
      </c>
      <c r="C360" s="23" t="s">
        <v>299</v>
      </c>
      <c r="D360" s="23"/>
      <c r="E360" s="10">
        <v>0</v>
      </c>
      <c r="G360" s="10">
        <v>0</v>
      </c>
      <c r="I360" s="10">
        <v>0</v>
      </c>
      <c r="K360" s="10">
        <v>0</v>
      </c>
      <c r="M360" s="10">
        <v>2289</v>
      </c>
      <c r="O360" s="10">
        <v>0</v>
      </c>
      <c r="Q360" s="10">
        <v>19438</v>
      </c>
      <c r="S360" s="10">
        <v>0</v>
      </c>
      <c r="U360" s="10">
        <v>0</v>
      </c>
      <c r="W360" s="10">
        <v>0</v>
      </c>
      <c r="Y360" s="10">
        <v>0</v>
      </c>
      <c r="AA360" s="10">
        <v>0</v>
      </c>
      <c r="AC360" s="10">
        <v>0</v>
      </c>
      <c r="AE360" s="10">
        <f>SUM(E360:AC360)</f>
        <v>21727</v>
      </c>
      <c r="AF360" s="10"/>
      <c r="AG360" s="10">
        <v>9791</v>
      </c>
      <c r="AI360" s="10">
        <v>610</v>
      </c>
      <c r="AK360" s="10">
        <v>10401</v>
      </c>
      <c r="AM360" s="10">
        <f>+'Gen Rev'!AI355-'Gen Exp'!AE360+'Gen Exp'!AI360-AK360</f>
        <v>0</v>
      </c>
    </row>
    <row r="361" spans="1:40" ht="12.75" hidden="1">
      <c r="A361" s="1" t="s">
        <v>233</v>
      </c>
      <c r="C361" s="23" t="s">
        <v>823</v>
      </c>
      <c r="D361" s="23"/>
      <c r="E361" s="10">
        <v>0</v>
      </c>
      <c r="G361" s="10">
        <v>0</v>
      </c>
      <c r="I361" s="10">
        <v>0</v>
      </c>
      <c r="K361" s="10">
        <v>0</v>
      </c>
      <c r="M361" s="10">
        <v>0</v>
      </c>
      <c r="O361" s="10">
        <v>0</v>
      </c>
      <c r="Q361" s="10">
        <v>0</v>
      </c>
      <c r="S361" s="10">
        <v>0</v>
      </c>
      <c r="U361" s="10">
        <v>0</v>
      </c>
      <c r="W361" s="10">
        <v>0</v>
      </c>
      <c r="Y361" s="10">
        <v>0</v>
      </c>
      <c r="AA361" s="10">
        <v>0</v>
      </c>
      <c r="AC361" s="10">
        <v>0</v>
      </c>
      <c r="AE361" s="10">
        <f t="shared" si="7"/>
        <v>0</v>
      </c>
      <c r="AF361" s="10"/>
      <c r="AM361" s="10">
        <f>+'Gen Rev'!AI356-'Gen Exp'!AE361+'Gen Exp'!AI361-AK361</f>
        <v>0</v>
      </c>
    </row>
    <row r="362" spans="1:40">
      <c r="A362" s="1" t="s">
        <v>460</v>
      </c>
      <c r="C362" s="1" t="s">
        <v>432</v>
      </c>
      <c r="E362" s="10">
        <v>0</v>
      </c>
      <c r="G362" s="10">
        <v>0</v>
      </c>
      <c r="I362" s="10">
        <v>31570</v>
      </c>
      <c r="K362" s="10">
        <v>0</v>
      </c>
      <c r="M362" s="10">
        <v>4807</v>
      </c>
      <c r="O362" s="10">
        <v>15719</v>
      </c>
      <c r="Q362" s="10">
        <v>20281</v>
      </c>
      <c r="S362" s="10">
        <v>0</v>
      </c>
      <c r="U362" s="10">
        <v>0</v>
      </c>
      <c r="W362" s="10">
        <v>0</v>
      </c>
      <c r="Y362" s="10">
        <v>0</v>
      </c>
      <c r="AA362" s="10">
        <v>0</v>
      </c>
      <c r="AC362" s="10">
        <v>0</v>
      </c>
      <c r="AD362" s="35"/>
      <c r="AE362" s="10">
        <f t="shared" si="7"/>
        <v>72377</v>
      </c>
      <c r="AF362" s="10"/>
      <c r="AG362" s="10">
        <v>-28917</v>
      </c>
      <c r="AI362" s="10">
        <v>44248</v>
      </c>
      <c r="AK362" s="10">
        <v>15331</v>
      </c>
      <c r="AM362" s="10">
        <f>+'Gen Rev'!AI357-'Gen Exp'!AE362+'Gen Exp'!AI362-AK362</f>
        <v>0</v>
      </c>
    </row>
    <row r="363" spans="1:40" ht="12.75" hidden="1">
      <c r="A363" s="1" t="s">
        <v>8</v>
      </c>
      <c r="C363" s="23" t="s">
        <v>672</v>
      </c>
      <c r="D363" s="23"/>
      <c r="E363" s="10">
        <v>0</v>
      </c>
      <c r="G363" s="10">
        <v>0</v>
      </c>
      <c r="I363" s="10">
        <v>0</v>
      </c>
      <c r="K363" s="10">
        <v>0</v>
      </c>
      <c r="M363" s="10">
        <v>0</v>
      </c>
      <c r="O363" s="10">
        <v>0</v>
      </c>
      <c r="Q363" s="10">
        <v>0</v>
      </c>
      <c r="S363" s="10">
        <v>0</v>
      </c>
      <c r="U363" s="10">
        <v>0</v>
      </c>
      <c r="W363" s="10">
        <v>0</v>
      </c>
      <c r="Y363" s="10">
        <v>0</v>
      </c>
      <c r="AA363" s="10">
        <v>0</v>
      </c>
      <c r="AC363" s="10">
        <v>0</v>
      </c>
      <c r="AE363" s="10">
        <f t="shared" si="7"/>
        <v>0</v>
      </c>
      <c r="AF363" s="10"/>
      <c r="AG363" s="46"/>
      <c r="AH363" s="46"/>
      <c r="AI363" s="46"/>
      <c r="AJ363" s="46"/>
      <c r="AK363" s="46"/>
      <c r="AL363" s="46"/>
      <c r="AM363" s="10">
        <f>+'Gen Rev'!AI358-'Gen Exp'!AE363+'Gen Exp'!AI363-AK363</f>
        <v>0</v>
      </c>
      <c r="AN363" s="46"/>
    </row>
    <row r="364" spans="1:40" s="19" customFormat="1" ht="12.6" customHeight="1">
      <c r="A364" s="10" t="s">
        <v>347</v>
      </c>
      <c r="B364" s="10"/>
      <c r="C364" s="10" t="s">
        <v>348</v>
      </c>
      <c r="D364" s="10"/>
      <c r="E364" s="10">
        <v>392318</v>
      </c>
      <c r="F364" s="10"/>
      <c r="G364" s="10">
        <v>0</v>
      </c>
      <c r="H364" s="10"/>
      <c r="I364" s="10">
        <v>0</v>
      </c>
      <c r="J364" s="10"/>
      <c r="K364" s="10">
        <v>0</v>
      </c>
      <c r="L364" s="10"/>
      <c r="M364" s="10">
        <v>0</v>
      </c>
      <c r="N364" s="10"/>
      <c r="O364" s="10">
        <v>0</v>
      </c>
      <c r="P364" s="10"/>
      <c r="Q364" s="10">
        <v>230891</v>
      </c>
      <c r="R364" s="10"/>
      <c r="S364" s="10">
        <v>0</v>
      </c>
      <c r="T364" s="10"/>
      <c r="U364" s="10">
        <v>0</v>
      </c>
      <c r="V364" s="10"/>
      <c r="W364" s="10">
        <v>0</v>
      </c>
      <c r="X364" s="10"/>
      <c r="Y364" s="10">
        <v>0</v>
      </c>
      <c r="Z364" s="10"/>
      <c r="AA364" s="10">
        <v>0</v>
      </c>
      <c r="AB364" s="10"/>
      <c r="AC364" s="10">
        <v>86495</v>
      </c>
      <c r="AD364" s="10"/>
      <c r="AE364" s="10">
        <f t="shared" si="7"/>
        <v>709704</v>
      </c>
      <c r="AF364" s="10"/>
      <c r="AG364" s="46">
        <v>-118602</v>
      </c>
      <c r="AH364" s="46"/>
      <c r="AI364" s="46">
        <v>402608</v>
      </c>
      <c r="AJ364" s="46"/>
      <c r="AK364" s="46">
        <v>284006</v>
      </c>
      <c r="AL364" s="46"/>
      <c r="AM364" s="10">
        <f>+'Gen Rev'!AI359-'Gen Exp'!AE364+'Gen Exp'!AI364-AK364</f>
        <v>0</v>
      </c>
      <c r="AN364" s="46"/>
    </row>
    <row r="365" spans="1:40" ht="12.75" hidden="1">
      <c r="A365" s="1" t="s">
        <v>237</v>
      </c>
      <c r="C365" s="23" t="s">
        <v>824</v>
      </c>
      <c r="D365" s="23"/>
      <c r="E365" s="10">
        <v>0</v>
      </c>
      <c r="G365" s="10">
        <v>0</v>
      </c>
      <c r="I365" s="10">
        <v>0</v>
      </c>
      <c r="K365" s="10">
        <v>0</v>
      </c>
      <c r="M365" s="10">
        <v>0</v>
      </c>
      <c r="O365" s="10">
        <v>0</v>
      </c>
      <c r="Q365" s="10">
        <v>0</v>
      </c>
      <c r="S365" s="10">
        <v>0</v>
      </c>
      <c r="U365" s="10">
        <v>0</v>
      </c>
      <c r="W365" s="10">
        <v>0</v>
      </c>
      <c r="Y365" s="10">
        <v>0</v>
      </c>
      <c r="AA365" s="10">
        <v>0</v>
      </c>
      <c r="AC365" s="10">
        <v>0</v>
      </c>
      <c r="AE365" s="10">
        <f t="shared" si="7"/>
        <v>0</v>
      </c>
      <c r="AF365" s="10"/>
      <c r="AM365" s="10">
        <f>+'Gen Rev'!AI360-'Gen Exp'!AE365+'Gen Exp'!AI365-AK365</f>
        <v>0</v>
      </c>
    </row>
    <row r="366" spans="1:40" ht="12.75" hidden="1">
      <c r="A366" s="1" t="s">
        <v>258</v>
      </c>
      <c r="C366" s="23" t="s">
        <v>830</v>
      </c>
      <c r="D366" s="23"/>
      <c r="E366" s="10">
        <v>0</v>
      </c>
      <c r="G366" s="10">
        <v>0</v>
      </c>
      <c r="I366" s="10">
        <v>0</v>
      </c>
      <c r="K366" s="10">
        <v>0</v>
      </c>
      <c r="M366" s="10">
        <v>0</v>
      </c>
      <c r="O366" s="10">
        <v>0</v>
      </c>
      <c r="Q366" s="10">
        <v>0</v>
      </c>
      <c r="S366" s="10">
        <v>0</v>
      </c>
      <c r="U366" s="10">
        <v>0</v>
      </c>
      <c r="W366" s="10">
        <v>0</v>
      </c>
      <c r="Y366" s="10">
        <v>0</v>
      </c>
      <c r="AA366" s="10">
        <v>0</v>
      </c>
      <c r="AC366" s="10">
        <v>0</v>
      </c>
      <c r="AE366" s="10">
        <f t="shared" si="7"/>
        <v>0</v>
      </c>
      <c r="AF366" s="10"/>
      <c r="AM366" s="10">
        <f>+'Gen Rev'!AI361-'Gen Exp'!AE366+'Gen Exp'!AI366-AK366</f>
        <v>0</v>
      </c>
    </row>
    <row r="367" spans="1:40" ht="12.75" hidden="1">
      <c r="A367" s="1" t="s">
        <v>70</v>
      </c>
      <c r="C367" s="23" t="s">
        <v>772</v>
      </c>
      <c r="D367" s="23"/>
      <c r="E367" s="10">
        <v>0</v>
      </c>
      <c r="G367" s="10">
        <v>0</v>
      </c>
      <c r="I367" s="10">
        <v>0</v>
      </c>
      <c r="K367" s="10">
        <v>0</v>
      </c>
      <c r="M367" s="10">
        <v>0</v>
      </c>
      <c r="O367" s="10">
        <v>0</v>
      </c>
      <c r="Q367" s="10">
        <v>0</v>
      </c>
      <c r="S367" s="10">
        <v>0</v>
      </c>
      <c r="U367" s="10">
        <v>0</v>
      </c>
      <c r="W367" s="10">
        <v>0</v>
      </c>
      <c r="Y367" s="10">
        <v>0</v>
      </c>
      <c r="AA367" s="10">
        <v>0</v>
      </c>
      <c r="AC367" s="10">
        <v>0</v>
      </c>
      <c r="AE367" s="10">
        <f t="shared" si="7"/>
        <v>0</v>
      </c>
      <c r="AF367" s="10"/>
      <c r="AG367" s="46"/>
      <c r="AH367" s="46"/>
      <c r="AI367" s="46"/>
      <c r="AJ367" s="46"/>
      <c r="AK367" s="46"/>
      <c r="AL367" s="46"/>
      <c r="AM367" s="10">
        <f>+'Gen Rev'!AI362-'Gen Exp'!AE367+'Gen Exp'!AI367-AK367</f>
        <v>0</v>
      </c>
      <c r="AN367" s="46"/>
    </row>
    <row r="368" spans="1:40" ht="12.75" hidden="1">
      <c r="A368" s="1" t="s">
        <v>206</v>
      </c>
      <c r="C368" s="23" t="s">
        <v>813</v>
      </c>
      <c r="D368" s="23"/>
      <c r="E368" s="10">
        <v>0</v>
      </c>
      <c r="G368" s="10">
        <v>0</v>
      </c>
      <c r="I368" s="10">
        <v>0</v>
      </c>
      <c r="K368" s="10">
        <v>0</v>
      </c>
      <c r="M368" s="10">
        <v>0</v>
      </c>
      <c r="O368" s="10">
        <v>0</v>
      </c>
      <c r="Q368" s="10">
        <v>0</v>
      </c>
      <c r="S368" s="10">
        <v>0</v>
      </c>
      <c r="U368" s="10">
        <v>0</v>
      </c>
      <c r="W368" s="10">
        <v>0</v>
      </c>
      <c r="Y368" s="10">
        <v>0</v>
      </c>
      <c r="AA368" s="10">
        <v>0</v>
      </c>
      <c r="AC368" s="10">
        <v>0</v>
      </c>
      <c r="AE368" s="10">
        <f t="shared" si="7"/>
        <v>0</v>
      </c>
      <c r="AF368" s="10"/>
      <c r="AM368" s="10">
        <f>+'Gen Rev'!AI363-'Gen Exp'!AE368+'Gen Exp'!AI368-AK368</f>
        <v>0</v>
      </c>
    </row>
    <row r="369" spans="1:40" s="21" customFormat="1" hidden="1">
      <c r="A369" s="1" t="s">
        <v>414</v>
      </c>
      <c r="B369" s="1"/>
      <c r="C369" s="1" t="s">
        <v>412</v>
      </c>
      <c r="D369" s="1"/>
      <c r="E369" s="10">
        <v>0</v>
      </c>
      <c r="F369" s="10"/>
      <c r="G369" s="10">
        <v>0</v>
      </c>
      <c r="H369" s="10"/>
      <c r="I369" s="10">
        <v>0</v>
      </c>
      <c r="J369" s="10"/>
      <c r="K369" s="10">
        <v>0</v>
      </c>
      <c r="L369" s="10"/>
      <c r="M369" s="10">
        <v>0</v>
      </c>
      <c r="N369" s="10"/>
      <c r="O369" s="10">
        <v>0</v>
      </c>
      <c r="P369" s="10"/>
      <c r="Q369" s="10">
        <v>0</v>
      </c>
      <c r="R369" s="10"/>
      <c r="S369" s="10">
        <v>0</v>
      </c>
      <c r="T369" s="10"/>
      <c r="U369" s="10">
        <v>0</v>
      </c>
      <c r="V369" s="10"/>
      <c r="W369" s="10">
        <v>0</v>
      </c>
      <c r="X369" s="10"/>
      <c r="Y369" s="10">
        <v>0</v>
      </c>
      <c r="Z369" s="10"/>
      <c r="AA369" s="10">
        <v>0</v>
      </c>
      <c r="AB369" s="10"/>
      <c r="AC369" s="10">
        <v>0</v>
      </c>
      <c r="AD369" s="10"/>
      <c r="AE369" s="10">
        <f t="shared" si="7"/>
        <v>0</v>
      </c>
      <c r="AF369" s="10"/>
      <c r="AG369" s="10"/>
      <c r="AH369" s="10"/>
      <c r="AI369" s="10"/>
      <c r="AJ369" s="10"/>
      <c r="AK369" s="10"/>
      <c r="AL369" s="10"/>
      <c r="AM369" s="10">
        <f>+'Gen Rev'!AI364-'Gen Exp'!AE369+'Gen Exp'!AI369-AK369</f>
        <v>0</v>
      </c>
      <c r="AN369" s="10"/>
    </row>
    <row r="370" spans="1:40" ht="12.75" hidden="1">
      <c r="A370" s="1" t="s">
        <v>63</v>
      </c>
      <c r="C370" s="23" t="s">
        <v>771</v>
      </c>
      <c r="D370" s="23"/>
      <c r="E370" s="10">
        <v>0</v>
      </c>
      <c r="G370" s="10">
        <v>0</v>
      </c>
      <c r="I370" s="10">
        <v>0</v>
      </c>
      <c r="K370" s="10">
        <v>0</v>
      </c>
      <c r="M370" s="10">
        <v>0</v>
      </c>
      <c r="O370" s="10">
        <v>0</v>
      </c>
      <c r="Q370" s="10">
        <v>0</v>
      </c>
      <c r="S370" s="10">
        <v>0</v>
      </c>
      <c r="U370" s="10">
        <v>0</v>
      </c>
      <c r="W370" s="10">
        <v>0</v>
      </c>
      <c r="Y370" s="10">
        <v>0</v>
      </c>
      <c r="AA370" s="10">
        <v>0</v>
      </c>
      <c r="AC370" s="10">
        <v>0</v>
      </c>
      <c r="AE370" s="10">
        <f t="shared" si="7"/>
        <v>0</v>
      </c>
      <c r="AF370" s="10"/>
      <c r="AG370" s="46"/>
      <c r="AH370" s="46"/>
      <c r="AI370" s="46"/>
      <c r="AJ370" s="46"/>
      <c r="AK370" s="46"/>
      <c r="AL370" s="46"/>
      <c r="AM370" s="10">
        <f>+'Gen Rev'!AI365-'Gen Exp'!AE370+'Gen Exp'!AI370-AK370</f>
        <v>0</v>
      </c>
      <c r="AN370" s="46"/>
    </row>
    <row r="371" spans="1:40" s="21" customFormat="1" ht="12.75" hidden="1">
      <c r="A371" s="1" t="s">
        <v>26</v>
      </c>
      <c r="B371" s="1"/>
      <c r="C371" s="23" t="s">
        <v>757</v>
      </c>
      <c r="D371" s="23"/>
      <c r="E371" s="10">
        <v>0</v>
      </c>
      <c r="F371" s="10"/>
      <c r="G371" s="10">
        <v>0</v>
      </c>
      <c r="H371" s="10"/>
      <c r="I371" s="10">
        <v>0</v>
      </c>
      <c r="J371" s="10"/>
      <c r="K371" s="10">
        <v>0</v>
      </c>
      <c r="L371" s="10"/>
      <c r="M371" s="10">
        <v>0</v>
      </c>
      <c r="N371" s="10"/>
      <c r="O371" s="10">
        <v>0</v>
      </c>
      <c r="P371" s="10"/>
      <c r="Q371" s="10">
        <v>0</v>
      </c>
      <c r="R371" s="10"/>
      <c r="S371" s="10">
        <v>0</v>
      </c>
      <c r="T371" s="10"/>
      <c r="U371" s="10">
        <v>0</v>
      </c>
      <c r="V371" s="10"/>
      <c r="W371" s="10">
        <v>0</v>
      </c>
      <c r="X371" s="10"/>
      <c r="Y371" s="10">
        <v>0</v>
      </c>
      <c r="Z371" s="10"/>
      <c r="AA371" s="10">
        <v>0</v>
      </c>
      <c r="AB371" s="10"/>
      <c r="AC371" s="10">
        <v>0</v>
      </c>
      <c r="AD371" s="10"/>
      <c r="AE371" s="10">
        <f t="shared" si="7"/>
        <v>0</v>
      </c>
      <c r="AF371" s="10"/>
      <c r="AG371" s="46"/>
      <c r="AH371" s="46"/>
      <c r="AI371" s="46"/>
      <c r="AJ371" s="46"/>
      <c r="AK371" s="46"/>
      <c r="AL371" s="46"/>
      <c r="AM371" s="10">
        <f>+'Gen Rev'!AI366-'Gen Exp'!AE371+'Gen Exp'!AI371-AK371</f>
        <v>0</v>
      </c>
      <c r="AN371" s="46"/>
    </row>
    <row r="372" spans="1:40" s="21" customFormat="1">
      <c r="A372" s="1" t="s">
        <v>687</v>
      </c>
      <c r="B372" s="1"/>
      <c r="C372" s="1" t="s">
        <v>606</v>
      </c>
      <c r="D372" s="1"/>
      <c r="E372" s="10">
        <v>2999</v>
      </c>
      <c r="F372" s="10"/>
      <c r="G372" s="10">
        <v>1189</v>
      </c>
      <c r="H372" s="10"/>
      <c r="I372" s="10">
        <v>0</v>
      </c>
      <c r="J372" s="10"/>
      <c r="K372" s="10">
        <v>1743</v>
      </c>
      <c r="L372" s="10"/>
      <c r="M372" s="10">
        <v>3853</v>
      </c>
      <c r="N372" s="10"/>
      <c r="O372" s="10">
        <v>0</v>
      </c>
      <c r="P372" s="10"/>
      <c r="Q372" s="10">
        <v>5606</v>
      </c>
      <c r="R372" s="10"/>
      <c r="S372" s="10">
        <v>0</v>
      </c>
      <c r="T372" s="10"/>
      <c r="U372" s="10">
        <v>0</v>
      </c>
      <c r="V372" s="10"/>
      <c r="W372" s="10">
        <v>0</v>
      </c>
      <c r="X372" s="10"/>
      <c r="Y372" s="10">
        <v>7586</v>
      </c>
      <c r="Z372" s="10"/>
      <c r="AA372" s="10">
        <v>0</v>
      </c>
      <c r="AB372" s="10"/>
      <c r="AC372" s="10">
        <v>0</v>
      </c>
      <c r="AD372" s="10"/>
      <c r="AE372" s="10">
        <f t="shared" si="7"/>
        <v>22976</v>
      </c>
      <c r="AF372" s="10"/>
      <c r="AG372" s="10">
        <v>601</v>
      </c>
      <c r="AH372" s="10"/>
      <c r="AI372" s="10">
        <v>24593</v>
      </c>
      <c r="AJ372" s="10"/>
      <c r="AK372" s="10">
        <v>23974</v>
      </c>
      <c r="AL372" s="10"/>
      <c r="AM372" s="10">
        <f>+'Gen Rev'!AI367-'Gen Exp'!AE372+'Gen Exp'!AI372-AK372</f>
        <v>0</v>
      </c>
      <c r="AN372" s="10"/>
    </row>
    <row r="373" spans="1:40">
      <c r="A373" s="1" t="s">
        <v>479</v>
      </c>
      <c r="C373" s="1" t="s">
        <v>477</v>
      </c>
      <c r="E373" s="10">
        <v>1013</v>
      </c>
      <c r="G373" s="10">
        <v>265</v>
      </c>
      <c r="I373" s="10">
        <v>0</v>
      </c>
      <c r="K373" s="10">
        <v>0</v>
      </c>
      <c r="M373" s="10">
        <v>207</v>
      </c>
      <c r="O373" s="10">
        <v>0</v>
      </c>
      <c r="Q373" s="10">
        <v>2860</v>
      </c>
      <c r="S373" s="10">
        <v>0</v>
      </c>
      <c r="U373" s="10">
        <v>0</v>
      </c>
      <c r="W373" s="10">
        <v>0</v>
      </c>
      <c r="Y373" s="10">
        <v>0</v>
      </c>
      <c r="AA373" s="10">
        <v>0</v>
      </c>
      <c r="AC373" s="10">
        <v>0</v>
      </c>
      <c r="AE373" s="10">
        <f t="shared" si="7"/>
        <v>4345</v>
      </c>
      <c r="AF373" s="10"/>
      <c r="AG373" s="10">
        <v>-1079</v>
      </c>
      <c r="AI373" s="10">
        <v>11276</v>
      </c>
      <c r="AK373" s="10">
        <v>10197</v>
      </c>
      <c r="AM373" s="10">
        <f>+'Gen Rev'!AI368-'Gen Exp'!AE373+'Gen Exp'!AI373-AK373</f>
        <v>0</v>
      </c>
    </row>
    <row r="374" spans="1:40" ht="12.75" hidden="1">
      <c r="A374" s="1" t="s">
        <v>234</v>
      </c>
      <c r="C374" s="23" t="s">
        <v>823</v>
      </c>
      <c r="D374" s="23"/>
      <c r="E374" s="10">
        <v>0</v>
      </c>
      <c r="G374" s="10">
        <v>0</v>
      </c>
      <c r="I374" s="10">
        <v>0</v>
      </c>
      <c r="K374" s="10">
        <v>0</v>
      </c>
      <c r="M374" s="10">
        <v>0</v>
      </c>
      <c r="O374" s="10">
        <v>0</v>
      </c>
      <c r="Q374" s="10">
        <v>0</v>
      </c>
      <c r="S374" s="10">
        <v>0</v>
      </c>
      <c r="U374" s="10">
        <v>0</v>
      </c>
      <c r="W374" s="10">
        <v>0</v>
      </c>
      <c r="Y374" s="10">
        <v>0</v>
      </c>
      <c r="AA374" s="10">
        <v>0</v>
      </c>
      <c r="AC374" s="10">
        <v>0</v>
      </c>
      <c r="AE374" s="10">
        <f t="shared" si="7"/>
        <v>0</v>
      </c>
      <c r="AF374" s="10"/>
      <c r="AM374" s="10">
        <f>+'Gen Rev'!AI369-'Gen Exp'!AE374+'Gen Exp'!AI374-AK374</f>
        <v>0</v>
      </c>
    </row>
    <row r="375" spans="1:40" s="21" customFormat="1">
      <c r="A375" s="1" t="s">
        <v>550</v>
      </c>
      <c r="B375" s="1"/>
      <c r="C375" s="1" t="s">
        <v>545</v>
      </c>
      <c r="D375" s="1"/>
      <c r="E375" s="10">
        <v>1143606</v>
      </c>
      <c r="F375" s="10"/>
      <c r="G375" s="10">
        <v>13784</v>
      </c>
      <c r="H375" s="10"/>
      <c r="I375" s="10">
        <v>0</v>
      </c>
      <c r="J375" s="10"/>
      <c r="K375" s="10">
        <v>3587</v>
      </c>
      <c r="L375" s="10"/>
      <c r="M375" s="10">
        <v>14772</v>
      </c>
      <c r="N375" s="10"/>
      <c r="O375" s="10">
        <v>0</v>
      </c>
      <c r="P375" s="10"/>
      <c r="Q375" s="10">
        <v>524767</v>
      </c>
      <c r="R375" s="10"/>
      <c r="S375" s="10">
        <v>0</v>
      </c>
      <c r="T375" s="10"/>
      <c r="U375" s="10">
        <v>0</v>
      </c>
      <c r="V375" s="10"/>
      <c r="W375" s="10">
        <v>0</v>
      </c>
      <c r="X375" s="10"/>
      <c r="Y375" s="10">
        <v>0</v>
      </c>
      <c r="Z375" s="10"/>
      <c r="AA375" s="10">
        <v>0</v>
      </c>
      <c r="AB375" s="10"/>
      <c r="AC375" s="10">
        <v>449416</v>
      </c>
      <c r="AD375" s="10"/>
      <c r="AE375" s="10">
        <f t="shared" si="7"/>
        <v>2149932</v>
      </c>
      <c r="AF375" s="10"/>
      <c r="AG375" s="10">
        <v>-48386</v>
      </c>
      <c r="AH375" s="10"/>
      <c r="AI375" s="10">
        <v>1455359</v>
      </c>
      <c r="AJ375" s="10"/>
      <c r="AK375" s="10">
        <f>1455359-48386</f>
        <v>1406973</v>
      </c>
      <c r="AL375" s="10"/>
      <c r="AM375" s="10">
        <f>+'Gen Rev'!AI371-'Gen Exp'!AE375+'Gen Exp'!AI375-AK375</f>
        <v>0</v>
      </c>
      <c r="AN375" s="10"/>
    </row>
    <row r="376" spans="1:40" s="21" customFormat="1" ht="12.75" hidden="1">
      <c r="A376" s="1" t="s">
        <v>74</v>
      </c>
      <c r="B376" s="1"/>
      <c r="C376" s="23" t="s">
        <v>773</v>
      </c>
      <c r="D376" s="23"/>
      <c r="E376" s="10">
        <v>0</v>
      </c>
      <c r="F376" s="10"/>
      <c r="G376" s="10">
        <v>0</v>
      </c>
      <c r="H376" s="10"/>
      <c r="I376" s="10">
        <v>0</v>
      </c>
      <c r="J376" s="10"/>
      <c r="K376" s="10">
        <v>0</v>
      </c>
      <c r="L376" s="10"/>
      <c r="M376" s="10">
        <v>0</v>
      </c>
      <c r="N376" s="10"/>
      <c r="O376" s="10">
        <v>0</v>
      </c>
      <c r="P376" s="10"/>
      <c r="Q376" s="10">
        <v>0</v>
      </c>
      <c r="R376" s="10"/>
      <c r="S376" s="10">
        <v>0</v>
      </c>
      <c r="T376" s="10"/>
      <c r="U376" s="10">
        <v>0</v>
      </c>
      <c r="V376" s="10"/>
      <c r="W376" s="10">
        <v>0</v>
      </c>
      <c r="X376" s="10"/>
      <c r="Y376" s="10">
        <v>0</v>
      </c>
      <c r="Z376" s="10"/>
      <c r="AA376" s="10">
        <v>0</v>
      </c>
      <c r="AB376" s="10"/>
      <c r="AC376" s="10">
        <v>0</v>
      </c>
      <c r="AD376" s="10"/>
      <c r="AE376" s="10">
        <f t="shared" si="7"/>
        <v>0</v>
      </c>
      <c r="AF376" s="10"/>
      <c r="AG376" s="10"/>
      <c r="AH376" s="10"/>
      <c r="AI376" s="10"/>
      <c r="AJ376" s="10"/>
      <c r="AK376" s="10"/>
      <c r="AL376" s="10"/>
      <c r="AM376" s="10">
        <f>+'Gen Rev'!AI372-'Gen Exp'!AE376+'Gen Exp'!AI376-AK376</f>
        <v>0</v>
      </c>
      <c r="AN376" s="10"/>
    </row>
    <row r="377" spans="1:40" hidden="1">
      <c r="A377" s="1" t="s">
        <v>465</v>
      </c>
      <c r="C377" s="1" t="s">
        <v>466</v>
      </c>
      <c r="E377" s="10">
        <v>0</v>
      </c>
      <c r="G377" s="10">
        <v>0</v>
      </c>
      <c r="I377" s="10">
        <v>0</v>
      </c>
      <c r="K377" s="10">
        <v>0</v>
      </c>
      <c r="M377" s="10">
        <v>0</v>
      </c>
      <c r="O377" s="10">
        <v>0</v>
      </c>
      <c r="Q377" s="10">
        <v>0</v>
      </c>
      <c r="S377" s="10">
        <v>0</v>
      </c>
      <c r="U377" s="10">
        <v>0</v>
      </c>
      <c r="W377" s="10">
        <v>0</v>
      </c>
      <c r="Y377" s="10">
        <v>0</v>
      </c>
      <c r="AA377" s="10">
        <v>0</v>
      </c>
      <c r="AC377" s="10">
        <v>0</v>
      </c>
      <c r="AE377" s="10">
        <f t="shared" si="7"/>
        <v>0</v>
      </c>
      <c r="AF377" s="10"/>
      <c r="AM377" s="10">
        <f>+'Gen Rev'!AI372-'Gen Exp'!AE377+'Gen Exp'!AI377-AK377</f>
        <v>0</v>
      </c>
    </row>
    <row r="378" spans="1:40" s="21" customFormat="1">
      <c r="A378" s="1" t="s">
        <v>423</v>
      </c>
      <c r="B378" s="1"/>
      <c r="C378" s="1" t="s">
        <v>420</v>
      </c>
      <c r="D378" s="1"/>
      <c r="E378" s="10">
        <v>1142348</v>
      </c>
      <c r="F378" s="10"/>
      <c r="G378" s="10">
        <v>13454</v>
      </c>
      <c r="H378" s="10"/>
      <c r="I378" s="10">
        <v>27237</v>
      </c>
      <c r="J378" s="10"/>
      <c r="K378" s="10">
        <v>0</v>
      </c>
      <c r="L378" s="10"/>
      <c r="M378" s="10">
        <v>0</v>
      </c>
      <c r="N378" s="10"/>
      <c r="O378" s="10">
        <v>487804</v>
      </c>
      <c r="P378" s="10"/>
      <c r="Q378" s="10">
        <v>432471</v>
      </c>
      <c r="R378" s="10"/>
      <c r="S378" s="10">
        <v>126444</v>
      </c>
      <c r="T378" s="10"/>
      <c r="U378" s="10">
        <v>0</v>
      </c>
      <c r="V378" s="10"/>
      <c r="W378" s="10">
        <v>0</v>
      </c>
      <c r="X378" s="10"/>
      <c r="Y378" s="10">
        <v>188000</v>
      </c>
      <c r="Z378" s="10"/>
      <c r="AA378" s="10">
        <v>0</v>
      </c>
      <c r="AB378" s="10"/>
      <c r="AC378" s="10">
        <v>0</v>
      </c>
      <c r="AD378" s="10"/>
      <c r="AE378" s="10">
        <f t="shared" si="7"/>
        <v>2417758</v>
      </c>
      <c r="AF378" s="10"/>
      <c r="AG378" s="10">
        <v>496722</v>
      </c>
      <c r="AH378" s="10"/>
      <c r="AI378" s="10">
        <v>1042310</v>
      </c>
      <c r="AJ378" s="10"/>
      <c r="AK378" s="10">
        <v>1539032</v>
      </c>
      <c r="AL378" s="10"/>
      <c r="AM378" s="10">
        <f>+'Gen Rev'!AI373-'Gen Exp'!AE378+'Gen Exp'!AI378-AK378</f>
        <v>0</v>
      </c>
      <c r="AN378" s="10"/>
    </row>
    <row r="379" spans="1:40" s="21" customFormat="1" ht="12.6" customHeight="1">
      <c r="A379" s="1" t="s">
        <v>276</v>
      </c>
      <c r="B379" s="1"/>
      <c r="C379" s="1" t="s">
        <v>275</v>
      </c>
      <c r="D379" s="1"/>
      <c r="E379" s="10">
        <v>639839</v>
      </c>
      <c r="F379" s="10"/>
      <c r="G379" s="10">
        <v>750</v>
      </c>
      <c r="H379" s="10"/>
      <c r="I379" s="10">
        <v>0</v>
      </c>
      <c r="J379" s="10"/>
      <c r="K379" s="10">
        <v>17596</v>
      </c>
      <c r="L379" s="10"/>
      <c r="M379" s="10">
        <v>0</v>
      </c>
      <c r="N379" s="10"/>
      <c r="O379" s="10">
        <v>0</v>
      </c>
      <c r="P379" s="10"/>
      <c r="Q379" s="10">
        <v>392265</v>
      </c>
      <c r="R379" s="10"/>
      <c r="S379" s="10">
        <v>65880</v>
      </c>
      <c r="T379" s="10"/>
      <c r="U379" s="10">
        <v>0</v>
      </c>
      <c r="V379" s="10"/>
      <c r="W379" s="10">
        <v>0</v>
      </c>
      <c r="X379" s="10"/>
      <c r="Y379" s="10">
        <v>2564360</v>
      </c>
      <c r="Z379" s="10"/>
      <c r="AA379" s="10">
        <v>0</v>
      </c>
      <c r="AB379" s="10"/>
      <c r="AC379" s="10">
        <v>0</v>
      </c>
      <c r="AD379" s="10"/>
      <c r="AE379" s="10">
        <f t="shared" si="7"/>
        <v>3680690</v>
      </c>
      <c r="AF379" s="10"/>
      <c r="AG379" s="46">
        <v>122327</v>
      </c>
      <c r="AH379" s="46"/>
      <c r="AI379" s="46">
        <v>26954</v>
      </c>
      <c r="AJ379" s="46"/>
      <c r="AK379" s="46">
        <v>149281</v>
      </c>
      <c r="AL379" s="46"/>
      <c r="AM379" s="10">
        <f>+'Gen Rev'!AI374-'Gen Exp'!AE379+'Gen Exp'!AI379-AK379</f>
        <v>0</v>
      </c>
      <c r="AN379" s="46"/>
    </row>
    <row r="380" spans="1:40" s="21" customFormat="1">
      <c r="A380" s="1" t="s">
        <v>555</v>
      </c>
      <c r="B380" s="1"/>
      <c r="C380" s="1" t="s">
        <v>554</v>
      </c>
      <c r="D380" s="1"/>
      <c r="E380" s="10">
        <v>1043966</v>
      </c>
      <c r="F380" s="10"/>
      <c r="G380" s="10">
        <v>25424</v>
      </c>
      <c r="H380" s="10"/>
      <c r="I380" s="10">
        <v>0</v>
      </c>
      <c r="J380" s="10"/>
      <c r="K380" s="10">
        <v>1175</v>
      </c>
      <c r="L380" s="10"/>
      <c r="M380" s="10">
        <v>0</v>
      </c>
      <c r="N380" s="10"/>
      <c r="O380" s="10">
        <v>0</v>
      </c>
      <c r="P380" s="10"/>
      <c r="Q380" s="10">
        <v>496955</v>
      </c>
      <c r="R380" s="10"/>
      <c r="S380" s="10">
        <v>99722</v>
      </c>
      <c r="T380" s="10"/>
      <c r="U380" s="10">
        <v>0</v>
      </c>
      <c r="V380" s="10"/>
      <c r="W380" s="10">
        <v>0</v>
      </c>
      <c r="X380" s="10"/>
      <c r="Y380" s="10">
        <v>0</v>
      </c>
      <c r="Z380" s="10"/>
      <c r="AA380" s="10">
        <v>0</v>
      </c>
      <c r="AB380" s="10"/>
      <c r="AC380" s="10">
        <v>0</v>
      </c>
      <c r="AD380" s="10"/>
      <c r="AE380" s="10">
        <f t="shared" ref="AE380:AE426" si="8">SUM(E380:AC380)</f>
        <v>1667242</v>
      </c>
      <c r="AF380" s="40"/>
      <c r="AG380" s="10">
        <v>-41930</v>
      </c>
      <c r="AH380" s="10"/>
      <c r="AI380" s="10">
        <v>23790</v>
      </c>
      <c r="AJ380" s="10"/>
      <c r="AK380" s="10">
        <v>-18140</v>
      </c>
      <c r="AL380" s="10"/>
      <c r="AM380" s="10">
        <f>+'Gen Rev'!AI375-'Gen Exp'!AE380+'Gen Exp'!AI380-AK380</f>
        <v>0</v>
      </c>
      <c r="AN380" s="10"/>
    </row>
    <row r="381" spans="1:40" s="21" customFormat="1">
      <c r="A381" s="1" t="s">
        <v>415</v>
      </c>
      <c r="B381" s="1"/>
      <c r="C381" s="1" t="s">
        <v>416</v>
      </c>
      <c r="D381" s="1"/>
      <c r="E381" s="10">
        <v>373653</v>
      </c>
      <c r="F381" s="10"/>
      <c r="G381" s="10">
        <v>1438</v>
      </c>
      <c r="H381" s="10"/>
      <c r="I381" s="10">
        <v>56012</v>
      </c>
      <c r="J381" s="10"/>
      <c r="K381" s="10">
        <v>28464</v>
      </c>
      <c r="L381" s="10"/>
      <c r="M381" s="10">
        <v>0</v>
      </c>
      <c r="N381" s="10"/>
      <c r="O381" s="10">
        <v>68003</v>
      </c>
      <c r="P381" s="10"/>
      <c r="Q381" s="10">
        <v>163208</v>
      </c>
      <c r="R381" s="10"/>
      <c r="S381" s="10">
        <v>9084</v>
      </c>
      <c r="T381" s="10"/>
      <c r="U381" s="10">
        <v>0</v>
      </c>
      <c r="V381" s="10"/>
      <c r="W381" s="10">
        <v>0</v>
      </c>
      <c r="X381" s="10"/>
      <c r="Y381" s="10">
        <v>240670</v>
      </c>
      <c r="Z381" s="10"/>
      <c r="AA381" s="10">
        <v>0</v>
      </c>
      <c r="AB381" s="10"/>
      <c r="AC381" s="10">
        <v>19648</v>
      </c>
      <c r="AD381" s="10"/>
      <c r="AE381" s="10">
        <f t="shared" si="8"/>
        <v>960180</v>
      </c>
      <c r="AF381" s="10"/>
      <c r="AG381" s="10">
        <v>205684</v>
      </c>
      <c r="AH381" s="10"/>
      <c r="AI381" s="10">
        <v>943826</v>
      </c>
      <c r="AJ381" s="10"/>
      <c r="AK381" s="10">
        <v>1149510</v>
      </c>
      <c r="AL381" s="10"/>
      <c r="AM381" s="10">
        <f>+'Gen Rev'!AI376-'Gen Exp'!AE381+'Gen Exp'!AI381-AK381</f>
        <v>0</v>
      </c>
      <c r="AN381" s="10"/>
    </row>
    <row r="382" spans="1:40" ht="12.75" hidden="1">
      <c r="A382" s="1" t="s">
        <v>160</v>
      </c>
      <c r="C382" s="23" t="s">
        <v>799</v>
      </c>
      <c r="D382" s="23"/>
      <c r="E382" s="10">
        <v>0</v>
      </c>
      <c r="G382" s="10">
        <v>0</v>
      </c>
      <c r="I382" s="10">
        <v>0</v>
      </c>
      <c r="K382" s="10">
        <v>0</v>
      </c>
      <c r="M382" s="10">
        <v>0</v>
      </c>
      <c r="O382" s="10">
        <v>0</v>
      </c>
      <c r="Q382" s="10">
        <v>0</v>
      </c>
      <c r="S382" s="10">
        <v>0</v>
      </c>
      <c r="U382" s="10">
        <v>0</v>
      </c>
      <c r="W382" s="10">
        <v>0</v>
      </c>
      <c r="Y382" s="10">
        <v>0</v>
      </c>
      <c r="AA382" s="10">
        <v>0</v>
      </c>
      <c r="AC382" s="10">
        <v>0</v>
      </c>
      <c r="AE382" s="10">
        <f t="shared" si="8"/>
        <v>0</v>
      </c>
      <c r="AF382" s="10"/>
      <c r="AM382" s="10">
        <f>+'Gen Rev'!AI377-'Gen Exp'!AE382+'Gen Exp'!AI382-AK382</f>
        <v>0</v>
      </c>
    </row>
    <row r="383" spans="1:40">
      <c r="A383" s="1" t="s">
        <v>602</v>
      </c>
      <c r="C383" s="1" t="s">
        <v>601</v>
      </c>
      <c r="E383" s="10">
        <v>795925</v>
      </c>
      <c r="G383" s="10">
        <v>46885</v>
      </c>
      <c r="I383" s="10">
        <v>0</v>
      </c>
      <c r="K383" s="10">
        <v>0</v>
      </c>
      <c r="M383" s="10">
        <v>312484</v>
      </c>
      <c r="O383" s="10">
        <v>229012</v>
      </c>
      <c r="Q383" s="10">
        <v>259848</v>
      </c>
      <c r="S383" s="10">
        <v>53788</v>
      </c>
      <c r="U383" s="10">
        <v>0</v>
      </c>
      <c r="W383" s="10">
        <v>0</v>
      </c>
      <c r="Y383" s="10">
        <v>174978</v>
      </c>
      <c r="AA383" s="10">
        <v>0</v>
      </c>
      <c r="AC383" s="10">
        <v>0</v>
      </c>
      <c r="AE383" s="10">
        <f t="shared" si="8"/>
        <v>1872920</v>
      </c>
      <c r="AF383" s="10"/>
      <c r="AG383" s="10">
        <v>-79347</v>
      </c>
      <c r="AI383" s="10">
        <v>569781</v>
      </c>
      <c r="AK383" s="10">
        <v>490434</v>
      </c>
      <c r="AM383" s="10">
        <f>+'Gen Rev'!AI378-'Gen Exp'!AE383+'Gen Exp'!AI383-AK383</f>
        <v>0</v>
      </c>
    </row>
    <row r="384" spans="1:40" s="21" customFormat="1" ht="12.6" customHeight="1">
      <c r="A384" s="1" t="s">
        <v>323</v>
      </c>
      <c r="B384" s="1"/>
      <c r="C384" s="1" t="s">
        <v>316</v>
      </c>
      <c r="D384" s="1"/>
      <c r="E384" s="10">
        <v>7930</v>
      </c>
      <c r="F384" s="10"/>
      <c r="G384" s="10">
        <v>16954</v>
      </c>
      <c r="H384" s="10"/>
      <c r="I384" s="10">
        <v>0</v>
      </c>
      <c r="J384" s="10"/>
      <c r="K384" s="10">
        <v>50844</v>
      </c>
      <c r="L384" s="10"/>
      <c r="M384" s="10">
        <v>1093398</v>
      </c>
      <c r="N384" s="10"/>
      <c r="O384" s="10">
        <v>152938</v>
      </c>
      <c r="P384" s="10"/>
      <c r="Q384" s="10">
        <v>1471821</v>
      </c>
      <c r="R384" s="10"/>
      <c r="S384" s="10">
        <v>0</v>
      </c>
      <c r="T384" s="10"/>
      <c r="U384" s="10">
        <v>0</v>
      </c>
      <c r="V384" s="10"/>
      <c r="W384" s="10">
        <v>0</v>
      </c>
      <c r="X384" s="10"/>
      <c r="Y384" s="10">
        <v>199000</v>
      </c>
      <c r="Z384" s="10"/>
      <c r="AA384" s="10">
        <v>93128</v>
      </c>
      <c r="AB384" s="10"/>
      <c r="AC384" s="10">
        <v>0</v>
      </c>
      <c r="AD384" s="10"/>
      <c r="AE384" s="10">
        <f t="shared" si="8"/>
        <v>3086013</v>
      </c>
      <c r="AF384" s="10"/>
      <c r="AG384" s="46">
        <v>2106870</v>
      </c>
      <c r="AH384" s="46"/>
      <c r="AI384" s="46">
        <v>3865739</v>
      </c>
      <c r="AJ384" s="46"/>
      <c r="AK384" s="46">
        <v>5972608</v>
      </c>
      <c r="AL384" s="46"/>
      <c r="AM384" s="10">
        <f>+'Gen Rev'!AI379-'Gen Exp'!AE384+'Gen Exp'!AI384-AK384</f>
        <v>0</v>
      </c>
      <c r="AN384" s="46"/>
    </row>
    <row r="385" spans="1:40" ht="12.75" hidden="1">
      <c r="A385" s="1" t="s">
        <v>18</v>
      </c>
      <c r="C385" s="23" t="s">
        <v>755</v>
      </c>
      <c r="D385" s="23"/>
      <c r="E385" s="10">
        <v>0</v>
      </c>
      <c r="G385" s="10">
        <v>0</v>
      </c>
      <c r="I385" s="10">
        <v>0</v>
      </c>
      <c r="K385" s="10">
        <v>0</v>
      </c>
      <c r="M385" s="10">
        <v>0</v>
      </c>
      <c r="O385" s="10">
        <v>0</v>
      </c>
      <c r="Q385" s="10">
        <v>0</v>
      </c>
      <c r="S385" s="10">
        <v>0</v>
      </c>
      <c r="U385" s="10">
        <v>0</v>
      </c>
      <c r="W385" s="10">
        <v>0</v>
      </c>
      <c r="Y385" s="10">
        <v>0</v>
      </c>
      <c r="AA385" s="10">
        <v>0</v>
      </c>
      <c r="AC385" s="10">
        <v>0</v>
      </c>
      <c r="AE385" s="10">
        <f t="shared" si="8"/>
        <v>0</v>
      </c>
      <c r="AF385" s="10"/>
      <c r="AG385" s="46"/>
      <c r="AH385" s="46"/>
      <c r="AI385" s="46"/>
      <c r="AJ385" s="46"/>
      <c r="AK385" s="46"/>
      <c r="AL385" s="46"/>
      <c r="AM385" s="10">
        <f>+'Gen Rev'!AI380-'Gen Exp'!AE385+'Gen Exp'!AI385-AK385</f>
        <v>0</v>
      </c>
      <c r="AN385" s="46"/>
    </row>
    <row r="386" spans="1:40" ht="12.75" hidden="1">
      <c r="A386" s="1" t="s">
        <v>243</v>
      </c>
      <c r="C386" s="23" t="s">
        <v>826</v>
      </c>
      <c r="D386" s="23"/>
      <c r="E386" s="10">
        <v>0</v>
      </c>
      <c r="G386" s="10">
        <v>0</v>
      </c>
      <c r="I386" s="10">
        <v>0</v>
      </c>
      <c r="K386" s="10">
        <v>0</v>
      </c>
      <c r="M386" s="10">
        <v>0</v>
      </c>
      <c r="O386" s="10">
        <v>0</v>
      </c>
      <c r="Q386" s="10">
        <v>0</v>
      </c>
      <c r="S386" s="10">
        <v>0</v>
      </c>
      <c r="U386" s="10">
        <v>0</v>
      </c>
      <c r="W386" s="10">
        <v>0</v>
      </c>
      <c r="Y386" s="10">
        <v>0</v>
      </c>
      <c r="AA386" s="10">
        <v>0</v>
      </c>
      <c r="AC386" s="10">
        <v>0</v>
      </c>
      <c r="AE386" s="10">
        <f t="shared" si="8"/>
        <v>0</v>
      </c>
      <c r="AF386" s="10"/>
      <c r="AM386" s="10">
        <f>+'Gen Rev'!AI381-'Gen Exp'!AE386+'Gen Exp'!AI386-AK386</f>
        <v>0</v>
      </c>
    </row>
    <row r="387" spans="1:40" s="19" customFormat="1" ht="12.6" hidden="1" customHeight="1">
      <c r="A387" s="10" t="s">
        <v>298</v>
      </c>
      <c r="B387" s="10"/>
      <c r="C387" s="10" t="s">
        <v>295</v>
      </c>
      <c r="D387" s="10"/>
      <c r="E387" s="10">
        <v>0</v>
      </c>
      <c r="F387" s="10"/>
      <c r="G387" s="10">
        <v>0</v>
      </c>
      <c r="H387" s="10"/>
      <c r="I387" s="10">
        <v>0</v>
      </c>
      <c r="J387" s="10"/>
      <c r="K387" s="10">
        <v>0</v>
      </c>
      <c r="L387" s="10"/>
      <c r="M387" s="10">
        <v>0</v>
      </c>
      <c r="N387" s="10"/>
      <c r="O387" s="10">
        <v>0</v>
      </c>
      <c r="P387" s="10"/>
      <c r="Q387" s="10">
        <v>0</v>
      </c>
      <c r="R387" s="10"/>
      <c r="S387" s="10">
        <v>0</v>
      </c>
      <c r="T387" s="10"/>
      <c r="U387" s="10">
        <v>0</v>
      </c>
      <c r="V387" s="10"/>
      <c r="W387" s="10">
        <v>0</v>
      </c>
      <c r="X387" s="10"/>
      <c r="Y387" s="10">
        <v>0</v>
      </c>
      <c r="Z387" s="10"/>
      <c r="AA387" s="10">
        <v>0</v>
      </c>
      <c r="AB387" s="10"/>
      <c r="AC387" s="10">
        <v>0</v>
      </c>
      <c r="AD387" s="10"/>
      <c r="AE387" s="10">
        <f t="shared" si="8"/>
        <v>0</v>
      </c>
      <c r="AF387" s="10"/>
      <c r="AG387" s="10"/>
      <c r="AH387" s="10"/>
      <c r="AI387" s="10"/>
      <c r="AJ387" s="10"/>
      <c r="AK387" s="10"/>
      <c r="AL387" s="10"/>
      <c r="AM387" s="10">
        <f>+'Gen Rev'!AI382-'Gen Exp'!AE387+'Gen Exp'!AI387-AK387</f>
        <v>0</v>
      </c>
      <c r="AN387" s="10"/>
    </row>
    <row r="388" spans="1:40" ht="12.75" hidden="1">
      <c r="A388" s="1" t="s">
        <v>249</v>
      </c>
      <c r="C388" s="23" t="s">
        <v>828</v>
      </c>
      <c r="D388" s="23"/>
      <c r="E388" s="10">
        <v>0</v>
      </c>
      <c r="G388" s="10">
        <v>0</v>
      </c>
      <c r="I388" s="10">
        <v>0</v>
      </c>
      <c r="K388" s="10">
        <v>0</v>
      </c>
      <c r="M388" s="10">
        <v>0</v>
      </c>
      <c r="O388" s="10">
        <v>0</v>
      </c>
      <c r="Q388" s="10">
        <v>0</v>
      </c>
      <c r="S388" s="10">
        <v>0</v>
      </c>
      <c r="U388" s="10">
        <v>0</v>
      </c>
      <c r="W388" s="10">
        <v>0</v>
      </c>
      <c r="Y388" s="10">
        <v>0</v>
      </c>
      <c r="AA388" s="10">
        <v>0</v>
      </c>
      <c r="AC388" s="10">
        <v>0</v>
      </c>
      <c r="AE388" s="10">
        <f t="shared" si="8"/>
        <v>0</v>
      </c>
      <c r="AF388" s="10"/>
      <c r="AM388" s="10">
        <f>+'Gen Rev'!AI383-'Gen Exp'!AE388+'Gen Exp'!AI388-AK388</f>
        <v>0</v>
      </c>
    </row>
    <row r="389" spans="1:40" s="21" customFormat="1" ht="12.75" hidden="1">
      <c r="A389" s="1" t="s">
        <v>141</v>
      </c>
      <c r="B389" s="1"/>
      <c r="C389" s="23" t="s">
        <v>794</v>
      </c>
      <c r="D389" s="23"/>
      <c r="E389" s="10">
        <v>0</v>
      </c>
      <c r="F389" s="10"/>
      <c r="G389" s="10">
        <v>0</v>
      </c>
      <c r="H389" s="10"/>
      <c r="I389" s="10">
        <v>0</v>
      </c>
      <c r="J389" s="10"/>
      <c r="K389" s="10">
        <v>0</v>
      </c>
      <c r="L389" s="10"/>
      <c r="M389" s="10">
        <v>0</v>
      </c>
      <c r="N389" s="10"/>
      <c r="O389" s="10">
        <v>0</v>
      </c>
      <c r="P389" s="10"/>
      <c r="Q389" s="10">
        <v>0</v>
      </c>
      <c r="R389" s="10"/>
      <c r="S389" s="10">
        <v>0</v>
      </c>
      <c r="T389" s="10"/>
      <c r="U389" s="10">
        <v>0</v>
      </c>
      <c r="V389" s="10"/>
      <c r="W389" s="10">
        <v>0</v>
      </c>
      <c r="X389" s="10"/>
      <c r="Y389" s="10">
        <v>0</v>
      </c>
      <c r="Z389" s="10"/>
      <c r="AA389" s="10">
        <v>0</v>
      </c>
      <c r="AB389" s="10"/>
      <c r="AC389" s="10">
        <v>0</v>
      </c>
      <c r="AD389" s="10"/>
      <c r="AE389" s="10">
        <f t="shared" si="8"/>
        <v>0</v>
      </c>
      <c r="AF389" s="10"/>
      <c r="AG389" s="10"/>
      <c r="AH389" s="10"/>
      <c r="AI389" s="10"/>
      <c r="AJ389" s="10"/>
      <c r="AK389" s="10"/>
      <c r="AL389" s="10"/>
      <c r="AM389" s="10">
        <f>+'Gen Rev'!AI384-'Gen Exp'!AE389+'Gen Exp'!AI389-AK389</f>
        <v>0</v>
      </c>
      <c r="AN389" s="10"/>
    </row>
    <row r="390" spans="1:40" s="21" customFormat="1" ht="12.75" hidden="1">
      <c r="A390" s="1" t="s">
        <v>99</v>
      </c>
      <c r="B390" s="1"/>
      <c r="C390" s="23" t="s">
        <v>780</v>
      </c>
      <c r="D390" s="23"/>
      <c r="E390" s="10">
        <v>0</v>
      </c>
      <c r="F390" s="10"/>
      <c r="G390" s="10">
        <v>0</v>
      </c>
      <c r="H390" s="10"/>
      <c r="I390" s="10">
        <v>0</v>
      </c>
      <c r="J390" s="10"/>
      <c r="K390" s="10">
        <v>0</v>
      </c>
      <c r="L390" s="10"/>
      <c r="M390" s="10">
        <v>0</v>
      </c>
      <c r="N390" s="10"/>
      <c r="O390" s="10">
        <v>0</v>
      </c>
      <c r="P390" s="10"/>
      <c r="Q390" s="10">
        <v>0</v>
      </c>
      <c r="R390" s="10"/>
      <c r="S390" s="10">
        <v>0</v>
      </c>
      <c r="T390" s="10"/>
      <c r="U390" s="10">
        <v>0</v>
      </c>
      <c r="V390" s="10"/>
      <c r="W390" s="10">
        <v>0</v>
      </c>
      <c r="X390" s="10"/>
      <c r="Y390" s="10">
        <v>0</v>
      </c>
      <c r="Z390" s="10"/>
      <c r="AA390" s="10">
        <v>0</v>
      </c>
      <c r="AB390" s="10"/>
      <c r="AC390" s="10">
        <v>0</v>
      </c>
      <c r="AD390" s="10"/>
      <c r="AE390" s="10">
        <f t="shared" si="8"/>
        <v>0</v>
      </c>
      <c r="AF390" s="10"/>
      <c r="AG390" s="10"/>
      <c r="AH390" s="10"/>
      <c r="AI390" s="10"/>
      <c r="AJ390" s="10"/>
      <c r="AK390" s="10"/>
      <c r="AL390" s="10"/>
      <c r="AM390" s="10">
        <f>+'Gen Rev'!AI385-'Gen Exp'!AE390+'Gen Exp'!AI390-AK390</f>
        <v>0</v>
      </c>
      <c r="AN390" s="10"/>
    </row>
    <row r="391" spans="1:40" hidden="1">
      <c r="A391" s="1" t="s">
        <v>410</v>
      </c>
      <c r="C391" s="1" t="s">
        <v>409</v>
      </c>
      <c r="E391" s="10">
        <v>0</v>
      </c>
      <c r="G391" s="10">
        <v>0</v>
      </c>
      <c r="I391" s="10">
        <v>0</v>
      </c>
      <c r="K391" s="10">
        <v>0</v>
      </c>
      <c r="M391" s="10">
        <v>0</v>
      </c>
      <c r="O391" s="10">
        <v>0</v>
      </c>
      <c r="Q391" s="10">
        <v>0</v>
      </c>
      <c r="S391" s="10">
        <v>0</v>
      </c>
      <c r="U391" s="10">
        <v>0</v>
      </c>
      <c r="W391" s="10">
        <v>0</v>
      </c>
      <c r="Y391" s="10">
        <v>0</v>
      </c>
      <c r="AA391" s="10">
        <v>0</v>
      </c>
      <c r="AC391" s="10">
        <v>0</v>
      </c>
      <c r="AE391" s="10">
        <f t="shared" si="8"/>
        <v>0</v>
      </c>
      <c r="AF391" s="10"/>
      <c r="AM391" s="10">
        <f>+'Gen Rev'!AI386-'Gen Exp'!AE391+'Gen Exp'!AI391-AK391</f>
        <v>0</v>
      </c>
    </row>
    <row r="392" spans="1:40" ht="12.75">
      <c r="C392" s="23"/>
      <c r="D392" s="23"/>
      <c r="AE392" s="10" t="s">
        <v>869</v>
      </c>
      <c r="AF392" s="10"/>
    </row>
    <row r="393" spans="1:40" s="54" customFormat="1">
      <c r="A393" s="40" t="s">
        <v>390</v>
      </c>
      <c r="B393" s="40"/>
      <c r="C393" s="40" t="s">
        <v>388</v>
      </c>
      <c r="D393" s="40"/>
      <c r="E393" s="40">
        <v>0</v>
      </c>
      <c r="F393" s="40"/>
      <c r="G393" s="40">
        <v>0</v>
      </c>
      <c r="H393" s="40"/>
      <c r="I393" s="40">
        <v>0</v>
      </c>
      <c r="J393" s="40"/>
      <c r="K393" s="40">
        <v>5080</v>
      </c>
      <c r="L393" s="40"/>
      <c r="M393" s="40">
        <v>2964</v>
      </c>
      <c r="N393" s="40"/>
      <c r="O393" s="40">
        <v>57622</v>
      </c>
      <c r="P393" s="40"/>
      <c r="Q393" s="40">
        <v>6237</v>
      </c>
      <c r="R393" s="40"/>
      <c r="S393" s="40">
        <v>0</v>
      </c>
      <c r="T393" s="40"/>
      <c r="U393" s="40">
        <v>0</v>
      </c>
      <c r="V393" s="40"/>
      <c r="W393" s="40">
        <v>0</v>
      </c>
      <c r="X393" s="40"/>
      <c r="Y393" s="40">
        <v>33500</v>
      </c>
      <c r="Z393" s="40"/>
      <c r="AA393" s="40">
        <v>0</v>
      </c>
      <c r="AB393" s="40"/>
      <c r="AC393" s="40">
        <v>0</v>
      </c>
      <c r="AD393" s="40"/>
      <c r="AE393" s="40">
        <f t="shared" si="8"/>
        <v>105403</v>
      </c>
      <c r="AF393" s="40"/>
      <c r="AG393" s="40">
        <v>-14996</v>
      </c>
      <c r="AH393" s="40"/>
      <c r="AI393" s="40">
        <v>48539</v>
      </c>
      <c r="AJ393" s="40"/>
      <c r="AK393" s="40">
        <v>33543</v>
      </c>
      <c r="AL393" s="40"/>
      <c r="AM393" s="40">
        <f>+'Gen Rev'!AI387-'Gen Exp'!AE393+'Gen Exp'!AI393-AK393</f>
        <v>0</v>
      </c>
      <c r="AN393" s="40"/>
    </row>
    <row r="394" spans="1:40">
      <c r="A394" s="1" t="s">
        <v>391</v>
      </c>
      <c r="C394" s="1" t="s">
        <v>388</v>
      </c>
      <c r="E394" s="10">
        <v>13130</v>
      </c>
      <c r="G394" s="10">
        <v>878</v>
      </c>
      <c r="I394" s="10">
        <v>28638</v>
      </c>
      <c r="K394" s="10">
        <v>120</v>
      </c>
      <c r="M394" s="10">
        <v>2018</v>
      </c>
      <c r="O394" s="10">
        <v>3752</v>
      </c>
      <c r="Q394" s="10">
        <v>26556</v>
      </c>
      <c r="S394" s="10">
        <v>0</v>
      </c>
      <c r="U394" s="10">
        <v>0</v>
      </c>
      <c r="W394" s="10">
        <v>0</v>
      </c>
      <c r="Y394" s="10">
        <v>0</v>
      </c>
      <c r="AA394" s="10">
        <v>0</v>
      </c>
      <c r="AC394" s="10">
        <v>0</v>
      </c>
      <c r="AD394" s="35"/>
      <c r="AE394" s="10">
        <f t="shared" si="8"/>
        <v>75092</v>
      </c>
      <c r="AF394" s="10"/>
      <c r="AG394" s="10">
        <v>-10621</v>
      </c>
      <c r="AI394" s="10">
        <v>18758</v>
      </c>
      <c r="AK394" s="10">
        <v>8137</v>
      </c>
      <c r="AM394" s="10">
        <f>+'Gen Rev'!AI388-'Gen Exp'!AE394+'Gen Exp'!AI394-AK394</f>
        <v>0</v>
      </c>
    </row>
    <row r="395" spans="1:40">
      <c r="A395" s="1" t="s">
        <v>486</v>
      </c>
      <c r="C395" s="1" t="s">
        <v>243</v>
      </c>
      <c r="E395" s="10">
        <v>554775</v>
      </c>
      <c r="G395" s="10">
        <v>1114</v>
      </c>
      <c r="I395" s="10">
        <v>0</v>
      </c>
      <c r="K395" s="10">
        <v>209145</v>
      </c>
      <c r="M395" s="10">
        <v>31586</v>
      </c>
      <c r="O395" s="10">
        <v>0</v>
      </c>
      <c r="Q395" s="10">
        <v>0</v>
      </c>
      <c r="S395" s="10">
        <v>27520</v>
      </c>
      <c r="U395" s="10">
        <v>0</v>
      </c>
      <c r="W395" s="10">
        <v>0</v>
      </c>
      <c r="Y395" s="10">
        <v>633000</v>
      </c>
      <c r="AA395" s="10">
        <v>0</v>
      </c>
      <c r="AC395" s="10">
        <v>0</v>
      </c>
      <c r="AE395" s="10">
        <f t="shared" si="8"/>
        <v>1457140</v>
      </c>
      <c r="AF395" s="10"/>
      <c r="AG395" s="10">
        <v>-151932</v>
      </c>
      <c r="AI395" s="10">
        <v>2670758</v>
      </c>
      <c r="AK395" s="10">
        <v>2518824</v>
      </c>
      <c r="AM395" s="10">
        <f>+'Gen Rev'!AI389-'Gen Exp'!AE395+'Gen Exp'!AI395-AK395</f>
        <v>0</v>
      </c>
    </row>
    <row r="396" spans="1:40" ht="12.75" hidden="1">
      <c r="A396" s="1" t="s">
        <v>24</v>
      </c>
      <c r="C396" s="23" t="s">
        <v>756</v>
      </c>
      <c r="D396" s="23"/>
      <c r="E396" s="10">
        <v>0</v>
      </c>
      <c r="G396" s="10">
        <v>0</v>
      </c>
      <c r="I396" s="10">
        <v>0</v>
      </c>
      <c r="K396" s="10">
        <v>0</v>
      </c>
      <c r="M396" s="10">
        <v>0</v>
      </c>
      <c r="O396" s="10">
        <v>0</v>
      </c>
      <c r="Q396" s="10">
        <v>0</v>
      </c>
      <c r="S396" s="10">
        <v>0</v>
      </c>
      <c r="U396" s="10">
        <v>0</v>
      </c>
      <c r="W396" s="10">
        <v>0</v>
      </c>
      <c r="Y396" s="10">
        <v>0</v>
      </c>
      <c r="AA396" s="10">
        <v>0</v>
      </c>
      <c r="AC396" s="10">
        <v>0</v>
      </c>
      <c r="AE396" s="10">
        <f t="shared" si="8"/>
        <v>0</v>
      </c>
      <c r="AF396" s="10"/>
      <c r="AG396" s="46"/>
      <c r="AH396" s="46"/>
      <c r="AI396" s="46"/>
      <c r="AJ396" s="46"/>
      <c r="AK396" s="46"/>
      <c r="AL396" s="46"/>
      <c r="AM396" s="10">
        <f>+'Gen Rev'!AI390-'Gen Exp'!AE396+'Gen Exp'!AI396-AK396</f>
        <v>0</v>
      </c>
      <c r="AN396" s="46"/>
    </row>
    <row r="397" spans="1:40" s="21" customFormat="1" ht="12.75" hidden="1">
      <c r="A397" s="1" t="s">
        <v>112</v>
      </c>
      <c r="B397" s="1"/>
      <c r="C397" s="23" t="s">
        <v>784</v>
      </c>
      <c r="D397" s="23"/>
      <c r="E397" s="10">
        <v>0</v>
      </c>
      <c r="F397" s="10"/>
      <c r="G397" s="10">
        <v>0</v>
      </c>
      <c r="H397" s="10"/>
      <c r="I397" s="10">
        <v>0</v>
      </c>
      <c r="J397" s="10"/>
      <c r="K397" s="10">
        <v>0</v>
      </c>
      <c r="L397" s="10"/>
      <c r="M397" s="10">
        <v>0</v>
      </c>
      <c r="N397" s="10"/>
      <c r="O397" s="10">
        <v>0</v>
      </c>
      <c r="P397" s="10"/>
      <c r="Q397" s="10">
        <v>0</v>
      </c>
      <c r="R397" s="10"/>
      <c r="S397" s="10">
        <v>0</v>
      </c>
      <c r="T397" s="10"/>
      <c r="U397" s="10">
        <v>0</v>
      </c>
      <c r="V397" s="10"/>
      <c r="W397" s="10">
        <v>0</v>
      </c>
      <c r="X397" s="10"/>
      <c r="Y397" s="10">
        <v>0</v>
      </c>
      <c r="Z397" s="10"/>
      <c r="AA397" s="10">
        <v>0</v>
      </c>
      <c r="AB397" s="10"/>
      <c r="AC397" s="10">
        <v>0</v>
      </c>
      <c r="AD397" s="10"/>
      <c r="AE397" s="10">
        <f t="shared" si="8"/>
        <v>0</v>
      </c>
      <c r="AF397" s="10"/>
      <c r="AG397" s="10"/>
      <c r="AH397" s="10"/>
      <c r="AI397" s="10"/>
      <c r="AJ397" s="10"/>
      <c r="AK397" s="10"/>
      <c r="AL397" s="10"/>
      <c r="AM397" s="10">
        <f>+'Gen Rev'!AI391-'Gen Exp'!AE397+'Gen Exp'!AI397-AK397</f>
        <v>0</v>
      </c>
      <c r="AN397" s="10"/>
    </row>
    <row r="398" spans="1:40" s="19" customFormat="1" ht="12.6" hidden="1" customHeight="1">
      <c r="A398" s="10" t="s">
        <v>288</v>
      </c>
      <c r="B398" s="10"/>
      <c r="C398" s="10" t="s">
        <v>287</v>
      </c>
      <c r="D398" s="10"/>
      <c r="E398" s="10">
        <v>0</v>
      </c>
      <c r="F398" s="10"/>
      <c r="G398" s="10">
        <v>0</v>
      </c>
      <c r="H398" s="10"/>
      <c r="I398" s="10">
        <v>0</v>
      </c>
      <c r="J398" s="10"/>
      <c r="K398" s="10">
        <v>0</v>
      </c>
      <c r="L398" s="10"/>
      <c r="M398" s="10">
        <v>0</v>
      </c>
      <c r="N398" s="10"/>
      <c r="O398" s="10">
        <v>0</v>
      </c>
      <c r="P398" s="10"/>
      <c r="Q398" s="10">
        <v>0</v>
      </c>
      <c r="R398" s="10"/>
      <c r="S398" s="10">
        <v>0</v>
      </c>
      <c r="T398" s="10"/>
      <c r="U398" s="10">
        <v>0</v>
      </c>
      <c r="V398" s="10"/>
      <c r="W398" s="10">
        <v>0</v>
      </c>
      <c r="X398" s="10"/>
      <c r="Y398" s="10">
        <v>0</v>
      </c>
      <c r="Z398" s="10"/>
      <c r="AA398" s="10">
        <v>0</v>
      </c>
      <c r="AB398" s="10"/>
      <c r="AC398" s="10">
        <v>0</v>
      </c>
      <c r="AD398" s="10"/>
      <c r="AE398" s="10">
        <f t="shared" si="8"/>
        <v>0</v>
      </c>
      <c r="AF398" s="10"/>
      <c r="AG398" s="46"/>
      <c r="AH398" s="46"/>
      <c r="AI398" s="46"/>
      <c r="AJ398" s="46"/>
      <c r="AK398" s="46"/>
      <c r="AL398" s="46"/>
      <c r="AM398" s="10">
        <f>+'Gen Rev'!AI392-'Gen Exp'!AE398+'Gen Exp'!AI398-AK398</f>
        <v>0</v>
      </c>
      <c r="AN398" s="46"/>
    </row>
    <row r="399" spans="1:40">
      <c r="A399" s="1" t="s">
        <v>551</v>
      </c>
      <c r="C399" s="1" t="s">
        <v>545</v>
      </c>
      <c r="E399" s="10">
        <v>457103</v>
      </c>
      <c r="G399" s="10">
        <v>7454</v>
      </c>
      <c r="I399" s="10">
        <v>24942</v>
      </c>
      <c r="K399" s="10">
        <v>4268</v>
      </c>
      <c r="M399" s="10">
        <v>8225</v>
      </c>
      <c r="O399" s="10">
        <v>0</v>
      </c>
      <c r="Q399" s="10">
        <v>185392</v>
      </c>
      <c r="S399" s="10">
        <v>89950</v>
      </c>
      <c r="U399" s="10">
        <v>0</v>
      </c>
      <c r="W399" s="10">
        <v>0</v>
      </c>
      <c r="Y399" s="10">
        <v>0</v>
      </c>
      <c r="AA399" s="10">
        <v>0</v>
      </c>
      <c r="AC399" s="10">
        <v>0</v>
      </c>
      <c r="AE399" s="10">
        <f t="shared" si="8"/>
        <v>777334</v>
      </c>
      <c r="AF399" s="10"/>
      <c r="AG399" s="10">
        <v>-37049</v>
      </c>
      <c r="AI399" s="10">
        <v>103026</v>
      </c>
      <c r="AK399" s="10">
        <v>65977</v>
      </c>
      <c r="AM399" s="10">
        <f>+'Gen Rev'!AI393-'Gen Exp'!AE399+'Gen Exp'!AI399-AK399</f>
        <v>0</v>
      </c>
    </row>
    <row r="400" spans="1:40" s="21" customFormat="1">
      <c r="A400" s="1" t="s">
        <v>309</v>
      </c>
      <c r="B400" s="1"/>
      <c r="C400" s="1" t="s">
        <v>308</v>
      </c>
      <c r="D400" s="1"/>
      <c r="E400" s="10">
        <v>550</v>
      </c>
      <c r="F400" s="10"/>
      <c r="G400" s="10">
        <v>272</v>
      </c>
      <c r="H400" s="10"/>
      <c r="I400" s="10">
        <v>0</v>
      </c>
      <c r="J400" s="10"/>
      <c r="K400" s="10">
        <v>0</v>
      </c>
      <c r="L400" s="10"/>
      <c r="M400" s="10">
        <v>6918</v>
      </c>
      <c r="N400" s="10"/>
      <c r="O400" s="10">
        <v>0</v>
      </c>
      <c r="P400" s="10"/>
      <c r="Q400" s="10">
        <v>8964</v>
      </c>
      <c r="R400" s="10"/>
      <c r="S400" s="10">
        <v>0</v>
      </c>
      <c r="T400" s="10"/>
      <c r="U400" s="10">
        <v>0</v>
      </c>
      <c r="V400" s="10"/>
      <c r="W400" s="10">
        <v>0</v>
      </c>
      <c r="X400" s="10"/>
      <c r="Y400" s="10">
        <v>0</v>
      </c>
      <c r="Z400" s="10"/>
      <c r="AA400" s="10">
        <v>0</v>
      </c>
      <c r="AB400" s="10"/>
      <c r="AC400" s="10">
        <v>0</v>
      </c>
      <c r="AD400" s="10"/>
      <c r="AE400" s="10">
        <f t="shared" si="8"/>
        <v>16704</v>
      </c>
      <c r="AF400" s="10"/>
      <c r="AG400" s="46">
        <v>-2412</v>
      </c>
      <c r="AH400" s="46"/>
      <c r="AI400" s="46">
        <v>3821</v>
      </c>
      <c r="AJ400" s="46"/>
      <c r="AK400" s="46">
        <v>1409</v>
      </c>
      <c r="AL400" s="46"/>
      <c r="AM400" s="10">
        <f>+'Gen Rev'!AI394-'Gen Exp'!AE400+'Gen Exp'!AI400-AK400</f>
        <v>0</v>
      </c>
      <c r="AN400" s="46"/>
    </row>
    <row r="401" spans="1:40">
      <c r="A401" s="1" t="s">
        <v>615</v>
      </c>
      <c r="C401" s="1" t="s">
        <v>614</v>
      </c>
      <c r="E401" s="10">
        <v>6210</v>
      </c>
      <c r="G401" s="10">
        <v>2250</v>
      </c>
      <c r="I401" s="10">
        <v>1031</v>
      </c>
      <c r="K401" s="10">
        <v>229</v>
      </c>
      <c r="M401" s="10">
        <v>0</v>
      </c>
      <c r="O401" s="10">
        <v>0</v>
      </c>
      <c r="Q401" s="10">
        <v>40579</v>
      </c>
      <c r="S401" s="10">
        <v>0</v>
      </c>
      <c r="U401" s="10">
        <v>0</v>
      </c>
      <c r="W401" s="10">
        <v>0</v>
      </c>
      <c r="Y401" s="10">
        <v>0</v>
      </c>
      <c r="AA401" s="10">
        <v>0</v>
      </c>
      <c r="AC401" s="10">
        <v>0</v>
      </c>
      <c r="AE401" s="10">
        <f t="shared" si="8"/>
        <v>50299</v>
      </c>
      <c r="AF401" s="10"/>
      <c r="AG401" s="10">
        <v>-1871</v>
      </c>
      <c r="AI401" s="10">
        <v>64871</v>
      </c>
      <c r="AK401" s="10">
        <v>63001</v>
      </c>
      <c r="AM401" s="10">
        <f>+'Gen Rev'!AI395-'Gen Exp'!AE401+'Gen Exp'!AI401-AK401</f>
        <v>0</v>
      </c>
    </row>
    <row r="402" spans="1:40" s="21" customFormat="1" ht="12.75" hidden="1">
      <c r="A402" s="1" t="s">
        <v>37</v>
      </c>
      <c r="B402" s="1"/>
      <c r="C402" s="23" t="s">
        <v>761</v>
      </c>
      <c r="D402" s="23"/>
      <c r="E402" s="10">
        <v>0</v>
      </c>
      <c r="F402" s="10"/>
      <c r="G402" s="10">
        <v>0</v>
      </c>
      <c r="H402" s="10"/>
      <c r="I402" s="10">
        <v>0</v>
      </c>
      <c r="J402" s="10"/>
      <c r="K402" s="10">
        <v>0</v>
      </c>
      <c r="L402" s="10"/>
      <c r="M402" s="10">
        <v>0</v>
      </c>
      <c r="N402" s="10"/>
      <c r="O402" s="10">
        <v>0</v>
      </c>
      <c r="P402" s="10"/>
      <c r="Q402" s="10">
        <v>0</v>
      </c>
      <c r="R402" s="10"/>
      <c r="S402" s="10">
        <v>0</v>
      </c>
      <c r="T402" s="10"/>
      <c r="U402" s="10">
        <v>0</v>
      </c>
      <c r="V402" s="10"/>
      <c r="W402" s="10">
        <v>0</v>
      </c>
      <c r="X402" s="10"/>
      <c r="Y402" s="10">
        <v>0</v>
      </c>
      <c r="Z402" s="10"/>
      <c r="AA402" s="10">
        <v>0</v>
      </c>
      <c r="AB402" s="10"/>
      <c r="AC402" s="10">
        <v>0</v>
      </c>
      <c r="AD402" s="10"/>
      <c r="AE402" s="10">
        <f t="shared" si="8"/>
        <v>0</v>
      </c>
      <c r="AF402" s="10"/>
      <c r="AG402" s="10"/>
      <c r="AH402" s="10"/>
      <c r="AI402" s="10"/>
      <c r="AJ402" s="10"/>
      <c r="AK402" s="10"/>
      <c r="AL402" s="10"/>
      <c r="AM402" s="10">
        <f>+'Gen Rev'!AI396-'Gen Exp'!AE402+'Gen Exp'!AI402-AK402</f>
        <v>0</v>
      </c>
      <c r="AN402" s="10"/>
    </row>
    <row r="403" spans="1:40" s="31" customFormat="1" ht="12.6" customHeight="1">
      <c r="A403" s="15" t="s">
        <v>355</v>
      </c>
      <c r="B403" s="15"/>
      <c r="C403" s="15" t="s">
        <v>353</v>
      </c>
      <c r="D403" s="15"/>
      <c r="E403" s="10">
        <v>2498333</v>
      </c>
      <c r="F403" s="24"/>
      <c r="G403" s="10">
        <v>0</v>
      </c>
      <c r="H403" s="24"/>
      <c r="I403" s="10">
        <v>0</v>
      </c>
      <c r="J403" s="24"/>
      <c r="K403" s="10">
        <v>1219071</v>
      </c>
      <c r="L403" s="24"/>
      <c r="M403" s="10">
        <v>0</v>
      </c>
      <c r="N403" s="24"/>
      <c r="O403" s="10">
        <v>1654870</v>
      </c>
      <c r="P403" s="24"/>
      <c r="Q403" s="10">
        <v>3065501</v>
      </c>
      <c r="R403" s="24"/>
      <c r="S403" s="10">
        <v>667036</v>
      </c>
      <c r="T403" s="24"/>
      <c r="U403" s="10">
        <v>104989</v>
      </c>
      <c r="V403" s="24"/>
      <c r="W403" s="10">
        <v>11757</v>
      </c>
      <c r="X403" s="24"/>
      <c r="Y403" s="10">
        <v>1452220</v>
      </c>
      <c r="Z403" s="24"/>
      <c r="AA403" s="10">
        <v>0</v>
      </c>
      <c r="AB403" s="24"/>
      <c r="AC403" s="10">
        <v>0</v>
      </c>
      <c r="AD403" s="24"/>
      <c r="AE403" s="24">
        <f t="shared" si="8"/>
        <v>10673777</v>
      </c>
      <c r="AF403" s="24"/>
      <c r="AG403" s="47">
        <v>1037429</v>
      </c>
      <c r="AH403" s="47"/>
      <c r="AI403" s="47">
        <v>6919911</v>
      </c>
      <c r="AJ403" s="47"/>
      <c r="AK403" s="47">
        <v>7957340</v>
      </c>
      <c r="AL403" s="47"/>
      <c r="AM403" s="10">
        <f>+'Gen Rev'!AI397-'Gen Exp'!AE403+'Gen Exp'!AI403-AK403</f>
        <v>0</v>
      </c>
      <c r="AN403" s="47"/>
    </row>
    <row r="404" spans="1:40" ht="12.75" hidden="1">
      <c r="A404" s="1" t="s">
        <v>103</v>
      </c>
      <c r="C404" s="23" t="s">
        <v>781</v>
      </c>
      <c r="D404" s="23"/>
      <c r="E404" s="10">
        <v>0</v>
      </c>
      <c r="G404" s="10">
        <v>0</v>
      </c>
      <c r="I404" s="10">
        <v>0</v>
      </c>
      <c r="K404" s="10">
        <v>0</v>
      </c>
      <c r="M404" s="10">
        <v>0</v>
      </c>
      <c r="O404" s="10">
        <v>0</v>
      </c>
      <c r="Q404" s="10">
        <v>0</v>
      </c>
      <c r="S404" s="10">
        <v>0</v>
      </c>
      <c r="U404" s="10">
        <v>0</v>
      </c>
      <c r="W404" s="10">
        <v>0</v>
      </c>
      <c r="Y404" s="10">
        <v>0</v>
      </c>
      <c r="AA404" s="10">
        <v>0</v>
      </c>
      <c r="AC404" s="10">
        <v>0</v>
      </c>
      <c r="AE404" s="10">
        <f t="shared" si="8"/>
        <v>0</v>
      </c>
      <c r="AF404" s="10"/>
      <c r="AM404" s="10">
        <f>+'Gen Rev'!AI398-'Gen Exp'!AE404+'Gen Exp'!AI404-AK404</f>
        <v>0</v>
      </c>
    </row>
    <row r="405" spans="1:40" s="21" customFormat="1" ht="12.75" hidden="1">
      <c r="A405" s="1" t="s">
        <v>109</v>
      </c>
      <c r="B405" s="1"/>
      <c r="C405" s="23" t="s">
        <v>782</v>
      </c>
      <c r="D405" s="23"/>
      <c r="E405" s="10">
        <v>0</v>
      </c>
      <c r="F405" s="10"/>
      <c r="G405" s="10">
        <v>0</v>
      </c>
      <c r="H405" s="10"/>
      <c r="I405" s="10">
        <v>0</v>
      </c>
      <c r="J405" s="10"/>
      <c r="K405" s="10">
        <v>0</v>
      </c>
      <c r="L405" s="10"/>
      <c r="M405" s="10">
        <v>0</v>
      </c>
      <c r="N405" s="10"/>
      <c r="O405" s="10">
        <v>0</v>
      </c>
      <c r="P405" s="10"/>
      <c r="Q405" s="10">
        <v>0</v>
      </c>
      <c r="R405" s="10"/>
      <c r="S405" s="10">
        <v>0</v>
      </c>
      <c r="T405" s="10"/>
      <c r="U405" s="10">
        <v>0</v>
      </c>
      <c r="V405" s="10"/>
      <c r="W405" s="10">
        <v>0</v>
      </c>
      <c r="X405" s="10"/>
      <c r="Y405" s="10">
        <v>0</v>
      </c>
      <c r="Z405" s="10"/>
      <c r="AA405" s="10">
        <v>0</v>
      </c>
      <c r="AB405" s="10"/>
      <c r="AC405" s="10">
        <v>0</v>
      </c>
      <c r="AD405" s="10"/>
      <c r="AE405" s="10">
        <f t="shared" si="8"/>
        <v>0</v>
      </c>
      <c r="AF405" s="10"/>
      <c r="AG405" s="10"/>
      <c r="AH405" s="10"/>
      <c r="AI405" s="10"/>
      <c r="AJ405" s="10"/>
      <c r="AK405" s="10"/>
      <c r="AL405" s="10"/>
      <c r="AM405" s="10">
        <f>+'Gen Rev'!AI399-'Gen Exp'!AE405+'Gen Exp'!AI405-AK405</f>
        <v>0</v>
      </c>
      <c r="AN405" s="10"/>
    </row>
    <row r="406" spans="1:40" hidden="1">
      <c r="A406" s="1" t="s">
        <v>149</v>
      </c>
      <c r="C406" s="1" t="s">
        <v>464</v>
      </c>
      <c r="E406" s="10">
        <v>0</v>
      </c>
      <c r="G406" s="10">
        <v>0</v>
      </c>
      <c r="I406" s="10">
        <v>0</v>
      </c>
      <c r="K406" s="10">
        <v>0</v>
      </c>
      <c r="M406" s="10">
        <v>0</v>
      </c>
      <c r="O406" s="10">
        <v>0</v>
      </c>
      <c r="Q406" s="10">
        <v>0</v>
      </c>
      <c r="S406" s="10">
        <v>0</v>
      </c>
      <c r="U406" s="10">
        <v>0</v>
      </c>
      <c r="W406" s="10">
        <v>0</v>
      </c>
      <c r="Y406" s="10">
        <v>0</v>
      </c>
      <c r="AA406" s="10">
        <v>0</v>
      </c>
      <c r="AC406" s="10">
        <v>0</v>
      </c>
      <c r="AE406" s="10">
        <f t="shared" si="8"/>
        <v>0</v>
      </c>
      <c r="AF406" s="10"/>
      <c r="AM406" s="10">
        <f>+'Gen Rev'!AI400-'Gen Exp'!AE406+'Gen Exp'!AI406-AK406</f>
        <v>0</v>
      </c>
    </row>
    <row r="407" spans="1:40" ht="12.75" hidden="1">
      <c r="A407" s="1" t="s">
        <v>149</v>
      </c>
      <c r="C407" s="23" t="s">
        <v>796</v>
      </c>
      <c r="D407" s="23"/>
      <c r="E407" s="10">
        <v>0</v>
      </c>
      <c r="G407" s="10">
        <v>0</v>
      </c>
      <c r="I407" s="10">
        <v>0</v>
      </c>
      <c r="K407" s="10">
        <v>0</v>
      </c>
      <c r="M407" s="10">
        <v>0</v>
      </c>
      <c r="O407" s="10">
        <v>0</v>
      </c>
      <c r="Q407" s="10">
        <v>0</v>
      </c>
      <c r="S407" s="10">
        <v>0</v>
      </c>
      <c r="U407" s="10">
        <v>0</v>
      </c>
      <c r="W407" s="10">
        <v>0</v>
      </c>
      <c r="Y407" s="10">
        <v>0</v>
      </c>
      <c r="AA407" s="10">
        <v>0</v>
      </c>
      <c r="AC407" s="10">
        <v>0</v>
      </c>
      <c r="AE407" s="10">
        <f t="shared" si="8"/>
        <v>0</v>
      </c>
      <c r="AF407" s="10"/>
      <c r="AM407" s="10">
        <f>+'Gen Rev'!AI400-'Gen Exp'!AE407+'Gen Exp'!AI407-AK407</f>
        <v>0</v>
      </c>
    </row>
    <row r="408" spans="1:40" hidden="1">
      <c r="A408" s="1" t="s">
        <v>533</v>
      </c>
      <c r="C408" s="1" t="s">
        <v>534</v>
      </c>
      <c r="E408" s="10">
        <v>0</v>
      </c>
      <c r="G408" s="10">
        <v>0</v>
      </c>
      <c r="I408" s="10">
        <v>0</v>
      </c>
      <c r="K408" s="10">
        <v>0</v>
      </c>
      <c r="M408" s="10">
        <v>0</v>
      </c>
      <c r="O408" s="10">
        <v>0</v>
      </c>
      <c r="Q408" s="10">
        <v>0</v>
      </c>
      <c r="S408" s="10">
        <v>0</v>
      </c>
      <c r="U408" s="10">
        <v>0</v>
      </c>
      <c r="W408" s="10">
        <v>0</v>
      </c>
      <c r="Y408" s="10">
        <v>0</v>
      </c>
      <c r="AA408" s="10">
        <v>0</v>
      </c>
      <c r="AC408" s="10">
        <v>0</v>
      </c>
      <c r="AE408" s="10">
        <f t="shared" si="8"/>
        <v>0</v>
      </c>
      <c r="AF408" s="10"/>
      <c r="AM408" s="10">
        <f>+'Gen Rev'!AI401-'Gen Exp'!AE408+'Gen Exp'!AI408-AK408</f>
        <v>0</v>
      </c>
    </row>
    <row r="409" spans="1:40" s="21" customFormat="1" ht="12.6" customHeight="1">
      <c r="A409" s="1" t="s">
        <v>277</v>
      </c>
      <c r="B409" s="1"/>
      <c r="C409" s="1" t="s">
        <v>275</v>
      </c>
      <c r="D409" s="1"/>
      <c r="E409" s="10">
        <v>934266</v>
      </c>
      <c r="F409" s="10"/>
      <c r="G409" s="10">
        <v>15299</v>
      </c>
      <c r="H409" s="10"/>
      <c r="I409" s="10">
        <v>24155</v>
      </c>
      <c r="J409" s="10"/>
      <c r="K409" s="10">
        <v>0</v>
      </c>
      <c r="L409" s="10"/>
      <c r="M409" s="10">
        <v>0</v>
      </c>
      <c r="N409" s="10"/>
      <c r="O409" s="10">
        <v>183722</v>
      </c>
      <c r="P409" s="10"/>
      <c r="Q409" s="10">
        <v>411118</v>
      </c>
      <c r="R409" s="10"/>
      <c r="S409" s="10">
        <v>1340630</v>
      </c>
      <c r="T409" s="10"/>
      <c r="U409" s="10">
        <v>0</v>
      </c>
      <c r="V409" s="10"/>
      <c r="W409" s="10">
        <v>0</v>
      </c>
      <c r="X409" s="10"/>
      <c r="Y409" s="10">
        <v>825000</v>
      </c>
      <c r="Z409" s="10"/>
      <c r="AA409" s="10">
        <v>0</v>
      </c>
      <c r="AB409" s="10"/>
      <c r="AC409" s="10">
        <v>0</v>
      </c>
      <c r="AD409" s="10"/>
      <c r="AE409" s="10">
        <f t="shared" si="8"/>
        <v>3734190</v>
      </c>
      <c r="AF409" s="10"/>
      <c r="AG409" s="46">
        <v>-219664</v>
      </c>
      <c r="AH409" s="46"/>
      <c r="AI409" s="46">
        <v>2264732</v>
      </c>
      <c r="AJ409" s="46"/>
      <c r="AK409" s="46">
        <v>2045068</v>
      </c>
      <c r="AL409" s="46"/>
      <c r="AM409" s="10">
        <f>+'Gen Rev'!AI402-'Gen Exp'!AE409+'Gen Exp'!AI409-AK409</f>
        <v>0</v>
      </c>
      <c r="AN409" s="46"/>
    </row>
    <row r="410" spans="1:40">
      <c r="A410" s="1" t="s">
        <v>490</v>
      </c>
      <c r="C410" s="1" t="s">
        <v>488</v>
      </c>
      <c r="E410" s="10">
        <v>245043</v>
      </c>
      <c r="G410" s="10">
        <v>0</v>
      </c>
      <c r="I410" s="10">
        <v>0</v>
      </c>
      <c r="K410" s="10">
        <v>0</v>
      </c>
      <c r="M410" s="10">
        <v>0</v>
      </c>
      <c r="O410" s="10">
        <v>0</v>
      </c>
      <c r="Q410" s="10">
        <v>492196</v>
      </c>
      <c r="S410" s="10">
        <v>31363</v>
      </c>
      <c r="U410" s="10">
        <v>96549</v>
      </c>
      <c r="W410" s="10">
        <v>0</v>
      </c>
      <c r="Y410" s="10">
        <v>272934</v>
      </c>
      <c r="AA410" s="10">
        <v>0</v>
      </c>
      <c r="AC410" s="10">
        <v>2184</v>
      </c>
      <c r="AE410" s="10">
        <f t="shared" si="8"/>
        <v>1140269</v>
      </c>
      <c r="AF410" s="10"/>
      <c r="AG410" s="10">
        <v>-228932</v>
      </c>
      <c r="AI410" s="10">
        <v>355169</v>
      </c>
      <c r="AK410" s="10">
        <v>126237</v>
      </c>
      <c r="AM410" s="10">
        <f>+'Gen Rev'!AI404-'Gen Exp'!AE410+'Gen Exp'!AI410-AK410</f>
        <v>0</v>
      </c>
    </row>
    <row r="411" spans="1:40" ht="12.75" hidden="1">
      <c r="A411" s="1" t="s">
        <v>189</v>
      </c>
      <c r="C411" s="23" t="s">
        <v>809</v>
      </c>
      <c r="D411" s="23"/>
      <c r="E411" s="10">
        <v>0</v>
      </c>
      <c r="G411" s="10">
        <v>0</v>
      </c>
      <c r="I411" s="10">
        <v>0</v>
      </c>
      <c r="K411" s="10">
        <v>0</v>
      </c>
      <c r="M411" s="10">
        <v>0</v>
      </c>
      <c r="O411" s="10">
        <v>0</v>
      </c>
      <c r="Q411" s="10">
        <v>0</v>
      </c>
      <c r="S411" s="10">
        <v>0</v>
      </c>
      <c r="U411" s="10">
        <v>0</v>
      </c>
      <c r="W411" s="10">
        <v>0</v>
      </c>
      <c r="Y411" s="10">
        <v>0</v>
      </c>
      <c r="AA411" s="10">
        <v>0</v>
      </c>
      <c r="AC411" s="10">
        <v>0</v>
      </c>
      <c r="AE411" s="10">
        <f t="shared" si="8"/>
        <v>0</v>
      </c>
      <c r="AF411" s="10"/>
      <c r="AM411" s="10">
        <f>+'Gen Rev'!AI405-'Gen Exp'!AE411+'Gen Exp'!AI411-AK411</f>
        <v>0</v>
      </c>
    </row>
    <row r="412" spans="1:40" ht="12.75" hidden="1">
      <c r="A412" s="1" t="s">
        <v>12</v>
      </c>
      <c r="C412" s="23" t="s">
        <v>754</v>
      </c>
      <c r="D412" s="23"/>
      <c r="E412" s="10">
        <v>0</v>
      </c>
      <c r="G412" s="10">
        <v>0</v>
      </c>
      <c r="I412" s="10">
        <v>0</v>
      </c>
      <c r="K412" s="10">
        <v>0</v>
      </c>
      <c r="M412" s="10">
        <v>0</v>
      </c>
      <c r="O412" s="10">
        <v>0</v>
      </c>
      <c r="Q412" s="10">
        <v>0</v>
      </c>
      <c r="S412" s="10">
        <v>0</v>
      </c>
      <c r="U412" s="10">
        <v>0</v>
      </c>
      <c r="W412" s="10">
        <v>0</v>
      </c>
      <c r="Y412" s="10">
        <v>0</v>
      </c>
      <c r="AA412" s="10">
        <v>0</v>
      </c>
      <c r="AC412" s="10">
        <v>0</v>
      </c>
      <c r="AE412" s="10">
        <f t="shared" si="8"/>
        <v>0</v>
      </c>
      <c r="AF412" s="10"/>
      <c r="AG412" s="46"/>
      <c r="AH412" s="46"/>
      <c r="AI412" s="46"/>
      <c r="AJ412" s="46"/>
      <c r="AK412" s="46"/>
      <c r="AL412" s="46"/>
      <c r="AM412" s="10">
        <f>+'Gen Rev'!AI406-'Gen Exp'!AE412+'Gen Exp'!AI412-AK412</f>
        <v>0</v>
      </c>
      <c r="AN412" s="46"/>
    </row>
    <row r="413" spans="1:40" s="15" customFormat="1">
      <c r="A413" s="15" t="s">
        <v>484</v>
      </c>
      <c r="C413" s="15" t="s">
        <v>482</v>
      </c>
      <c r="E413" s="24">
        <v>0</v>
      </c>
      <c r="F413" s="24"/>
      <c r="G413" s="24">
        <v>0</v>
      </c>
      <c r="H413" s="24"/>
      <c r="I413" s="24">
        <v>85515</v>
      </c>
      <c r="J413" s="24"/>
      <c r="K413" s="24">
        <v>24158</v>
      </c>
      <c r="L413" s="24"/>
      <c r="M413" s="24">
        <v>0</v>
      </c>
      <c r="N413" s="24"/>
      <c r="O413" s="24">
        <v>0</v>
      </c>
      <c r="P413" s="24"/>
      <c r="Q413" s="24">
        <v>161790</v>
      </c>
      <c r="R413" s="24"/>
      <c r="S413" s="24">
        <v>77316</v>
      </c>
      <c r="T413" s="24"/>
      <c r="U413" s="24">
        <v>408476</v>
      </c>
      <c r="V413" s="24"/>
      <c r="W413" s="24">
        <v>0</v>
      </c>
      <c r="X413" s="24"/>
      <c r="Y413" s="24">
        <v>2941</v>
      </c>
      <c r="Z413" s="24"/>
      <c r="AA413" s="24">
        <v>0</v>
      </c>
      <c r="AB413" s="24"/>
      <c r="AC413" s="24">
        <v>427964</v>
      </c>
      <c r="AD413" s="24"/>
      <c r="AE413" s="24">
        <f t="shared" si="8"/>
        <v>1188160</v>
      </c>
      <c r="AF413" s="24"/>
      <c r="AG413" s="24">
        <v>10044</v>
      </c>
      <c r="AH413" s="24"/>
      <c r="AI413" s="24">
        <v>848004</v>
      </c>
      <c r="AJ413" s="24"/>
      <c r="AK413" s="24">
        <v>858048</v>
      </c>
      <c r="AL413" s="24"/>
      <c r="AM413" s="10">
        <f>+'Gen Rev'!AI407-'Gen Exp'!AE413+'Gen Exp'!AI413-AK413</f>
        <v>0</v>
      </c>
      <c r="AN413" s="24"/>
    </row>
    <row r="414" spans="1:40" s="15" customFormat="1" hidden="1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 t="s">
        <v>869</v>
      </c>
      <c r="AF414" s="24"/>
      <c r="AG414" s="24"/>
      <c r="AH414" s="24"/>
      <c r="AI414" s="24"/>
      <c r="AJ414" s="24"/>
      <c r="AK414" s="24"/>
      <c r="AL414" s="24"/>
      <c r="AM414" s="10"/>
      <c r="AN414" s="24"/>
    </row>
    <row r="415" spans="1:40" s="54" customFormat="1">
      <c r="A415" s="40" t="s">
        <v>417</v>
      </c>
      <c r="B415" s="40"/>
      <c r="C415" s="40" t="s">
        <v>416</v>
      </c>
      <c r="D415" s="40"/>
      <c r="E415" s="40">
        <v>309504</v>
      </c>
      <c r="F415" s="40"/>
      <c r="G415" s="40">
        <v>1992</v>
      </c>
      <c r="H415" s="40"/>
      <c r="I415" s="40">
        <v>0</v>
      </c>
      <c r="J415" s="40"/>
      <c r="K415" s="40">
        <v>3061</v>
      </c>
      <c r="L415" s="40"/>
      <c r="M415" s="40">
        <v>0</v>
      </c>
      <c r="N415" s="40"/>
      <c r="O415" s="40">
        <v>0</v>
      </c>
      <c r="P415" s="40"/>
      <c r="Q415" s="40">
        <v>206095</v>
      </c>
      <c r="R415" s="40"/>
      <c r="S415" s="40">
        <v>0</v>
      </c>
      <c r="T415" s="40"/>
      <c r="U415" s="40">
        <v>0</v>
      </c>
      <c r="V415" s="40"/>
      <c r="W415" s="40">
        <v>0</v>
      </c>
      <c r="X415" s="40"/>
      <c r="Y415" s="40">
        <v>95402</v>
      </c>
      <c r="Z415" s="40"/>
      <c r="AA415" s="40">
        <v>0</v>
      </c>
      <c r="AB415" s="40"/>
      <c r="AC415" s="40">
        <v>0</v>
      </c>
      <c r="AD415" s="40"/>
      <c r="AE415" s="40">
        <f t="shared" si="8"/>
        <v>616054</v>
      </c>
      <c r="AF415" s="40"/>
      <c r="AG415" s="10">
        <v>47766</v>
      </c>
      <c r="AH415" s="10"/>
      <c r="AI415" s="10">
        <v>403601</v>
      </c>
      <c r="AJ415" s="10"/>
      <c r="AK415" s="10">
        <v>451367</v>
      </c>
      <c r="AL415" s="10"/>
      <c r="AM415" s="10">
        <f>+'Gen Rev'!AI408-'Gen Exp'!AE415+'Gen Exp'!AI415-AK415</f>
        <v>0</v>
      </c>
      <c r="AN415" s="10"/>
    </row>
    <row r="416" spans="1:40" ht="12.75" hidden="1">
      <c r="A416" s="1" t="s">
        <v>53</v>
      </c>
      <c r="C416" s="23" t="s">
        <v>767</v>
      </c>
      <c r="D416" s="23"/>
      <c r="E416" s="10">
        <v>0</v>
      </c>
      <c r="G416" s="10">
        <v>0</v>
      </c>
      <c r="I416" s="10">
        <v>0</v>
      </c>
      <c r="K416" s="10">
        <v>0</v>
      </c>
      <c r="M416" s="10">
        <v>0</v>
      </c>
      <c r="O416" s="10">
        <v>0</v>
      </c>
      <c r="Q416" s="10">
        <v>0</v>
      </c>
      <c r="S416" s="10">
        <v>0</v>
      </c>
      <c r="U416" s="10">
        <v>0</v>
      </c>
      <c r="W416" s="10">
        <v>0</v>
      </c>
      <c r="Y416" s="10">
        <v>0</v>
      </c>
      <c r="AA416" s="10">
        <v>0</v>
      </c>
      <c r="AC416" s="10">
        <v>0</v>
      </c>
      <c r="AE416" s="10">
        <f t="shared" si="8"/>
        <v>0</v>
      </c>
      <c r="AF416" s="10"/>
      <c r="AG416" s="46"/>
      <c r="AH416" s="46"/>
      <c r="AI416" s="46"/>
      <c r="AJ416" s="46"/>
      <c r="AK416" s="46"/>
      <c r="AL416" s="46"/>
      <c r="AM416" s="10">
        <f>+'Gen Rev'!AI409-'Gen Exp'!AE416+'Gen Exp'!AI416-AK416</f>
        <v>0</v>
      </c>
      <c r="AN416" s="46"/>
    </row>
    <row r="417" spans="1:40" ht="12.75" hidden="1">
      <c r="A417" s="1" t="s">
        <v>145</v>
      </c>
      <c r="C417" s="23" t="s">
        <v>795</v>
      </c>
      <c r="D417" s="23"/>
      <c r="E417" s="10">
        <v>0</v>
      </c>
      <c r="G417" s="10">
        <v>0</v>
      </c>
      <c r="I417" s="10">
        <v>0</v>
      </c>
      <c r="K417" s="10">
        <v>0</v>
      </c>
      <c r="M417" s="10">
        <v>0</v>
      </c>
      <c r="O417" s="10">
        <v>0</v>
      </c>
      <c r="Q417" s="10">
        <v>0</v>
      </c>
      <c r="S417" s="10">
        <v>0</v>
      </c>
      <c r="U417" s="10">
        <v>0</v>
      </c>
      <c r="W417" s="10">
        <v>0</v>
      </c>
      <c r="Y417" s="10">
        <v>0</v>
      </c>
      <c r="AA417" s="10">
        <v>0</v>
      </c>
      <c r="AC417" s="10">
        <v>0</v>
      </c>
      <c r="AE417" s="10">
        <f t="shared" si="8"/>
        <v>0</v>
      </c>
      <c r="AF417" s="10"/>
      <c r="AM417" s="10">
        <f>+'Gen Rev'!AI410-'Gen Exp'!AE417+'Gen Exp'!AI417-AK417</f>
        <v>0</v>
      </c>
    </row>
    <row r="418" spans="1:40" hidden="1">
      <c r="A418" s="1" t="s">
        <v>514</v>
      </c>
      <c r="C418" s="1" t="s">
        <v>513</v>
      </c>
      <c r="E418" s="10">
        <v>0</v>
      </c>
      <c r="G418" s="10">
        <v>0</v>
      </c>
      <c r="I418" s="10">
        <v>0</v>
      </c>
      <c r="K418" s="10">
        <v>0</v>
      </c>
      <c r="M418" s="10">
        <v>0</v>
      </c>
      <c r="O418" s="10">
        <v>0</v>
      </c>
      <c r="Q418" s="10">
        <v>0</v>
      </c>
      <c r="S418" s="10">
        <v>0</v>
      </c>
      <c r="U418" s="10">
        <v>0</v>
      </c>
      <c r="W418" s="10">
        <v>0</v>
      </c>
      <c r="Y418" s="10">
        <v>0</v>
      </c>
      <c r="AA418" s="10">
        <v>0</v>
      </c>
      <c r="AC418" s="10">
        <v>0</v>
      </c>
      <c r="AE418" s="10">
        <f t="shared" si="8"/>
        <v>0</v>
      </c>
      <c r="AF418" s="10"/>
      <c r="AM418" s="10">
        <f>+'Gen Rev'!AI411-'Gen Exp'!AE418+'Gen Exp'!AI418-AK418</f>
        <v>0</v>
      </c>
    </row>
    <row r="419" spans="1:40" s="10" customFormat="1" ht="12.75" hidden="1">
      <c r="A419" s="10" t="s">
        <v>38</v>
      </c>
      <c r="C419" s="56" t="s">
        <v>761</v>
      </c>
      <c r="D419" s="56"/>
      <c r="E419" s="10">
        <v>0</v>
      </c>
      <c r="G419" s="10">
        <v>0</v>
      </c>
      <c r="I419" s="10">
        <v>0</v>
      </c>
      <c r="K419" s="10">
        <v>0</v>
      </c>
      <c r="M419" s="10">
        <v>0</v>
      </c>
      <c r="O419" s="10">
        <v>0</v>
      </c>
      <c r="Q419" s="10">
        <v>0</v>
      </c>
      <c r="S419" s="10">
        <v>0</v>
      </c>
      <c r="U419" s="10">
        <v>0</v>
      </c>
      <c r="W419" s="10">
        <v>0</v>
      </c>
      <c r="Y419" s="10">
        <v>0</v>
      </c>
      <c r="AA419" s="10">
        <v>0</v>
      </c>
      <c r="AC419" s="10">
        <v>0</v>
      </c>
      <c r="AE419" s="10">
        <f t="shared" si="8"/>
        <v>0</v>
      </c>
      <c r="AG419" s="46"/>
      <c r="AH419" s="46"/>
      <c r="AI419" s="46"/>
      <c r="AJ419" s="46"/>
      <c r="AK419" s="46"/>
      <c r="AL419" s="46"/>
      <c r="AM419" s="10" t="e">
        <f>+'Gen Rev'!AI403-'Gen Exp'!AE419+'Gen Exp'!AI419-AK419</f>
        <v>#VALUE!</v>
      </c>
      <c r="AN419" s="46"/>
    </row>
    <row r="420" spans="1:40" s="21" customFormat="1" ht="12.75" hidden="1">
      <c r="A420" s="1" t="s">
        <v>220</v>
      </c>
      <c r="B420" s="1"/>
      <c r="C420" s="23" t="s">
        <v>818</v>
      </c>
      <c r="D420" s="23"/>
      <c r="E420" s="10">
        <v>0</v>
      </c>
      <c r="F420" s="10"/>
      <c r="G420" s="10">
        <v>0</v>
      </c>
      <c r="H420" s="10"/>
      <c r="I420" s="10">
        <v>0</v>
      </c>
      <c r="J420" s="10"/>
      <c r="K420" s="10">
        <v>0</v>
      </c>
      <c r="L420" s="10"/>
      <c r="M420" s="10">
        <v>0</v>
      </c>
      <c r="N420" s="10"/>
      <c r="O420" s="10">
        <v>0</v>
      </c>
      <c r="P420" s="10"/>
      <c r="Q420" s="10">
        <v>0</v>
      </c>
      <c r="R420" s="10"/>
      <c r="S420" s="10">
        <v>0</v>
      </c>
      <c r="T420" s="10"/>
      <c r="U420" s="10">
        <v>0</v>
      </c>
      <c r="V420" s="10"/>
      <c r="W420" s="10">
        <v>0</v>
      </c>
      <c r="X420" s="10"/>
      <c r="Y420" s="10">
        <v>0</v>
      </c>
      <c r="Z420" s="10"/>
      <c r="AA420" s="10">
        <v>0</v>
      </c>
      <c r="AB420" s="10"/>
      <c r="AC420" s="10">
        <v>0</v>
      </c>
      <c r="AD420" s="10"/>
      <c r="AE420" s="10">
        <f t="shared" si="8"/>
        <v>0</v>
      </c>
      <c r="AF420" s="10"/>
      <c r="AG420" s="10"/>
      <c r="AH420" s="10"/>
      <c r="AI420" s="10"/>
      <c r="AJ420" s="10"/>
      <c r="AK420" s="10"/>
      <c r="AL420" s="10"/>
      <c r="AM420" s="10">
        <f>+'Gen Rev'!AI412-'Gen Exp'!AE420+'Gen Exp'!AI420-AK420</f>
        <v>0</v>
      </c>
      <c r="AN420" s="10"/>
    </row>
    <row r="421" spans="1:40" s="59" customFormat="1" ht="12.75" hidden="1">
      <c r="A421" s="59" t="s">
        <v>712</v>
      </c>
      <c r="C421" s="59" t="s">
        <v>504</v>
      </c>
      <c r="D421" s="57"/>
      <c r="E421" s="60">
        <v>0</v>
      </c>
      <c r="F421" s="60"/>
      <c r="G421" s="60">
        <v>0</v>
      </c>
      <c r="H421" s="60"/>
      <c r="I421" s="60">
        <v>0</v>
      </c>
      <c r="J421" s="60"/>
      <c r="K421" s="60">
        <v>0</v>
      </c>
      <c r="L421" s="60"/>
      <c r="M421" s="60">
        <v>0</v>
      </c>
      <c r="N421" s="60"/>
      <c r="O421" s="60">
        <v>0</v>
      </c>
      <c r="P421" s="60"/>
      <c r="Q421" s="60">
        <v>0</v>
      </c>
      <c r="R421" s="60"/>
      <c r="S421" s="60">
        <v>0</v>
      </c>
      <c r="T421" s="60"/>
      <c r="U421" s="60">
        <v>0</v>
      </c>
      <c r="V421" s="60"/>
      <c r="W421" s="60">
        <v>0</v>
      </c>
      <c r="X421" s="60"/>
      <c r="Y421" s="60">
        <v>0</v>
      </c>
      <c r="Z421" s="60"/>
      <c r="AA421" s="60">
        <v>0</v>
      </c>
      <c r="AB421" s="60"/>
      <c r="AC421" s="60">
        <v>0</v>
      </c>
      <c r="AD421" s="60"/>
      <c r="AE421" s="60">
        <f>SUM(E421:AC421)</f>
        <v>0</v>
      </c>
      <c r="AF421" s="60"/>
      <c r="AG421" s="61"/>
      <c r="AH421" s="61"/>
      <c r="AI421" s="61"/>
      <c r="AJ421" s="61"/>
      <c r="AK421" s="61"/>
      <c r="AL421" s="61"/>
      <c r="AM421" s="60">
        <f>+'Gen Rev'!AI412-'Gen Exp'!AE421+'Gen Exp'!AI421-AK421</f>
        <v>0</v>
      </c>
      <c r="AN421" s="61"/>
    </row>
    <row r="422" spans="1:40" ht="12.75" hidden="1">
      <c r="A422" s="1" t="s">
        <v>41</v>
      </c>
      <c r="C422" s="23" t="s">
        <v>762</v>
      </c>
      <c r="D422" s="23"/>
      <c r="E422" s="10">
        <v>0</v>
      </c>
      <c r="G422" s="10">
        <v>0</v>
      </c>
      <c r="I422" s="10">
        <v>0</v>
      </c>
      <c r="K422" s="10">
        <v>0</v>
      </c>
      <c r="M422" s="10">
        <v>0</v>
      </c>
      <c r="O422" s="10">
        <v>0</v>
      </c>
      <c r="Q422" s="10">
        <v>0</v>
      </c>
      <c r="S422" s="10">
        <v>0</v>
      </c>
      <c r="U422" s="10">
        <v>0</v>
      </c>
      <c r="W422" s="10">
        <v>0</v>
      </c>
      <c r="Y422" s="10">
        <v>0</v>
      </c>
      <c r="AA422" s="10">
        <v>0</v>
      </c>
      <c r="AC422" s="10">
        <v>0</v>
      </c>
      <c r="AE422" s="10">
        <f t="shared" si="8"/>
        <v>0</v>
      </c>
      <c r="AF422" s="10"/>
      <c r="AG422" s="46"/>
      <c r="AH422" s="46"/>
      <c r="AI422" s="46"/>
      <c r="AJ422" s="46"/>
      <c r="AK422" s="46"/>
      <c r="AL422" s="46"/>
      <c r="AM422" s="10">
        <f>+'Gen Rev'!AI413-'Gen Exp'!AE422+'Gen Exp'!AI422-AK422</f>
        <v>0</v>
      </c>
      <c r="AN422" s="46"/>
    </row>
    <row r="423" spans="1:40" s="21" customFormat="1" ht="12.6" hidden="1" customHeight="1">
      <c r="A423" s="1" t="s">
        <v>313</v>
      </c>
      <c r="B423" s="1"/>
      <c r="C423" s="1" t="s">
        <v>312</v>
      </c>
      <c r="D423" s="1"/>
      <c r="E423" s="10">
        <v>0</v>
      </c>
      <c r="F423" s="10"/>
      <c r="G423" s="10">
        <v>0</v>
      </c>
      <c r="H423" s="10"/>
      <c r="I423" s="10">
        <v>0</v>
      </c>
      <c r="J423" s="10"/>
      <c r="K423" s="10">
        <v>0</v>
      </c>
      <c r="L423" s="10"/>
      <c r="M423" s="10">
        <v>0</v>
      </c>
      <c r="N423" s="10"/>
      <c r="O423" s="10">
        <v>0</v>
      </c>
      <c r="P423" s="10"/>
      <c r="Q423" s="10">
        <v>0</v>
      </c>
      <c r="R423" s="10"/>
      <c r="S423" s="10">
        <v>0</v>
      </c>
      <c r="T423" s="10"/>
      <c r="U423" s="10">
        <v>0</v>
      </c>
      <c r="V423" s="10"/>
      <c r="W423" s="10">
        <v>0</v>
      </c>
      <c r="X423" s="10"/>
      <c r="Y423" s="10">
        <v>0</v>
      </c>
      <c r="Z423" s="10"/>
      <c r="AA423" s="10">
        <v>0</v>
      </c>
      <c r="AB423" s="10"/>
      <c r="AC423" s="10">
        <v>0</v>
      </c>
      <c r="AD423" s="10"/>
      <c r="AE423" s="10">
        <f t="shared" si="8"/>
        <v>0</v>
      </c>
      <c r="AF423" s="10"/>
      <c r="AG423" s="46"/>
      <c r="AH423" s="46"/>
      <c r="AI423" s="46"/>
      <c r="AJ423" s="46"/>
      <c r="AK423" s="46"/>
      <c r="AL423" s="46"/>
      <c r="AM423" s="10">
        <f>+'Gen Rev'!AI414-'Gen Exp'!AE423+'Gen Exp'!AI423-AK423</f>
        <v>0</v>
      </c>
      <c r="AN423" s="46"/>
    </row>
    <row r="424" spans="1:40" s="21" customFormat="1" ht="12.75" hidden="1">
      <c r="A424" s="1" t="s">
        <v>859</v>
      </c>
      <c r="B424" s="1"/>
      <c r="C424" s="23" t="s">
        <v>763</v>
      </c>
      <c r="D424" s="23"/>
      <c r="E424" s="10">
        <v>0</v>
      </c>
      <c r="F424" s="10"/>
      <c r="G424" s="10">
        <v>0</v>
      </c>
      <c r="H424" s="10"/>
      <c r="I424" s="10">
        <v>0</v>
      </c>
      <c r="J424" s="10"/>
      <c r="K424" s="10">
        <v>0</v>
      </c>
      <c r="L424" s="10"/>
      <c r="M424" s="10">
        <v>0</v>
      </c>
      <c r="N424" s="10"/>
      <c r="O424" s="10">
        <v>0</v>
      </c>
      <c r="P424" s="10"/>
      <c r="Q424" s="10">
        <v>0</v>
      </c>
      <c r="R424" s="10"/>
      <c r="S424" s="10">
        <v>0</v>
      </c>
      <c r="T424" s="10"/>
      <c r="U424" s="10">
        <v>0</v>
      </c>
      <c r="V424" s="10"/>
      <c r="W424" s="10">
        <v>0</v>
      </c>
      <c r="X424" s="10"/>
      <c r="Y424" s="10">
        <v>0</v>
      </c>
      <c r="Z424" s="10"/>
      <c r="AA424" s="10">
        <v>0</v>
      </c>
      <c r="AB424" s="10"/>
      <c r="AC424" s="10">
        <v>0</v>
      </c>
      <c r="AD424" s="10"/>
      <c r="AE424" s="10">
        <f t="shared" si="8"/>
        <v>0</v>
      </c>
      <c r="AF424" s="10"/>
      <c r="AG424" s="46"/>
      <c r="AH424" s="46"/>
      <c r="AI424" s="46"/>
      <c r="AJ424" s="46"/>
      <c r="AK424" s="46"/>
      <c r="AL424" s="46"/>
      <c r="AM424" s="10">
        <f>+'Gen Rev'!AI415-'Gen Exp'!AE424+'Gen Exp'!AI424-AK424</f>
        <v>0</v>
      </c>
      <c r="AN424" s="46"/>
    </row>
    <row r="425" spans="1:40" s="21" customFormat="1" ht="12.6" customHeight="1">
      <c r="A425" s="1" t="s">
        <v>333</v>
      </c>
      <c r="B425" s="1"/>
      <c r="C425" s="1" t="s">
        <v>329</v>
      </c>
      <c r="D425" s="1"/>
      <c r="E425" s="10">
        <v>4594</v>
      </c>
      <c r="F425" s="10"/>
      <c r="G425" s="10">
        <v>515</v>
      </c>
      <c r="H425" s="10"/>
      <c r="I425" s="10">
        <v>4824</v>
      </c>
      <c r="J425" s="10"/>
      <c r="K425" s="10">
        <v>0</v>
      </c>
      <c r="L425" s="10"/>
      <c r="M425" s="10">
        <v>7853</v>
      </c>
      <c r="N425" s="10"/>
      <c r="O425" s="10">
        <v>841</v>
      </c>
      <c r="P425" s="10"/>
      <c r="Q425" s="10">
        <v>18277</v>
      </c>
      <c r="R425" s="10"/>
      <c r="S425" s="10">
        <v>0</v>
      </c>
      <c r="T425" s="10"/>
      <c r="U425" s="10">
        <v>0</v>
      </c>
      <c r="V425" s="10"/>
      <c r="W425" s="10">
        <v>0</v>
      </c>
      <c r="X425" s="10"/>
      <c r="Y425" s="10">
        <v>0</v>
      </c>
      <c r="Z425" s="10"/>
      <c r="AA425" s="10">
        <v>0</v>
      </c>
      <c r="AB425" s="10"/>
      <c r="AC425" s="10">
        <v>0</v>
      </c>
      <c r="AD425" s="10"/>
      <c r="AE425" s="10">
        <f t="shared" si="8"/>
        <v>36904</v>
      </c>
      <c r="AF425" s="10"/>
      <c r="AG425" s="46">
        <v>13954</v>
      </c>
      <c r="AH425" s="46"/>
      <c r="AI425" s="46">
        <v>83488</v>
      </c>
      <c r="AJ425" s="46"/>
      <c r="AK425" s="46">
        <v>97442</v>
      </c>
      <c r="AL425" s="46"/>
      <c r="AM425" s="10">
        <f>+'Gen Rev'!AI418-'Gen Exp'!AE425+'Gen Exp'!AI425-AK425</f>
        <v>0</v>
      </c>
      <c r="AN425" s="46"/>
    </row>
    <row r="426" spans="1:40" s="21" customFormat="1" ht="12.6" hidden="1" customHeight="1">
      <c r="A426" s="1" t="s">
        <v>324</v>
      </c>
      <c r="B426" s="1"/>
      <c r="C426" s="1" t="s">
        <v>316</v>
      </c>
      <c r="D426" s="1"/>
      <c r="E426" s="10">
        <v>0</v>
      </c>
      <c r="F426" s="10"/>
      <c r="G426" s="10">
        <v>0</v>
      </c>
      <c r="H426" s="10"/>
      <c r="I426" s="10">
        <v>0</v>
      </c>
      <c r="J426" s="10"/>
      <c r="K426" s="10">
        <v>0</v>
      </c>
      <c r="L426" s="10"/>
      <c r="M426" s="10">
        <v>0</v>
      </c>
      <c r="N426" s="10"/>
      <c r="O426" s="10">
        <v>0</v>
      </c>
      <c r="P426" s="10"/>
      <c r="Q426" s="10">
        <v>0</v>
      </c>
      <c r="R426" s="10"/>
      <c r="S426" s="10">
        <v>0</v>
      </c>
      <c r="T426" s="10"/>
      <c r="U426" s="10">
        <v>0</v>
      </c>
      <c r="V426" s="10"/>
      <c r="W426" s="10">
        <v>0</v>
      </c>
      <c r="X426" s="10"/>
      <c r="Y426" s="10">
        <v>0</v>
      </c>
      <c r="Z426" s="10"/>
      <c r="AA426" s="10">
        <v>0</v>
      </c>
      <c r="AB426" s="10"/>
      <c r="AC426" s="10">
        <v>0</v>
      </c>
      <c r="AD426" s="10"/>
      <c r="AE426" s="10">
        <f t="shared" si="8"/>
        <v>0</v>
      </c>
      <c r="AF426" s="10"/>
      <c r="AG426" s="46"/>
      <c r="AH426" s="46"/>
      <c r="AI426" s="46"/>
      <c r="AJ426" s="46"/>
      <c r="AK426" s="46"/>
      <c r="AL426" s="46"/>
      <c r="AM426" s="10">
        <f>+'Gen Rev'!AI419-'Gen Exp'!AE426+'Gen Exp'!AI426-AK426</f>
        <v>0</v>
      </c>
      <c r="AN426" s="46"/>
    </row>
    <row r="427" spans="1:40">
      <c r="A427" s="1" t="s">
        <v>569</v>
      </c>
      <c r="C427" s="1" t="s">
        <v>565</v>
      </c>
      <c r="E427" s="10">
        <v>693792</v>
      </c>
      <c r="G427" s="10">
        <v>1836</v>
      </c>
      <c r="I427" s="10">
        <v>0</v>
      </c>
      <c r="K427" s="10">
        <v>0</v>
      </c>
      <c r="M427" s="10">
        <v>1839</v>
      </c>
      <c r="O427" s="10">
        <v>5807</v>
      </c>
      <c r="Q427" s="10">
        <v>1310885</v>
      </c>
      <c r="S427" s="10">
        <v>0</v>
      </c>
      <c r="U427" s="10">
        <v>0</v>
      </c>
      <c r="W427" s="10">
        <v>0</v>
      </c>
      <c r="Y427" s="10">
        <v>174600</v>
      </c>
      <c r="AA427" s="10">
        <v>0</v>
      </c>
      <c r="AC427" s="10">
        <v>0</v>
      </c>
      <c r="AE427" s="10">
        <f t="shared" ref="AE427:AE471" si="9">SUM(E427:AC427)</f>
        <v>2188759</v>
      </c>
      <c r="AF427" s="10"/>
      <c r="AG427" s="10">
        <v>-323285</v>
      </c>
      <c r="AI427" s="10">
        <v>472239</v>
      </c>
      <c r="AK427" s="10">
        <v>148954</v>
      </c>
      <c r="AM427" s="10">
        <f>+'Gen Rev'!AI420-'Gen Exp'!AE427+'Gen Exp'!AI427-AK427</f>
        <v>0</v>
      </c>
    </row>
    <row r="428" spans="1:40" s="21" customFormat="1" ht="12.6" hidden="1" customHeight="1">
      <c r="A428" s="1" t="s">
        <v>691</v>
      </c>
      <c r="B428" s="1"/>
      <c r="C428" s="1" t="s">
        <v>295</v>
      </c>
      <c r="D428" s="1"/>
      <c r="E428" s="10">
        <v>0</v>
      </c>
      <c r="F428" s="10"/>
      <c r="G428" s="10">
        <v>0</v>
      </c>
      <c r="H428" s="10"/>
      <c r="I428" s="10">
        <v>0</v>
      </c>
      <c r="J428" s="10"/>
      <c r="K428" s="10">
        <v>0</v>
      </c>
      <c r="L428" s="10"/>
      <c r="M428" s="10">
        <v>0</v>
      </c>
      <c r="N428" s="10"/>
      <c r="O428" s="10">
        <v>0</v>
      </c>
      <c r="P428" s="10"/>
      <c r="Q428" s="10">
        <v>0</v>
      </c>
      <c r="R428" s="10"/>
      <c r="S428" s="10">
        <v>0</v>
      </c>
      <c r="T428" s="10"/>
      <c r="U428" s="10">
        <v>0</v>
      </c>
      <c r="V428" s="10"/>
      <c r="W428" s="10">
        <v>0</v>
      </c>
      <c r="X428" s="10"/>
      <c r="Y428" s="10">
        <v>0</v>
      </c>
      <c r="Z428" s="10"/>
      <c r="AA428" s="10">
        <v>0</v>
      </c>
      <c r="AB428" s="10"/>
      <c r="AC428" s="10">
        <v>0</v>
      </c>
      <c r="AD428" s="10"/>
      <c r="AE428" s="10">
        <f t="shared" si="9"/>
        <v>0</v>
      </c>
      <c r="AF428" s="10"/>
      <c r="AG428" s="46"/>
      <c r="AH428" s="46"/>
      <c r="AI428" s="46"/>
      <c r="AJ428" s="46"/>
      <c r="AK428" s="46"/>
      <c r="AL428" s="46"/>
      <c r="AM428" s="10">
        <f>+'Gen Rev'!AI421-'Gen Exp'!AE428+'Gen Exp'!AI428-AK428</f>
        <v>0</v>
      </c>
      <c r="AN428" s="46"/>
    </row>
    <row r="429" spans="1:40" s="21" customFormat="1" ht="12.75" hidden="1">
      <c r="A429" s="1" t="s">
        <v>96</v>
      </c>
      <c r="B429" s="1"/>
      <c r="C429" s="23" t="s">
        <v>778</v>
      </c>
      <c r="D429" s="23"/>
      <c r="E429" s="10">
        <v>0</v>
      </c>
      <c r="F429" s="10"/>
      <c r="G429" s="10">
        <v>0</v>
      </c>
      <c r="H429" s="10"/>
      <c r="I429" s="10">
        <v>0</v>
      </c>
      <c r="J429" s="10"/>
      <c r="K429" s="10">
        <v>0</v>
      </c>
      <c r="L429" s="10"/>
      <c r="M429" s="10">
        <v>0</v>
      </c>
      <c r="N429" s="10"/>
      <c r="O429" s="10">
        <v>0</v>
      </c>
      <c r="P429" s="10"/>
      <c r="Q429" s="10">
        <v>0</v>
      </c>
      <c r="R429" s="10"/>
      <c r="S429" s="10">
        <v>0</v>
      </c>
      <c r="T429" s="10"/>
      <c r="U429" s="10">
        <v>0</v>
      </c>
      <c r="V429" s="10"/>
      <c r="W429" s="10">
        <v>0</v>
      </c>
      <c r="X429" s="10"/>
      <c r="Y429" s="10">
        <v>0</v>
      </c>
      <c r="Z429" s="10"/>
      <c r="AA429" s="10">
        <v>0</v>
      </c>
      <c r="AB429" s="10"/>
      <c r="AC429" s="10">
        <v>0</v>
      </c>
      <c r="AD429" s="10"/>
      <c r="AE429" s="10">
        <f t="shared" si="9"/>
        <v>0</v>
      </c>
      <c r="AF429" s="10"/>
      <c r="AG429" s="10"/>
      <c r="AH429" s="10"/>
      <c r="AI429" s="10"/>
      <c r="AJ429" s="10"/>
      <c r="AK429" s="10"/>
      <c r="AL429" s="10"/>
      <c r="AM429" s="10">
        <f>+'Gen Rev'!AI422-'Gen Exp'!AE429+'Gen Exp'!AI429-AK429</f>
        <v>0</v>
      </c>
      <c r="AN429" s="10"/>
    </row>
    <row r="430" spans="1:40" ht="12.75" hidden="1">
      <c r="A430" s="1" t="s">
        <v>55</v>
      </c>
      <c r="C430" s="23" t="s">
        <v>768</v>
      </c>
      <c r="D430" s="23"/>
      <c r="E430" s="10">
        <v>0</v>
      </c>
      <c r="G430" s="10">
        <v>0</v>
      </c>
      <c r="I430" s="10">
        <v>0</v>
      </c>
      <c r="K430" s="10">
        <v>0</v>
      </c>
      <c r="M430" s="10">
        <v>0</v>
      </c>
      <c r="O430" s="10">
        <v>0</v>
      </c>
      <c r="Q430" s="10">
        <v>0</v>
      </c>
      <c r="S430" s="10">
        <v>0</v>
      </c>
      <c r="U430" s="10">
        <v>0</v>
      </c>
      <c r="W430" s="10">
        <v>0</v>
      </c>
      <c r="Y430" s="10">
        <v>0</v>
      </c>
      <c r="AA430" s="10">
        <v>0</v>
      </c>
      <c r="AC430" s="10">
        <v>0</v>
      </c>
      <c r="AE430" s="10">
        <f t="shared" si="9"/>
        <v>0</v>
      </c>
      <c r="AF430" s="10"/>
      <c r="AG430" s="46"/>
      <c r="AH430" s="46"/>
      <c r="AI430" s="46"/>
      <c r="AJ430" s="46"/>
      <c r="AK430" s="46"/>
      <c r="AL430" s="46"/>
      <c r="AM430" s="10">
        <f>+'Gen Rev'!AI423-'Gen Exp'!AE430+'Gen Exp'!AI430-AK430</f>
        <v>0</v>
      </c>
      <c r="AN430" s="46"/>
    </row>
    <row r="431" spans="1:40" hidden="1">
      <c r="A431" s="1" t="s">
        <v>610</v>
      </c>
      <c r="C431" s="1" t="s">
        <v>606</v>
      </c>
      <c r="E431" s="10">
        <v>0</v>
      </c>
      <c r="G431" s="10">
        <v>0</v>
      </c>
      <c r="I431" s="10">
        <v>0</v>
      </c>
      <c r="K431" s="10">
        <v>0</v>
      </c>
      <c r="M431" s="10">
        <v>0</v>
      </c>
      <c r="O431" s="10">
        <v>0</v>
      </c>
      <c r="Q431" s="10">
        <v>0</v>
      </c>
      <c r="S431" s="10">
        <v>0</v>
      </c>
      <c r="U431" s="10">
        <v>0</v>
      </c>
      <c r="W431" s="10">
        <v>0</v>
      </c>
      <c r="Y431" s="10">
        <v>0</v>
      </c>
      <c r="AA431" s="10">
        <v>0</v>
      </c>
      <c r="AC431" s="10">
        <v>0</v>
      </c>
      <c r="AE431" s="10">
        <f t="shared" si="9"/>
        <v>0</v>
      </c>
      <c r="AF431" s="10"/>
      <c r="AM431" s="10">
        <f>+'Gen Rev'!AI424-'Gen Exp'!AE431+'Gen Exp'!AI431-AK431</f>
        <v>0</v>
      </c>
    </row>
    <row r="432" spans="1:40" ht="12.75" hidden="1">
      <c r="A432" s="1" t="s">
        <v>97</v>
      </c>
      <c r="C432" s="23" t="s">
        <v>778</v>
      </c>
      <c r="D432" s="23"/>
      <c r="E432" s="10">
        <v>0</v>
      </c>
      <c r="G432" s="10">
        <v>0</v>
      </c>
      <c r="I432" s="10">
        <v>0</v>
      </c>
      <c r="K432" s="10">
        <v>0</v>
      </c>
      <c r="M432" s="10">
        <v>0</v>
      </c>
      <c r="O432" s="10">
        <v>0</v>
      </c>
      <c r="Q432" s="10">
        <v>0</v>
      </c>
      <c r="S432" s="10">
        <v>0</v>
      </c>
      <c r="U432" s="10">
        <v>0</v>
      </c>
      <c r="W432" s="10">
        <v>0</v>
      </c>
      <c r="Y432" s="10">
        <v>0</v>
      </c>
      <c r="AA432" s="10">
        <v>0</v>
      </c>
      <c r="AC432" s="10">
        <v>0</v>
      </c>
      <c r="AE432" s="10">
        <f t="shared" si="9"/>
        <v>0</v>
      </c>
      <c r="AF432" s="10"/>
      <c r="AM432" s="10">
        <f>+'Gen Rev'!AI425-'Gen Exp'!AE432+'Gen Exp'!AI432-AK432</f>
        <v>0</v>
      </c>
    </row>
    <row r="433" spans="1:40" hidden="1">
      <c r="A433" s="1" t="s">
        <v>418</v>
      </c>
      <c r="C433" s="1" t="s">
        <v>416</v>
      </c>
      <c r="E433" s="10">
        <v>0</v>
      </c>
      <c r="G433" s="10">
        <v>0</v>
      </c>
      <c r="I433" s="10">
        <v>0</v>
      </c>
      <c r="K433" s="10">
        <v>0</v>
      </c>
      <c r="M433" s="10">
        <v>0</v>
      </c>
      <c r="O433" s="10">
        <v>0</v>
      </c>
      <c r="Q433" s="10">
        <v>0</v>
      </c>
      <c r="S433" s="10">
        <v>0</v>
      </c>
      <c r="U433" s="10">
        <v>0</v>
      </c>
      <c r="W433" s="10">
        <v>0</v>
      </c>
      <c r="Y433" s="10">
        <v>0</v>
      </c>
      <c r="AA433" s="10">
        <v>0</v>
      </c>
      <c r="AC433" s="10">
        <v>0</v>
      </c>
      <c r="AE433" s="10">
        <f t="shared" si="9"/>
        <v>0</v>
      </c>
      <c r="AF433" s="10"/>
      <c r="AM433" s="10">
        <f>+'Gen Rev'!AI426-'Gen Exp'!AE433+'Gen Exp'!AI433-AK433</f>
        <v>0</v>
      </c>
    </row>
    <row r="434" spans="1:40" s="21" customFormat="1" ht="12.75" hidden="1">
      <c r="A434" s="1" t="s">
        <v>418</v>
      </c>
      <c r="B434" s="1"/>
      <c r="C434" s="23" t="s">
        <v>785</v>
      </c>
      <c r="D434" s="23"/>
      <c r="E434" s="10">
        <v>0</v>
      </c>
      <c r="F434" s="10"/>
      <c r="G434" s="10">
        <v>0</v>
      </c>
      <c r="H434" s="10"/>
      <c r="I434" s="10">
        <v>0</v>
      </c>
      <c r="J434" s="10"/>
      <c r="K434" s="10">
        <v>0</v>
      </c>
      <c r="L434" s="10"/>
      <c r="M434" s="10">
        <v>0</v>
      </c>
      <c r="N434" s="10"/>
      <c r="O434" s="10">
        <v>0</v>
      </c>
      <c r="P434" s="10"/>
      <c r="Q434" s="10">
        <v>0</v>
      </c>
      <c r="R434" s="10"/>
      <c r="S434" s="10">
        <v>0</v>
      </c>
      <c r="T434" s="10"/>
      <c r="U434" s="10">
        <v>0</v>
      </c>
      <c r="V434" s="10"/>
      <c r="W434" s="10">
        <v>0</v>
      </c>
      <c r="X434" s="10"/>
      <c r="Y434" s="10">
        <v>0</v>
      </c>
      <c r="Z434" s="10"/>
      <c r="AA434" s="10">
        <v>0</v>
      </c>
      <c r="AB434" s="10"/>
      <c r="AC434" s="10">
        <v>0</v>
      </c>
      <c r="AD434" s="10"/>
      <c r="AE434" s="10">
        <f t="shared" si="9"/>
        <v>0</v>
      </c>
      <c r="AF434" s="10"/>
      <c r="AG434" s="10"/>
      <c r="AH434" s="10"/>
      <c r="AI434" s="10"/>
      <c r="AJ434" s="10"/>
      <c r="AK434" s="10"/>
      <c r="AL434" s="10"/>
      <c r="AM434" s="10">
        <f>+'Gen Rev'!AI427-'Gen Exp'!AE434+'Gen Exp'!AI434-AK434</f>
        <v>0</v>
      </c>
      <c r="AN434" s="10"/>
    </row>
    <row r="435" spans="1:40" ht="12.6" hidden="1" customHeight="1">
      <c r="A435" s="1" t="s">
        <v>293</v>
      </c>
      <c r="C435" s="1" t="s">
        <v>292</v>
      </c>
      <c r="E435" s="10">
        <v>0</v>
      </c>
      <c r="G435" s="10">
        <v>0</v>
      </c>
      <c r="I435" s="10">
        <v>0</v>
      </c>
      <c r="K435" s="10">
        <v>0</v>
      </c>
      <c r="M435" s="10">
        <v>0</v>
      </c>
      <c r="O435" s="10">
        <v>0</v>
      </c>
      <c r="Q435" s="10">
        <v>0</v>
      </c>
      <c r="S435" s="10">
        <v>0</v>
      </c>
      <c r="U435" s="10">
        <v>0</v>
      </c>
      <c r="W435" s="10">
        <v>0</v>
      </c>
      <c r="Y435" s="10">
        <v>0</v>
      </c>
      <c r="AA435" s="10">
        <v>0</v>
      </c>
      <c r="AC435" s="10">
        <v>0</v>
      </c>
      <c r="AE435" s="10">
        <f t="shared" si="9"/>
        <v>0</v>
      </c>
      <c r="AF435" s="10"/>
      <c r="AG435" s="46"/>
      <c r="AH435" s="46"/>
      <c r="AI435" s="46"/>
      <c r="AJ435" s="46"/>
      <c r="AK435" s="46"/>
      <c r="AL435" s="46"/>
      <c r="AM435" s="10">
        <f>+'Gen Rev'!AI428-'Gen Exp'!AE435+'Gen Exp'!AI435-AK435</f>
        <v>0</v>
      </c>
      <c r="AN435" s="46"/>
    </row>
    <row r="436" spans="1:40" s="21" customFormat="1" ht="12.6" hidden="1" customHeight="1">
      <c r="A436" s="1" t="s">
        <v>692</v>
      </c>
      <c r="B436" s="1"/>
      <c r="C436" s="1" t="s">
        <v>677</v>
      </c>
      <c r="D436" s="1"/>
      <c r="E436" s="10">
        <v>0</v>
      </c>
      <c r="F436" s="10"/>
      <c r="G436" s="10">
        <v>0</v>
      </c>
      <c r="H436" s="10"/>
      <c r="I436" s="10">
        <v>0</v>
      </c>
      <c r="J436" s="10"/>
      <c r="K436" s="10">
        <v>0</v>
      </c>
      <c r="L436" s="10"/>
      <c r="M436" s="10">
        <v>0</v>
      </c>
      <c r="N436" s="10"/>
      <c r="O436" s="10">
        <v>0</v>
      </c>
      <c r="P436" s="10"/>
      <c r="Q436" s="10">
        <v>0</v>
      </c>
      <c r="R436" s="10"/>
      <c r="S436" s="10">
        <v>0</v>
      </c>
      <c r="T436" s="10"/>
      <c r="U436" s="10">
        <v>0</v>
      </c>
      <c r="V436" s="10"/>
      <c r="W436" s="10">
        <v>0</v>
      </c>
      <c r="X436" s="10"/>
      <c r="Y436" s="10">
        <v>0</v>
      </c>
      <c r="Z436" s="10"/>
      <c r="AA436" s="10">
        <v>0</v>
      </c>
      <c r="AB436" s="10"/>
      <c r="AC436" s="10">
        <v>0</v>
      </c>
      <c r="AD436" s="10"/>
      <c r="AE436" s="10">
        <f t="shared" si="9"/>
        <v>0</v>
      </c>
      <c r="AF436" s="10"/>
      <c r="AG436" s="46"/>
      <c r="AH436" s="46"/>
      <c r="AI436" s="46"/>
      <c r="AJ436" s="46"/>
      <c r="AK436" s="46"/>
      <c r="AL436" s="46"/>
      <c r="AM436" s="10">
        <f>+'Gen Rev'!AI429-'Gen Exp'!AE436+'Gen Exp'!AI436-AK436</f>
        <v>0</v>
      </c>
      <c r="AN436" s="46"/>
    </row>
    <row r="437" spans="1:40" ht="12.6" hidden="1" customHeight="1">
      <c r="A437" s="1" t="s">
        <v>289</v>
      </c>
      <c r="C437" s="1" t="s">
        <v>287</v>
      </c>
      <c r="E437" s="10">
        <v>0</v>
      </c>
      <c r="G437" s="10">
        <v>0</v>
      </c>
      <c r="I437" s="10">
        <v>0</v>
      </c>
      <c r="K437" s="10">
        <v>0</v>
      </c>
      <c r="M437" s="10">
        <v>0</v>
      </c>
      <c r="O437" s="10">
        <v>0</v>
      </c>
      <c r="Q437" s="10">
        <v>0</v>
      </c>
      <c r="S437" s="10">
        <v>0</v>
      </c>
      <c r="U437" s="10">
        <v>0</v>
      </c>
      <c r="W437" s="10">
        <v>0</v>
      </c>
      <c r="Y437" s="10">
        <v>0</v>
      </c>
      <c r="AA437" s="10">
        <v>0</v>
      </c>
      <c r="AC437" s="10">
        <v>0</v>
      </c>
      <c r="AE437" s="10">
        <f t="shared" si="9"/>
        <v>0</v>
      </c>
      <c r="AF437" s="10"/>
      <c r="AM437" s="10">
        <f>+'Gen Rev'!AI430-'Gen Exp'!AE437+'Gen Exp'!AI437-AK437</f>
        <v>0</v>
      </c>
    </row>
    <row r="438" spans="1:40" s="21" customFormat="1" ht="12.75" hidden="1">
      <c r="A438" s="1" t="s">
        <v>124</v>
      </c>
      <c r="B438" s="1"/>
      <c r="C438" s="23" t="s">
        <v>788</v>
      </c>
      <c r="D438" s="23"/>
      <c r="E438" s="10">
        <v>0</v>
      </c>
      <c r="F438" s="10"/>
      <c r="G438" s="10">
        <v>0</v>
      </c>
      <c r="H438" s="10"/>
      <c r="I438" s="10">
        <v>0</v>
      </c>
      <c r="J438" s="10"/>
      <c r="K438" s="10">
        <v>0</v>
      </c>
      <c r="L438" s="10"/>
      <c r="M438" s="10">
        <v>0</v>
      </c>
      <c r="N438" s="10"/>
      <c r="O438" s="10">
        <v>0</v>
      </c>
      <c r="P438" s="10"/>
      <c r="Q438" s="10">
        <v>0</v>
      </c>
      <c r="R438" s="10"/>
      <c r="S438" s="10">
        <v>0</v>
      </c>
      <c r="T438" s="10"/>
      <c r="U438" s="10">
        <v>0</v>
      </c>
      <c r="V438" s="10"/>
      <c r="W438" s="10">
        <v>0</v>
      </c>
      <c r="X438" s="10"/>
      <c r="Y438" s="10">
        <v>0</v>
      </c>
      <c r="Z438" s="10"/>
      <c r="AA438" s="10">
        <v>0</v>
      </c>
      <c r="AB438" s="10"/>
      <c r="AC438" s="10">
        <v>0</v>
      </c>
      <c r="AD438" s="10"/>
      <c r="AE438" s="10">
        <f t="shared" si="9"/>
        <v>0</v>
      </c>
      <c r="AF438" s="10"/>
      <c r="AG438" s="10"/>
      <c r="AH438" s="10"/>
      <c r="AI438" s="10"/>
      <c r="AJ438" s="10"/>
      <c r="AK438" s="10"/>
      <c r="AL438" s="10"/>
      <c r="AM438" s="10">
        <f>+'Gen Rev'!AI431-'Gen Exp'!AE438+'Gen Exp'!AI438-AK438</f>
        <v>0</v>
      </c>
      <c r="AN438" s="10"/>
    </row>
    <row r="439" spans="1:40" s="31" customFormat="1" ht="12.75" hidden="1">
      <c r="A439" s="15" t="s">
        <v>849</v>
      </c>
      <c r="B439" s="15"/>
      <c r="C439" s="28" t="s">
        <v>766</v>
      </c>
      <c r="D439" s="28"/>
      <c r="E439" s="10">
        <v>0</v>
      </c>
      <c r="F439" s="24"/>
      <c r="G439" s="10">
        <v>0</v>
      </c>
      <c r="H439" s="24"/>
      <c r="I439" s="10">
        <v>0</v>
      </c>
      <c r="J439" s="24"/>
      <c r="K439" s="10">
        <v>0</v>
      </c>
      <c r="L439" s="24"/>
      <c r="M439" s="10">
        <v>0</v>
      </c>
      <c r="N439" s="24"/>
      <c r="O439" s="10">
        <v>0</v>
      </c>
      <c r="P439" s="24"/>
      <c r="Q439" s="10">
        <v>0</v>
      </c>
      <c r="R439" s="24"/>
      <c r="S439" s="10">
        <v>0</v>
      </c>
      <c r="T439" s="24"/>
      <c r="U439" s="10">
        <v>0</v>
      </c>
      <c r="V439" s="24"/>
      <c r="W439" s="10">
        <v>0</v>
      </c>
      <c r="X439" s="24"/>
      <c r="Y439" s="10">
        <v>0</v>
      </c>
      <c r="Z439" s="24"/>
      <c r="AA439" s="10">
        <v>0</v>
      </c>
      <c r="AB439" s="24"/>
      <c r="AC439" s="10">
        <v>0</v>
      </c>
      <c r="AD439" s="24"/>
      <c r="AE439" s="24">
        <f t="shared" si="9"/>
        <v>0</v>
      </c>
      <c r="AF439" s="24"/>
      <c r="AG439" s="47"/>
      <c r="AH439" s="47"/>
      <c r="AI439" s="47"/>
      <c r="AJ439" s="47"/>
      <c r="AK439" s="47"/>
      <c r="AL439" s="47"/>
      <c r="AM439" s="10">
        <f>+'Gen Rev'!AI431-'Gen Exp'!AE439+'Gen Exp'!AI439-AK439</f>
        <v>0</v>
      </c>
      <c r="AN439" s="47"/>
    </row>
    <row r="440" spans="1:40" s="21" customFormat="1" ht="12.6" customHeight="1">
      <c r="A440" s="1" t="s">
        <v>314</v>
      </c>
      <c r="B440" s="1"/>
      <c r="C440" s="1" t="s">
        <v>312</v>
      </c>
      <c r="D440" s="1"/>
      <c r="E440" s="10">
        <v>3987</v>
      </c>
      <c r="F440" s="10"/>
      <c r="G440" s="10">
        <v>618</v>
      </c>
      <c r="H440" s="10"/>
      <c r="I440" s="10">
        <v>0</v>
      </c>
      <c r="J440" s="10"/>
      <c r="K440" s="10">
        <v>0</v>
      </c>
      <c r="L440" s="10"/>
      <c r="M440" s="10">
        <v>2472</v>
      </c>
      <c r="N440" s="10"/>
      <c r="O440" s="10">
        <v>2985</v>
      </c>
      <c r="P440" s="10"/>
      <c r="Q440" s="10">
        <v>21960</v>
      </c>
      <c r="R440" s="10"/>
      <c r="S440" s="10">
        <v>0</v>
      </c>
      <c r="T440" s="10"/>
      <c r="U440" s="10">
        <v>0</v>
      </c>
      <c r="V440" s="10"/>
      <c r="W440" s="10">
        <v>0</v>
      </c>
      <c r="X440" s="10"/>
      <c r="Y440" s="10">
        <v>0</v>
      </c>
      <c r="Z440" s="10"/>
      <c r="AA440" s="10">
        <v>0</v>
      </c>
      <c r="AB440" s="10"/>
      <c r="AC440" s="10">
        <v>0</v>
      </c>
      <c r="AD440" s="10"/>
      <c r="AE440" s="10">
        <f t="shared" si="9"/>
        <v>32022</v>
      </c>
      <c r="AF440" s="10"/>
      <c r="AG440" s="46">
        <v>8045</v>
      </c>
      <c r="AH440" s="46"/>
      <c r="AI440" s="46">
        <v>44025</v>
      </c>
      <c r="AJ440" s="46"/>
      <c r="AK440" s="46">
        <v>35980</v>
      </c>
      <c r="AL440" s="46"/>
      <c r="AM440" s="10">
        <f>+'Gen Rev'!AI432-'Gen Exp'!AE440+'Gen Exp'!AI440-AK440</f>
        <v>0</v>
      </c>
      <c r="AN440" s="46"/>
    </row>
    <row r="441" spans="1:40" ht="12.6" customHeight="1">
      <c r="A441" s="1" t="s">
        <v>334</v>
      </c>
      <c r="C441" s="1" t="s">
        <v>329</v>
      </c>
      <c r="E441" s="10">
        <v>2623</v>
      </c>
      <c r="G441" s="10">
        <v>629</v>
      </c>
      <c r="I441" s="10">
        <v>18581</v>
      </c>
      <c r="K441" s="10">
        <v>0</v>
      </c>
      <c r="M441" s="10">
        <v>2877</v>
      </c>
      <c r="O441" s="10">
        <v>0</v>
      </c>
      <c r="Q441" s="10">
        <v>39738</v>
      </c>
      <c r="S441" s="10">
        <v>66492</v>
      </c>
      <c r="U441" s="10">
        <v>0</v>
      </c>
      <c r="W441" s="10">
        <v>0</v>
      </c>
      <c r="Y441" s="10">
        <v>0</v>
      </c>
      <c r="AA441" s="10">
        <v>0</v>
      </c>
      <c r="AC441" s="10">
        <v>0</v>
      </c>
      <c r="AE441" s="10">
        <f t="shared" si="9"/>
        <v>130940</v>
      </c>
      <c r="AF441" s="10"/>
      <c r="AG441" s="46">
        <v>-8484</v>
      </c>
      <c r="AH441" s="46"/>
      <c r="AI441" s="46">
        <v>308093</v>
      </c>
      <c r="AJ441" s="46"/>
      <c r="AK441" s="46">
        <v>299609</v>
      </c>
      <c r="AL441" s="46"/>
      <c r="AM441" s="10">
        <f>+'Gen Rev'!AI433-'Gen Exp'!AE441+'Gen Exp'!AI441-AK441</f>
        <v>0</v>
      </c>
      <c r="AN441" s="46"/>
    </row>
    <row r="442" spans="1:40">
      <c r="A442" s="1" t="s">
        <v>556</v>
      </c>
      <c r="C442" s="1" t="s">
        <v>554</v>
      </c>
      <c r="E442" s="10">
        <v>884374</v>
      </c>
      <c r="G442" s="10">
        <v>34939</v>
      </c>
      <c r="I442" s="10">
        <v>49602</v>
      </c>
      <c r="K442" s="10">
        <v>5132</v>
      </c>
      <c r="M442" s="10">
        <v>0</v>
      </c>
      <c r="O442" s="10">
        <v>376378</v>
      </c>
      <c r="Q442" s="10">
        <v>632659</v>
      </c>
      <c r="S442" s="10">
        <v>156307</v>
      </c>
      <c r="U442" s="10">
        <v>29723</v>
      </c>
      <c r="W442" s="10">
        <v>20476</v>
      </c>
      <c r="Y442" s="10">
        <v>50000</v>
      </c>
      <c r="AA442" s="10">
        <v>0</v>
      </c>
      <c r="AC442" s="10">
        <v>0</v>
      </c>
      <c r="AE442" s="10">
        <f t="shared" si="9"/>
        <v>2239590</v>
      </c>
      <c r="AF442" s="10"/>
      <c r="AG442" s="10">
        <v>24494</v>
      </c>
      <c r="AI442" s="10">
        <v>586146</v>
      </c>
      <c r="AK442" s="10">
        <v>610639</v>
      </c>
      <c r="AM442" s="10">
        <f>+'Gen Rev'!AI434-'Gen Exp'!AE442+'Gen Exp'!AI442-AK442</f>
        <v>0</v>
      </c>
    </row>
    <row r="443" spans="1:40" ht="12.75" hidden="1">
      <c r="A443" s="1" t="s">
        <v>176</v>
      </c>
      <c r="C443" s="23" t="s">
        <v>805</v>
      </c>
      <c r="D443" s="23"/>
      <c r="E443" s="10">
        <v>0</v>
      </c>
      <c r="G443" s="10">
        <v>0</v>
      </c>
      <c r="I443" s="10">
        <v>0</v>
      </c>
      <c r="K443" s="10">
        <v>0</v>
      </c>
      <c r="M443" s="10">
        <v>0</v>
      </c>
      <c r="O443" s="10">
        <v>0</v>
      </c>
      <c r="Q443" s="10">
        <v>0</v>
      </c>
      <c r="S443" s="10">
        <v>0</v>
      </c>
      <c r="U443" s="10">
        <v>0</v>
      </c>
      <c r="W443" s="10">
        <v>0</v>
      </c>
      <c r="Y443" s="10">
        <v>0</v>
      </c>
      <c r="AA443" s="10">
        <v>0</v>
      </c>
      <c r="AC443" s="10">
        <v>0</v>
      </c>
      <c r="AE443" s="10">
        <f t="shared" si="9"/>
        <v>0</v>
      </c>
      <c r="AF443" s="10"/>
      <c r="AM443" s="10">
        <f>+'Gen Rev'!AI435-'Gen Exp'!AE443+'Gen Exp'!AI443-AK443</f>
        <v>0</v>
      </c>
    </row>
    <row r="444" spans="1:40" s="15" customFormat="1">
      <c r="A444" s="15" t="s">
        <v>498</v>
      </c>
      <c r="C444" s="15" t="s">
        <v>207</v>
      </c>
      <c r="E444" s="24">
        <v>605648</v>
      </c>
      <c r="F444" s="24"/>
      <c r="G444" s="24">
        <v>8484</v>
      </c>
      <c r="H444" s="24"/>
      <c r="I444" s="24">
        <v>43050</v>
      </c>
      <c r="J444" s="24"/>
      <c r="K444" s="24">
        <v>602</v>
      </c>
      <c r="L444" s="24"/>
      <c r="M444" s="24">
        <v>0</v>
      </c>
      <c r="N444" s="24"/>
      <c r="O444" s="24">
        <v>161303</v>
      </c>
      <c r="P444" s="24"/>
      <c r="Q444" s="24">
        <v>223582</v>
      </c>
      <c r="R444" s="24"/>
      <c r="S444" s="24">
        <v>80732</v>
      </c>
      <c r="T444" s="24"/>
      <c r="U444" s="24">
        <v>0</v>
      </c>
      <c r="V444" s="24"/>
      <c r="W444" s="24">
        <v>0</v>
      </c>
      <c r="X444" s="24"/>
      <c r="Y444" s="24">
        <v>62000</v>
      </c>
      <c r="Z444" s="24"/>
      <c r="AA444" s="24">
        <v>75000</v>
      </c>
      <c r="AB444" s="24"/>
      <c r="AC444" s="24">
        <v>23878</v>
      </c>
      <c r="AD444" s="24"/>
      <c r="AE444" s="24">
        <f t="shared" si="9"/>
        <v>1284279</v>
      </c>
      <c r="AF444" s="24"/>
      <c r="AG444" s="24">
        <v>156797</v>
      </c>
      <c r="AH444" s="24"/>
      <c r="AI444" s="24">
        <v>873069</v>
      </c>
      <c r="AJ444" s="24"/>
      <c r="AK444" s="24">
        <v>1029866</v>
      </c>
      <c r="AL444" s="24"/>
      <c r="AM444" s="24">
        <f>+'Gen Rev'!AI436-'Gen Exp'!AE444+'Gen Exp'!AI444-AK444</f>
        <v>0</v>
      </c>
      <c r="AN444" s="24"/>
    </row>
    <row r="445" spans="1:40" ht="12.75" hidden="1">
      <c r="A445" s="1" t="s">
        <v>114</v>
      </c>
      <c r="C445" s="23" t="s">
        <v>669</v>
      </c>
      <c r="D445" s="23"/>
      <c r="E445" s="10">
        <v>0</v>
      </c>
      <c r="G445" s="10">
        <v>0</v>
      </c>
      <c r="I445" s="10">
        <v>0</v>
      </c>
      <c r="K445" s="10">
        <v>0</v>
      </c>
      <c r="M445" s="10">
        <v>0</v>
      </c>
      <c r="O445" s="10">
        <v>0</v>
      </c>
      <c r="Q445" s="10">
        <v>0</v>
      </c>
      <c r="S445" s="10">
        <v>0</v>
      </c>
      <c r="U445" s="10">
        <v>0</v>
      </c>
      <c r="W445" s="10">
        <v>0</v>
      </c>
      <c r="Y445" s="10">
        <v>0</v>
      </c>
      <c r="AA445" s="10">
        <v>0</v>
      </c>
      <c r="AC445" s="10">
        <v>0</v>
      </c>
      <c r="AE445" s="10">
        <f t="shared" si="9"/>
        <v>0</v>
      </c>
      <c r="AF445" s="10"/>
      <c r="AM445" s="10">
        <f>+'Gen Rev'!AI437-'Gen Exp'!AE445+'Gen Exp'!AI445-AK445</f>
        <v>0</v>
      </c>
    </row>
    <row r="446" spans="1:40" s="21" customFormat="1" ht="12.6" customHeight="1">
      <c r="A446" s="1" t="s">
        <v>325</v>
      </c>
      <c r="B446" s="1"/>
      <c r="C446" s="1" t="s">
        <v>316</v>
      </c>
      <c r="D446" s="1"/>
      <c r="E446" s="10">
        <v>2738580</v>
      </c>
      <c r="F446" s="10"/>
      <c r="G446" s="10">
        <v>0</v>
      </c>
      <c r="H446" s="10"/>
      <c r="I446" s="10">
        <v>0</v>
      </c>
      <c r="J446" s="10"/>
      <c r="K446" s="10">
        <v>230478</v>
      </c>
      <c r="L446" s="10"/>
      <c r="M446" s="10">
        <v>211171</v>
      </c>
      <c r="N446" s="10"/>
      <c r="O446" s="10">
        <v>60293</v>
      </c>
      <c r="P446" s="10"/>
      <c r="Q446" s="10">
        <v>1117888</v>
      </c>
      <c r="R446" s="10"/>
      <c r="S446" s="10">
        <v>0</v>
      </c>
      <c r="T446" s="10"/>
      <c r="U446" s="10">
        <v>0</v>
      </c>
      <c r="V446" s="10"/>
      <c r="W446" s="10">
        <v>0</v>
      </c>
      <c r="X446" s="10"/>
      <c r="Y446" s="10">
        <v>277000</v>
      </c>
      <c r="Z446" s="10"/>
      <c r="AA446" s="10">
        <v>0</v>
      </c>
      <c r="AB446" s="10"/>
      <c r="AC446" s="10">
        <v>1360134</v>
      </c>
      <c r="AD446" s="10"/>
      <c r="AE446" s="10">
        <f t="shared" si="9"/>
        <v>5995544</v>
      </c>
      <c r="AF446" s="10"/>
      <c r="AG446" s="46">
        <v>-749393</v>
      </c>
      <c r="AH446" s="46"/>
      <c r="AI446" s="46">
        <v>962620</v>
      </c>
      <c r="AJ446" s="46"/>
      <c r="AK446" s="46">
        <v>213227</v>
      </c>
      <c r="AL446" s="46"/>
      <c r="AM446" s="10">
        <f>+'Gen Rev'!AI438-'Gen Exp'!AE446+'Gen Exp'!AI446-AK446</f>
        <v>0</v>
      </c>
      <c r="AN446" s="46"/>
    </row>
    <row r="447" spans="1:40">
      <c r="A447" s="1" t="s">
        <v>325</v>
      </c>
      <c r="C447" s="1" t="s">
        <v>500</v>
      </c>
      <c r="E447" s="10">
        <v>0</v>
      </c>
      <c r="G447" s="10">
        <v>0</v>
      </c>
      <c r="I447" s="10">
        <v>0</v>
      </c>
      <c r="K447" s="10">
        <v>0</v>
      </c>
      <c r="M447" s="10">
        <v>0</v>
      </c>
      <c r="O447" s="10">
        <v>0</v>
      </c>
      <c r="Q447" s="10">
        <v>97812</v>
      </c>
      <c r="S447" s="10">
        <v>0</v>
      </c>
      <c r="U447" s="10">
        <v>0</v>
      </c>
      <c r="W447" s="10">
        <v>0</v>
      </c>
      <c r="Y447" s="10">
        <v>35000</v>
      </c>
      <c r="AA447" s="10">
        <v>0</v>
      </c>
      <c r="AC447" s="10">
        <v>0</v>
      </c>
      <c r="AE447" s="10">
        <f t="shared" si="9"/>
        <v>132812</v>
      </c>
      <c r="AF447" s="10"/>
      <c r="AG447" s="10">
        <v>-21515</v>
      </c>
      <c r="AI447" s="10">
        <v>46819</v>
      </c>
      <c r="AK447" s="10">
        <v>25304</v>
      </c>
      <c r="AM447" s="10">
        <f>+'Gen Rev'!AI439-'Gen Exp'!AE447+'Gen Exp'!AI447-AK447</f>
        <v>0</v>
      </c>
    </row>
    <row r="448" spans="1:40" ht="12.75" hidden="1">
      <c r="A448" s="1" t="s">
        <v>75</v>
      </c>
      <c r="C448" s="23" t="s">
        <v>773</v>
      </c>
      <c r="D448" s="23"/>
      <c r="E448" s="10">
        <v>0</v>
      </c>
      <c r="G448" s="10">
        <v>0</v>
      </c>
      <c r="I448" s="10">
        <v>0</v>
      </c>
      <c r="K448" s="10">
        <v>0</v>
      </c>
      <c r="M448" s="10">
        <v>0</v>
      </c>
      <c r="O448" s="10">
        <v>0</v>
      </c>
      <c r="Q448" s="10">
        <v>0</v>
      </c>
      <c r="S448" s="10">
        <v>0</v>
      </c>
      <c r="U448" s="10">
        <v>0</v>
      </c>
      <c r="W448" s="10">
        <v>0</v>
      </c>
      <c r="Y448" s="10">
        <v>0</v>
      </c>
      <c r="AA448" s="10">
        <v>0</v>
      </c>
      <c r="AC448" s="10">
        <v>0</v>
      </c>
      <c r="AE448" s="10">
        <f t="shared" si="9"/>
        <v>0</v>
      </c>
      <c r="AF448" s="10"/>
      <c r="AM448" s="10">
        <f>+'Gen Rev'!AI440-'Gen Exp'!AE448+'Gen Exp'!AI448-AK448</f>
        <v>0</v>
      </c>
    </row>
    <row r="449" spans="1:40" ht="12.75" hidden="1">
      <c r="A449" s="1" t="s">
        <v>71</v>
      </c>
      <c r="C449" s="23" t="s">
        <v>772</v>
      </c>
      <c r="D449" s="23"/>
      <c r="E449" s="10">
        <v>0</v>
      </c>
      <c r="G449" s="10">
        <v>0</v>
      </c>
      <c r="I449" s="10">
        <v>0</v>
      </c>
      <c r="K449" s="10">
        <v>0</v>
      </c>
      <c r="M449" s="10">
        <v>0</v>
      </c>
      <c r="O449" s="10">
        <v>0</v>
      </c>
      <c r="Q449" s="10">
        <v>0</v>
      </c>
      <c r="S449" s="10">
        <v>0</v>
      </c>
      <c r="U449" s="10">
        <v>0</v>
      </c>
      <c r="W449" s="10">
        <v>0</v>
      </c>
      <c r="Y449" s="10">
        <v>0</v>
      </c>
      <c r="AA449" s="10">
        <v>0</v>
      </c>
      <c r="AC449" s="10">
        <v>0</v>
      </c>
      <c r="AE449" s="10">
        <f t="shared" si="9"/>
        <v>0</v>
      </c>
      <c r="AF449" s="10"/>
      <c r="AG449" s="46"/>
      <c r="AH449" s="46"/>
      <c r="AI449" s="46"/>
      <c r="AJ449" s="46"/>
      <c r="AK449" s="46"/>
      <c r="AL449" s="46"/>
      <c r="AM449" s="10">
        <f>+'Gen Rev'!AI441-'Gen Exp'!AE449+'Gen Exp'!AI449-AK449</f>
        <v>0</v>
      </c>
      <c r="AN449" s="46"/>
    </row>
    <row r="450" spans="1:40">
      <c r="A450" s="1" t="s">
        <v>578</v>
      </c>
      <c r="C450" s="1" t="s">
        <v>577</v>
      </c>
      <c r="E450" s="10">
        <v>40633</v>
      </c>
      <c r="G450" s="10">
        <v>4987</v>
      </c>
      <c r="I450" s="10">
        <v>2216</v>
      </c>
      <c r="K450" s="10">
        <v>82</v>
      </c>
      <c r="M450" s="10">
        <v>0</v>
      </c>
      <c r="O450" s="10">
        <v>0</v>
      </c>
      <c r="Q450" s="10">
        <v>67645</v>
      </c>
      <c r="S450" s="10">
        <v>70459</v>
      </c>
      <c r="U450" s="10">
        <v>0</v>
      </c>
      <c r="W450" s="10">
        <v>0</v>
      </c>
      <c r="Y450" s="10">
        <v>23443</v>
      </c>
      <c r="AA450" s="10">
        <v>0</v>
      </c>
      <c r="AC450" s="10">
        <v>49510</v>
      </c>
      <c r="AE450" s="10">
        <f t="shared" si="9"/>
        <v>258975</v>
      </c>
      <c r="AF450" s="10"/>
      <c r="AG450" s="10">
        <v>17982</v>
      </c>
      <c r="AI450" s="10">
        <v>249928</v>
      </c>
      <c r="AK450" s="10">
        <v>267910</v>
      </c>
      <c r="AM450" s="10">
        <f>+'Gen Rev'!AI442-'Gen Exp'!AE450+'Gen Exp'!AI450-AK450</f>
        <v>0</v>
      </c>
    </row>
    <row r="451" spans="1:40" ht="12.75" hidden="1">
      <c r="A451" s="1" t="s">
        <v>229</v>
      </c>
      <c r="C451" s="23" t="s">
        <v>822</v>
      </c>
      <c r="D451" s="23"/>
      <c r="E451" s="10">
        <v>0</v>
      </c>
      <c r="G451" s="10">
        <v>0</v>
      </c>
      <c r="I451" s="10">
        <v>0</v>
      </c>
      <c r="K451" s="10">
        <v>0</v>
      </c>
      <c r="M451" s="10">
        <v>0</v>
      </c>
      <c r="O451" s="10">
        <v>0</v>
      </c>
      <c r="Q451" s="10">
        <v>0</v>
      </c>
      <c r="S451" s="10">
        <v>0</v>
      </c>
      <c r="U451" s="10">
        <v>0</v>
      </c>
      <c r="W451" s="10">
        <v>0</v>
      </c>
      <c r="Y451" s="10">
        <v>0</v>
      </c>
      <c r="AA451" s="10">
        <v>0</v>
      </c>
      <c r="AC451" s="10">
        <v>0</v>
      </c>
      <c r="AE451" s="10">
        <f t="shared" si="9"/>
        <v>0</v>
      </c>
      <c r="AF451" s="10"/>
      <c r="AM451" s="10">
        <f>+'Gen Rev'!AI443-'Gen Exp'!AE451+'Gen Exp'!AI451-AK451</f>
        <v>0</v>
      </c>
    </row>
    <row r="452" spans="1:40" ht="12.75" hidden="1">
      <c r="A452" s="1" t="s">
        <v>190</v>
      </c>
      <c r="C452" s="23" t="s">
        <v>809</v>
      </c>
      <c r="D452" s="23"/>
      <c r="E452" s="10">
        <v>0</v>
      </c>
      <c r="G452" s="10">
        <v>0</v>
      </c>
      <c r="I452" s="10">
        <v>0</v>
      </c>
      <c r="K452" s="10">
        <v>0</v>
      </c>
      <c r="M452" s="10">
        <v>0</v>
      </c>
      <c r="O452" s="10">
        <v>0</v>
      </c>
      <c r="Q452" s="10">
        <v>0</v>
      </c>
      <c r="S452" s="10">
        <v>0</v>
      </c>
      <c r="U452" s="10">
        <v>0</v>
      </c>
      <c r="W452" s="10">
        <v>0</v>
      </c>
      <c r="Y452" s="10">
        <v>0</v>
      </c>
      <c r="AA452" s="10">
        <v>0</v>
      </c>
      <c r="AC452" s="10">
        <v>0</v>
      </c>
      <c r="AE452" s="10">
        <f t="shared" si="9"/>
        <v>0</v>
      </c>
      <c r="AF452" s="10"/>
      <c r="AM452" s="10">
        <f>+'Gen Rev'!AI444-'Gen Exp'!AE452+'Gen Exp'!AI452-AK452</f>
        <v>0</v>
      </c>
    </row>
    <row r="453" spans="1:40" s="21" customFormat="1" ht="12.75">
      <c r="A453" s="1" t="s">
        <v>681</v>
      </c>
      <c r="B453" s="1"/>
      <c r="C453" s="23" t="s">
        <v>677</v>
      </c>
      <c r="D453" s="23"/>
      <c r="E453" s="10">
        <v>456170</v>
      </c>
      <c r="F453" s="10"/>
      <c r="G453" s="10">
        <v>14830</v>
      </c>
      <c r="H453" s="10"/>
      <c r="I453" s="10">
        <v>6662</v>
      </c>
      <c r="J453" s="10"/>
      <c r="K453" s="10">
        <v>3565</v>
      </c>
      <c r="L453" s="10"/>
      <c r="M453" s="10">
        <v>0</v>
      </c>
      <c r="N453" s="10"/>
      <c r="O453" s="10">
        <v>2032</v>
      </c>
      <c r="P453" s="10"/>
      <c r="Q453" s="10">
        <v>608282</v>
      </c>
      <c r="R453" s="10"/>
      <c r="S453" s="10">
        <v>0</v>
      </c>
      <c r="T453" s="10"/>
      <c r="U453" s="10">
        <v>0</v>
      </c>
      <c r="V453" s="10"/>
      <c r="W453" s="10">
        <v>0</v>
      </c>
      <c r="X453" s="10"/>
      <c r="Y453" s="10">
        <v>48955</v>
      </c>
      <c r="Z453" s="10"/>
      <c r="AA453" s="10">
        <v>0</v>
      </c>
      <c r="AB453" s="10"/>
      <c r="AC453" s="10">
        <v>0</v>
      </c>
      <c r="AD453" s="10"/>
      <c r="AE453" s="10">
        <f t="shared" si="9"/>
        <v>1140496</v>
      </c>
      <c r="AF453" s="10"/>
      <c r="AG453" s="46">
        <v>-147283</v>
      </c>
      <c r="AH453" s="46"/>
      <c r="AI453" s="46">
        <v>562325</v>
      </c>
      <c r="AJ453" s="46"/>
      <c r="AK453" s="46">
        <v>415042</v>
      </c>
      <c r="AL453" s="46"/>
      <c r="AM453" s="10">
        <f>+'Gen Rev'!AI445-'Gen Exp'!AE453+'Gen Exp'!AI453-AK453</f>
        <v>0</v>
      </c>
      <c r="AN453" s="46"/>
    </row>
    <row r="454" spans="1:40" ht="12.6" customHeight="1">
      <c r="A454" s="1" t="s">
        <v>335</v>
      </c>
      <c r="C454" s="1" t="s">
        <v>329</v>
      </c>
      <c r="E454" s="10">
        <v>7207</v>
      </c>
      <c r="G454" s="10">
        <v>1821</v>
      </c>
      <c r="I454" s="10">
        <v>15589</v>
      </c>
      <c r="K454" s="10">
        <v>0</v>
      </c>
      <c r="M454" s="10">
        <v>0</v>
      </c>
      <c r="O454" s="10">
        <v>297</v>
      </c>
      <c r="Q454" s="10">
        <v>22113</v>
      </c>
      <c r="S454" s="10">
        <v>0</v>
      </c>
      <c r="U454" s="10">
        <v>0</v>
      </c>
      <c r="W454" s="10">
        <v>0</v>
      </c>
      <c r="Y454" s="10">
        <v>0</v>
      </c>
      <c r="AA454" s="10">
        <v>22500</v>
      </c>
      <c r="AC454" s="10">
        <v>0</v>
      </c>
      <c r="AE454" s="10">
        <f t="shared" si="9"/>
        <v>69527</v>
      </c>
      <c r="AF454" s="10"/>
      <c r="AG454" s="46">
        <v>-3072</v>
      </c>
      <c r="AH454" s="46"/>
      <c r="AI454" s="46">
        <v>318864</v>
      </c>
      <c r="AJ454" s="46"/>
      <c r="AK454" s="46">
        <v>315792</v>
      </c>
      <c r="AL454" s="46"/>
      <c r="AM454" s="10">
        <f>+'Gen Rev'!AI446-'Gen Exp'!AE454+'Gen Exp'!AI454-AK454</f>
        <v>0</v>
      </c>
      <c r="AN454" s="46"/>
    </row>
    <row r="455" spans="1:40" s="21" customFormat="1" ht="12.6" customHeight="1">
      <c r="A455" s="1" t="s">
        <v>344</v>
      </c>
      <c r="B455" s="1"/>
      <c r="C455" s="1" t="s">
        <v>343</v>
      </c>
      <c r="D455" s="1"/>
      <c r="E455" s="10">
        <v>11978</v>
      </c>
      <c r="F455" s="10"/>
      <c r="G455" s="10">
        <v>483</v>
      </c>
      <c r="H455" s="10"/>
      <c r="I455" s="10">
        <v>0</v>
      </c>
      <c r="J455" s="10"/>
      <c r="K455" s="10">
        <v>13468</v>
      </c>
      <c r="L455" s="10"/>
      <c r="M455" s="10">
        <v>0</v>
      </c>
      <c r="N455" s="10"/>
      <c r="O455" s="10">
        <v>0</v>
      </c>
      <c r="P455" s="10"/>
      <c r="Q455" s="10">
        <v>24600</v>
      </c>
      <c r="R455" s="10"/>
      <c r="S455" s="10">
        <v>0</v>
      </c>
      <c r="T455" s="10"/>
      <c r="U455" s="10">
        <v>0</v>
      </c>
      <c r="V455" s="10"/>
      <c r="W455" s="10">
        <v>0</v>
      </c>
      <c r="X455" s="10"/>
      <c r="Y455" s="10">
        <v>5711</v>
      </c>
      <c r="Z455" s="10"/>
      <c r="AA455" s="10">
        <v>0</v>
      </c>
      <c r="AB455" s="10"/>
      <c r="AC455" s="10">
        <v>0</v>
      </c>
      <c r="AD455" s="10"/>
      <c r="AE455" s="10">
        <f t="shared" si="9"/>
        <v>56240</v>
      </c>
      <c r="AF455" s="10"/>
      <c r="AG455" s="46">
        <f>-12131-5711</f>
        <v>-17842</v>
      </c>
      <c r="AH455" s="46"/>
      <c r="AI455" s="46">
        <v>19866</v>
      </c>
      <c r="AJ455" s="46"/>
      <c r="AK455" s="46">
        <v>2024</v>
      </c>
      <c r="AL455" s="46"/>
      <c r="AM455" s="10">
        <f>+'Gen Rev'!AI447-'Gen Exp'!AE455+'Gen Exp'!AI455-AK455</f>
        <v>0</v>
      </c>
      <c r="AN455" s="46"/>
    </row>
    <row r="456" spans="1:40" ht="12.75" hidden="1">
      <c r="A456" s="1" t="s">
        <v>207</v>
      </c>
      <c r="C456" s="23" t="s">
        <v>813</v>
      </c>
      <c r="D456" s="23"/>
      <c r="E456" s="10">
        <v>0</v>
      </c>
      <c r="G456" s="10">
        <v>0</v>
      </c>
      <c r="I456" s="10">
        <v>0</v>
      </c>
      <c r="K456" s="10">
        <v>0</v>
      </c>
      <c r="M456" s="10">
        <v>0</v>
      </c>
      <c r="O456" s="10">
        <v>0</v>
      </c>
      <c r="Q456" s="10">
        <v>0</v>
      </c>
      <c r="S456" s="10">
        <v>0</v>
      </c>
      <c r="U456" s="10">
        <v>0</v>
      </c>
      <c r="W456" s="10">
        <v>0</v>
      </c>
      <c r="Y456" s="10">
        <v>0</v>
      </c>
      <c r="AA456" s="10">
        <v>0</v>
      </c>
      <c r="AC456" s="10">
        <v>0</v>
      </c>
      <c r="AE456" s="10">
        <f t="shared" si="9"/>
        <v>0</v>
      </c>
      <c r="AF456" s="10"/>
      <c r="AM456" s="10">
        <f>+'Gen Rev'!AI448-'Gen Exp'!AE456+'Gen Exp'!AI456-AK456</f>
        <v>0</v>
      </c>
    </row>
    <row r="457" spans="1:40">
      <c r="A457" s="1" t="s">
        <v>457</v>
      </c>
      <c r="C457" s="1" t="s">
        <v>456</v>
      </c>
      <c r="E457" s="10">
        <v>2433581</v>
      </c>
      <c r="G457" s="10">
        <v>28326</v>
      </c>
      <c r="I457" s="10">
        <v>281010</v>
      </c>
      <c r="K457" s="10">
        <v>0</v>
      </c>
      <c r="M457" s="10">
        <v>309826</v>
      </c>
      <c r="O457" s="10">
        <v>381774</v>
      </c>
      <c r="Q457" s="10">
        <v>871076</v>
      </c>
      <c r="S457" s="10">
        <v>0</v>
      </c>
      <c r="U457" s="10">
        <v>0</v>
      </c>
      <c r="W457" s="10">
        <v>0</v>
      </c>
      <c r="Y457" s="10">
        <v>0</v>
      </c>
      <c r="AA457" s="10">
        <v>0</v>
      </c>
      <c r="AC457" s="10">
        <v>0</v>
      </c>
      <c r="AE457" s="10">
        <f t="shared" si="9"/>
        <v>4305593</v>
      </c>
      <c r="AF457" s="10"/>
      <c r="AG457" s="10">
        <v>3087508</v>
      </c>
      <c r="AI457" s="10">
        <v>3854911</v>
      </c>
      <c r="AK457" s="10">
        <v>6942419</v>
      </c>
      <c r="AM457" s="10">
        <f>+'Gen Rev'!AI449-'Gen Exp'!AE457+'Gen Exp'!AI457-AK457</f>
        <v>0</v>
      </c>
    </row>
    <row r="458" spans="1:40" hidden="1">
      <c r="A458" s="1" t="s">
        <v>520</v>
      </c>
      <c r="C458" s="1" t="s">
        <v>517</v>
      </c>
      <c r="E458" s="10">
        <v>0</v>
      </c>
      <c r="G458" s="10">
        <v>0</v>
      </c>
      <c r="I458" s="10">
        <v>0</v>
      </c>
      <c r="K458" s="10">
        <v>0</v>
      </c>
      <c r="M458" s="10">
        <v>0</v>
      </c>
      <c r="O458" s="10">
        <v>0</v>
      </c>
      <c r="Q458" s="10">
        <v>0</v>
      </c>
      <c r="S458" s="10">
        <v>0</v>
      </c>
      <c r="U458" s="10">
        <v>0</v>
      </c>
      <c r="W458" s="10">
        <v>0</v>
      </c>
      <c r="Y458" s="10">
        <v>0</v>
      </c>
      <c r="AA458" s="10">
        <v>0</v>
      </c>
      <c r="AC458" s="10">
        <v>0</v>
      </c>
      <c r="AE458" s="10">
        <f t="shared" si="9"/>
        <v>0</v>
      </c>
      <c r="AF458" s="10"/>
      <c r="AM458" s="10">
        <f>+'Gen Rev'!AI450-'Gen Exp'!AE458+'Gen Exp'!AI458-AK458</f>
        <v>0</v>
      </c>
    </row>
    <row r="459" spans="1:40" ht="12.75" hidden="1">
      <c r="A459" s="1" t="s">
        <v>216</v>
      </c>
      <c r="C459" s="23" t="s">
        <v>817</v>
      </c>
      <c r="D459" s="23"/>
      <c r="E459" s="10">
        <v>0</v>
      </c>
      <c r="G459" s="10">
        <v>0</v>
      </c>
      <c r="I459" s="10">
        <v>0</v>
      </c>
      <c r="K459" s="10">
        <v>0</v>
      </c>
      <c r="M459" s="10">
        <v>0</v>
      </c>
      <c r="O459" s="10">
        <v>0</v>
      </c>
      <c r="Q459" s="10">
        <v>0</v>
      </c>
      <c r="S459" s="10">
        <v>0</v>
      </c>
      <c r="U459" s="10">
        <v>0</v>
      </c>
      <c r="W459" s="10">
        <v>0</v>
      </c>
      <c r="Y459" s="10">
        <v>0</v>
      </c>
      <c r="AA459" s="10">
        <v>0</v>
      </c>
      <c r="AC459" s="10">
        <v>0</v>
      </c>
      <c r="AE459" s="10">
        <f t="shared" si="9"/>
        <v>0</v>
      </c>
      <c r="AF459" s="10"/>
      <c r="AM459" s="10">
        <f>+'Gen Rev'!AI451-'Gen Exp'!AE459+'Gen Exp'!AI459-AK459</f>
        <v>0</v>
      </c>
    </row>
    <row r="460" spans="1:40" s="21" customFormat="1" ht="12.75" hidden="1">
      <c r="A460" s="1" t="s">
        <v>39</v>
      </c>
      <c r="B460" s="1"/>
      <c r="C460" s="23" t="s">
        <v>761</v>
      </c>
      <c r="D460" s="23"/>
      <c r="E460" s="10">
        <v>0</v>
      </c>
      <c r="F460" s="10"/>
      <c r="G460" s="10">
        <v>0</v>
      </c>
      <c r="H460" s="10"/>
      <c r="I460" s="10">
        <v>0</v>
      </c>
      <c r="J460" s="10"/>
      <c r="K460" s="10">
        <v>0</v>
      </c>
      <c r="L460" s="10"/>
      <c r="M460" s="10">
        <v>0</v>
      </c>
      <c r="N460" s="10"/>
      <c r="O460" s="10">
        <v>0</v>
      </c>
      <c r="P460" s="10"/>
      <c r="Q460" s="10">
        <v>0</v>
      </c>
      <c r="R460" s="10"/>
      <c r="S460" s="10">
        <v>0</v>
      </c>
      <c r="T460" s="10"/>
      <c r="U460" s="10">
        <v>0</v>
      </c>
      <c r="V460" s="10"/>
      <c r="W460" s="10">
        <v>0</v>
      </c>
      <c r="X460" s="10"/>
      <c r="Y460" s="10">
        <v>0</v>
      </c>
      <c r="Z460" s="10"/>
      <c r="AA460" s="10">
        <v>0</v>
      </c>
      <c r="AB460" s="10"/>
      <c r="AC460" s="10">
        <v>0</v>
      </c>
      <c r="AD460" s="10"/>
      <c r="AE460" s="10">
        <f t="shared" si="9"/>
        <v>0</v>
      </c>
      <c r="AF460" s="10"/>
      <c r="AG460" s="46"/>
      <c r="AH460" s="46"/>
      <c r="AI460" s="46"/>
      <c r="AJ460" s="46"/>
      <c r="AK460" s="46"/>
      <c r="AL460" s="46"/>
      <c r="AM460" s="10">
        <f>+'Gen Rev'!AI452-'Gen Exp'!AE460+'Gen Exp'!AI460-AK460</f>
        <v>0</v>
      </c>
      <c r="AN460" s="46"/>
    </row>
    <row r="461" spans="1:40">
      <c r="A461" s="1" t="s">
        <v>916</v>
      </c>
      <c r="C461" s="1" t="s">
        <v>329</v>
      </c>
      <c r="E461" s="10">
        <v>6571</v>
      </c>
      <c r="G461" s="10">
        <v>544</v>
      </c>
      <c r="I461" s="10">
        <v>9129</v>
      </c>
      <c r="K461" s="10">
        <v>0</v>
      </c>
      <c r="M461" s="10">
        <v>178</v>
      </c>
      <c r="O461" s="10">
        <v>16411</v>
      </c>
      <c r="Q461" s="10">
        <v>18864</v>
      </c>
      <c r="S461" s="10">
        <v>0</v>
      </c>
      <c r="U461" s="10">
        <v>0</v>
      </c>
      <c r="W461" s="10">
        <v>0</v>
      </c>
      <c r="Y461" s="10">
        <v>0</v>
      </c>
      <c r="AA461" s="10">
        <v>0</v>
      </c>
      <c r="AC461" s="10">
        <v>0</v>
      </c>
      <c r="AE461" s="10">
        <f>SUM(E461:AC461)</f>
        <v>51697</v>
      </c>
      <c r="AF461" s="10"/>
      <c r="AG461" s="10">
        <v>-6501</v>
      </c>
      <c r="AI461" s="10">
        <v>24577</v>
      </c>
      <c r="AK461" s="10">
        <v>18076</v>
      </c>
      <c r="AM461" s="10">
        <f>+'Gen Rev'!AI453-'Gen Exp'!AE461+'Gen Exp'!AI461-AK461</f>
        <v>0</v>
      </c>
    </row>
    <row r="462" spans="1:40">
      <c r="A462" s="1" t="s">
        <v>521</v>
      </c>
      <c r="C462" s="1" t="s">
        <v>517</v>
      </c>
      <c r="E462" s="10">
        <v>184449</v>
      </c>
      <c r="G462" s="10">
        <v>7049</v>
      </c>
      <c r="I462" s="10">
        <v>0</v>
      </c>
      <c r="K462" s="10">
        <v>0</v>
      </c>
      <c r="M462" s="10">
        <v>16715</v>
      </c>
      <c r="O462" s="10">
        <v>6127</v>
      </c>
      <c r="Q462" s="10">
        <v>129583</v>
      </c>
      <c r="S462" s="10">
        <v>0</v>
      </c>
      <c r="U462" s="10">
        <v>0</v>
      </c>
      <c r="W462" s="10">
        <v>0</v>
      </c>
      <c r="Y462" s="10">
        <v>6000</v>
      </c>
      <c r="AA462" s="10">
        <v>0</v>
      </c>
      <c r="AC462" s="10">
        <v>0</v>
      </c>
      <c r="AE462" s="10">
        <f t="shared" si="9"/>
        <v>349923</v>
      </c>
      <c r="AF462" s="10"/>
      <c r="AG462" s="10">
        <v>17902</v>
      </c>
      <c r="AI462" s="10">
        <v>96324</v>
      </c>
      <c r="AK462" s="10">
        <v>114226</v>
      </c>
      <c r="AM462" s="10">
        <f>+'Gen Rev'!AI454-'Gen Exp'!AE462+'Gen Exp'!AI462-AK462</f>
        <v>0</v>
      </c>
    </row>
    <row r="463" spans="1:40" s="10" customFormat="1">
      <c r="A463" s="10" t="s">
        <v>570</v>
      </c>
      <c r="C463" s="10" t="s">
        <v>565</v>
      </c>
      <c r="E463" s="10">
        <v>2515</v>
      </c>
      <c r="G463" s="10">
        <v>138</v>
      </c>
      <c r="I463" s="10">
        <v>0</v>
      </c>
      <c r="K463" s="10">
        <v>26</v>
      </c>
      <c r="M463" s="10">
        <v>0</v>
      </c>
      <c r="O463" s="10">
        <v>0</v>
      </c>
      <c r="Q463" s="10">
        <v>10495</v>
      </c>
      <c r="S463" s="10">
        <v>0</v>
      </c>
      <c r="U463" s="10">
        <v>0</v>
      </c>
      <c r="W463" s="10">
        <v>0</v>
      </c>
      <c r="Y463" s="10">
        <v>0</v>
      </c>
      <c r="AA463" s="10">
        <v>0</v>
      </c>
      <c r="AC463" s="10">
        <v>0</v>
      </c>
      <c r="AE463" s="10">
        <f t="shared" si="9"/>
        <v>13174</v>
      </c>
      <c r="AG463" s="10">
        <v>9117</v>
      </c>
      <c r="AI463" s="10">
        <v>60407</v>
      </c>
      <c r="AK463" s="10">
        <v>69524</v>
      </c>
      <c r="AM463" s="10">
        <f>+'Gen Rev'!AI455-'Gen Exp'!AE463+'Gen Exp'!AI463-AK463</f>
        <v>0</v>
      </c>
    </row>
    <row r="464" spans="1:40" s="19" customFormat="1">
      <c r="A464" s="10" t="s">
        <v>400</v>
      </c>
      <c r="B464" s="10"/>
      <c r="C464" s="10" t="s">
        <v>396</v>
      </c>
      <c r="D464" s="10"/>
      <c r="E464" s="10">
        <v>700</v>
      </c>
      <c r="F464" s="10"/>
      <c r="G464" s="10">
        <v>410</v>
      </c>
      <c r="H464" s="10"/>
      <c r="I464" s="10">
        <v>0</v>
      </c>
      <c r="J464" s="10"/>
      <c r="K464" s="10">
        <v>0</v>
      </c>
      <c r="L464" s="10"/>
      <c r="M464" s="10">
        <v>167</v>
      </c>
      <c r="N464" s="10"/>
      <c r="O464" s="10">
        <v>0</v>
      </c>
      <c r="P464" s="10"/>
      <c r="Q464" s="10">
        <v>7715</v>
      </c>
      <c r="R464" s="10"/>
      <c r="S464" s="10">
        <v>0</v>
      </c>
      <c r="T464" s="10"/>
      <c r="U464" s="10">
        <v>0</v>
      </c>
      <c r="V464" s="10"/>
      <c r="W464" s="10">
        <v>0</v>
      </c>
      <c r="X464" s="10"/>
      <c r="Y464" s="10">
        <v>0</v>
      </c>
      <c r="Z464" s="10"/>
      <c r="AA464" s="10">
        <v>0</v>
      </c>
      <c r="AB464" s="10"/>
      <c r="AC464" s="10">
        <v>0</v>
      </c>
      <c r="AD464" s="10"/>
      <c r="AE464" s="10">
        <f t="shared" si="9"/>
        <v>8992</v>
      </c>
      <c r="AF464" s="10"/>
      <c r="AG464" s="10">
        <v>-1442</v>
      </c>
      <c r="AH464" s="10"/>
      <c r="AI464" s="10">
        <v>2429</v>
      </c>
      <c r="AJ464" s="10"/>
      <c r="AK464" s="10">
        <v>987</v>
      </c>
      <c r="AL464" s="10"/>
      <c r="AM464" s="10">
        <f>+'Gen Rev'!AI456-'Gen Exp'!AE464+'Gen Exp'!AI464-AK464</f>
        <v>0</v>
      </c>
      <c r="AN464" s="10"/>
    </row>
    <row r="465" spans="1:40">
      <c r="A465" s="1" t="s">
        <v>500</v>
      </c>
      <c r="C465" s="1" t="s">
        <v>500</v>
      </c>
      <c r="E465" s="10">
        <v>58143</v>
      </c>
      <c r="G465" s="10">
        <v>19402</v>
      </c>
      <c r="I465" s="10">
        <v>28215</v>
      </c>
      <c r="K465" s="10">
        <v>10607</v>
      </c>
      <c r="M465" s="10">
        <v>6086</v>
      </c>
      <c r="O465" s="10">
        <v>8318</v>
      </c>
      <c r="Q465" s="10">
        <v>328542</v>
      </c>
      <c r="S465" s="10">
        <v>54456</v>
      </c>
      <c r="U465" s="10">
        <v>0</v>
      </c>
      <c r="W465" s="10">
        <v>0</v>
      </c>
      <c r="Y465" s="10">
        <v>85000</v>
      </c>
      <c r="AA465" s="10">
        <v>0</v>
      </c>
      <c r="AC465" s="10">
        <v>517794</v>
      </c>
      <c r="AE465" s="10">
        <f t="shared" si="9"/>
        <v>1116563</v>
      </c>
      <c r="AF465" s="10"/>
      <c r="AG465" s="10">
        <v>-100841</v>
      </c>
      <c r="AI465" s="10">
        <v>677800</v>
      </c>
      <c r="AK465" s="10">
        <v>576959</v>
      </c>
      <c r="AM465" s="10">
        <f>+'Gen Rev'!AI457-'Gen Exp'!AE465+'Gen Exp'!AI465-AK465</f>
        <v>0</v>
      </c>
    </row>
    <row r="466" spans="1:40" hidden="1">
      <c r="A466" s="1" t="s">
        <v>502</v>
      </c>
      <c r="C466" s="1" t="s">
        <v>500</v>
      </c>
      <c r="E466" s="10">
        <v>0</v>
      </c>
      <c r="G466" s="10">
        <v>0</v>
      </c>
      <c r="I466" s="10">
        <v>0</v>
      </c>
      <c r="K466" s="10">
        <v>0</v>
      </c>
      <c r="M466" s="10">
        <v>0</v>
      </c>
      <c r="O466" s="10">
        <v>0</v>
      </c>
      <c r="Q466" s="10">
        <v>0</v>
      </c>
      <c r="S466" s="10">
        <v>0</v>
      </c>
      <c r="U466" s="10">
        <v>0</v>
      </c>
      <c r="W466" s="10">
        <v>0</v>
      </c>
      <c r="Y466" s="10">
        <v>0</v>
      </c>
      <c r="AA466" s="10">
        <v>0</v>
      </c>
      <c r="AC466" s="10">
        <v>0</v>
      </c>
      <c r="AE466" s="10">
        <f t="shared" si="9"/>
        <v>0</v>
      </c>
      <c r="AF466" s="10"/>
      <c r="AM466" s="10">
        <f>+'Gen Rev'!AI458-'Gen Exp'!AE466+'Gen Exp'!AI466-AK466</f>
        <v>0</v>
      </c>
    </row>
    <row r="467" spans="1:40" ht="12.75">
      <c r="A467" s="1" t="s">
        <v>682</v>
      </c>
      <c r="C467" s="23" t="s">
        <v>665</v>
      </c>
      <c r="D467" s="23"/>
      <c r="E467" s="10">
        <v>85326</v>
      </c>
      <c r="G467" s="10">
        <v>0</v>
      </c>
      <c r="I467" s="10">
        <v>0</v>
      </c>
      <c r="K467" s="10">
        <v>0</v>
      </c>
      <c r="M467" s="10">
        <v>0</v>
      </c>
      <c r="O467" s="10">
        <v>0</v>
      </c>
      <c r="Q467" s="10">
        <v>174035</v>
      </c>
      <c r="S467" s="10">
        <v>0</v>
      </c>
      <c r="U467" s="10">
        <v>0</v>
      </c>
      <c r="W467" s="10">
        <v>0</v>
      </c>
      <c r="Y467" s="10">
        <v>0</v>
      </c>
      <c r="AA467" s="10">
        <v>0</v>
      </c>
      <c r="AC467" s="10">
        <v>0</v>
      </c>
      <c r="AE467" s="10">
        <f t="shared" si="9"/>
        <v>259361</v>
      </c>
      <c r="AF467" s="10"/>
      <c r="AG467" s="10">
        <v>-29064</v>
      </c>
      <c r="AI467" s="10">
        <v>85592</v>
      </c>
      <c r="AK467" s="10">
        <v>56528</v>
      </c>
      <c r="AM467" s="10">
        <f>+'Gen Rev'!AI459-'Gen Exp'!AE467+'Gen Exp'!AI467-AK467</f>
        <v>0</v>
      </c>
    </row>
    <row r="468" spans="1:40" hidden="1">
      <c r="A468" s="1" t="s">
        <v>611</v>
      </c>
      <c r="C468" s="1" t="s">
        <v>606</v>
      </c>
      <c r="E468" s="10">
        <v>0</v>
      </c>
      <c r="G468" s="10">
        <v>0</v>
      </c>
      <c r="I468" s="10">
        <v>0</v>
      </c>
      <c r="K468" s="10">
        <v>0</v>
      </c>
      <c r="M468" s="10">
        <v>0</v>
      </c>
      <c r="O468" s="10">
        <v>0</v>
      </c>
      <c r="Q468" s="10">
        <v>0</v>
      </c>
      <c r="S468" s="10">
        <v>0</v>
      </c>
      <c r="U468" s="10">
        <v>0</v>
      </c>
      <c r="W468" s="10">
        <v>0</v>
      </c>
      <c r="Y468" s="10">
        <v>0</v>
      </c>
      <c r="AA468" s="10">
        <v>0</v>
      </c>
      <c r="AC468" s="10">
        <v>0</v>
      </c>
      <c r="AE468" s="10">
        <f t="shared" si="9"/>
        <v>0</v>
      </c>
      <c r="AF468" s="10"/>
      <c r="AM468" s="10">
        <f>+'Gen Rev'!AI460-'Gen Exp'!AE468+'Gen Exp'!AI468-AK468</f>
        <v>0</v>
      </c>
    </row>
    <row r="469" spans="1:40" hidden="1">
      <c r="A469" s="1" t="s">
        <v>557</v>
      </c>
      <c r="C469" s="1" t="s">
        <v>554</v>
      </c>
      <c r="E469" s="10">
        <v>0</v>
      </c>
      <c r="G469" s="10">
        <v>0</v>
      </c>
      <c r="I469" s="10">
        <v>0</v>
      </c>
      <c r="K469" s="10">
        <v>0</v>
      </c>
      <c r="M469" s="10">
        <v>0</v>
      </c>
      <c r="O469" s="10">
        <v>0</v>
      </c>
      <c r="Q469" s="10">
        <v>0</v>
      </c>
      <c r="S469" s="10">
        <v>0</v>
      </c>
      <c r="U469" s="10">
        <v>0</v>
      </c>
      <c r="W469" s="10">
        <v>0</v>
      </c>
      <c r="Y469" s="10">
        <v>0</v>
      </c>
      <c r="AA469" s="10">
        <v>0</v>
      </c>
      <c r="AC469" s="10">
        <v>0</v>
      </c>
      <c r="AE469" s="10">
        <f t="shared" si="9"/>
        <v>0</v>
      </c>
      <c r="AF469" s="10"/>
      <c r="AM469" s="10">
        <f>+'Gen Rev'!AI461-'Gen Exp'!AE469+'Gen Exp'!AI469-AK469</f>
        <v>0</v>
      </c>
    </row>
    <row r="470" spans="1:40" s="21" customFormat="1">
      <c r="A470" s="1" t="s">
        <v>433</v>
      </c>
      <c r="B470" s="1"/>
      <c r="C470" s="1" t="s">
        <v>430</v>
      </c>
      <c r="D470" s="1"/>
      <c r="E470" s="10">
        <v>545648</v>
      </c>
      <c r="F470" s="10"/>
      <c r="G470" s="10">
        <v>12631</v>
      </c>
      <c r="H470" s="10"/>
      <c r="I470" s="10">
        <v>20520</v>
      </c>
      <c r="J470" s="10"/>
      <c r="K470" s="10">
        <v>5438</v>
      </c>
      <c r="L470" s="10"/>
      <c r="M470" s="10">
        <v>120</v>
      </c>
      <c r="N470" s="10"/>
      <c r="O470" s="10">
        <v>261543</v>
      </c>
      <c r="P470" s="10"/>
      <c r="Q470" s="10">
        <v>187913</v>
      </c>
      <c r="R470" s="10"/>
      <c r="S470" s="10">
        <v>0</v>
      </c>
      <c r="T470" s="10"/>
      <c r="U470" s="10">
        <v>0</v>
      </c>
      <c r="V470" s="10"/>
      <c r="W470" s="10">
        <v>0</v>
      </c>
      <c r="X470" s="10"/>
      <c r="Y470" s="10">
        <v>58451</v>
      </c>
      <c r="Z470" s="10"/>
      <c r="AA470" s="10">
        <v>0</v>
      </c>
      <c r="AB470" s="10"/>
      <c r="AC470" s="10">
        <v>0</v>
      </c>
      <c r="AD470" s="10"/>
      <c r="AE470" s="10">
        <f t="shared" si="9"/>
        <v>1092264</v>
      </c>
      <c r="AF470" s="10"/>
      <c r="AG470" s="10">
        <v>-293557</v>
      </c>
      <c r="AH470" s="10"/>
      <c r="AI470" s="10">
        <v>1045361</v>
      </c>
      <c r="AJ470" s="10"/>
      <c r="AK470" s="10">
        <v>751802</v>
      </c>
      <c r="AL470" s="10"/>
      <c r="AM470" s="10">
        <f>+'Gen Rev'!AI462-'Gen Exp'!AE470+'Gen Exp'!AI470-AK470</f>
        <v>0</v>
      </c>
      <c r="AN470" s="10"/>
    </row>
    <row r="471" spans="1:40" ht="12.75">
      <c r="A471" s="1" t="s">
        <v>683</v>
      </c>
      <c r="C471" s="23" t="s">
        <v>672</v>
      </c>
      <c r="D471" s="23"/>
      <c r="E471" s="10">
        <v>97200</v>
      </c>
      <c r="G471" s="10">
        <v>0</v>
      </c>
      <c r="I471" s="10">
        <v>1419</v>
      </c>
      <c r="K471" s="10">
        <v>0</v>
      </c>
      <c r="M471" s="10">
        <v>0</v>
      </c>
      <c r="O471" s="10">
        <v>3385</v>
      </c>
      <c r="Q471" s="10">
        <v>154256</v>
      </c>
      <c r="S471" s="10">
        <v>0</v>
      </c>
      <c r="U471" s="10">
        <v>7500</v>
      </c>
      <c r="W471" s="10">
        <v>0</v>
      </c>
      <c r="Y471" s="10">
        <v>0</v>
      </c>
      <c r="AA471" s="10">
        <v>0</v>
      </c>
      <c r="AC471" s="10">
        <v>0</v>
      </c>
      <c r="AE471" s="10">
        <f t="shared" si="9"/>
        <v>263760</v>
      </c>
      <c r="AF471" s="10"/>
      <c r="AG471" s="46">
        <v>19821</v>
      </c>
      <c r="AH471" s="46"/>
      <c r="AI471" s="46">
        <v>70673</v>
      </c>
      <c r="AJ471" s="46"/>
      <c r="AK471" s="46">
        <v>90495</v>
      </c>
      <c r="AL471" s="46"/>
      <c r="AM471" s="10">
        <f>+'Gen Rev'!AI463-'Gen Exp'!AE471+'Gen Exp'!AI471-AK471</f>
        <v>0</v>
      </c>
      <c r="AN471" s="46"/>
    </row>
    <row r="472" spans="1:40">
      <c r="A472" s="1" t="s">
        <v>485</v>
      </c>
      <c r="C472" s="1" t="s">
        <v>482</v>
      </c>
      <c r="E472" s="10">
        <v>0</v>
      </c>
      <c r="G472" s="10">
        <v>0</v>
      </c>
      <c r="I472" s="10">
        <v>0</v>
      </c>
      <c r="K472" s="10">
        <v>2478</v>
      </c>
      <c r="M472" s="10">
        <v>0</v>
      </c>
      <c r="O472" s="10">
        <v>33051</v>
      </c>
      <c r="Q472" s="10">
        <v>91949</v>
      </c>
      <c r="S472" s="10">
        <v>25589</v>
      </c>
      <c r="U472" s="10">
        <v>0</v>
      </c>
      <c r="W472" s="10">
        <v>0</v>
      </c>
      <c r="Y472" s="10">
        <v>1102</v>
      </c>
      <c r="AA472" s="10">
        <v>0</v>
      </c>
      <c r="AC472" s="10">
        <v>38638</v>
      </c>
      <c r="AE472" s="10">
        <f t="shared" ref="AE472:AE520" si="10">SUM(E472:AC472)</f>
        <v>192807</v>
      </c>
      <c r="AF472" s="40"/>
      <c r="AG472" s="10">
        <v>65579</v>
      </c>
      <c r="AI472" s="10">
        <v>231739</v>
      </c>
      <c r="AK472" s="10">
        <v>297318</v>
      </c>
      <c r="AM472" s="10">
        <f>+'Gen Rev'!AI464-'Gen Exp'!AE472+'Gen Exp'!AI472-AK472</f>
        <v>0</v>
      </c>
    </row>
    <row r="473" spans="1:40">
      <c r="A473" s="1" t="s">
        <v>491</v>
      </c>
      <c r="C473" s="1" t="s">
        <v>488</v>
      </c>
      <c r="E473" s="10">
        <v>6404</v>
      </c>
      <c r="G473" s="10">
        <v>0</v>
      </c>
      <c r="I473" s="10">
        <v>0</v>
      </c>
      <c r="K473" s="10">
        <v>0</v>
      </c>
      <c r="M473" s="10">
        <v>0</v>
      </c>
      <c r="O473" s="10">
        <v>37354</v>
      </c>
      <c r="Q473" s="10">
        <v>40224</v>
      </c>
      <c r="S473" s="10">
        <v>0</v>
      </c>
      <c r="U473" s="10">
        <v>0</v>
      </c>
      <c r="W473" s="10">
        <v>0</v>
      </c>
      <c r="Y473" s="10">
        <v>0</v>
      </c>
      <c r="AA473" s="10">
        <v>0</v>
      </c>
      <c r="AC473" s="10">
        <v>0</v>
      </c>
      <c r="AE473" s="10">
        <f t="shared" si="10"/>
        <v>83982</v>
      </c>
      <c r="AF473" s="10"/>
      <c r="AG473" s="10">
        <v>15675</v>
      </c>
      <c r="AI473" s="10">
        <v>85234</v>
      </c>
      <c r="AK473" s="10">
        <v>100909</v>
      </c>
      <c r="AM473" s="10">
        <f>+'Gen Rev'!AI465-'Gen Exp'!AE473+'Gen Exp'!AI473-AK473</f>
        <v>0</v>
      </c>
    </row>
    <row r="474" spans="1:40" hidden="1">
      <c r="A474" s="1" t="s">
        <v>509</v>
      </c>
      <c r="C474" s="1" t="s">
        <v>510</v>
      </c>
      <c r="E474" s="10">
        <v>0</v>
      </c>
      <c r="G474" s="10">
        <v>0</v>
      </c>
      <c r="I474" s="10">
        <v>0</v>
      </c>
      <c r="K474" s="10">
        <v>0</v>
      </c>
      <c r="M474" s="10">
        <v>0</v>
      </c>
      <c r="O474" s="10">
        <v>0</v>
      </c>
      <c r="Q474" s="10">
        <v>0</v>
      </c>
      <c r="S474" s="10">
        <v>0</v>
      </c>
      <c r="U474" s="10">
        <v>0</v>
      </c>
      <c r="W474" s="10">
        <v>0</v>
      </c>
      <c r="Y474" s="10">
        <v>0</v>
      </c>
      <c r="AA474" s="10">
        <v>0</v>
      </c>
      <c r="AC474" s="10">
        <v>0</v>
      </c>
      <c r="AE474" s="10">
        <f t="shared" si="10"/>
        <v>0</v>
      </c>
      <c r="AF474" s="10"/>
      <c r="AM474" s="10">
        <f>+'Gen Rev'!AI466-'Gen Exp'!AE474+'Gen Exp'!AI474-AK474</f>
        <v>0</v>
      </c>
    </row>
    <row r="475" spans="1:40" s="21" customFormat="1" ht="12.75">
      <c r="A475" s="1" t="s">
        <v>917</v>
      </c>
      <c r="B475" s="1"/>
      <c r="C475" s="23" t="s">
        <v>601</v>
      </c>
      <c r="D475" s="23"/>
      <c r="E475" s="10">
        <v>409780</v>
      </c>
      <c r="F475" s="10"/>
      <c r="G475" s="10">
        <v>8682</v>
      </c>
      <c r="H475" s="10"/>
      <c r="I475" s="10">
        <v>32529</v>
      </c>
      <c r="J475" s="10"/>
      <c r="K475" s="10">
        <v>67741</v>
      </c>
      <c r="L475" s="10"/>
      <c r="M475" s="10">
        <v>25255</v>
      </c>
      <c r="N475" s="10"/>
      <c r="O475" s="10">
        <v>135955</v>
      </c>
      <c r="P475" s="10"/>
      <c r="Q475" s="10">
        <v>225491</v>
      </c>
      <c r="R475" s="10"/>
      <c r="S475" s="10">
        <v>0</v>
      </c>
      <c r="T475" s="10"/>
      <c r="U475" s="10">
        <v>0</v>
      </c>
      <c r="V475" s="10"/>
      <c r="W475" s="10">
        <v>0</v>
      </c>
      <c r="X475" s="10"/>
      <c r="Y475" s="10">
        <v>0</v>
      </c>
      <c r="Z475" s="10"/>
      <c r="AA475" s="10">
        <v>0</v>
      </c>
      <c r="AB475" s="10"/>
      <c r="AC475" s="10">
        <v>0</v>
      </c>
      <c r="AD475" s="10"/>
      <c r="AE475" s="10">
        <f>SUM(E475:AC475)</f>
        <v>905433</v>
      </c>
      <c r="AF475" s="10"/>
      <c r="AG475" s="46">
        <v>-14373</v>
      </c>
      <c r="AH475" s="46"/>
      <c r="AI475" s="46">
        <v>125844</v>
      </c>
      <c r="AJ475" s="46"/>
      <c r="AK475" s="46">
        <v>111471</v>
      </c>
      <c r="AL475" s="46"/>
      <c r="AM475" s="10">
        <f>+'Gen Rev'!AI467-'Gen Exp'!AE475+'Gen Exp'!AI475-AK475</f>
        <v>0</v>
      </c>
      <c r="AN475" s="46"/>
    </row>
    <row r="476" spans="1:40" s="21" customFormat="1" ht="12.75" hidden="1">
      <c r="A476" s="1" t="s">
        <v>54</v>
      </c>
      <c r="B476" s="1"/>
      <c r="C476" s="23" t="s">
        <v>767</v>
      </c>
      <c r="D476" s="23"/>
      <c r="E476" s="10">
        <v>0</v>
      </c>
      <c r="F476" s="10"/>
      <c r="G476" s="10">
        <v>0</v>
      </c>
      <c r="H476" s="10"/>
      <c r="I476" s="10">
        <v>0</v>
      </c>
      <c r="J476" s="10"/>
      <c r="K476" s="10">
        <v>0</v>
      </c>
      <c r="L476" s="10"/>
      <c r="M476" s="10">
        <v>0</v>
      </c>
      <c r="N476" s="10"/>
      <c r="O476" s="10">
        <v>0</v>
      </c>
      <c r="P476" s="10"/>
      <c r="Q476" s="10">
        <v>0</v>
      </c>
      <c r="R476" s="10"/>
      <c r="S476" s="10">
        <v>0</v>
      </c>
      <c r="T476" s="10"/>
      <c r="U476" s="10">
        <v>0</v>
      </c>
      <c r="V476" s="10"/>
      <c r="W476" s="10">
        <v>0</v>
      </c>
      <c r="X476" s="10"/>
      <c r="Y476" s="10">
        <v>0</v>
      </c>
      <c r="Z476" s="10"/>
      <c r="AA476" s="10">
        <v>0</v>
      </c>
      <c r="AB476" s="10"/>
      <c r="AC476" s="10">
        <v>0</v>
      </c>
      <c r="AD476" s="10"/>
      <c r="AE476" s="10">
        <f t="shared" si="10"/>
        <v>0</v>
      </c>
      <c r="AF476" s="10"/>
      <c r="AG476" s="46"/>
      <c r="AH476" s="46"/>
      <c r="AI476" s="46"/>
      <c r="AJ476" s="46"/>
      <c r="AK476" s="46"/>
      <c r="AL476" s="46"/>
      <c r="AM476" s="10">
        <f>+'Gen Rev'!AI468-'Gen Exp'!AE476+'Gen Exp'!AI476-AK476</f>
        <v>0</v>
      </c>
      <c r="AN476" s="46"/>
    </row>
    <row r="477" spans="1:40" hidden="1">
      <c r="A477" s="1" t="s">
        <v>461</v>
      </c>
      <c r="C477" s="1" t="s">
        <v>432</v>
      </c>
      <c r="E477" s="10">
        <v>0</v>
      </c>
      <c r="G477" s="10">
        <v>0</v>
      </c>
      <c r="I477" s="10">
        <v>0</v>
      </c>
      <c r="K477" s="10">
        <v>0</v>
      </c>
      <c r="M477" s="10">
        <v>0</v>
      </c>
      <c r="O477" s="10">
        <v>0</v>
      </c>
      <c r="Q477" s="10">
        <v>0</v>
      </c>
      <c r="S477" s="10">
        <v>0</v>
      </c>
      <c r="U477" s="10">
        <v>0</v>
      </c>
      <c r="W477" s="10">
        <v>0</v>
      </c>
      <c r="Y477" s="10">
        <v>0</v>
      </c>
      <c r="AA477" s="10">
        <v>0</v>
      </c>
      <c r="AC477" s="10">
        <v>0</v>
      </c>
      <c r="AE477" s="10">
        <f t="shared" si="10"/>
        <v>0</v>
      </c>
      <c r="AF477" s="10"/>
      <c r="AM477" s="10">
        <f>+'Gen Rev'!AI469-'Gen Exp'!AE477+'Gen Exp'!AI477-AK477</f>
        <v>0</v>
      </c>
    </row>
    <row r="478" spans="1:40">
      <c r="A478" s="1" t="s">
        <v>918</v>
      </c>
      <c r="C478" s="1" t="s">
        <v>920</v>
      </c>
      <c r="E478" s="10">
        <v>2107</v>
      </c>
      <c r="G478" s="10">
        <v>0</v>
      </c>
      <c r="I478" s="10">
        <v>6956</v>
      </c>
      <c r="K478" s="10">
        <v>0</v>
      </c>
      <c r="M478" s="10">
        <v>0</v>
      </c>
      <c r="O478" s="10">
        <v>0</v>
      </c>
      <c r="Q478" s="10">
        <v>8150</v>
      </c>
      <c r="S478" s="10">
        <v>0</v>
      </c>
      <c r="U478" s="10">
        <v>0</v>
      </c>
      <c r="W478" s="10">
        <v>0</v>
      </c>
      <c r="Y478" s="10">
        <v>0</v>
      </c>
      <c r="AA478" s="10">
        <v>0</v>
      </c>
      <c r="AC478" s="10">
        <v>0</v>
      </c>
      <c r="AE478" s="10">
        <f>SUM(E478:AC478)</f>
        <v>17213</v>
      </c>
      <c r="AF478" s="10"/>
      <c r="AG478" s="10">
        <v>-4106</v>
      </c>
      <c r="AI478" s="10">
        <v>91826</v>
      </c>
      <c r="AK478" s="10">
        <v>87720</v>
      </c>
      <c r="AM478" s="10">
        <f>+'Gen Rev'!AI470-'Gen Exp'!AE478+'Gen Exp'!AI478-AK478</f>
        <v>0</v>
      </c>
    </row>
    <row r="479" spans="1:40" hidden="1">
      <c r="A479" s="1" t="s">
        <v>376</v>
      </c>
      <c r="C479" s="1" t="s">
        <v>375</v>
      </c>
      <c r="E479" s="10">
        <v>0</v>
      </c>
      <c r="G479" s="10">
        <v>0</v>
      </c>
      <c r="I479" s="10">
        <v>0</v>
      </c>
      <c r="K479" s="10">
        <v>0</v>
      </c>
      <c r="M479" s="10">
        <v>0</v>
      </c>
      <c r="O479" s="10">
        <v>0</v>
      </c>
      <c r="Q479" s="10">
        <v>0</v>
      </c>
      <c r="S479" s="10">
        <v>0</v>
      </c>
      <c r="U479" s="10">
        <v>0</v>
      </c>
      <c r="W479" s="10">
        <v>0</v>
      </c>
      <c r="Y479" s="10">
        <v>0</v>
      </c>
      <c r="AA479" s="10">
        <v>0</v>
      </c>
      <c r="AC479" s="10">
        <v>0</v>
      </c>
      <c r="AE479" s="10">
        <f t="shared" si="10"/>
        <v>0</v>
      </c>
      <c r="AF479" s="10"/>
      <c r="AM479" s="10">
        <f>+'Gen Rev'!AI471-'Gen Exp'!AE479+'Gen Exp'!AI479-AK479</f>
        <v>0</v>
      </c>
    </row>
    <row r="480" spans="1:40" ht="12.75" hidden="1">
      <c r="A480" s="1" t="s">
        <v>163</v>
      </c>
      <c r="C480" s="23" t="s">
        <v>800</v>
      </c>
      <c r="D480" s="23"/>
      <c r="E480" s="10">
        <v>0</v>
      </c>
      <c r="G480" s="10">
        <v>0</v>
      </c>
      <c r="I480" s="10">
        <v>0</v>
      </c>
      <c r="K480" s="10">
        <v>0</v>
      </c>
      <c r="M480" s="10">
        <v>0</v>
      </c>
      <c r="O480" s="10">
        <v>0</v>
      </c>
      <c r="Q480" s="10">
        <v>0</v>
      </c>
      <c r="S480" s="10">
        <v>0</v>
      </c>
      <c r="U480" s="10">
        <v>0</v>
      </c>
      <c r="W480" s="10">
        <v>0</v>
      </c>
      <c r="Y480" s="10">
        <v>0</v>
      </c>
      <c r="AA480" s="10">
        <v>0</v>
      </c>
      <c r="AC480" s="10">
        <v>0</v>
      </c>
      <c r="AE480" s="10">
        <f t="shared" si="10"/>
        <v>0</v>
      </c>
      <c r="AF480" s="10"/>
      <c r="AM480" s="10">
        <f>+'Gen Rev'!AI472-'Gen Exp'!AE480+'Gen Exp'!AI480-AK480</f>
        <v>0</v>
      </c>
    </row>
    <row r="481" spans="1:40" ht="12.75" hidden="1">
      <c r="A481" s="1" t="s">
        <v>244</v>
      </c>
      <c r="C481" s="23" t="s">
        <v>826</v>
      </c>
      <c r="D481" s="23"/>
      <c r="E481" s="10">
        <v>0</v>
      </c>
      <c r="G481" s="10">
        <v>0</v>
      </c>
      <c r="I481" s="10">
        <v>0</v>
      </c>
      <c r="K481" s="10">
        <v>0</v>
      </c>
      <c r="M481" s="10">
        <v>0</v>
      </c>
      <c r="O481" s="10">
        <v>0</v>
      </c>
      <c r="Q481" s="10">
        <v>0</v>
      </c>
      <c r="S481" s="10">
        <v>0</v>
      </c>
      <c r="U481" s="10">
        <v>0</v>
      </c>
      <c r="W481" s="10">
        <v>0</v>
      </c>
      <c r="Y481" s="10">
        <v>0</v>
      </c>
      <c r="AA481" s="10">
        <v>0</v>
      </c>
      <c r="AC481" s="10">
        <v>0</v>
      </c>
      <c r="AE481" s="10">
        <f t="shared" si="10"/>
        <v>0</v>
      </c>
      <c r="AF481" s="10"/>
      <c r="AM481" s="10">
        <f>+'Gen Rev'!AI473-'Gen Exp'!AE481+'Gen Exp'!AI481-AK481</f>
        <v>0</v>
      </c>
    </row>
    <row r="482" spans="1:40" s="21" customFormat="1" ht="12.75" hidden="1">
      <c r="A482" s="1" t="s">
        <v>64</v>
      </c>
      <c r="B482" s="1"/>
      <c r="C482" s="23" t="s">
        <v>771</v>
      </c>
      <c r="D482" s="23"/>
      <c r="E482" s="10">
        <v>0</v>
      </c>
      <c r="F482" s="10"/>
      <c r="G482" s="10">
        <v>0</v>
      </c>
      <c r="H482" s="10"/>
      <c r="I482" s="10">
        <v>0</v>
      </c>
      <c r="J482" s="10"/>
      <c r="K482" s="10">
        <v>0</v>
      </c>
      <c r="L482" s="10"/>
      <c r="M482" s="10">
        <v>0</v>
      </c>
      <c r="N482" s="10"/>
      <c r="O482" s="10">
        <v>0</v>
      </c>
      <c r="P482" s="10"/>
      <c r="Q482" s="10">
        <v>0</v>
      </c>
      <c r="R482" s="10"/>
      <c r="S482" s="10">
        <v>0</v>
      </c>
      <c r="T482" s="10"/>
      <c r="U482" s="10">
        <v>0</v>
      </c>
      <c r="V482" s="10"/>
      <c r="W482" s="10">
        <v>0</v>
      </c>
      <c r="X482" s="10"/>
      <c r="Y482" s="10">
        <v>0</v>
      </c>
      <c r="Z482" s="10"/>
      <c r="AA482" s="10">
        <v>0</v>
      </c>
      <c r="AB482" s="10"/>
      <c r="AC482" s="10">
        <v>0</v>
      </c>
      <c r="AD482" s="10"/>
      <c r="AE482" s="10">
        <f t="shared" si="10"/>
        <v>0</v>
      </c>
      <c r="AF482" s="10"/>
      <c r="AG482" s="46"/>
      <c r="AH482" s="46"/>
      <c r="AI482" s="46"/>
      <c r="AJ482" s="46"/>
      <c r="AK482" s="46"/>
      <c r="AL482" s="46"/>
      <c r="AM482" s="10">
        <f>+'Gen Rev'!AI474-'Gen Exp'!AE482+'Gen Exp'!AI482-AK482</f>
        <v>0</v>
      </c>
      <c r="AN482" s="46"/>
    </row>
    <row r="483" spans="1:40" s="21" customFormat="1" ht="12.75" hidden="1">
      <c r="A483" s="1"/>
      <c r="B483" s="1"/>
      <c r="C483" s="23"/>
      <c r="D483" s="23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 t="s">
        <v>869</v>
      </c>
      <c r="AF483" s="10"/>
      <c r="AG483" s="46"/>
      <c r="AH483" s="46"/>
      <c r="AI483" s="46"/>
      <c r="AJ483" s="46"/>
      <c r="AK483" s="46"/>
      <c r="AL483" s="46"/>
      <c r="AM483" s="10"/>
      <c r="AN483" s="46"/>
    </row>
    <row r="484" spans="1:40" s="40" customFormat="1" ht="12.75" hidden="1">
      <c r="A484" s="40" t="s">
        <v>209</v>
      </c>
      <c r="C484" s="55" t="s">
        <v>814</v>
      </c>
      <c r="D484" s="55"/>
      <c r="E484" s="40">
        <v>0</v>
      </c>
      <c r="G484" s="40">
        <v>0</v>
      </c>
      <c r="I484" s="40">
        <v>0</v>
      </c>
      <c r="K484" s="40">
        <v>0</v>
      </c>
      <c r="M484" s="40">
        <v>0</v>
      </c>
      <c r="O484" s="40">
        <v>0</v>
      </c>
      <c r="Q484" s="40">
        <v>0</v>
      </c>
      <c r="S484" s="40">
        <v>0</v>
      </c>
      <c r="U484" s="40">
        <v>0</v>
      </c>
      <c r="W484" s="40">
        <v>0</v>
      </c>
      <c r="Y484" s="40">
        <v>0</v>
      </c>
      <c r="AA484" s="40">
        <v>0</v>
      </c>
      <c r="AC484" s="40">
        <v>0</v>
      </c>
      <c r="AE484" s="40">
        <f t="shared" si="10"/>
        <v>0</v>
      </c>
      <c r="AG484" s="10"/>
      <c r="AH484" s="10"/>
      <c r="AI484" s="10"/>
      <c r="AJ484" s="10"/>
      <c r="AK484" s="10"/>
      <c r="AL484" s="10"/>
      <c r="AM484" s="10">
        <f>+'Gen Rev'!AI475-'Gen Exp'!AE484+'Gen Exp'!AI484-AK484</f>
        <v>0</v>
      </c>
      <c r="AN484" s="10"/>
    </row>
    <row r="485" spans="1:40" s="21" customFormat="1" hidden="1">
      <c r="A485" s="1" t="s">
        <v>512</v>
      </c>
      <c r="B485" s="1"/>
      <c r="C485" s="1" t="s">
        <v>513</v>
      </c>
      <c r="D485" s="1"/>
      <c r="E485" s="10">
        <v>0</v>
      </c>
      <c r="F485" s="10"/>
      <c r="G485" s="10">
        <v>0</v>
      </c>
      <c r="H485" s="10"/>
      <c r="I485" s="10">
        <v>0</v>
      </c>
      <c r="J485" s="10"/>
      <c r="K485" s="10">
        <v>0</v>
      </c>
      <c r="L485" s="10"/>
      <c r="M485" s="10">
        <v>0</v>
      </c>
      <c r="N485" s="10"/>
      <c r="O485" s="10">
        <v>0</v>
      </c>
      <c r="P485" s="10"/>
      <c r="Q485" s="10">
        <v>0</v>
      </c>
      <c r="R485" s="10"/>
      <c r="S485" s="10">
        <v>0</v>
      </c>
      <c r="T485" s="10"/>
      <c r="U485" s="10">
        <v>0</v>
      </c>
      <c r="V485" s="10"/>
      <c r="W485" s="10">
        <v>0</v>
      </c>
      <c r="X485" s="10"/>
      <c r="Y485" s="10">
        <v>0</v>
      </c>
      <c r="Z485" s="10"/>
      <c r="AA485" s="10">
        <v>0</v>
      </c>
      <c r="AB485" s="10"/>
      <c r="AC485" s="10">
        <v>0</v>
      </c>
      <c r="AD485" s="10"/>
      <c r="AE485" s="10">
        <f t="shared" si="10"/>
        <v>0</v>
      </c>
      <c r="AF485" s="10"/>
      <c r="AG485" s="10"/>
      <c r="AH485" s="10"/>
      <c r="AI485" s="10"/>
      <c r="AJ485" s="10"/>
      <c r="AK485" s="10"/>
      <c r="AL485" s="10"/>
      <c r="AM485" s="10">
        <f>+'Gen Rev'!AI476-'Gen Exp'!AE485+'Gen Exp'!AI485-AK485</f>
        <v>0</v>
      </c>
      <c r="AN485" s="10"/>
    </row>
    <row r="486" spans="1:40" ht="12.75" hidden="1">
      <c r="A486" s="1" t="s">
        <v>146</v>
      </c>
      <c r="C486" s="23" t="s">
        <v>795</v>
      </c>
      <c r="D486" s="23"/>
      <c r="E486" s="10">
        <v>0</v>
      </c>
      <c r="G486" s="10">
        <v>0</v>
      </c>
      <c r="I486" s="10">
        <v>0</v>
      </c>
      <c r="K486" s="10">
        <v>0</v>
      </c>
      <c r="M486" s="10">
        <v>0</v>
      </c>
      <c r="O486" s="10">
        <v>0</v>
      </c>
      <c r="Q486" s="10">
        <v>0</v>
      </c>
      <c r="S486" s="10">
        <v>0</v>
      </c>
      <c r="U486" s="10">
        <v>0</v>
      </c>
      <c r="W486" s="10">
        <v>0</v>
      </c>
      <c r="Y486" s="10">
        <v>0</v>
      </c>
      <c r="AA486" s="10">
        <v>0</v>
      </c>
      <c r="AC486" s="10">
        <v>0</v>
      </c>
      <c r="AE486" s="10">
        <f t="shared" si="10"/>
        <v>0</v>
      </c>
      <c r="AF486" s="10"/>
      <c r="AM486" s="10">
        <f>+'Gen Rev'!AI477-'Gen Exp'!AE486+'Gen Exp'!AI486-AK486</f>
        <v>0</v>
      </c>
    </row>
    <row r="487" spans="1:40" ht="12.75" hidden="1">
      <c r="A487" s="1" t="s">
        <v>684</v>
      </c>
      <c r="C487" s="23" t="s">
        <v>672</v>
      </c>
      <c r="D487" s="23"/>
      <c r="E487" s="10">
        <v>0</v>
      </c>
      <c r="G487" s="10">
        <v>0</v>
      </c>
      <c r="I487" s="10">
        <v>0</v>
      </c>
      <c r="K487" s="10">
        <v>0</v>
      </c>
      <c r="M487" s="10">
        <v>0</v>
      </c>
      <c r="O487" s="10">
        <v>0</v>
      </c>
      <c r="Q487" s="10">
        <v>0</v>
      </c>
      <c r="S487" s="10">
        <v>0</v>
      </c>
      <c r="U487" s="10">
        <v>0</v>
      </c>
      <c r="W487" s="10">
        <v>0</v>
      </c>
      <c r="Y487" s="10">
        <v>0</v>
      </c>
      <c r="AA487" s="10">
        <v>0</v>
      </c>
      <c r="AC487" s="10">
        <v>0</v>
      </c>
      <c r="AE487" s="10">
        <f t="shared" si="10"/>
        <v>0</v>
      </c>
      <c r="AF487" s="10"/>
      <c r="AG487" s="46"/>
      <c r="AH487" s="46"/>
      <c r="AI487" s="46"/>
      <c r="AJ487" s="46"/>
      <c r="AK487" s="46"/>
      <c r="AL487" s="46"/>
      <c r="AM487" s="10">
        <f>+'Gen Rev'!AI478-'Gen Exp'!AE487+'Gen Exp'!AI487-AK487</f>
        <v>0</v>
      </c>
      <c r="AN487" s="46"/>
    </row>
    <row r="488" spans="1:40" ht="12.75" hidden="1">
      <c r="A488" s="1" t="s">
        <v>157</v>
      </c>
      <c r="C488" s="23" t="s">
        <v>798</v>
      </c>
      <c r="D488" s="23"/>
      <c r="E488" s="10">
        <v>0</v>
      </c>
      <c r="G488" s="10">
        <v>0</v>
      </c>
      <c r="I488" s="10">
        <v>0</v>
      </c>
      <c r="K488" s="10">
        <v>0</v>
      </c>
      <c r="M488" s="10">
        <v>0</v>
      </c>
      <c r="O488" s="10">
        <v>0</v>
      </c>
      <c r="Q488" s="10">
        <v>0</v>
      </c>
      <c r="S488" s="10">
        <v>0</v>
      </c>
      <c r="U488" s="10">
        <v>0</v>
      </c>
      <c r="W488" s="10">
        <v>0</v>
      </c>
      <c r="Y488" s="10">
        <v>0</v>
      </c>
      <c r="AA488" s="10">
        <v>0</v>
      </c>
      <c r="AC488" s="10">
        <v>0</v>
      </c>
      <c r="AE488" s="10">
        <f t="shared" si="10"/>
        <v>0</v>
      </c>
      <c r="AF488" s="10"/>
      <c r="AM488" s="10">
        <f>+'Gen Rev'!AI479-'Gen Exp'!AE488+'Gen Exp'!AI488-AK488</f>
        <v>0</v>
      </c>
    </row>
    <row r="489" spans="1:40">
      <c r="A489" s="1" t="s">
        <v>921</v>
      </c>
      <c r="C489" s="1" t="s">
        <v>541</v>
      </c>
      <c r="E489" s="10">
        <v>33981</v>
      </c>
      <c r="G489" s="10">
        <v>682</v>
      </c>
      <c r="I489" s="10">
        <v>0</v>
      </c>
      <c r="K489" s="10">
        <v>128</v>
      </c>
      <c r="M489" s="10">
        <v>1690</v>
      </c>
      <c r="O489" s="10">
        <v>0</v>
      </c>
      <c r="Q489" s="10">
        <v>27034</v>
      </c>
      <c r="S489" s="10">
        <v>0</v>
      </c>
      <c r="U489" s="10">
        <v>0</v>
      </c>
      <c r="W489" s="10">
        <v>0</v>
      </c>
      <c r="Y489" s="10">
        <v>0</v>
      </c>
      <c r="AA489" s="10">
        <v>0</v>
      </c>
      <c r="AC489" s="10">
        <v>0</v>
      </c>
      <c r="AE489" s="10">
        <f>SUM(E489:AC489)</f>
        <v>63515</v>
      </c>
      <c r="AF489" s="10"/>
      <c r="AG489" s="10">
        <f>70009-63515</f>
        <v>6494</v>
      </c>
      <c r="AI489" s="10">
        <v>12647</v>
      </c>
      <c r="AK489" s="10">
        <v>19141</v>
      </c>
      <c r="AM489" s="10">
        <f>+'Gen Rev'!AI480-'Gen Exp'!AE489+'Gen Exp'!AI489-AK489</f>
        <v>0</v>
      </c>
    </row>
    <row r="490" spans="1:40">
      <c r="A490" s="1" t="s">
        <v>685</v>
      </c>
      <c r="C490" s="1" t="s">
        <v>565</v>
      </c>
      <c r="E490" s="10">
        <v>25318</v>
      </c>
      <c r="G490" s="10">
        <v>0</v>
      </c>
      <c r="I490" s="10">
        <v>0</v>
      </c>
      <c r="K490" s="10">
        <v>0</v>
      </c>
      <c r="M490" s="10">
        <v>0</v>
      </c>
      <c r="O490" s="10">
        <v>0</v>
      </c>
      <c r="Q490" s="10">
        <f>21285+6277+3722+8530+986+3242+17074</f>
        <v>61116</v>
      </c>
      <c r="S490" s="10">
        <v>0</v>
      </c>
      <c r="U490" s="10">
        <v>0</v>
      </c>
      <c r="W490" s="10">
        <v>0</v>
      </c>
      <c r="Y490" s="10">
        <v>0</v>
      </c>
      <c r="AA490" s="10">
        <v>0</v>
      </c>
      <c r="AC490" s="10">
        <v>0</v>
      </c>
      <c r="AE490" s="10">
        <f t="shared" si="10"/>
        <v>86434</v>
      </c>
      <c r="AF490" s="10"/>
      <c r="AG490" s="10">
        <v>15868</v>
      </c>
      <c r="AI490" s="10">
        <f>14340-15868</f>
        <v>-1528</v>
      </c>
      <c r="AK490" s="10">
        <v>14340</v>
      </c>
      <c r="AM490" s="10">
        <f>+'Gen Rev'!AI481-'Gen Exp'!AE490+'Gen Exp'!AI490-AK490</f>
        <v>0</v>
      </c>
    </row>
    <row r="491" spans="1:40" s="21" customFormat="1" ht="12.6" hidden="1" customHeight="1">
      <c r="A491" s="1" t="s">
        <v>303</v>
      </c>
      <c r="B491" s="1"/>
      <c r="C491" s="1" t="s">
        <v>299</v>
      </c>
      <c r="D491" s="1"/>
      <c r="E491" s="10">
        <v>0</v>
      </c>
      <c r="F491" s="10"/>
      <c r="G491" s="10">
        <v>0</v>
      </c>
      <c r="H491" s="10"/>
      <c r="I491" s="10">
        <v>0</v>
      </c>
      <c r="J491" s="10"/>
      <c r="K491" s="10">
        <v>0</v>
      </c>
      <c r="L491" s="10"/>
      <c r="M491" s="10">
        <v>0</v>
      </c>
      <c r="N491" s="10"/>
      <c r="O491" s="10">
        <v>0</v>
      </c>
      <c r="P491" s="10"/>
      <c r="Q491" s="10">
        <v>0</v>
      </c>
      <c r="R491" s="10"/>
      <c r="S491" s="10">
        <v>0</v>
      </c>
      <c r="T491" s="10"/>
      <c r="U491" s="10">
        <v>0</v>
      </c>
      <c r="V491" s="10"/>
      <c r="W491" s="10">
        <v>0</v>
      </c>
      <c r="X491" s="10"/>
      <c r="Y491" s="10">
        <v>0</v>
      </c>
      <c r="Z491" s="10"/>
      <c r="AA491" s="10">
        <v>0</v>
      </c>
      <c r="AB491" s="10"/>
      <c r="AC491" s="10">
        <v>0</v>
      </c>
      <c r="AD491" s="10"/>
      <c r="AE491" s="10">
        <f t="shared" si="10"/>
        <v>0</v>
      </c>
      <c r="AF491" s="10"/>
      <c r="AG491" s="46"/>
      <c r="AH491" s="46"/>
      <c r="AI491" s="46"/>
      <c r="AJ491" s="46"/>
      <c r="AK491" s="46"/>
      <c r="AL491" s="46"/>
      <c r="AM491" s="10">
        <f>+'Gen Rev'!AI482-'Gen Exp'!AE491+'Gen Exp'!AI491-AK491</f>
        <v>0</v>
      </c>
      <c r="AN491" s="46"/>
    </row>
    <row r="492" spans="1:40" ht="12.75" hidden="1">
      <c r="A492" s="1" t="s">
        <v>259</v>
      </c>
      <c r="C492" s="23" t="s">
        <v>830</v>
      </c>
      <c r="D492" s="23"/>
      <c r="E492" s="10">
        <v>0</v>
      </c>
      <c r="G492" s="10">
        <v>0</v>
      </c>
      <c r="I492" s="10">
        <v>0</v>
      </c>
      <c r="K492" s="10">
        <v>0</v>
      </c>
      <c r="M492" s="10">
        <v>0</v>
      </c>
      <c r="O492" s="10">
        <v>0</v>
      </c>
      <c r="Q492" s="10">
        <v>0</v>
      </c>
      <c r="S492" s="10">
        <v>0</v>
      </c>
      <c r="U492" s="10">
        <v>0</v>
      </c>
      <c r="W492" s="10">
        <v>0</v>
      </c>
      <c r="Y492" s="10">
        <v>0</v>
      </c>
      <c r="AA492" s="10">
        <v>0</v>
      </c>
      <c r="AC492" s="10">
        <v>0</v>
      </c>
      <c r="AE492" s="10">
        <f t="shared" si="10"/>
        <v>0</v>
      </c>
      <c r="AF492" s="10"/>
      <c r="AM492" s="10">
        <f>+'Gen Rev'!AI483-'Gen Exp'!AE492+'Gen Exp'!AI492-AK492</f>
        <v>0</v>
      </c>
    </row>
    <row r="493" spans="1:40" hidden="1">
      <c r="A493" s="1" t="s">
        <v>474</v>
      </c>
      <c r="C493" s="1" t="s">
        <v>473</v>
      </c>
      <c r="E493" s="10">
        <v>0</v>
      </c>
      <c r="G493" s="10">
        <v>0</v>
      </c>
      <c r="I493" s="10">
        <v>0</v>
      </c>
      <c r="K493" s="10">
        <v>0</v>
      </c>
      <c r="M493" s="10">
        <v>0</v>
      </c>
      <c r="O493" s="10">
        <v>0</v>
      </c>
      <c r="Q493" s="10">
        <v>0</v>
      </c>
      <c r="S493" s="10">
        <v>0</v>
      </c>
      <c r="U493" s="10">
        <v>0</v>
      </c>
      <c r="W493" s="10">
        <v>0</v>
      </c>
      <c r="Y493" s="10">
        <v>0</v>
      </c>
      <c r="AA493" s="10">
        <v>0</v>
      </c>
      <c r="AC493" s="10">
        <v>0</v>
      </c>
      <c r="AE493" s="10">
        <f t="shared" si="10"/>
        <v>0</v>
      </c>
      <c r="AF493" s="10"/>
      <c r="AM493" s="10">
        <f>+'Gen Rev'!AI484-'Gen Exp'!AE493+'Gen Exp'!AI493-AK493</f>
        <v>0</v>
      </c>
    </row>
    <row r="494" spans="1:40" s="21" customFormat="1" ht="12.75" hidden="1">
      <c r="A494" s="1" t="s">
        <v>19</v>
      </c>
      <c r="B494" s="1"/>
      <c r="C494" s="23" t="s">
        <v>755</v>
      </c>
      <c r="D494" s="23"/>
      <c r="E494" s="10">
        <v>0</v>
      </c>
      <c r="F494" s="10"/>
      <c r="G494" s="10">
        <v>0</v>
      </c>
      <c r="H494" s="10"/>
      <c r="I494" s="10">
        <v>0</v>
      </c>
      <c r="J494" s="10"/>
      <c r="K494" s="10">
        <v>0</v>
      </c>
      <c r="L494" s="10"/>
      <c r="M494" s="10">
        <v>0</v>
      </c>
      <c r="N494" s="10"/>
      <c r="O494" s="10">
        <v>0</v>
      </c>
      <c r="P494" s="10"/>
      <c r="Q494" s="10">
        <v>0</v>
      </c>
      <c r="R494" s="10"/>
      <c r="S494" s="10">
        <v>0</v>
      </c>
      <c r="T494" s="10"/>
      <c r="U494" s="10">
        <v>0</v>
      </c>
      <c r="V494" s="10"/>
      <c r="W494" s="10">
        <v>0</v>
      </c>
      <c r="X494" s="10"/>
      <c r="Y494" s="10">
        <v>0</v>
      </c>
      <c r="Z494" s="10"/>
      <c r="AA494" s="10">
        <v>0</v>
      </c>
      <c r="AB494" s="10"/>
      <c r="AC494" s="10">
        <v>0</v>
      </c>
      <c r="AD494" s="10"/>
      <c r="AE494" s="10">
        <f t="shared" si="10"/>
        <v>0</v>
      </c>
      <c r="AF494" s="10"/>
      <c r="AG494" s="46"/>
      <c r="AH494" s="46"/>
      <c r="AI494" s="46"/>
      <c r="AJ494" s="46"/>
      <c r="AK494" s="46"/>
      <c r="AL494" s="46"/>
      <c r="AM494" s="10">
        <f>+'Gen Rev'!AI485-'Gen Exp'!AE494+'Gen Exp'!AI494-AK494</f>
        <v>0</v>
      </c>
      <c r="AN494" s="46"/>
    </row>
    <row r="495" spans="1:40" hidden="1">
      <c r="A495" s="1" t="s">
        <v>127</v>
      </c>
      <c r="C495" s="1" t="s">
        <v>437</v>
      </c>
      <c r="E495" s="10">
        <v>0</v>
      </c>
      <c r="G495" s="10">
        <v>0</v>
      </c>
      <c r="I495" s="10">
        <v>0</v>
      </c>
      <c r="K495" s="10">
        <v>0</v>
      </c>
      <c r="M495" s="10">
        <v>0</v>
      </c>
      <c r="O495" s="10">
        <v>0</v>
      </c>
      <c r="Q495" s="10">
        <v>0</v>
      </c>
      <c r="S495" s="10">
        <v>0</v>
      </c>
      <c r="U495" s="10">
        <v>0</v>
      </c>
      <c r="W495" s="10">
        <v>0</v>
      </c>
      <c r="Y495" s="10">
        <v>0</v>
      </c>
      <c r="AA495" s="10">
        <v>0</v>
      </c>
      <c r="AC495" s="10">
        <v>0</v>
      </c>
      <c r="AE495" s="10">
        <f t="shared" si="10"/>
        <v>0</v>
      </c>
      <c r="AF495" s="10"/>
      <c r="AM495" s="10">
        <f>+'Gen Rev'!AI486-'Gen Exp'!AE495+'Gen Exp'!AI495-AK495</f>
        <v>0</v>
      </c>
    </row>
    <row r="496" spans="1:40" s="21" customFormat="1" ht="12.75" hidden="1">
      <c r="A496" s="1" t="s">
        <v>127</v>
      </c>
      <c r="B496" s="1"/>
      <c r="C496" s="23" t="s">
        <v>789</v>
      </c>
      <c r="D496" s="23"/>
      <c r="E496" s="10">
        <v>0</v>
      </c>
      <c r="F496" s="10"/>
      <c r="G496" s="10">
        <v>0</v>
      </c>
      <c r="H496" s="10"/>
      <c r="I496" s="10">
        <v>0</v>
      </c>
      <c r="J496" s="10"/>
      <c r="K496" s="10">
        <v>0</v>
      </c>
      <c r="L496" s="10"/>
      <c r="M496" s="10">
        <v>0</v>
      </c>
      <c r="N496" s="10"/>
      <c r="O496" s="10">
        <v>0</v>
      </c>
      <c r="P496" s="10"/>
      <c r="Q496" s="10">
        <v>0</v>
      </c>
      <c r="R496" s="10"/>
      <c r="S496" s="10">
        <v>0</v>
      </c>
      <c r="T496" s="10"/>
      <c r="U496" s="10">
        <v>0</v>
      </c>
      <c r="V496" s="10"/>
      <c r="W496" s="10">
        <v>0</v>
      </c>
      <c r="X496" s="10"/>
      <c r="Y496" s="10">
        <v>0</v>
      </c>
      <c r="Z496" s="10"/>
      <c r="AA496" s="10">
        <v>0</v>
      </c>
      <c r="AB496" s="10"/>
      <c r="AC496" s="10">
        <v>0</v>
      </c>
      <c r="AD496" s="10"/>
      <c r="AE496" s="10">
        <f t="shared" si="10"/>
        <v>0</v>
      </c>
      <c r="AF496" s="10"/>
      <c r="AG496" s="10"/>
      <c r="AH496" s="10"/>
      <c r="AI496" s="10"/>
      <c r="AJ496" s="10"/>
      <c r="AK496" s="10"/>
      <c r="AL496" s="10"/>
      <c r="AM496" s="10">
        <f>+'Gen Rev'!AI487-'Gen Exp'!AE496+'Gen Exp'!AI496-AK496</f>
        <v>0</v>
      </c>
      <c r="AN496" s="10"/>
    </row>
    <row r="497" spans="1:40" ht="12.75" hidden="1">
      <c r="A497" s="1" t="s">
        <v>150</v>
      </c>
      <c r="C497" s="23" t="s">
        <v>796</v>
      </c>
      <c r="D497" s="23"/>
      <c r="E497" s="10">
        <v>0</v>
      </c>
      <c r="G497" s="10">
        <v>0</v>
      </c>
      <c r="I497" s="10">
        <v>0</v>
      </c>
      <c r="K497" s="10">
        <v>0</v>
      </c>
      <c r="M497" s="10">
        <v>0</v>
      </c>
      <c r="O497" s="10">
        <v>0</v>
      </c>
      <c r="Q497" s="10">
        <v>0</v>
      </c>
      <c r="S497" s="10">
        <v>0</v>
      </c>
      <c r="U497" s="10">
        <v>0</v>
      </c>
      <c r="W497" s="10">
        <v>0</v>
      </c>
      <c r="Y497" s="10">
        <v>0</v>
      </c>
      <c r="AA497" s="10">
        <v>0</v>
      </c>
      <c r="AC497" s="10">
        <v>0</v>
      </c>
      <c r="AE497" s="10">
        <f t="shared" si="10"/>
        <v>0</v>
      </c>
      <c r="AF497" s="10"/>
      <c r="AM497" s="10">
        <f>+'Gen Rev'!AI488-'Gen Exp'!AE497+'Gen Exp'!AI497-AK497</f>
        <v>0</v>
      </c>
    </row>
    <row r="498" spans="1:40" ht="12.75" hidden="1">
      <c r="A498" s="1" t="s">
        <v>181</v>
      </c>
      <c r="C498" s="23" t="s">
        <v>807</v>
      </c>
      <c r="D498" s="23"/>
      <c r="E498" s="10">
        <v>0</v>
      </c>
      <c r="G498" s="10">
        <v>0</v>
      </c>
      <c r="I498" s="10">
        <v>0</v>
      </c>
      <c r="K498" s="10">
        <v>0</v>
      </c>
      <c r="M498" s="10">
        <v>0</v>
      </c>
      <c r="O498" s="10">
        <v>0</v>
      </c>
      <c r="Q498" s="10">
        <v>0</v>
      </c>
      <c r="S498" s="10">
        <v>0</v>
      </c>
      <c r="U498" s="10">
        <v>0</v>
      </c>
      <c r="W498" s="10">
        <v>0</v>
      </c>
      <c r="Y498" s="10">
        <v>0</v>
      </c>
      <c r="AA498" s="10">
        <v>0</v>
      </c>
      <c r="AC498" s="10">
        <v>0</v>
      </c>
      <c r="AE498" s="10">
        <f t="shared" si="10"/>
        <v>0</v>
      </c>
      <c r="AF498" s="10"/>
      <c r="AM498" s="10">
        <f>+'Gen Rev'!AI489-'Gen Exp'!AE498+'Gen Exp'!AI498-AK498</f>
        <v>0</v>
      </c>
    </row>
    <row r="499" spans="1:40" ht="12.75" hidden="1">
      <c r="A499" s="1" t="s">
        <v>89</v>
      </c>
      <c r="C499" s="23" t="s">
        <v>777</v>
      </c>
      <c r="D499" s="23"/>
      <c r="E499" s="10">
        <v>0</v>
      </c>
      <c r="G499" s="10">
        <v>0</v>
      </c>
      <c r="I499" s="10">
        <v>0</v>
      </c>
      <c r="K499" s="10">
        <v>0</v>
      </c>
      <c r="M499" s="10">
        <v>0</v>
      </c>
      <c r="O499" s="10">
        <v>0</v>
      </c>
      <c r="Q499" s="10">
        <v>0</v>
      </c>
      <c r="S499" s="10">
        <v>0</v>
      </c>
      <c r="U499" s="10">
        <v>0</v>
      </c>
      <c r="W499" s="10">
        <v>0</v>
      </c>
      <c r="Y499" s="10">
        <v>0</v>
      </c>
      <c r="AA499" s="10">
        <v>0</v>
      </c>
      <c r="AC499" s="10">
        <v>0</v>
      </c>
      <c r="AE499" s="10">
        <f t="shared" si="10"/>
        <v>0</v>
      </c>
      <c r="AF499" s="10"/>
      <c r="AM499" s="10">
        <f>+'Gen Rev'!AI490-'Gen Exp'!AE499+'Gen Exp'!AI499-AK499</f>
        <v>0</v>
      </c>
    </row>
    <row r="500" spans="1:40" s="21" customFormat="1" ht="12.75" hidden="1">
      <c r="A500" s="1" t="s">
        <v>134</v>
      </c>
      <c r="B500" s="1"/>
      <c r="C500" s="23" t="s">
        <v>791</v>
      </c>
      <c r="D500" s="23"/>
      <c r="E500" s="10">
        <v>0</v>
      </c>
      <c r="F500" s="10"/>
      <c r="G500" s="10">
        <v>0</v>
      </c>
      <c r="H500" s="10"/>
      <c r="I500" s="10">
        <v>0</v>
      </c>
      <c r="J500" s="10"/>
      <c r="K500" s="10">
        <v>0</v>
      </c>
      <c r="L500" s="10"/>
      <c r="M500" s="10">
        <v>0</v>
      </c>
      <c r="N500" s="10"/>
      <c r="O500" s="10">
        <v>0</v>
      </c>
      <c r="P500" s="10"/>
      <c r="Q500" s="10">
        <v>0</v>
      </c>
      <c r="R500" s="10"/>
      <c r="S500" s="10">
        <v>0</v>
      </c>
      <c r="T500" s="10"/>
      <c r="U500" s="10">
        <v>0</v>
      </c>
      <c r="V500" s="10"/>
      <c r="W500" s="10">
        <v>0</v>
      </c>
      <c r="X500" s="10"/>
      <c r="Y500" s="10">
        <v>0</v>
      </c>
      <c r="Z500" s="10"/>
      <c r="AA500" s="10">
        <v>0</v>
      </c>
      <c r="AB500" s="10"/>
      <c r="AC500" s="10">
        <v>0</v>
      </c>
      <c r="AD500" s="10"/>
      <c r="AE500" s="10">
        <f t="shared" si="10"/>
        <v>0</v>
      </c>
      <c r="AF500" s="10"/>
      <c r="AG500" s="10"/>
      <c r="AH500" s="10"/>
      <c r="AI500" s="10"/>
      <c r="AJ500" s="10"/>
      <c r="AK500" s="10"/>
      <c r="AL500" s="10"/>
      <c r="AM500" s="10">
        <f>+'Gen Rev'!AI491-'Gen Exp'!AE500+'Gen Exp'!AI500-AK500</f>
        <v>0</v>
      </c>
      <c r="AN500" s="10"/>
    </row>
    <row r="501" spans="1:40" ht="12.75" hidden="1">
      <c r="A501" s="1" t="s">
        <v>158</v>
      </c>
      <c r="C501" s="23" t="s">
        <v>798</v>
      </c>
      <c r="D501" s="23"/>
      <c r="E501" s="10">
        <v>0</v>
      </c>
      <c r="G501" s="10">
        <v>0</v>
      </c>
      <c r="I501" s="10">
        <v>0</v>
      </c>
      <c r="K501" s="10">
        <v>0</v>
      </c>
      <c r="M501" s="10">
        <v>0</v>
      </c>
      <c r="O501" s="10">
        <v>0</v>
      </c>
      <c r="Q501" s="10">
        <v>0</v>
      </c>
      <c r="S501" s="10">
        <v>0</v>
      </c>
      <c r="U501" s="10">
        <v>0</v>
      </c>
      <c r="W501" s="10">
        <v>0</v>
      </c>
      <c r="Y501" s="10">
        <v>0</v>
      </c>
      <c r="AA501" s="10">
        <v>0</v>
      </c>
      <c r="AC501" s="10">
        <v>0</v>
      </c>
      <c r="AE501" s="10">
        <f t="shared" si="10"/>
        <v>0</v>
      </c>
      <c r="AF501" s="10"/>
      <c r="AM501" s="10">
        <f>+'Gen Rev'!AI491-'Gen Exp'!AE501+'Gen Exp'!AI501-AK501</f>
        <v>0</v>
      </c>
    </row>
    <row r="502" spans="1:40">
      <c r="A502" s="1" t="s">
        <v>535</v>
      </c>
      <c r="C502" s="1" t="s">
        <v>534</v>
      </c>
      <c r="E502" s="10">
        <v>9360</v>
      </c>
      <c r="G502" s="10">
        <v>930</v>
      </c>
      <c r="I502" s="10">
        <v>0</v>
      </c>
      <c r="K502" s="10">
        <v>0</v>
      </c>
      <c r="M502" s="10">
        <v>0</v>
      </c>
      <c r="O502" s="10">
        <v>0</v>
      </c>
      <c r="Q502" s="10">
        <v>3810</v>
      </c>
      <c r="S502" s="10">
        <v>0</v>
      </c>
      <c r="U502" s="10">
        <v>0</v>
      </c>
      <c r="W502" s="10">
        <v>0</v>
      </c>
      <c r="Y502" s="10">
        <v>0</v>
      </c>
      <c r="AA502" s="10">
        <v>0</v>
      </c>
      <c r="AC502" s="10">
        <v>0</v>
      </c>
      <c r="AE502" s="10">
        <f t="shared" si="10"/>
        <v>14100</v>
      </c>
      <c r="AF502" s="10"/>
      <c r="AG502" s="10">
        <v>13918</v>
      </c>
      <c r="AI502" s="10">
        <v>15063</v>
      </c>
      <c r="AK502" s="10">
        <v>28981</v>
      </c>
      <c r="AM502" s="10">
        <f>+'Gen Rev'!AI492-'Gen Exp'!AE502+'Gen Exp'!AI502-AK502</f>
        <v>0</v>
      </c>
    </row>
    <row r="503" spans="1:40" s="21" customFormat="1" hidden="1">
      <c r="A503" s="1" t="s">
        <v>392</v>
      </c>
      <c r="B503" s="1"/>
      <c r="C503" s="1" t="s">
        <v>388</v>
      </c>
      <c r="D503" s="1"/>
      <c r="E503" s="10">
        <v>0</v>
      </c>
      <c r="F503" s="10"/>
      <c r="G503" s="10">
        <v>0</v>
      </c>
      <c r="H503" s="10"/>
      <c r="I503" s="10">
        <v>0</v>
      </c>
      <c r="J503" s="10"/>
      <c r="K503" s="10">
        <v>0</v>
      </c>
      <c r="L503" s="10"/>
      <c r="M503" s="10">
        <v>0</v>
      </c>
      <c r="N503" s="10"/>
      <c r="O503" s="10">
        <v>0</v>
      </c>
      <c r="P503" s="10"/>
      <c r="Q503" s="10">
        <v>0</v>
      </c>
      <c r="R503" s="10"/>
      <c r="S503" s="10">
        <v>0</v>
      </c>
      <c r="T503" s="10"/>
      <c r="U503" s="10">
        <v>0</v>
      </c>
      <c r="V503" s="10"/>
      <c r="W503" s="10">
        <v>0</v>
      </c>
      <c r="X503" s="10"/>
      <c r="Y503" s="10">
        <v>0</v>
      </c>
      <c r="Z503" s="10"/>
      <c r="AA503" s="10">
        <v>0</v>
      </c>
      <c r="AB503" s="10"/>
      <c r="AC503" s="10">
        <v>0</v>
      </c>
      <c r="AD503" s="10"/>
      <c r="AE503" s="10">
        <f t="shared" si="10"/>
        <v>0</v>
      </c>
      <c r="AF503" s="10"/>
      <c r="AG503" s="10"/>
      <c r="AH503" s="10"/>
      <c r="AI503" s="10"/>
      <c r="AJ503" s="10"/>
      <c r="AK503" s="10"/>
      <c r="AL503" s="10"/>
      <c r="AM503" s="10">
        <f>+'Gen Rev'!AI493-'Gen Exp'!AE503+'Gen Exp'!AI503-AK503</f>
        <v>0</v>
      </c>
      <c r="AN503" s="10"/>
    </row>
    <row r="504" spans="1:40" s="10" customFormat="1" hidden="1">
      <c r="A504" s="10" t="s">
        <v>228</v>
      </c>
      <c r="C504" s="10" t="s">
        <v>554</v>
      </c>
      <c r="E504" s="10">
        <v>0</v>
      </c>
      <c r="G504" s="10">
        <v>0</v>
      </c>
      <c r="I504" s="10">
        <v>0</v>
      </c>
      <c r="K504" s="10">
        <v>0</v>
      </c>
      <c r="M504" s="10">
        <v>0</v>
      </c>
      <c r="O504" s="10">
        <v>0</v>
      </c>
      <c r="Q504" s="10">
        <v>0</v>
      </c>
      <c r="S504" s="10">
        <v>0</v>
      </c>
      <c r="U504" s="10">
        <v>0</v>
      </c>
      <c r="W504" s="10">
        <v>0</v>
      </c>
      <c r="Y504" s="10">
        <v>0</v>
      </c>
      <c r="AA504" s="10">
        <v>0</v>
      </c>
      <c r="AC504" s="10">
        <v>0</v>
      </c>
      <c r="AE504" s="10">
        <f t="shared" si="10"/>
        <v>0</v>
      </c>
    </row>
    <row r="505" spans="1:40" hidden="1">
      <c r="A505" s="1" t="s">
        <v>539</v>
      </c>
      <c r="C505" s="1" t="s">
        <v>537</v>
      </c>
      <c r="E505" s="10">
        <v>0</v>
      </c>
      <c r="G505" s="10">
        <v>0</v>
      </c>
      <c r="I505" s="10">
        <v>0</v>
      </c>
      <c r="K505" s="10">
        <v>0</v>
      </c>
      <c r="M505" s="10">
        <v>0</v>
      </c>
      <c r="O505" s="10">
        <v>0</v>
      </c>
      <c r="Q505" s="10">
        <v>0</v>
      </c>
      <c r="S505" s="10">
        <v>0</v>
      </c>
      <c r="U505" s="10">
        <v>0</v>
      </c>
      <c r="W505" s="10">
        <v>0</v>
      </c>
      <c r="Y505" s="10">
        <v>0</v>
      </c>
      <c r="AA505" s="10">
        <v>0</v>
      </c>
      <c r="AC505" s="10">
        <v>0</v>
      </c>
      <c r="AE505" s="10">
        <f t="shared" si="10"/>
        <v>0</v>
      </c>
      <c r="AF505" s="10"/>
      <c r="AM505" s="10">
        <f>+'Gen Rev'!AI495-'Gen Exp'!AE505+'Gen Exp'!AI505-AK505</f>
        <v>0</v>
      </c>
    </row>
    <row r="506" spans="1:40" hidden="1">
      <c r="A506" s="1" t="s">
        <v>558</v>
      </c>
      <c r="C506" s="1" t="s">
        <v>554</v>
      </c>
      <c r="E506" s="10">
        <v>0</v>
      </c>
      <c r="G506" s="10">
        <v>0</v>
      </c>
      <c r="I506" s="10">
        <v>0</v>
      </c>
      <c r="K506" s="10">
        <v>0</v>
      </c>
      <c r="M506" s="10">
        <v>0</v>
      </c>
      <c r="O506" s="10">
        <v>0</v>
      </c>
      <c r="Q506" s="10">
        <v>0</v>
      </c>
      <c r="S506" s="10">
        <v>0</v>
      </c>
      <c r="U506" s="10">
        <v>0</v>
      </c>
      <c r="W506" s="10">
        <v>0</v>
      </c>
      <c r="Y506" s="10">
        <v>0</v>
      </c>
      <c r="AA506" s="10">
        <v>0</v>
      </c>
      <c r="AC506" s="10">
        <v>0</v>
      </c>
      <c r="AE506" s="10">
        <f t="shared" si="10"/>
        <v>0</v>
      </c>
      <c r="AF506" s="10"/>
      <c r="AM506" s="10">
        <f>+'Gen Rev'!AI498-'Gen Exp'!AE506+'Gen Exp'!AI506-AK506</f>
        <v>0</v>
      </c>
    </row>
    <row r="507" spans="1:40" s="21" customFormat="1" ht="12.75" hidden="1">
      <c r="A507" s="1" t="s">
        <v>119</v>
      </c>
      <c r="B507" s="1"/>
      <c r="C507" s="23" t="s">
        <v>786</v>
      </c>
      <c r="D507" s="23"/>
      <c r="E507" s="10">
        <v>0</v>
      </c>
      <c r="F507" s="10"/>
      <c r="G507" s="10">
        <v>0</v>
      </c>
      <c r="H507" s="10"/>
      <c r="I507" s="10">
        <v>0</v>
      </c>
      <c r="J507" s="10"/>
      <c r="K507" s="10">
        <v>0</v>
      </c>
      <c r="L507" s="10"/>
      <c r="M507" s="10">
        <v>0</v>
      </c>
      <c r="N507" s="10"/>
      <c r="O507" s="10">
        <v>0</v>
      </c>
      <c r="P507" s="10"/>
      <c r="Q507" s="10">
        <v>0</v>
      </c>
      <c r="R507" s="10"/>
      <c r="S507" s="10">
        <v>0</v>
      </c>
      <c r="T507" s="10"/>
      <c r="U507" s="10">
        <v>0</v>
      </c>
      <c r="V507" s="10"/>
      <c r="W507" s="10">
        <v>0</v>
      </c>
      <c r="X507" s="10"/>
      <c r="Y507" s="10">
        <v>0</v>
      </c>
      <c r="Z507" s="10"/>
      <c r="AA507" s="10">
        <v>0</v>
      </c>
      <c r="AB507" s="10"/>
      <c r="AC507" s="10">
        <v>0</v>
      </c>
      <c r="AD507" s="10"/>
      <c r="AE507" s="10">
        <f t="shared" si="10"/>
        <v>0</v>
      </c>
      <c r="AF507" s="10"/>
      <c r="AG507" s="10"/>
      <c r="AH507" s="10"/>
      <c r="AI507" s="10"/>
      <c r="AJ507" s="10"/>
      <c r="AK507" s="10"/>
      <c r="AL507" s="10"/>
      <c r="AM507" s="10">
        <f>+'Gen Rev'!AI499-'Gen Exp'!AE507+'Gen Exp'!AI507-AK507</f>
        <v>0</v>
      </c>
      <c r="AN507" s="10"/>
    </row>
    <row r="508" spans="1:40" ht="12.75" hidden="1">
      <c r="A508" s="1" t="s">
        <v>238</v>
      </c>
      <c r="C508" s="23" t="s">
        <v>824</v>
      </c>
      <c r="D508" s="23"/>
      <c r="E508" s="10">
        <v>0</v>
      </c>
      <c r="G508" s="10">
        <v>0</v>
      </c>
      <c r="I508" s="10">
        <v>0</v>
      </c>
      <c r="K508" s="10">
        <v>0</v>
      </c>
      <c r="M508" s="10">
        <v>0</v>
      </c>
      <c r="O508" s="10">
        <v>0</v>
      </c>
      <c r="Q508" s="10">
        <v>0</v>
      </c>
      <c r="S508" s="10">
        <v>0</v>
      </c>
      <c r="U508" s="10">
        <v>0</v>
      </c>
      <c r="W508" s="10">
        <v>0</v>
      </c>
      <c r="Y508" s="10">
        <v>0</v>
      </c>
      <c r="AA508" s="10">
        <v>0</v>
      </c>
      <c r="AC508" s="10">
        <v>0</v>
      </c>
      <c r="AE508" s="10">
        <f t="shared" si="10"/>
        <v>0</v>
      </c>
      <c r="AF508" s="10"/>
      <c r="AM508" s="10">
        <f>+'Gen Rev'!AI500-'Gen Exp'!AE508+'Gen Exp'!AI508-AK508</f>
        <v>0</v>
      </c>
    </row>
    <row r="509" spans="1:40" s="21" customFormat="1" hidden="1">
      <c r="A509" s="1" t="s">
        <v>401</v>
      </c>
      <c r="B509" s="1"/>
      <c r="C509" s="1" t="s">
        <v>396</v>
      </c>
      <c r="D509" s="1"/>
      <c r="E509" s="10">
        <v>0</v>
      </c>
      <c r="F509" s="10"/>
      <c r="G509" s="10">
        <v>0</v>
      </c>
      <c r="H509" s="10"/>
      <c r="I509" s="10">
        <v>0</v>
      </c>
      <c r="J509" s="10"/>
      <c r="K509" s="10">
        <v>0</v>
      </c>
      <c r="L509" s="10"/>
      <c r="M509" s="10">
        <v>0</v>
      </c>
      <c r="N509" s="10"/>
      <c r="O509" s="10">
        <v>0</v>
      </c>
      <c r="P509" s="10"/>
      <c r="Q509" s="10">
        <v>0</v>
      </c>
      <c r="R509" s="10"/>
      <c r="S509" s="10">
        <v>0</v>
      </c>
      <c r="T509" s="10"/>
      <c r="U509" s="10">
        <v>0</v>
      </c>
      <c r="V509" s="10"/>
      <c r="W509" s="10">
        <v>0</v>
      </c>
      <c r="X509" s="10"/>
      <c r="Y509" s="10">
        <v>0</v>
      </c>
      <c r="Z509" s="10"/>
      <c r="AA509" s="10">
        <v>0</v>
      </c>
      <c r="AB509" s="10"/>
      <c r="AC509" s="10">
        <v>0</v>
      </c>
      <c r="AD509" s="10"/>
      <c r="AE509" s="10">
        <f t="shared" si="10"/>
        <v>0</v>
      </c>
      <c r="AF509" s="10"/>
      <c r="AG509" s="10"/>
      <c r="AH509" s="10"/>
      <c r="AI509" s="10"/>
      <c r="AJ509" s="10"/>
      <c r="AK509" s="10"/>
      <c r="AL509" s="10"/>
      <c r="AM509" s="10">
        <f>+'Gen Rev'!AI501-'Gen Exp'!AE509+'Gen Exp'!AI509-AK509</f>
        <v>0</v>
      </c>
      <c r="AN509" s="10"/>
    </row>
    <row r="510" spans="1:40" ht="12.75" hidden="1">
      <c r="A510" s="1" t="s">
        <v>81</v>
      </c>
      <c r="C510" s="23" t="s">
        <v>775</v>
      </c>
      <c r="D510" s="23"/>
      <c r="E510" s="10">
        <v>0</v>
      </c>
      <c r="G510" s="10">
        <v>0</v>
      </c>
      <c r="I510" s="10">
        <v>0</v>
      </c>
      <c r="K510" s="10">
        <v>0</v>
      </c>
      <c r="M510" s="10">
        <v>0</v>
      </c>
      <c r="O510" s="10">
        <v>0</v>
      </c>
      <c r="Q510" s="10">
        <v>0</v>
      </c>
      <c r="S510" s="10">
        <v>0</v>
      </c>
      <c r="U510" s="10">
        <v>0</v>
      </c>
      <c r="W510" s="10">
        <v>0</v>
      </c>
      <c r="Y510" s="10">
        <v>0</v>
      </c>
      <c r="AA510" s="10">
        <v>0</v>
      </c>
      <c r="AC510" s="10">
        <v>0</v>
      </c>
      <c r="AE510" s="10">
        <f t="shared" si="10"/>
        <v>0</v>
      </c>
      <c r="AF510" s="10"/>
      <c r="AM510" s="10">
        <f>+'Gen Rev'!AI502-'Gen Exp'!AE510+'Gen Exp'!AI510-AK510</f>
        <v>0</v>
      </c>
    </row>
    <row r="511" spans="1:40" s="21" customFormat="1" ht="12.6" hidden="1" customHeight="1">
      <c r="A511" s="1" t="s">
        <v>284</v>
      </c>
      <c r="B511" s="1"/>
      <c r="C511" s="1" t="s">
        <v>283</v>
      </c>
      <c r="D511" s="1"/>
      <c r="E511" s="10">
        <v>0</v>
      </c>
      <c r="F511" s="10"/>
      <c r="G511" s="10">
        <v>0</v>
      </c>
      <c r="H511" s="10"/>
      <c r="I511" s="10">
        <v>0</v>
      </c>
      <c r="J511" s="10"/>
      <c r="K511" s="10">
        <v>0</v>
      </c>
      <c r="L511" s="10"/>
      <c r="M511" s="10">
        <v>0</v>
      </c>
      <c r="N511" s="10"/>
      <c r="O511" s="10">
        <v>0</v>
      </c>
      <c r="P511" s="10"/>
      <c r="Q511" s="10">
        <v>0</v>
      </c>
      <c r="R511" s="10"/>
      <c r="S511" s="10">
        <v>0</v>
      </c>
      <c r="T511" s="10"/>
      <c r="U511" s="10">
        <v>0</v>
      </c>
      <c r="V511" s="10"/>
      <c r="W511" s="10">
        <v>0</v>
      </c>
      <c r="X511" s="10"/>
      <c r="Y511" s="10">
        <v>0</v>
      </c>
      <c r="Z511" s="10"/>
      <c r="AA511" s="10">
        <v>0</v>
      </c>
      <c r="AB511" s="10"/>
      <c r="AC511" s="10">
        <v>0</v>
      </c>
      <c r="AD511" s="10"/>
      <c r="AE511" s="10">
        <f t="shared" si="10"/>
        <v>0</v>
      </c>
      <c r="AF511" s="10"/>
      <c r="AG511" s="46"/>
      <c r="AH511" s="46"/>
      <c r="AI511" s="46"/>
      <c r="AJ511" s="46"/>
      <c r="AK511" s="46"/>
      <c r="AL511" s="46"/>
      <c r="AM511" s="10">
        <f>+'Gen Rev'!AI503-'Gen Exp'!AE511+'Gen Exp'!AI511-AK511</f>
        <v>0</v>
      </c>
      <c r="AN511" s="46"/>
    </row>
    <row r="512" spans="1:40" ht="12.75" hidden="1">
      <c r="A512" s="1" t="s">
        <v>260</v>
      </c>
      <c r="C512" s="23" t="s">
        <v>830</v>
      </c>
      <c r="D512" s="23"/>
      <c r="E512" s="10">
        <v>0</v>
      </c>
      <c r="G512" s="10">
        <v>0</v>
      </c>
      <c r="I512" s="10">
        <v>0</v>
      </c>
      <c r="K512" s="10">
        <v>0</v>
      </c>
      <c r="M512" s="10">
        <v>0</v>
      </c>
      <c r="O512" s="10">
        <v>0</v>
      </c>
      <c r="Q512" s="10">
        <v>0</v>
      </c>
      <c r="S512" s="10">
        <v>0</v>
      </c>
      <c r="U512" s="10">
        <v>0</v>
      </c>
      <c r="W512" s="10">
        <v>0</v>
      </c>
      <c r="Y512" s="10">
        <v>0</v>
      </c>
      <c r="AA512" s="10">
        <v>0</v>
      </c>
      <c r="AC512" s="10">
        <v>0</v>
      </c>
      <c r="AE512" s="10">
        <f t="shared" si="10"/>
        <v>0</v>
      </c>
      <c r="AF512" s="10"/>
      <c r="AM512" s="10">
        <f>+'Gen Rev'!AI504-'Gen Exp'!AE512+'Gen Exp'!AI512-AK512</f>
        <v>0</v>
      </c>
    </row>
    <row r="513" spans="1:40" s="21" customFormat="1" ht="12.6" customHeight="1">
      <c r="A513" s="1" t="s">
        <v>356</v>
      </c>
      <c r="B513" s="1"/>
      <c r="C513" s="1" t="s">
        <v>353</v>
      </c>
      <c r="D513" s="1"/>
      <c r="E513" s="10">
        <v>62201</v>
      </c>
      <c r="F513" s="10"/>
      <c r="G513" s="10">
        <v>4385</v>
      </c>
      <c r="H513" s="10"/>
      <c r="I513" s="10">
        <v>6560</v>
      </c>
      <c r="J513" s="10"/>
      <c r="K513" s="10">
        <v>7249</v>
      </c>
      <c r="L513" s="10"/>
      <c r="M513" s="10">
        <v>57528</v>
      </c>
      <c r="N513" s="10"/>
      <c r="O513" s="10">
        <v>26300</v>
      </c>
      <c r="P513" s="10"/>
      <c r="Q513" s="10">
        <v>72387</v>
      </c>
      <c r="R513" s="10"/>
      <c r="S513" s="10">
        <v>0</v>
      </c>
      <c r="T513" s="10"/>
      <c r="U513" s="10">
        <v>0</v>
      </c>
      <c r="V513" s="10"/>
      <c r="W513" s="10">
        <v>0</v>
      </c>
      <c r="X513" s="10"/>
      <c r="Y513" s="10">
        <v>0</v>
      </c>
      <c r="Z513" s="10"/>
      <c r="AA513" s="10">
        <v>0</v>
      </c>
      <c r="AB513" s="10"/>
      <c r="AC513" s="10">
        <v>0</v>
      </c>
      <c r="AD513" s="10"/>
      <c r="AE513" s="10">
        <f t="shared" si="10"/>
        <v>236610</v>
      </c>
      <c r="AF513" s="10"/>
      <c r="AG513" s="46">
        <v>-41157</v>
      </c>
      <c r="AH513" s="46"/>
      <c r="AI513" s="46">
        <v>645448</v>
      </c>
      <c r="AJ513" s="46"/>
      <c r="AK513" s="46">
        <v>604291</v>
      </c>
      <c r="AL513" s="46"/>
      <c r="AM513" s="10">
        <f>+'Gen Rev'!AI505-'Gen Exp'!AE513+'Gen Exp'!AI513-AK513</f>
        <v>0</v>
      </c>
      <c r="AN513" s="46"/>
    </row>
    <row r="514" spans="1:40" s="21" customFormat="1" ht="12.75">
      <c r="A514" s="1" t="s">
        <v>676</v>
      </c>
      <c r="B514" s="1"/>
      <c r="C514" s="23" t="s">
        <v>677</v>
      </c>
      <c r="D514" s="23"/>
      <c r="E514" s="10">
        <v>43128</v>
      </c>
      <c r="F514" s="10"/>
      <c r="G514" s="10">
        <v>26303</v>
      </c>
      <c r="H514" s="10"/>
      <c r="I514" s="10">
        <v>0</v>
      </c>
      <c r="J514" s="10"/>
      <c r="K514" s="10">
        <v>48772</v>
      </c>
      <c r="L514" s="10"/>
      <c r="M514" s="10">
        <v>0</v>
      </c>
      <c r="N514" s="10"/>
      <c r="O514" s="10">
        <v>0</v>
      </c>
      <c r="P514" s="10"/>
      <c r="Q514" s="10">
        <v>102225</v>
      </c>
      <c r="R514" s="10"/>
      <c r="S514" s="10">
        <v>0</v>
      </c>
      <c r="T514" s="10"/>
      <c r="U514" s="10">
        <v>0</v>
      </c>
      <c r="V514" s="10"/>
      <c r="W514" s="10">
        <v>0</v>
      </c>
      <c r="X514" s="10"/>
      <c r="Y514" s="10">
        <v>0</v>
      </c>
      <c r="Z514" s="10"/>
      <c r="AA514" s="10">
        <v>5520</v>
      </c>
      <c r="AB514" s="10"/>
      <c r="AC514" s="10">
        <v>3000</v>
      </c>
      <c r="AD514" s="10"/>
      <c r="AE514" s="10">
        <f t="shared" si="10"/>
        <v>228948</v>
      </c>
      <c r="AF514" s="10"/>
      <c r="AG514" s="46">
        <v>-23690</v>
      </c>
      <c r="AH514" s="46"/>
      <c r="AI514" s="46">
        <v>270996</v>
      </c>
      <c r="AJ514" s="46"/>
      <c r="AK514" s="46">
        <v>247305</v>
      </c>
      <c r="AL514" s="46"/>
      <c r="AM514" s="10">
        <f>+'Gen Rev'!AI506-'Gen Exp'!AE514+'Gen Exp'!AI514-AK514</f>
        <v>0</v>
      </c>
      <c r="AN514" s="46"/>
    </row>
    <row r="515" spans="1:40" s="21" customFormat="1" ht="12.75" hidden="1">
      <c r="A515" s="1" t="s">
        <v>138</v>
      </c>
      <c r="B515" s="1"/>
      <c r="C515" s="23" t="s">
        <v>792</v>
      </c>
      <c r="D515" s="23"/>
      <c r="E515" s="10">
        <v>0</v>
      </c>
      <c r="F515" s="10"/>
      <c r="G515" s="10">
        <v>0</v>
      </c>
      <c r="H515" s="10"/>
      <c r="I515" s="10">
        <v>0</v>
      </c>
      <c r="J515" s="10"/>
      <c r="K515" s="10">
        <v>0</v>
      </c>
      <c r="L515" s="10"/>
      <c r="M515" s="10">
        <v>0</v>
      </c>
      <c r="N515" s="10"/>
      <c r="O515" s="10">
        <v>0</v>
      </c>
      <c r="P515" s="10"/>
      <c r="Q515" s="10">
        <v>0</v>
      </c>
      <c r="R515" s="10"/>
      <c r="S515" s="10">
        <v>0</v>
      </c>
      <c r="T515" s="10"/>
      <c r="U515" s="10">
        <v>0</v>
      </c>
      <c r="V515" s="10"/>
      <c r="W515" s="10">
        <v>0</v>
      </c>
      <c r="X515" s="10"/>
      <c r="Y515" s="10">
        <v>0</v>
      </c>
      <c r="Z515" s="10"/>
      <c r="AA515" s="10">
        <v>0</v>
      </c>
      <c r="AB515" s="10"/>
      <c r="AC515" s="10">
        <v>0</v>
      </c>
      <c r="AD515" s="10"/>
      <c r="AE515" s="10">
        <f t="shared" si="10"/>
        <v>0</v>
      </c>
      <c r="AF515" s="10"/>
      <c r="AG515" s="10"/>
      <c r="AH515" s="10"/>
      <c r="AI515" s="10"/>
      <c r="AJ515" s="10"/>
      <c r="AK515" s="10"/>
      <c r="AL515" s="10"/>
      <c r="AM515" s="10">
        <f>+'Gen Rev'!AI507-'Gen Exp'!AE515+'Gen Exp'!AI515-AK515</f>
        <v>0</v>
      </c>
      <c r="AN515" s="10"/>
    </row>
    <row r="516" spans="1:40" s="21" customFormat="1" ht="12.75">
      <c r="A516" s="1" t="s">
        <v>678</v>
      </c>
      <c r="B516" s="1"/>
      <c r="C516" s="23" t="s">
        <v>677</v>
      </c>
      <c r="D516" s="23"/>
      <c r="E516" s="10">
        <v>2229</v>
      </c>
      <c r="F516" s="10"/>
      <c r="G516" s="10">
        <v>1868</v>
      </c>
      <c r="H516" s="10"/>
      <c r="I516" s="10">
        <v>0</v>
      </c>
      <c r="J516" s="10"/>
      <c r="K516" s="10">
        <v>332</v>
      </c>
      <c r="L516" s="10"/>
      <c r="M516" s="10">
        <v>0</v>
      </c>
      <c r="N516" s="10"/>
      <c r="O516" s="10">
        <v>4183</v>
      </c>
      <c r="P516" s="10"/>
      <c r="Q516" s="10">
        <v>105755</v>
      </c>
      <c r="R516" s="10"/>
      <c r="S516" s="10">
        <v>0</v>
      </c>
      <c r="T516" s="10"/>
      <c r="U516" s="10">
        <v>0</v>
      </c>
      <c r="V516" s="10"/>
      <c r="W516" s="10">
        <v>0</v>
      </c>
      <c r="X516" s="10"/>
      <c r="Y516" s="10">
        <v>24025</v>
      </c>
      <c r="Z516" s="10"/>
      <c r="AA516" s="10">
        <v>0</v>
      </c>
      <c r="AB516" s="10"/>
      <c r="AC516" s="10">
        <v>0</v>
      </c>
      <c r="AD516" s="10"/>
      <c r="AE516" s="10">
        <f t="shared" si="10"/>
        <v>138392</v>
      </c>
      <c r="AF516" s="10"/>
      <c r="AG516" s="46">
        <v>2772</v>
      </c>
      <c r="AH516" s="46"/>
      <c r="AI516" s="46">
        <v>748</v>
      </c>
      <c r="AJ516" s="46"/>
      <c r="AK516" s="46">
        <v>3520</v>
      </c>
      <c r="AL516" s="46"/>
      <c r="AM516" s="10">
        <f>+'Gen Rev'!AI508-'Gen Exp'!AE516+'Gen Exp'!AI516-AK516</f>
        <v>0</v>
      </c>
      <c r="AN516" s="46"/>
    </row>
    <row r="517" spans="1:40" hidden="1">
      <c r="A517" s="1" t="s">
        <v>471</v>
      </c>
      <c r="C517" s="1" t="s">
        <v>469</v>
      </c>
      <c r="E517" s="10">
        <v>0</v>
      </c>
      <c r="G517" s="10">
        <v>0</v>
      </c>
      <c r="I517" s="10">
        <v>0</v>
      </c>
      <c r="K517" s="10">
        <v>0</v>
      </c>
      <c r="M517" s="10">
        <v>0</v>
      </c>
      <c r="O517" s="10">
        <v>0</v>
      </c>
      <c r="Q517" s="10">
        <v>0</v>
      </c>
      <c r="S517" s="10">
        <v>0</v>
      </c>
      <c r="U517" s="10">
        <v>0</v>
      </c>
      <c r="W517" s="10">
        <v>0</v>
      </c>
      <c r="Y517" s="10">
        <v>0</v>
      </c>
      <c r="AA517" s="10">
        <v>0</v>
      </c>
      <c r="AC517" s="10">
        <v>0</v>
      </c>
      <c r="AE517" s="10">
        <f t="shared" si="10"/>
        <v>0</v>
      </c>
      <c r="AF517" s="10"/>
      <c r="AM517" s="10">
        <f>+'Gen Rev'!AI509-'Gen Exp'!AE517+'Gen Exp'!AI517-AK517</f>
        <v>0</v>
      </c>
    </row>
    <row r="518" spans="1:40" ht="12.75">
      <c r="A518" s="1" t="s">
        <v>836</v>
      </c>
      <c r="C518" s="23" t="s">
        <v>807</v>
      </c>
      <c r="D518" s="23"/>
      <c r="E518" s="10">
        <v>12820</v>
      </c>
      <c r="G518" s="10">
        <v>905</v>
      </c>
      <c r="I518" s="10">
        <v>6</v>
      </c>
      <c r="K518" s="10">
        <v>300</v>
      </c>
      <c r="M518" s="10">
        <v>3318</v>
      </c>
      <c r="O518" s="10">
        <v>0</v>
      </c>
      <c r="Q518" s="10">
        <v>22495</v>
      </c>
      <c r="S518" s="10">
        <v>0</v>
      </c>
      <c r="U518" s="10">
        <v>0</v>
      </c>
      <c r="W518" s="10">
        <v>0</v>
      </c>
      <c r="Y518" s="10">
        <v>250</v>
      </c>
      <c r="AA518" s="10">
        <v>0</v>
      </c>
      <c r="AC518" s="10">
        <v>0</v>
      </c>
      <c r="AE518" s="10">
        <f t="shared" si="10"/>
        <v>40094</v>
      </c>
      <c r="AF518" s="10"/>
      <c r="AG518" s="10">
        <v>-3646</v>
      </c>
      <c r="AI518" s="10">
        <v>12549</v>
      </c>
      <c r="AK518" s="10">
        <v>8903</v>
      </c>
      <c r="AM518" s="10">
        <f>+'Gen Rev'!AI510-'Gen Exp'!AE518+'Gen Exp'!AI518-AK518</f>
        <v>0</v>
      </c>
    </row>
    <row r="519" spans="1:40" s="21" customFormat="1" ht="12.75" hidden="1">
      <c r="A519" s="1" t="s">
        <v>45</v>
      </c>
      <c r="B519" s="1"/>
      <c r="C519" s="23" t="s">
        <v>763</v>
      </c>
      <c r="D519" s="23"/>
      <c r="E519" s="10">
        <v>0</v>
      </c>
      <c r="F519" s="10"/>
      <c r="G519" s="10">
        <v>0</v>
      </c>
      <c r="H519" s="10"/>
      <c r="I519" s="10">
        <v>0</v>
      </c>
      <c r="J519" s="10"/>
      <c r="K519" s="10">
        <v>0</v>
      </c>
      <c r="L519" s="10"/>
      <c r="M519" s="10">
        <v>0</v>
      </c>
      <c r="N519" s="10"/>
      <c r="O519" s="10">
        <v>0</v>
      </c>
      <c r="P519" s="10"/>
      <c r="Q519" s="10">
        <v>0</v>
      </c>
      <c r="R519" s="10"/>
      <c r="S519" s="10">
        <v>0</v>
      </c>
      <c r="T519" s="10"/>
      <c r="U519" s="10">
        <v>0</v>
      </c>
      <c r="V519" s="10"/>
      <c r="W519" s="10">
        <v>0</v>
      </c>
      <c r="X519" s="10"/>
      <c r="Y519" s="10">
        <v>0</v>
      </c>
      <c r="Z519" s="10"/>
      <c r="AA519" s="10">
        <v>0</v>
      </c>
      <c r="AB519" s="10"/>
      <c r="AC519" s="10">
        <v>0</v>
      </c>
      <c r="AD519" s="10"/>
      <c r="AE519" s="10">
        <f t="shared" si="10"/>
        <v>0</v>
      </c>
      <c r="AF519" s="10"/>
      <c r="AG519" s="46"/>
      <c r="AH519" s="46"/>
      <c r="AI519" s="46"/>
      <c r="AJ519" s="46"/>
      <c r="AK519" s="46"/>
      <c r="AL519" s="46"/>
      <c r="AM519" s="10">
        <f>+'Gen Rev'!AI511-'Gen Exp'!AE519+'Gen Exp'!AI519-AK519</f>
        <v>0</v>
      </c>
      <c r="AN519" s="46"/>
    </row>
    <row r="520" spans="1:40" ht="12.75">
      <c r="A520" s="1" t="s">
        <v>837</v>
      </c>
      <c r="C520" s="23" t="s">
        <v>665</v>
      </c>
      <c r="D520" s="23"/>
      <c r="E520" s="10">
        <v>2107</v>
      </c>
      <c r="G520" s="10">
        <v>0</v>
      </c>
      <c r="I520" s="10">
        <v>1108</v>
      </c>
      <c r="K520" s="10">
        <v>0</v>
      </c>
      <c r="M520" s="10">
        <v>364</v>
      </c>
      <c r="O520" s="10">
        <v>0</v>
      </c>
      <c r="Q520" s="10">
        <v>6646</v>
      </c>
      <c r="S520" s="10">
        <v>0</v>
      </c>
      <c r="U520" s="10">
        <v>0</v>
      </c>
      <c r="W520" s="10">
        <v>0</v>
      </c>
      <c r="Y520" s="10">
        <v>0</v>
      </c>
      <c r="AA520" s="10">
        <v>0</v>
      </c>
      <c r="AC520" s="10">
        <v>0</v>
      </c>
      <c r="AE520" s="10">
        <f t="shared" si="10"/>
        <v>10225</v>
      </c>
      <c r="AF520" s="10"/>
      <c r="AG520" s="10">
        <v>-6288</v>
      </c>
      <c r="AI520" s="10">
        <v>12289</v>
      </c>
      <c r="AK520" s="10">
        <v>6001</v>
      </c>
      <c r="AM520" s="10">
        <f>+'Gen Rev'!AI512-'Gen Exp'!AE520+'Gen Exp'!AI520-AK520</f>
        <v>0</v>
      </c>
    </row>
    <row r="521" spans="1:40" hidden="1">
      <c r="A521" s="1" t="s">
        <v>492</v>
      </c>
      <c r="C521" s="1" t="s">
        <v>488</v>
      </c>
      <c r="E521" s="10">
        <v>0</v>
      </c>
      <c r="G521" s="10">
        <v>0</v>
      </c>
      <c r="I521" s="10">
        <v>0</v>
      </c>
      <c r="K521" s="10">
        <v>0</v>
      </c>
      <c r="M521" s="10">
        <v>0</v>
      </c>
      <c r="O521" s="10">
        <v>0</v>
      </c>
      <c r="Q521" s="10">
        <v>0</v>
      </c>
      <c r="S521" s="10">
        <v>0</v>
      </c>
      <c r="U521" s="10">
        <v>0</v>
      </c>
      <c r="W521" s="10">
        <v>0</v>
      </c>
      <c r="Y521" s="10">
        <v>0</v>
      </c>
      <c r="AA521" s="10">
        <v>0</v>
      </c>
      <c r="AC521" s="10">
        <v>0</v>
      </c>
      <c r="AE521" s="10">
        <f t="shared" ref="AE521:AE568" si="11">SUM(E521:AC521)</f>
        <v>0</v>
      </c>
      <c r="AF521" s="40"/>
      <c r="AM521" s="10">
        <f>+'Gen Rev'!AI513-'Gen Exp'!AE521+'Gen Exp'!AI521-AK521</f>
        <v>0</v>
      </c>
    </row>
    <row r="522" spans="1:40" s="21" customFormat="1" ht="12.6" customHeight="1">
      <c r="A522" s="1" t="s">
        <v>336</v>
      </c>
      <c r="B522" s="1"/>
      <c r="C522" s="1" t="s">
        <v>329</v>
      </c>
      <c r="D522" s="1"/>
      <c r="E522" s="10">
        <v>7326</v>
      </c>
      <c r="F522" s="10"/>
      <c r="G522" s="10">
        <v>571</v>
      </c>
      <c r="H522" s="10"/>
      <c r="I522" s="10">
        <v>500</v>
      </c>
      <c r="J522" s="10"/>
      <c r="K522" s="10">
        <v>0</v>
      </c>
      <c r="L522" s="10"/>
      <c r="M522" s="10">
        <v>9212</v>
      </c>
      <c r="N522" s="10"/>
      <c r="O522" s="10">
        <v>162</v>
      </c>
      <c r="P522" s="10"/>
      <c r="Q522" s="10">
        <v>22178</v>
      </c>
      <c r="R522" s="10"/>
      <c r="S522" s="10">
        <v>174</v>
      </c>
      <c r="T522" s="10"/>
      <c r="U522" s="10">
        <v>0</v>
      </c>
      <c r="V522" s="10"/>
      <c r="W522" s="10">
        <v>0</v>
      </c>
      <c r="X522" s="10"/>
      <c r="Y522" s="10">
        <v>2064</v>
      </c>
      <c r="Z522" s="10"/>
      <c r="AA522" s="10">
        <v>0</v>
      </c>
      <c r="AB522" s="10"/>
      <c r="AC522" s="10">
        <v>0</v>
      </c>
      <c r="AD522" s="10"/>
      <c r="AE522" s="10">
        <f t="shared" si="11"/>
        <v>42187</v>
      </c>
      <c r="AF522" s="10"/>
      <c r="AG522" s="46">
        <v>5503</v>
      </c>
      <c r="AH522" s="46"/>
      <c r="AI522" s="46">
        <v>31770</v>
      </c>
      <c r="AJ522" s="46"/>
      <c r="AK522" s="46">
        <v>37273</v>
      </c>
      <c r="AL522" s="46"/>
      <c r="AM522" s="10">
        <f>+'Gen Rev'!AI514-'Gen Exp'!AE522+'Gen Exp'!AI522-AK522</f>
        <v>0</v>
      </c>
      <c r="AN522" s="46"/>
    </row>
    <row r="523" spans="1:40" s="21" customFormat="1" ht="12.75">
      <c r="A523" s="1" t="s">
        <v>922</v>
      </c>
      <c r="B523" s="1"/>
      <c r="C523" s="23" t="s">
        <v>565</v>
      </c>
      <c r="D523" s="23"/>
      <c r="E523" s="10">
        <v>10087</v>
      </c>
      <c r="F523" s="10"/>
      <c r="G523" s="10">
        <v>218</v>
      </c>
      <c r="H523" s="10"/>
      <c r="I523" s="10">
        <v>31</v>
      </c>
      <c r="J523" s="10"/>
      <c r="K523" s="10">
        <v>61</v>
      </c>
      <c r="L523" s="10"/>
      <c r="M523" s="10">
        <v>3924</v>
      </c>
      <c r="N523" s="10"/>
      <c r="O523" s="10">
        <v>72</v>
      </c>
      <c r="P523" s="10"/>
      <c r="Q523" s="10">
        <v>38983</v>
      </c>
      <c r="R523" s="10"/>
      <c r="S523" s="10">
        <v>0</v>
      </c>
      <c r="T523" s="10"/>
      <c r="U523" s="10">
        <v>0</v>
      </c>
      <c r="V523" s="10"/>
      <c r="W523" s="10">
        <v>0</v>
      </c>
      <c r="X523" s="10"/>
      <c r="Y523" s="10">
        <v>0</v>
      </c>
      <c r="Z523" s="10"/>
      <c r="AA523" s="10">
        <v>0</v>
      </c>
      <c r="AB523" s="10"/>
      <c r="AC523" s="10">
        <v>0</v>
      </c>
      <c r="AD523" s="10"/>
      <c r="AE523" s="10">
        <f>SUM(E523:AC523)</f>
        <v>53376</v>
      </c>
      <c r="AF523" s="10"/>
      <c r="AG523" s="10">
        <v>-4841</v>
      </c>
      <c r="AH523" s="10"/>
      <c r="AI523" s="10">
        <v>12093</v>
      </c>
      <c r="AJ523" s="10"/>
      <c r="AK523" s="10">
        <v>7252</v>
      </c>
      <c r="AL523" s="10"/>
      <c r="AM523" s="10">
        <f>+'Gen Rev'!AI515-'Gen Exp'!AE523+'Gen Exp'!AI523-AK523</f>
        <v>0</v>
      </c>
      <c r="AN523" s="10"/>
    </row>
    <row r="524" spans="1:40" s="21" customFormat="1" ht="12.75" hidden="1">
      <c r="A524" s="1" t="s">
        <v>860</v>
      </c>
      <c r="B524" s="1"/>
      <c r="C524" s="23" t="s">
        <v>791</v>
      </c>
      <c r="D524" s="23"/>
      <c r="E524" s="10">
        <v>0</v>
      </c>
      <c r="F524" s="10"/>
      <c r="G524" s="10">
        <v>0</v>
      </c>
      <c r="H524" s="10"/>
      <c r="I524" s="10">
        <v>0</v>
      </c>
      <c r="J524" s="10"/>
      <c r="K524" s="10">
        <v>0</v>
      </c>
      <c r="L524" s="10"/>
      <c r="M524" s="10">
        <v>0</v>
      </c>
      <c r="N524" s="10"/>
      <c r="O524" s="10">
        <v>0</v>
      </c>
      <c r="P524" s="10"/>
      <c r="Q524" s="10">
        <v>0</v>
      </c>
      <c r="R524" s="10"/>
      <c r="S524" s="10">
        <v>0</v>
      </c>
      <c r="T524" s="10"/>
      <c r="U524" s="10">
        <v>0</v>
      </c>
      <c r="V524" s="10"/>
      <c r="W524" s="10">
        <v>0</v>
      </c>
      <c r="X524" s="10"/>
      <c r="Y524" s="10">
        <v>0</v>
      </c>
      <c r="Z524" s="10"/>
      <c r="AA524" s="10">
        <v>0</v>
      </c>
      <c r="AB524" s="10"/>
      <c r="AC524" s="10">
        <v>0</v>
      </c>
      <c r="AD524" s="10"/>
      <c r="AE524" s="10">
        <f t="shared" si="11"/>
        <v>0</v>
      </c>
      <c r="AF524" s="10"/>
      <c r="AG524" s="10"/>
      <c r="AH524" s="10"/>
      <c r="AI524" s="10"/>
      <c r="AJ524" s="10"/>
      <c r="AK524" s="10"/>
      <c r="AL524" s="10"/>
      <c r="AM524" s="10">
        <f>+'Gen Rev'!AI516-'Gen Exp'!AE524+'Gen Exp'!AI524-AK524</f>
        <v>0</v>
      </c>
      <c r="AN524" s="10"/>
    </row>
    <row r="525" spans="1:40" s="21" customFormat="1" ht="12.75" hidden="1">
      <c r="A525" s="1" t="s">
        <v>65</v>
      </c>
      <c r="B525" s="1"/>
      <c r="C525" s="23" t="s">
        <v>771</v>
      </c>
      <c r="D525" s="23"/>
      <c r="E525" s="10">
        <v>0</v>
      </c>
      <c r="F525" s="10"/>
      <c r="G525" s="10">
        <v>0</v>
      </c>
      <c r="H525" s="10"/>
      <c r="I525" s="10">
        <v>0</v>
      </c>
      <c r="J525" s="10"/>
      <c r="K525" s="10">
        <v>0</v>
      </c>
      <c r="L525" s="10"/>
      <c r="M525" s="10">
        <v>0</v>
      </c>
      <c r="N525" s="10"/>
      <c r="O525" s="10">
        <v>0</v>
      </c>
      <c r="P525" s="10"/>
      <c r="Q525" s="10">
        <v>0</v>
      </c>
      <c r="R525" s="10"/>
      <c r="S525" s="10">
        <v>0</v>
      </c>
      <c r="T525" s="10"/>
      <c r="U525" s="10">
        <v>0</v>
      </c>
      <c r="V525" s="10"/>
      <c r="W525" s="10">
        <v>0</v>
      </c>
      <c r="X525" s="10"/>
      <c r="Y525" s="10">
        <v>0</v>
      </c>
      <c r="Z525" s="10"/>
      <c r="AA525" s="10">
        <v>0</v>
      </c>
      <c r="AB525" s="10"/>
      <c r="AC525" s="10">
        <v>0</v>
      </c>
      <c r="AD525" s="10"/>
      <c r="AE525" s="10">
        <f t="shared" si="11"/>
        <v>0</v>
      </c>
      <c r="AF525" s="10"/>
      <c r="AG525" s="46"/>
      <c r="AH525" s="46"/>
      <c r="AI525" s="46"/>
      <c r="AJ525" s="46"/>
      <c r="AK525" s="46"/>
      <c r="AL525" s="46"/>
      <c r="AM525" s="10">
        <f>+'Gen Rev'!AI517-'Gen Exp'!AE525+'Gen Exp'!AI525-AK525</f>
        <v>0</v>
      </c>
      <c r="AN525" s="46"/>
    </row>
    <row r="526" spans="1:40" s="21" customFormat="1" hidden="1">
      <c r="A526" s="1" t="s">
        <v>448</v>
      </c>
      <c r="B526" s="1"/>
      <c r="C526" s="1" t="s">
        <v>447</v>
      </c>
      <c r="D526" s="1"/>
      <c r="E526" s="10">
        <v>0</v>
      </c>
      <c r="F526" s="10"/>
      <c r="G526" s="10">
        <v>0</v>
      </c>
      <c r="H526" s="10"/>
      <c r="I526" s="10">
        <v>0</v>
      </c>
      <c r="J526" s="10"/>
      <c r="K526" s="10">
        <v>0</v>
      </c>
      <c r="L526" s="10"/>
      <c r="M526" s="10">
        <v>0</v>
      </c>
      <c r="N526" s="10"/>
      <c r="O526" s="10">
        <v>0</v>
      </c>
      <c r="P526" s="10"/>
      <c r="Q526" s="10">
        <v>0</v>
      </c>
      <c r="R526" s="10"/>
      <c r="S526" s="10">
        <v>0</v>
      </c>
      <c r="T526" s="10"/>
      <c r="U526" s="10">
        <v>0</v>
      </c>
      <c r="V526" s="10"/>
      <c r="W526" s="10">
        <v>0</v>
      </c>
      <c r="X526" s="10"/>
      <c r="Y526" s="10">
        <v>0</v>
      </c>
      <c r="Z526" s="10"/>
      <c r="AA526" s="10">
        <v>0</v>
      </c>
      <c r="AB526" s="10"/>
      <c r="AC526" s="10">
        <v>0</v>
      </c>
      <c r="AD526" s="10"/>
      <c r="AE526" s="10">
        <f t="shared" si="11"/>
        <v>0</v>
      </c>
      <c r="AF526" s="10"/>
      <c r="AG526" s="10"/>
      <c r="AH526" s="10"/>
      <c r="AI526" s="10"/>
      <c r="AJ526" s="10"/>
      <c r="AK526" s="10"/>
      <c r="AL526" s="10"/>
      <c r="AM526" s="10">
        <f>+'Gen Rev'!AI518-'Gen Exp'!AE526+'Gen Exp'!AI526-AK526</f>
        <v>0</v>
      </c>
      <c r="AN526" s="10"/>
    </row>
    <row r="527" spans="1:40">
      <c r="A527" s="15" t="s">
        <v>543</v>
      </c>
      <c r="B527" s="15"/>
      <c r="C527" s="15" t="s">
        <v>541</v>
      </c>
      <c r="D527" s="15"/>
      <c r="E527" s="10">
        <v>29224</v>
      </c>
      <c r="F527" s="24"/>
      <c r="G527" s="10">
        <v>3130</v>
      </c>
      <c r="H527" s="24"/>
      <c r="I527" s="10">
        <v>41454</v>
      </c>
      <c r="J527" s="24"/>
      <c r="K527" s="10">
        <v>206</v>
      </c>
      <c r="L527" s="24"/>
      <c r="M527" s="10">
        <v>5986</v>
      </c>
      <c r="N527" s="24"/>
      <c r="O527" s="10">
        <v>0</v>
      </c>
      <c r="P527" s="24"/>
      <c r="Q527" s="10">
        <v>218432</v>
      </c>
      <c r="R527" s="24"/>
      <c r="S527" s="10">
        <v>0</v>
      </c>
      <c r="T527" s="24"/>
      <c r="U527" s="10">
        <v>0</v>
      </c>
      <c r="V527" s="24"/>
      <c r="W527" s="10">
        <v>0</v>
      </c>
      <c r="X527" s="24"/>
      <c r="Y527" s="10">
        <v>0</v>
      </c>
      <c r="Z527" s="24"/>
      <c r="AA527" s="10">
        <v>0</v>
      </c>
      <c r="AB527" s="24"/>
      <c r="AC527" s="10">
        <v>0</v>
      </c>
      <c r="AD527" s="24"/>
      <c r="AE527" s="10">
        <f t="shared" si="11"/>
        <v>298432</v>
      </c>
      <c r="AF527" s="10"/>
      <c r="AG527" s="10">
        <v>192165</v>
      </c>
      <c r="AI527" s="10">
        <v>497556</v>
      </c>
      <c r="AK527" s="10">
        <v>689721</v>
      </c>
      <c r="AM527" s="10">
        <f>+'Gen Rev'!AI519-'Gen Exp'!AE527+'Gen Exp'!AI527-AK527</f>
        <v>0</v>
      </c>
    </row>
    <row r="528" spans="1:40" hidden="1">
      <c r="A528" s="36" t="s">
        <v>711</v>
      </c>
      <c r="B528" s="36"/>
      <c r="C528" s="1" t="s">
        <v>467</v>
      </c>
      <c r="E528" s="10">
        <v>0</v>
      </c>
      <c r="G528" s="10">
        <v>0</v>
      </c>
      <c r="I528" s="10">
        <v>0</v>
      </c>
      <c r="K528" s="10">
        <v>0</v>
      </c>
      <c r="M528" s="10">
        <v>0</v>
      </c>
      <c r="O528" s="10">
        <v>0</v>
      </c>
      <c r="Q528" s="10">
        <v>0</v>
      </c>
      <c r="S528" s="10">
        <v>0</v>
      </c>
      <c r="U528" s="10">
        <v>0</v>
      </c>
      <c r="W528" s="10">
        <v>0</v>
      </c>
      <c r="Y528" s="10">
        <v>0</v>
      </c>
      <c r="AA528" s="10">
        <v>0</v>
      </c>
      <c r="AC528" s="10">
        <v>0</v>
      </c>
      <c r="AE528" s="10">
        <f t="shared" si="11"/>
        <v>0</v>
      </c>
      <c r="AF528" s="10"/>
      <c r="AM528" s="10">
        <f>+'Gen Rev'!AI520-'Gen Exp'!AE528+'Gen Exp'!AI528-AK528</f>
        <v>0</v>
      </c>
    </row>
    <row r="529" spans="1:40" ht="12.6" hidden="1" customHeight="1">
      <c r="A529" s="1" t="s">
        <v>304</v>
      </c>
      <c r="C529" s="1" t="s">
        <v>299</v>
      </c>
      <c r="E529" s="10">
        <v>0</v>
      </c>
      <c r="G529" s="10">
        <v>0</v>
      </c>
      <c r="I529" s="10">
        <v>0</v>
      </c>
      <c r="K529" s="10">
        <v>0</v>
      </c>
      <c r="M529" s="10">
        <v>0</v>
      </c>
      <c r="O529" s="10">
        <v>0</v>
      </c>
      <c r="Q529" s="10">
        <v>0</v>
      </c>
      <c r="S529" s="10">
        <v>0</v>
      </c>
      <c r="U529" s="10">
        <v>0</v>
      </c>
      <c r="W529" s="10">
        <v>0</v>
      </c>
      <c r="Y529" s="10">
        <v>0</v>
      </c>
      <c r="AA529" s="10">
        <v>0</v>
      </c>
      <c r="AC529" s="10">
        <v>0</v>
      </c>
      <c r="AE529" s="10">
        <f t="shared" si="11"/>
        <v>0</v>
      </c>
      <c r="AF529" s="10"/>
      <c r="AG529" s="46"/>
      <c r="AH529" s="46"/>
      <c r="AI529" s="46"/>
      <c r="AJ529" s="46"/>
      <c r="AK529" s="46"/>
      <c r="AL529" s="46"/>
      <c r="AM529" s="10">
        <f>+'Gen Rev'!AI521-'Gen Exp'!AE529+'Gen Exp'!AI529-AK529</f>
        <v>0</v>
      </c>
      <c r="AN529" s="46"/>
    </row>
    <row r="530" spans="1:40" s="10" customFormat="1" ht="12.75" hidden="1">
      <c r="A530" s="10" t="s">
        <v>161</v>
      </c>
      <c r="C530" s="56" t="s">
        <v>799</v>
      </c>
      <c r="D530" s="56"/>
      <c r="E530" s="10">
        <v>0</v>
      </c>
      <c r="G530" s="10">
        <v>0</v>
      </c>
      <c r="I530" s="10">
        <v>0</v>
      </c>
      <c r="K530" s="10">
        <v>0</v>
      </c>
      <c r="M530" s="10">
        <v>0</v>
      </c>
      <c r="O530" s="10">
        <v>0</v>
      </c>
      <c r="Q530" s="10">
        <v>0</v>
      </c>
      <c r="S530" s="10">
        <v>0</v>
      </c>
      <c r="U530" s="10">
        <v>0</v>
      </c>
      <c r="W530" s="10">
        <v>0</v>
      </c>
      <c r="Y530" s="10">
        <v>0</v>
      </c>
      <c r="AA530" s="10">
        <v>0</v>
      </c>
      <c r="AC530" s="10">
        <v>0</v>
      </c>
      <c r="AE530" s="10">
        <f t="shared" si="11"/>
        <v>0</v>
      </c>
      <c r="AM530" s="10">
        <f>+'Gen Rev'!AI522-'Gen Exp'!AE530+'Gen Exp'!AI530-AK530</f>
        <v>0</v>
      </c>
    </row>
    <row r="531" spans="1:40" ht="12.75" hidden="1">
      <c r="A531" s="1" t="s">
        <v>46</v>
      </c>
      <c r="C531" s="23" t="s">
        <v>763</v>
      </c>
      <c r="D531" s="23"/>
      <c r="E531" s="10">
        <v>0</v>
      </c>
      <c r="G531" s="10">
        <v>0</v>
      </c>
      <c r="I531" s="10">
        <v>0</v>
      </c>
      <c r="K531" s="10">
        <v>0</v>
      </c>
      <c r="M531" s="10">
        <v>0</v>
      </c>
      <c r="O531" s="10">
        <v>0</v>
      </c>
      <c r="Q531" s="10">
        <v>0</v>
      </c>
      <c r="S531" s="10">
        <v>0</v>
      </c>
      <c r="U531" s="10">
        <v>0</v>
      </c>
      <c r="W531" s="10">
        <v>0</v>
      </c>
      <c r="Y531" s="10">
        <v>0</v>
      </c>
      <c r="AA531" s="10">
        <v>0</v>
      </c>
      <c r="AC531" s="10">
        <v>0</v>
      </c>
      <c r="AE531" s="10">
        <f t="shared" si="11"/>
        <v>0</v>
      </c>
      <c r="AF531" s="10"/>
      <c r="AG531" s="46"/>
      <c r="AH531" s="46"/>
      <c r="AI531" s="46"/>
      <c r="AJ531" s="46"/>
      <c r="AK531" s="46"/>
      <c r="AL531" s="46"/>
      <c r="AM531" s="10">
        <f>+'Gen Rev'!AI523-'Gen Exp'!AE531+'Gen Exp'!AI531-AK531</f>
        <v>0</v>
      </c>
      <c r="AN531" s="46"/>
    </row>
    <row r="532" spans="1:40" ht="12.75" hidden="1">
      <c r="A532" s="1" t="s">
        <v>25</v>
      </c>
      <c r="C532" s="23" t="s">
        <v>756</v>
      </c>
      <c r="D532" s="23"/>
      <c r="E532" s="10">
        <v>0</v>
      </c>
      <c r="G532" s="10">
        <v>0</v>
      </c>
      <c r="I532" s="10">
        <v>0</v>
      </c>
      <c r="K532" s="10">
        <v>0</v>
      </c>
      <c r="M532" s="10">
        <v>0</v>
      </c>
      <c r="O532" s="10">
        <v>0</v>
      </c>
      <c r="Q532" s="10">
        <v>0</v>
      </c>
      <c r="S532" s="10">
        <v>0</v>
      </c>
      <c r="U532" s="10">
        <v>0</v>
      </c>
      <c r="W532" s="10">
        <v>0</v>
      </c>
      <c r="Y532" s="10">
        <v>0</v>
      </c>
      <c r="AA532" s="10">
        <v>0</v>
      </c>
      <c r="AC532" s="10">
        <v>0</v>
      </c>
      <c r="AE532" s="10">
        <f t="shared" si="11"/>
        <v>0</v>
      </c>
      <c r="AF532" s="10"/>
      <c r="AG532" s="46"/>
      <c r="AH532" s="46"/>
      <c r="AI532" s="46"/>
      <c r="AJ532" s="46"/>
      <c r="AK532" s="46"/>
      <c r="AL532" s="46"/>
      <c r="AM532" s="10">
        <f>+'Gen Rev'!AI524-'Gen Exp'!AE532+'Gen Exp'!AI532-AK532</f>
        <v>0</v>
      </c>
      <c r="AN532" s="46"/>
    </row>
    <row r="533" spans="1:40" s="21" customFormat="1" ht="12.75">
      <c r="A533" s="1" t="s">
        <v>679</v>
      </c>
      <c r="B533" s="1"/>
      <c r="C533" s="23" t="s">
        <v>672</v>
      </c>
      <c r="D533" s="23"/>
      <c r="E533" s="10">
        <v>15214</v>
      </c>
      <c r="F533" s="10"/>
      <c r="G533" s="10">
        <v>0</v>
      </c>
      <c r="H533" s="10"/>
      <c r="I533" s="10">
        <v>1520</v>
      </c>
      <c r="J533" s="10"/>
      <c r="K533" s="10">
        <v>55</v>
      </c>
      <c r="L533" s="10"/>
      <c r="M533" s="10">
        <v>0</v>
      </c>
      <c r="N533" s="10"/>
      <c r="O533" s="10">
        <v>0</v>
      </c>
      <c r="P533" s="10"/>
      <c r="Q533" s="10">
        <v>31696</v>
      </c>
      <c r="R533" s="10"/>
      <c r="S533" s="10">
        <v>0</v>
      </c>
      <c r="T533" s="10"/>
      <c r="U533" s="10">
        <v>0</v>
      </c>
      <c r="V533" s="10"/>
      <c r="W533" s="10">
        <v>0</v>
      </c>
      <c r="X533" s="10"/>
      <c r="Y533" s="10">
        <v>0</v>
      </c>
      <c r="Z533" s="10"/>
      <c r="AA533" s="10">
        <v>0</v>
      </c>
      <c r="AB533" s="10"/>
      <c r="AC533" s="10">
        <v>3129</v>
      </c>
      <c r="AD533" s="10"/>
      <c r="AE533" s="10">
        <f t="shared" si="11"/>
        <v>51614</v>
      </c>
      <c r="AF533" s="10"/>
      <c r="AG533" s="46">
        <v>253</v>
      </c>
      <c r="AH533" s="46"/>
      <c r="AI533" s="46">
        <v>115396</v>
      </c>
      <c r="AJ533" s="46"/>
      <c r="AK533" s="46">
        <v>115649</v>
      </c>
      <c r="AL533" s="46"/>
      <c r="AM533" s="10">
        <f>+'Gen Rev'!AI525-'Gen Exp'!AE533+'Gen Exp'!AI533-AK533</f>
        <v>0</v>
      </c>
      <c r="AN533" s="46"/>
    </row>
    <row r="534" spans="1:40" s="21" customFormat="1">
      <c r="A534" s="1" t="s">
        <v>406</v>
      </c>
      <c r="B534" s="1"/>
      <c r="C534" s="1" t="s">
        <v>403</v>
      </c>
      <c r="D534" s="1"/>
      <c r="E534" s="10">
        <v>13647</v>
      </c>
      <c r="F534" s="10"/>
      <c r="G534" s="10">
        <v>588</v>
      </c>
      <c r="H534" s="10"/>
      <c r="I534" s="10">
        <v>0</v>
      </c>
      <c r="J534" s="10"/>
      <c r="K534" s="10">
        <v>0</v>
      </c>
      <c r="L534" s="10"/>
      <c r="M534" s="10">
        <v>0</v>
      </c>
      <c r="N534" s="10"/>
      <c r="O534" s="10">
        <v>0</v>
      </c>
      <c r="P534" s="10"/>
      <c r="Q534" s="10">
        <v>58327</v>
      </c>
      <c r="R534" s="10"/>
      <c r="S534" s="10">
        <v>0</v>
      </c>
      <c r="T534" s="10"/>
      <c r="U534" s="10">
        <v>0</v>
      </c>
      <c r="V534" s="10"/>
      <c r="W534" s="10">
        <v>0</v>
      </c>
      <c r="X534" s="10"/>
      <c r="Y534" s="10">
        <v>3000</v>
      </c>
      <c r="Z534" s="10"/>
      <c r="AA534" s="10">
        <v>0</v>
      </c>
      <c r="AB534" s="10"/>
      <c r="AC534" s="10">
        <v>347</v>
      </c>
      <c r="AD534" s="10"/>
      <c r="AE534" s="10">
        <f t="shared" si="11"/>
        <v>75909</v>
      </c>
      <c r="AF534" s="10"/>
      <c r="AG534" s="10">
        <v>5778</v>
      </c>
      <c r="AH534" s="10"/>
      <c r="AI534" s="10">
        <v>90362</v>
      </c>
      <c r="AJ534" s="10"/>
      <c r="AK534" s="10">
        <v>96140</v>
      </c>
      <c r="AL534" s="10"/>
      <c r="AM534" s="10">
        <f>+'Gen Rev'!AI526-'Gen Exp'!AE534+'Gen Exp'!AI534-AK534</f>
        <v>0</v>
      </c>
      <c r="AN534" s="10"/>
    </row>
    <row r="535" spans="1:40" hidden="1">
      <c r="A535" s="1" t="s">
        <v>579</v>
      </c>
      <c r="C535" s="1" t="s">
        <v>577</v>
      </c>
      <c r="E535" s="10">
        <v>0</v>
      </c>
      <c r="G535" s="10">
        <v>0</v>
      </c>
      <c r="I535" s="10">
        <v>0</v>
      </c>
      <c r="K535" s="10">
        <v>0</v>
      </c>
      <c r="M535" s="10">
        <v>0</v>
      </c>
      <c r="O535" s="10">
        <v>0</v>
      </c>
      <c r="Q535" s="10">
        <v>0</v>
      </c>
      <c r="S535" s="10">
        <v>0</v>
      </c>
      <c r="U535" s="10">
        <v>0</v>
      </c>
      <c r="W535" s="10">
        <v>0</v>
      </c>
      <c r="Y535" s="10">
        <v>0</v>
      </c>
      <c r="AA535" s="10">
        <v>0</v>
      </c>
      <c r="AC535" s="10">
        <v>0</v>
      </c>
      <c r="AE535" s="10">
        <f t="shared" si="11"/>
        <v>0</v>
      </c>
      <c r="AF535" s="10"/>
      <c r="AM535" s="10">
        <f>+'Gen Rev'!AI527-'Gen Exp'!AE535+'Gen Exp'!AI535-AK535</f>
        <v>0</v>
      </c>
    </row>
    <row r="536" spans="1:40" ht="12.75">
      <c r="A536" s="1" t="s">
        <v>680</v>
      </c>
      <c r="C536" s="23" t="s">
        <v>665</v>
      </c>
      <c r="D536" s="23"/>
      <c r="E536" s="10">
        <v>96422</v>
      </c>
      <c r="G536" s="10">
        <v>2783</v>
      </c>
      <c r="I536" s="10">
        <v>0</v>
      </c>
      <c r="K536" s="10">
        <v>0</v>
      </c>
      <c r="M536" s="10">
        <v>0</v>
      </c>
      <c r="O536" s="10">
        <v>0</v>
      </c>
      <c r="Q536" s="10">
        <v>65655</v>
      </c>
      <c r="S536" s="10">
        <v>4600</v>
      </c>
      <c r="U536" s="10">
        <v>0</v>
      </c>
      <c r="W536" s="10">
        <v>0</v>
      </c>
      <c r="Y536" s="10">
        <v>0</v>
      </c>
      <c r="AA536" s="10">
        <v>0</v>
      </c>
      <c r="AC536" s="10">
        <v>0</v>
      </c>
      <c r="AE536" s="10">
        <f t="shared" si="11"/>
        <v>169460</v>
      </c>
      <c r="AF536" s="10"/>
      <c r="AG536" s="10">
        <v>8583</v>
      </c>
      <c r="AI536" s="10">
        <v>23244</v>
      </c>
      <c r="AK536" s="10">
        <v>38827</v>
      </c>
      <c r="AM536" s="10">
        <f>+'Gen Rev'!AI528-'Gen Exp'!AE536+'Gen Exp'!AI536-AK536</f>
        <v>0</v>
      </c>
    </row>
    <row r="537" spans="1:40">
      <c r="A537" s="1" t="s">
        <v>462</v>
      </c>
      <c r="C537" s="1" t="s">
        <v>463</v>
      </c>
      <c r="E537" s="10">
        <v>816246</v>
      </c>
      <c r="G537" s="10">
        <v>15294</v>
      </c>
      <c r="I537" s="10">
        <v>0</v>
      </c>
      <c r="K537" s="10">
        <v>0</v>
      </c>
      <c r="M537" s="10">
        <v>0</v>
      </c>
      <c r="O537" s="10">
        <v>0</v>
      </c>
      <c r="Q537" s="10">
        <v>467591</v>
      </c>
      <c r="S537" s="10">
        <v>0</v>
      </c>
      <c r="U537" s="10">
        <v>209368</v>
      </c>
      <c r="W537" s="10">
        <v>0</v>
      </c>
      <c r="Y537" s="10">
        <v>0</v>
      </c>
      <c r="AA537" s="10">
        <v>0</v>
      </c>
      <c r="AC537" s="10">
        <v>21500</v>
      </c>
      <c r="AE537" s="10">
        <f t="shared" si="11"/>
        <v>1529999</v>
      </c>
      <c r="AF537" s="10"/>
      <c r="AG537" s="10">
        <v>92026</v>
      </c>
      <c r="AI537" s="10">
        <v>36956</v>
      </c>
      <c r="AK537" s="10">
        <v>128982</v>
      </c>
      <c r="AM537" s="10">
        <f>+'Gen Rev'!AI529-'Gen Exp'!AE537+'Gen Exp'!AI537-AK537</f>
        <v>0</v>
      </c>
    </row>
    <row r="538" spans="1:40" ht="12.75" hidden="1">
      <c r="A538" s="1" t="s">
        <v>90</v>
      </c>
      <c r="C538" s="23" t="s">
        <v>777</v>
      </c>
      <c r="D538" s="23"/>
      <c r="E538" s="10">
        <v>0</v>
      </c>
      <c r="G538" s="10">
        <v>0</v>
      </c>
      <c r="I538" s="10">
        <v>0</v>
      </c>
      <c r="K538" s="10">
        <v>0</v>
      </c>
      <c r="M538" s="10">
        <v>0</v>
      </c>
      <c r="O538" s="10">
        <v>0</v>
      </c>
      <c r="Q538" s="10">
        <v>0</v>
      </c>
      <c r="S538" s="10">
        <v>0</v>
      </c>
      <c r="U538" s="10">
        <v>0</v>
      </c>
      <c r="W538" s="10">
        <v>0</v>
      </c>
      <c r="Y538" s="10">
        <v>0</v>
      </c>
      <c r="AA538" s="10">
        <v>0</v>
      </c>
      <c r="AC538" s="10">
        <v>0</v>
      </c>
      <c r="AE538" s="10">
        <f t="shared" si="11"/>
        <v>0</v>
      </c>
      <c r="AF538" s="10"/>
      <c r="AM538" s="10">
        <f>+'Gen Rev'!AI530-'Gen Exp'!AE538+'Gen Exp'!AI538-AK538</f>
        <v>0</v>
      </c>
    </row>
    <row r="539" spans="1:40" ht="12.75" hidden="1">
      <c r="A539" s="1" t="s">
        <v>27</v>
      </c>
      <c r="C539" s="23" t="s">
        <v>757</v>
      </c>
      <c r="D539" s="23"/>
      <c r="E539" s="10">
        <v>0</v>
      </c>
      <c r="G539" s="10">
        <v>0</v>
      </c>
      <c r="I539" s="10">
        <v>0</v>
      </c>
      <c r="K539" s="10">
        <v>0</v>
      </c>
      <c r="M539" s="10">
        <v>0</v>
      </c>
      <c r="O539" s="10">
        <v>0</v>
      </c>
      <c r="Q539" s="10">
        <v>0</v>
      </c>
      <c r="S539" s="10">
        <v>0</v>
      </c>
      <c r="U539" s="10">
        <v>0</v>
      </c>
      <c r="W539" s="10">
        <v>0</v>
      </c>
      <c r="Y539" s="10">
        <v>0</v>
      </c>
      <c r="AA539" s="10">
        <v>0</v>
      </c>
      <c r="AC539" s="10">
        <v>0</v>
      </c>
      <c r="AE539" s="10">
        <f t="shared" si="11"/>
        <v>0</v>
      </c>
      <c r="AF539" s="10"/>
      <c r="AG539" s="46"/>
      <c r="AH539" s="46"/>
      <c r="AI539" s="46"/>
      <c r="AJ539" s="46"/>
      <c r="AK539" s="46"/>
      <c r="AL539" s="46"/>
      <c r="AM539" s="10">
        <f>+'Gen Rev'!AI531-'Gen Exp'!AE539+'Gen Exp'!AI539-AK539</f>
        <v>0</v>
      </c>
      <c r="AN539" s="46"/>
    </row>
    <row r="540" spans="1:40" ht="12.75" hidden="1">
      <c r="A540" s="1" t="s">
        <v>154</v>
      </c>
      <c r="C540" s="23" t="s">
        <v>797</v>
      </c>
      <c r="D540" s="23"/>
      <c r="E540" s="10">
        <v>0</v>
      </c>
      <c r="G540" s="10">
        <v>0</v>
      </c>
      <c r="I540" s="10">
        <v>0</v>
      </c>
      <c r="K540" s="10">
        <v>0</v>
      </c>
      <c r="M540" s="10">
        <v>0</v>
      </c>
      <c r="O540" s="10">
        <v>0</v>
      </c>
      <c r="Q540" s="10">
        <v>0</v>
      </c>
      <c r="S540" s="10">
        <v>0</v>
      </c>
      <c r="U540" s="10">
        <v>0</v>
      </c>
      <c r="W540" s="10">
        <v>0</v>
      </c>
      <c r="Y540" s="10">
        <v>0</v>
      </c>
      <c r="AA540" s="10">
        <v>0</v>
      </c>
      <c r="AC540" s="10">
        <v>0</v>
      </c>
      <c r="AE540" s="10">
        <f t="shared" si="11"/>
        <v>0</v>
      </c>
      <c r="AF540" s="10"/>
      <c r="AM540" s="10">
        <f>+'Gen Rev'!AI532-'Gen Exp'!AE540+'Gen Exp'!AI540-AK540</f>
        <v>0</v>
      </c>
    </row>
    <row r="541" spans="1:40" s="19" customFormat="1" ht="12.75" hidden="1">
      <c r="A541" s="10" t="s">
        <v>20</v>
      </c>
      <c r="B541" s="10"/>
      <c r="C541" s="56" t="s">
        <v>755</v>
      </c>
      <c r="D541" s="56"/>
      <c r="E541" s="10">
        <v>0</v>
      </c>
      <c r="F541" s="10"/>
      <c r="G541" s="10">
        <v>0</v>
      </c>
      <c r="H541" s="10"/>
      <c r="I541" s="10">
        <v>0</v>
      </c>
      <c r="J541" s="10"/>
      <c r="K541" s="10">
        <v>0</v>
      </c>
      <c r="L541" s="10"/>
      <c r="M541" s="10">
        <v>0</v>
      </c>
      <c r="N541" s="10"/>
      <c r="O541" s="10">
        <v>0</v>
      </c>
      <c r="P541" s="10"/>
      <c r="Q541" s="10">
        <v>0</v>
      </c>
      <c r="R541" s="10"/>
      <c r="S541" s="10">
        <v>0</v>
      </c>
      <c r="T541" s="10"/>
      <c r="U541" s="10">
        <v>0</v>
      </c>
      <c r="V541" s="10"/>
      <c r="W541" s="10">
        <v>0</v>
      </c>
      <c r="X541" s="10"/>
      <c r="Y541" s="10">
        <v>0</v>
      </c>
      <c r="Z541" s="10"/>
      <c r="AA541" s="10">
        <v>0</v>
      </c>
      <c r="AB541" s="10"/>
      <c r="AC541" s="10">
        <v>0</v>
      </c>
      <c r="AD541" s="10"/>
      <c r="AE541" s="10">
        <f t="shared" si="11"/>
        <v>0</v>
      </c>
      <c r="AF541" s="10"/>
      <c r="AG541" s="46"/>
      <c r="AH541" s="46"/>
      <c r="AI541" s="46"/>
      <c r="AJ541" s="46"/>
      <c r="AK541" s="46"/>
      <c r="AL541" s="46"/>
      <c r="AM541" s="10">
        <f>+'Gen Rev'!AI533-'Gen Exp'!AE541+'Gen Exp'!AI541-AK541</f>
        <v>0</v>
      </c>
      <c r="AN541" s="46"/>
    </row>
    <row r="542" spans="1:40" ht="12.75" hidden="1">
      <c r="A542" s="1" t="s">
        <v>187</v>
      </c>
      <c r="C542" s="23" t="s">
        <v>433</v>
      </c>
      <c r="D542" s="23"/>
      <c r="E542" s="10">
        <v>0</v>
      </c>
      <c r="G542" s="10">
        <v>0</v>
      </c>
      <c r="I542" s="10">
        <v>0</v>
      </c>
      <c r="K542" s="10">
        <v>0</v>
      </c>
      <c r="M542" s="10">
        <v>0</v>
      </c>
      <c r="O542" s="10">
        <v>0</v>
      </c>
      <c r="Q542" s="10">
        <v>0</v>
      </c>
      <c r="S542" s="10">
        <v>0</v>
      </c>
      <c r="U542" s="10">
        <v>0</v>
      </c>
      <c r="W542" s="10">
        <v>0</v>
      </c>
      <c r="Y542" s="10">
        <v>0</v>
      </c>
      <c r="AA542" s="10">
        <v>0</v>
      </c>
      <c r="AC542" s="10">
        <v>0</v>
      </c>
      <c r="AE542" s="10">
        <f t="shared" si="11"/>
        <v>0</v>
      </c>
      <c r="AF542" s="10"/>
      <c r="AM542" s="10">
        <f>+'Gen Rev'!AI534-'Gen Exp'!AE542+'Gen Exp'!AI542-AK542</f>
        <v>0</v>
      </c>
    </row>
    <row r="543" spans="1:40" s="21" customFormat="1" ht="12.6" hidden="1" customHeight="1">
      <c r="A543" s="1" t="s">
        <v>345</v>
      </c>
      <c r="B543" s="1"/>
      <c r="C543" s="1" t="s">
        <v>343</v>
      </c>
      <c r="D543" s="1"/>
      <c r="E543" s="10">
        <v>0</v>
      </c>
      <c r="F543" s="10"/>
      <c r="G543" s="10">
        <v>0</v>
      </c>
      <c r="H543" s="10"/>
      <c r="I543" s="10">
        <v>0</v>
      </c>
      <c r="J543" s="10"/>
      <c r="K543" s="10">
        <v>0</v>
      </c>
      <c r="L543" s="10"/>
      <c r="M543" s="10">
        <v>0</v>
      </c>
      <c r="N543" s="10"/>
      <c r="O543" s="10">
        <v>0</v>
      </c>
      <c r="P543" s="10"/>
      <c r="Q543" s="10">
        <v>0</v>
      </c>
      <c r="R543" s="10"/>
      <c r="S543" s="10">
        <v>0</v>
      </c>
      <c r="T543" s="10"/>
      <c r="U543" s="10">
        <v>0</v>
      </c>
      <c r="V543" s="10"/>
      <c r="W543" s="10">
        <v>0</v>
      </c>
      <c r="X543" s="10"/>
      <c r="Y543" s="10">
        <v>0</v>
      </c>
      <c r="Z543" s="10"/>
      <c r="AA543" s="10">
        <v>0</v>
      </c>
      <c r="AB543" s="10"/>
      <c r="AC543" s="10">
        <v>0</v>
      </c>
      <c r="AD543" s="10"/>
      <c r="AE543" s="10">
        <f t="shared" si="11"/>
        <v>0</v>
      </c>
      <c r="AF543" s="10"/>
      <c r="AG543" s="46"/>
      <c r="AH543" s="46"/>
      <c r="AI543" s="46"/>
      <c r="AJ543" s="46"/>
      <c r="AK543" s="46"/>
      <c r="AL543" s="46"/>
      <c r="AM543" s="10">
        <f>+'Gen Rev'!AI535-'Gen Exp'!AE543+'Gen Exp'!AI543-AK543</f>
        <v>0</v>
      </c>
      <c r="AN543" s="46"/>
    </row>
    <row r="544" spans="1:40">
      <c r="A544" s="1" t="s">
        <v>453</v>
      </c>
      <c r="C544" s="1" t="s">
        <v>452</v>
      </c>
      <c r="E544" s="10">
        <v>2790601</v>
      </c>
      <c r="G544" s="10">
        <v>0</v>
      </c>
      <c r="I544" s="10">
        <v>0</v>
      </c>
      <c r="K544" s="10">
        <v>0</v>
      </c>
      <c r="M544" s="10">
        <v>0</v>
      </c>
      <c r="O544" s="10">
        <v>0</v>
      </c>
      <c r="Q544" s="10">
        <v>843624</v>
      </c>
      <c r="S544" s="10">
        <v>169531</v>
      </c>
      <c r="U544" s="10">
        <v>0</v>
      </c>
      <c r="W544" s="10">
        <v>0</v>
      </c>
      <c r="Y544" s="10">
        <v>454126</v>
      </c>
      <c r="AA544" s="10">
        <v>0</v>
      </c>
      <c r="AC544" s="10">
        <v>0</v>
      </c>
      <c r="AE544" s="10">
        <f t="shared" si="11"/>
        <v>4257882</v>
      </c>
      <c r="AF544" s="10"/>
      <c r="AG544" s="10">
        <v>-87075</v>
      </c>
      <c r="AI544" s="10">
        <v>174094</v>
      </c>
      <c r="AK544" s="10">
        <v>87020</v>
      </c>
      <c r="AM544" s="10">
        <f>+'Gen Rev'!AI536-'Gen Exp'!AE544+'Gen Exp'!AI544-AK544</f>
        <v>0</v>
      </c>
    </row>
    <row r="545" spans="1:40" s="21" customFormat="1" ht="12.75" hidden="1">
      <c r="A545" s="1" t="s">
        <v>31</v>
      </c>
      <c r="B545" s="1"/>
      <c r="C545" s="23" t="s">
        <v>758</v>
      </c>
      <c r="D545" s="23"/>
      <c r="E545" s="10">
        <v>0</v>
      </c>
      <c r="F545" s="10"/>
      <c r="G545" s="10">
        <v>0</v>
      </c>
      <c r="H545" s="10"/>
      <c r="I545" s="10">
        <v>0</v>
      </c>
      <c r="J545" s="10"/>
      <c r="K545" s="10">
        <v>0</v>
      </c>
      <c r="L545" s="10"/>
      <c r="M545" s="10">
        <v>0</v>
      </c>
      <c r="N545" s="10"/>
      <c r="O545" s="10">
        <v>0</v>
      </c>
      <c r="P545" s="10"/>
      <c r="Q545" s="10">
        <v>0</v>
      </c>
      <c r="R545" s="10"/>
      <c r="S545" s="10">
        <v>0</v>
      </c>
      <c r="T545" s="10"/>
      <c r="U545" s="10">
        <v>0</v>
      </c>
      <c r="V545" s="10"/>
      <c r="W545" s="10">
        <v>0</v>
      </c>
      <c r="X545" s="10"/>
      <c r="Y545" s="10">
        <v>0</v>
      </c>
      <c r="Z545" s="10"/>
      <c r="AA545" s="10">
        <v>0</v>
      </c>
      <c r="AB545" s="10"/>
      <c r="AC545" s="10">
        <v>0</v>
      </c>
      <c r="AD545" s="10"/>
      <c r="AE545" s="10">
        <f t="shared" si="11"/>
        <v>0</v>
      </c>
      <c r="AF545" s="10"/>
      <c r="AG545" s="46"/>
      <c r="AH545" s="46"/>
      <c r="AI545" s="46"/>
      <c r="AJ545" s="46"/>
      <c r="AK545" s="46"/>
      <c r="AL545" s="46"/>
      <c r="AM545" s="10">
        <f>+'Gen Rev'!AI537-'Gen Exp'!AE545+'Gen Exp'!AI545-AK545</f>
        <v>0</v>
      </c>
      <c r="AN545" s="46"/>
    </row>
    <row r="546" spans="1:40" ht="12.75" hidden="1">
      <c r="A546" s="1" t="s">
        <v>56</v>
      </c>
      <c r="C546" s="23" t="s">
        <v>768</v>
      </c>
      <c r="D546" s="23"/>
      <c r="E546" s="10">
        <v>0</v>
      </c>
      <c r="G546" s="10">
        <v>0</v>
      </c>
      <c r="I546" s="10">
        <v>0</v>
      </c>
      <c r="K546" s="10">
        <v>0</v>
      </c>
      <c r="M546" s="10">
        <v>0</v>
      </c>
      <c r="O546" s="10">
        <v>0</v>
      </c>
      <c r="Q546" s="10">
        <v>0</v>
      </c>
      <c r="S546" s="10">
        <v>0</v>
      </c>
      <c r="U546" s="10">
        <v>0</v>
      </c>
      <c r="W546" s="10">
        <v>0</v>
      </c>
      <c r="Y546" s="10">
        <v>0</v>
      </c>
      <c r="AA546" s="10">
        <v>0</v>
      </c>
      <c r="AC546" s="10">
        <v>0</v>
      </c>
      <c r="AE546" s="10">
        <f t="shared" si="11"/>
        <v>0</v>
      </c>
      <c r="AF546" s="10"/>
      <c r="AG546" s="46"/>
      <c r="AH546" s="46"/>
      <c r="AI546" s="46"/>
      <c r="AJ546" s="46"/>
      <c r="AK546" s="46"/>
      <c r="AL546" s="46"/>
      <c r="AM546" s="10">
        <f>+'Gen Rev'!AI538-'Gen Exp'!AE546+'Gen Exp'!AI546-AK546</f>
        <v>0</v>
      </c>
      <c r="AN546" s="46"/>
    </row>
    <row r="547" spans="1:40" s="40" customFormat="1">
      <c r="A547" s="40" t="s">
        <v>526</v>
      </c>
      <c r="C547" s="40" t="s">
        <v>523</v>
      </c>
      <c r="E547" s="40">
        <v>15000</v>
      </c>
      <c r="G547" s="40">
        <v>510</v>
      </c>
      <c r="I547" s="40">
        <v>661</v>
      </c>
      <c r="K547" s="40">
        <v>1404</v>
      </c>
      <c r="M547" s="40">
        <v>1849</v>
      </c>
      <c r="O547" s="40">
        <v>43409</v>
      </c>
      <c r="Q547" s="40">
        <v>46814</v>
      </c>
      <c r="S547" s="40">
        <v>0</v>
      </c>
      <c r="U547" s="40">
        <v>0</v>
      </c>
      <c r="W547" s="40">
        <v>0</v>
      </c>
      <c r="Y547" s="40">
        <v>0</v>
      </c>
      <c r="AA547" s="40">
        <v>0</v>
      </c>
      <c r="AC547" s="40">
        <v>0</v>
      </c>
      <c r="AE547" s="40">
        <f t="shared" si="11"/>
        <v>109647</v>
      </c>
      <c r="AG547" s="40">
        <v>9981</v>
      </c>
      <c r="AI547" s="40">
        <v>36154</v>
      </c>
      <c r="AK547" s="40">
        <v>46135</v>
      </c>
      <c r="AM547" s="40">
        <f>+'Gen Rev'!AI539-'Gen Exp'!AE547+'Gen Exp'!AI547-AK547</f>
        <v>0</v>
      </c>
    </row>
    <row r="548" spans="1:40" s="15" customFormat="1">
      <c r="A548" s="15" t="s">
        <v>923</v>
      </c>
      <c r="C548" s="15" t="s">
        <v>593</v>
      </c>
      <c r="E548" s="24">
        <v>307397</v>
      </c>
      <c r="F548" s="24"/>
      <c r="G548" s="24">
        <v>4735</v>
      </c>
      <c r="H548" s="24"/>
      <c r="I548" s="24">
        <v>0</v>
      </c>
      <c r="J548" s="24"/>
      <c r="K548" s="24">
        <v>0</v>
      </c>
      <c r="L548" s="24"/>
      <c r="M548" s="24">
        <v>0</v>
      </c>
      <c r="N548" s="24"/>
      <c r="O548" s="24">
        <v>0</v>
      </c>
      <c r="P548" s="24"/>
      <c r="Q548" s="24">
        <v>110817</v>
      </c>
      <c r="R548" s="24"/>
      <c r="S548" s="24">
        <v>40716</v>
      </c>
      <c r="T548" s="24"/>
      <c r="U548" s="24">
        <v>0</v>
      </c>
      <c r="V548" s="24"/>
      <c r="W548" s="24">
        <v>0</v>
      </c>
      <c r="X548" s="24"/>
      <c r="Y548" s="24">
        <v>0</v>
      </c>
      <c r="Z548" s="24"/>
      <c r="AA548" s="24">
        <v>0</v>
      </c>
      <c r="AB548" s="24"/>
      <c r="AC548" s="24">
        <v>1279</v>
      </c>
      <c r="AD548" s="24"/>
      <c r="AE548" s="24">
        <f>SUM(E548:AC548)</f>
        <v>464944</v>
      </c>
      <c r="AF548" s="24"/>
      <c r="AG548" s="24">
        <v>-521</v>
      </c>
      <c r="AH548" s="24"/>
      <c r="AI548" s="24">
        <v>47449</v>
      </c>
      <c r="AJ548" s="24"/>
      <c r="AK548" s="24">
        <v>46928</v>
      </c>
      <c r="AL548" s="24"/>
      <c r="AM548" s="24">
        <f>+'Gen Rev'!AI540-'Gen Exp'!AE548+'Gen Exp'!AI548-AK548</f>
        <v>0</v>
      </c>
      <c r="AN548" s="24"/>
    </row>
    <row r="549" spans="1:40">
      <c r="A549" s="1" t="s">
        <v>559</v>
      </c>
      <c r="C549" s="1" t="s">
        <v>554</v>
      </c>
      <c r="E549" s="10">
        <v>1134796</v>
      </c>
      <c r="G549" s="10">
        <v>28179</v>
      </c>
      <c r="I549" s="10">
        <v>76986</v>
      </c>
      <c r="K549" s="10">
        <v>2019</v>
      </c>
      <c r="M549" s="10">
        <v>0</v>
      </c>
      <c r="O549" s="10">
        <v>451809</v>
      </c>
      <c r="Q549" s="10">
        <v>405059</v>
      </c>
      <c r="S549" s="10">
        <v>0</v>
      </c>
      <c r="U549" s="10">
        <v>0</v>
      </c>
      <c r="W549" s="10">
        <v>0</v>
      </c>
      <c r="Y549" s="10">
        <v>90188</v>
      </c>
      <c r="AA549" s="10">
        <v>0</v>
      </c>
      <c r="AC549" s="10">
        <v>0</v>
      </c>
      <c r="AE549" s="10">
        <f t="shared" si="11"/>
        <v>2189036</v>
      </c>
      <c r="AF549" s="10"/>
      <c r="AG549" s="10">
        <v>-74518</v>
      </c>
      <c r="AI549" s="10">
        <v>1169689</v>
      </c>
      <c r="AK549" s="10">
        <v>1095171</v>
      </c>
      <c r="AM549" s="10">
        <f>+'Gen Rev'!AI541-'Gen Exp'!AE549+'Gen Exp'!AI549-AK549</f>
        <v>0</v>
      </c>
    </row>
    <row r="550" spans="1:40" s="21" customFormat="1">
      <c r="A550" s="1" t="s">
        <v>411</v>
      </c>
      <c r="B550" s="1"/>
      <c r="C550" s="1" t="s">
        <v>409</v>
      </c>
      <c r="D550" s="1"/>
      <c r="E550" s="10">
        <v>3958</v>
      </c>
      <c r="F550" s="10"/>
      <c r="G550" s="10">
        <v>2353</v>
      </c>
      <c r="H550" s="10"/>
      <c r="I550" s="10">
        <v>0</v>
      </c>
      <c r="J550" s="10"/>
      <c r="K550" s="10">
        <v>0</v>
      </c>
      <c r="L550" s="10"/>
      <c r="M550" s="10">
        <v>930</v>
      </c>
      <c r="N550" s="10"/>
      <c r="O550" s="10">
        <v>4730</v>
      </c>
      <c r="P550" s="10"/>
      <c r="Q550" s="10">
        <v>6289</v>
      </c>
      <c r="R550" s="10"/>
      <c r="S550" s="10">
        <v>0</v>
      </c>
      <c r="T550" s="10"/>
      <c r="U550" s="10">
        <v>0</v>
      </c>
      <c r="V550" s="10"/>
      <c r="W550" s="10">
        <v>0</v>
      </c>
      <c r="X550" s="10"/>
      <c r="Y550" s="10">
        <v>0</v>
      </c>
      <c r="Z550" s="10"/>
      <c r="AA550" s="10">
        <v>0</v>
      </c>
      <c r="AB550" s="10"/>
      <c r="AC550" s="10">
        <v>0</v>
      </c>
      <c r="AD550" s="10"/>
      <c r="AE550" s="10">
        <f t="shared" si="11"/>
        <v>18260</v>
      </c>
      <c r="AF550" s="10"/>
      <c r="AG550" s="10">
        <v>14885</v>
      </c>
      <c r="AH550" s="10"/>
      <c r="AI550" s="10">
        <v>50082</v>
      </c>
      <c r="AJ550" s="10"/>
      <c r="AK550" s="10">
        <v>64967</v>
      </c>
      <c r="AL550" s="10"/>
      <c r="AM550" s="10">
        <f>+'Gen Rev'!AI542-'Gen Exp'!AE550+'Gen Exp'!AI550-AK550</f>
        <v>0</v>
      </c>
      <c r="AN550" s="10"/>
    </row>
    <row r="551" spans="1:40" s="15" customFormat="1">
      <c r="A551" s="15" t="s">
        <v>599</v>
      </c>
      <c r="C551" s="15" t="s">
        <v>593</v>
      </c>
      <c r="E551" s="24">
        <v>265095</v>
      </c>
      <c r="F551" s="24"/>
      <c r="G551" s="24">
        <v>6014</v>
      </c>
      <c r="H551" s="24"/>
      <c r="I551" s="24">
        <v>42116</v>
      </c>
      <c r="J551" s="24"/>
      <c r="K551" s="24">
        <v>11920</v>
      </c>
      <c r="L551" s="24"/>
      <c r="M551" s="24">
        <v>0</v>
      </c>
      <c r="N551" s="24"/>
      <c r="O551" s="24">
        <v>0</v>
      </c>
      <c r="P551" s="24"/>
      <c r="Q551" s="24">
        <v>93992</v>
      </c>
      <c r="R551" s="24"/>
      <c r="S551" s="24">
        <v>0</v>
      </c>
      <c r="T551" s="24"/>
      <c r="U551" s="24">
        <v>0</v>
      </c>
      <c r="V551" s="24"/>
      <c r="W551" s="24">
        <v>0</v>
      </c>
      <c r="X551" s="24"/>
      <c r="Y551" s="24">
        <v>279955</v>
      </c>
      <c r="Z551" s="24"/>
      <c r="AA551" s="24">
        <v>0</v>
      </c>
      <c r="AB551" s="24"/>
      <c r="AC551" s="24">
        <v>6773</v>
      </c>
      <c r="AD551" s="24"/>
      <c r="AE551" s="24">
        <f t="shared" si="11"/>
        <v>705865</v>
      </c>
      <c r="AF551" s="24"/>
      <c r="AG551" s="24">
        <v>22065</v>
      </c>
      <c r="AH551" s="24"/>
      <c r="AI551" s="24">
        <v>636195</v>
      </c>
      <c r="AJ551" s="24"/>
      <c r="AK551" s="24">
        <v>658260</v>
      </c>
      <c r="AL551" s="24"/>
      <c r="AM551" s="10">
        <f>+'Gen Rev'!AI543-'Gen Exp'!AE551+'Gen Exp'!AI551-AK551</f>
        <v>0</v>
      </c>
      <c r="AN551" s="24"/>
    </row>
    <row r="552" spans="1:40" s="10" customFormat="1">
      <c r="A552" s="10" t="s">
        <v>506</v>
      </c>
      <c r="C552" s="10" t="s">
        <v>504</v>
      </c>
      <c r="E552" s="10">
        <v>78792</v>
      </c>
      <c r="G552" s="10">
        <v>0</v>
      </c>
      <c r="I552" s="10">
        <v>1110</v>
      </c>
      <c r="K552" s="10">
        <v>294</v>
      </c>
      <c r="M552" s="10">
        <v>0</v>
      </c>
      <c r="O552" s="10">
        <v>0</v>
      </c>
      <c r="Q552" s="10">
        <v>135730</v>
      </c>
      <c r="S552" s="10">
        <v>0</v>
      </c>
      <c r="U552" s="10">
        <v>0</v>
      </c>
      <c r="W552" s="10">
        <v>0</v>
      </c>
      <c r="Y552" s="10">
        <v>0</v>
      </c>
      <c r="AA552" s="10">
        <v>0</v>
      </c>
      <c r="AC552" s="10">
        <v>0</v>
      </c>
      <c r="AE552" s="10">
        <f t="shared" si="11"/>
        <v>215926</v>
      </c>
      <c r="AG552" s="10">
        <v>-43293</v>
      </c>
      <c r="AI552" s="10">
        <v>340067</v>
      </c>
      <c r="AK552" s="10">
        <v>296774</v>
      </c>
      <c r="AM552" s="10">
        <f>+'Gen Rev'!AI544-'Gen Exp'!AE552+'Gen Exp'!AI552-AK552</f>
        <v>0</v>
      </c>
    </row>
    <row r="553" spans="1:40" s="15" customFormat="1" ht="12.75">
      <c r="A553" s="15" t="s">
        <v>926</v>
      </c>
      <c r="C553" s="28" t="s">
        <v>452</v>
      </c>
      <c r="D553" s="28"/>
      <c r="E553" s="24">
        <v>178461</v>
      </c>
      <c r="F553" s="24"/>
      <c r="G553" s="24">
        <v>4028</v>
      </c>
      <c r="H553" s="24"/>
      <c r="I553" s="24">
        <v>6222</v>
      </c>
      <c r="J553" s="24"/>
      <c r="K553" s="24">
        <v>0</v>
      </c>
      <c r="L553" s="24"/>
      <c r="M553" s="24">
        <v>0</v>
      </c>
      <c r="N553" s="24"/>
      <c r="O553" s="24">
        <v>0</v>
      </c>
      <c r="P553" s="24"/>
      <c r="Q553" s="24">
        <f>107688+327</f>
        <v>108015</v>
      </c>
      <c r="R553" s="24"/>
      <c r="S553" s="24">
        <f>14379+11781</f>
        <v>26160</v>
      </c>
      <c r="T553" s="24"/>
      <c r="U553" s="24">
        <v>0</v>
      </c>
      <c r="V553" s="24"/>
      <c r="W553" s="24">
        <v>0</v>
      </c>
      <c r="X553" s="24"/>
      <c r="Y553" s="24">
        <v>141764</v>
      </c>
      <c r="Z553" s="24"/>
      <c r="AA553" s="24">
        <v>0</v>
      </c>
      <c r="AB553" s="24"/>
      <c r="AC553" s="24">
        <f>1993+1301+28+327</f>
        <v>3649</v>
      </c>
      <c r="AD553" s="24"/>
      <c r="AE553" s="24">
        <f>SUM(E553:AC553)</f>
        <v>468299</v>
      </c>
      <c r="AF553" s="24"/>
      <c r="AG553" s="47">
        <v>126254</v>
      </c>
      <c r="AH553" s="47"/>
      <c r="AI553" s="47">
        <v>18641</v>
      </c>
      <c r="AJ553" s="47"/>
      <c r="AK553" s="47">
        <v>52540</v>
      </c>
      <c r="AL553" s="47"/>
      <c r="AM553" s="24">
        <f>+'Gen Rev'!AI545-'Gen Exp'!AE553+'Gen Exp'!AI553-AK553</f>
        <v>0</v>
      </c>
      <c r="AN553" s="47"/>
    </row>
    <row r="554" spans="1:40" ht="12.75" hidden="1">
      <c r="A554" s="1" t="s">
        <v>839</v>
      </c>
      <c r="C554" s="23" t="s">
        <v>760</v>
      </c>
      <c r="D554" s="23"/>
      <c r="E554" s="10">
        <v>0</v>
      </c>
      <c r="G554" s="10">
        <v>0</v>
      </c>
      <c r="I554" s="10">
        <v>0</v>
      </c>
      <c r="K554" s="10">
        <v>0</v>
      </c>
      <c r="M554" s="10">
        <v>0</v>
      </c>
      <c r="O554" s="10">
        <v>0</v>
      </c>
      <c r="Q554" s="10">
        <v>0</v>
      </c>
      <c r="S554" s="10">
        <v>0</v>
      </c>
      <c r="U554" s="10">
        <v>0</v>
      </c>
      <c r="W554" s="10">
        <v>0</v>
      </c>
      <c r="Y554" s="10">
        <v>0</v>
      </c>
      <c r="AA554" s="10">
        <v>0</v>
      </c>
      <c r="AC554" s="10">
        <v>0</v>
      </c>
      <c r="AE554" s="10">
        <f t="shared" si="11"/>
        <v>0</v>
      </c>
      <c r="AF554" s="10"/>
      <c r="AG554" s="46"/>
      <c r="AH554" s="46"/>
      <c r="AI554" s="46"/>
      <c r="AJ554" s="46"/>
      <c r="AK554" s="46"/>
      <c r="AL554" s="46"/>
      <c r="AM554" s="10">
        <f>+'Gen Rev'!AI546-'Gen Exp'!AE554+'Gen Exp'!AI554-AK554</f>
        <v>0</v>
      </c>
      <c r="AN554" s="46"/>
    </row>
    <row r="555" spans="1:40" hidden="1">
      <c r="A555" s="1" t="s">
        <v>587</v>
      </c>
      <c r="C555" s="1" t="s">
        <v>586</v>
      </c>
      <c r="E555" s="10">
        <v>0</v>
      </c>
      <c r="G555" s="10">
        <v>0</v>
      </c>
      <c r="I555" s="10">
        <v>0</v>
      </c>
      <c r="K555" s="10">
        <v>0</v>
      </c>
      <c r="M555" s="10">
        <v>0</v>
      </c>
      <c r="O555" s="10">
        <v>0</v>
      </c>
      <c r="Q555" s="10">
        <v>0</v>
      </c>
      <c r="S555" s="10">
        <v>0</v>
      </c>
      <c r="U555" s="10">
        <v>0</v>
      </c>
      <c r="W555" s="10">
        <v>0</v>
      </c>
      <c r="Y555" s="10">
        <v>0</v>
      </c>
      <c r="AA555" s="10">
        <v>0</v>
      </c>
      <c r="AC555" s="10">
        <v>0</v>
      </c>
      <c r="AE555" s="10">
        <f t="shared" si="11"/>
        <v>0</v>
      </c>
      <c r="AF555" s="10"/>
      <c r="AM555" s="10">
        <f>+'Gen Rev'!AI547-'Gen Exp'!AE555+'Gen Exp'!AI555-AK555</f>
        <v>0</v>
      </c>
    </row>
    <row r="556" spans="1:40" s="21" customFormat="1" ht="12.75" hidden="1">
      <c r="A556" s="1" t="s">
        <v>128</v>
      </c>
      <c r="B556" s="1"/>
      <c r="C556" s="23" t="s">
        <v>789</v>
      </c>
      <c r="D556" s="23"/>
      <c r="E556" s="10">
        <v>0</v>
      </c>
      <c r="F556" s="10"/>
      <c r="G556" s="10">
        <v>0</v>
      </c>
      <c r="H556" s="10"/>
      <c r="I556" s="10">
        <v>0</v>
      </c>
      <c r="J556" s="10"/>
      <c r="K556" s="10">
        <v>0</v>
      </c>
      <c r="L556" s="10"/>
      <c r="M556" s="10">
        <v>0</v>
      </c>
      <c r="N556" s="10"/>
      <c r="O556" s="10">
        <v>0</v>
      </c>
      <c r="P556" s="10"/>
      <c r="Q556" s="10">
        <v>0</v>
      </c>
      <c r="R556" s="10"/>
      <c r="S556" s="10">
        <v>0</v>
      </c>
      <c r="T556" s="10"/>
      <c r="U556" s="10">
        <v>0</v>
      </c>
      <c r="V556" s="10"/>
      <c r="W556" s="10">
        <v>0</v>
      </c>
      <c r="X556" s="10"/>
      <c r="Y556" s="10">
        <v>0</v>
      </c>
      <c r="Z556" s="10"/>
      <c r="AA556" s="10">
        <v>0</v>
      </c>
      <c r="AB556" s="10"/>
      <c r="AC556" s="10">
        <v>0</v>
      </c>
      <c r="AD556" s="10"/>
      <c r="AE556" s="10">
        <f t="shared" si="11"/>
        <v>0</v>
      </c>
      <c r="AF556" s="10"/>
      <c r="AG556" s="10"/>
      <c r="AH556" s="10"/>
      <c r="AI556" s="10"/>
      <c r="AJ556" s="10"/>
      <c r="AK556" s="10"/>
      <c r="AL556" s="10"/>
      <c r="AM556" s="10">
        <f>+'Gen Rev'!AI547-'Gen Exp'!AE556+'Gen Exp'!AI556-AK556</f>
        <v>0</v>
      </c>
      <c r="AN556" s="10"/>
    </row>
    <row r="557" spans="1:40">
      <c r="A557" s="1" t="s">
        <v>369</v>
      </c>
      <c r="C557" s="1" t="s">
        <v>368</v>
      </c>
      <c r="E557" s="10">
        <v>292978</v>
      </c>
      <c r="G557" s="10">
        <v>0</v>
      </c>
      <c r="I557" s="10">
        <v>0</v>
      </c>
      <c r="K557" s="10">
        <v>177763</v>
      </c>
      <c r="M557" s="10">
        <v>0</v>
      </c>
      <c r="O557" s="10">
        <v>0</v>
      </c>
      <c r="Q557" s="10">
        <v>371172</v>
      </c>
      <c r="S557" s="10">
        <v>0</v>
      </c>
      <c r="U557" s="10">
        <v>0</v>
      </c>
      <c r="W557" s="10">
        <v>0</v>
      </c>
      <c r="Y557" s="10">
        <v>112133</v>
      </c>
      <c r="AA557" s="10">
        <v>0</v>
      </c>
      <c r="AC557" s="10">
        <v>0</v>
      </c>
      <c r="AE557" s="10">
        <f t="shared" si="11"/>
        <v>954046</v>
      </c>
      <c r="AF557" s="10"/>
      <c r="AG557" s="10">
        <v>-54988</v>
      </c>
      <c r="AI557" s="10">
        <v>241436</v>
      </c>
      <c r="AK557" s="10">
        <v>186438</v>
      </c>
      <c r="AM557" s="10">
        <f>+'Gen Rev'!AI548-'Gen Exp'!AE557+'Gen Exp'!AI557-AK557</f>
        <v>0</v>
      </c>
    </row>
    <row r="558" spans="1:40" hidden="1">
      <c r="A558" s="1" t="s">
        <v>527</v>
      </c>
      <c r="C558" s="1" t="s">
        <v>528</v>
      </c>
      <c r="E558" s="10">
        <v>0</v>
      </c>
      <c r="G558" s="10">
        <v>0</v>
      </c>
      <c r="I558" s="10">
        <v>0</v>
      </c>
      <c r="K558" s="10">
        <v>0</v>
      </c>
      <c r="M558" s="10">
        <v>0</v>
      </c>
      <c r="O558" s="10">
        <v>0</v>
      </c>
      <c r="Q558" s="10">
        <v>0</v>
      </c>
      <c r="S558" s="10">
        <v>0</v>
      </c>
      <c r="U558" s="10">
        <v>0</v>
      </c>
      <c r="W558" s="10">
        <v>0</v>
      </c>
      <c r="Y558" s="10">
        <v>0</v>
      </c>
      <c r="AA558" s="10">
        <v>0</v>
      </c>
      <c r="AC558" s="10">
        <v>0</v>
      </c>
      <c r="AE558" s="10">
        <f t="shared" si="11"/>
        <v>0</v>
      </c>
      <c r="AF558" s="10"/>
      <c r="AM558" s="10">
        <f>+'Gen Rev'!AI551-'Gen Exp'!AE558+'Gen Exp'!AI558-AK558</f>
        <v>0</v>
      </c>
    </row>
    <row r="559" spans="1:40" ht="12.75">
      <c r="A559" s="1" t="s">
        <v>142</v>
      </c>
      <c r="C559" s="23" t="s">
        <v>794</v>
      </c>
      <c r="D559" s="23"/>
      <c r="E559" s="10">
        <v>28863</v>
      </c>
      <c r="G559" s="10">
        <v>0</v>
      </c>
      <c r="I559" s="10">
        <v>904</v>
      </c>
      <c r="K559" s="10">
        <v>0</v>
      </c>
      <c r="M559" s="10">
        <v>0</v>
      </c>
      <c r="O559" s="10">
        <v>0</v>
      </c>
      <c r="Q559" s="10">
        <v>56630</v>
      </c>
      <c r="S559" s="10">
        <v>0</v>
      </c>
      <c r="U559" s="10">
        <v>0</v>
      </c>
      <c r="W559" s="10">
        <v>0</v>
      </c>
      <c r="Y559" s="10">
        <v>0</v>
      </c>
      <c r="AA559" s="10">
        <v>0</v>
      </c>
      <c r="AC559" s="10">
        <v>0</v>
      </c>
      <c r="AE559" s="10">
        <f t="shared" si="11"/>
        <v>86397</v>
      </c>
      <c r="AF559" s="10"/>
      <c r="AG559" s="10">
        <v>425</v>
      </c>
      <c r="AI559" s="10">
        <v>-4851</v>
      </c>
      <c r="AK559" s="10">
        <v>-4426</v>
      </c>
      <c r="AM559" s="10">
        <f>+'Gen Rev'!AI549-'Gen Exp'!AE559+'Gen Exp'!AI559-AK559</f>
        <v>0</v>
      </c>
    </row>
    <row r="560" spans="1:40" ht="12.75" hidden="1">
      <c r="A560" s="1" t="s">
        <v>35</v>
      </c>
      <c r="C560" s="23" t="s">
        <v>760</v>
      </c>
      <c r="D560" s="23"/>
      <c r="E560" s="10">
        <v>0</v>
      </c>
      <c r="G560" s="10">
        <v>0</v>
      </c>
      <c r="I560" s="10">
        <v>0</v>
      </c>
      <c r="K560" s="10">
        <v>0</v>
      </c>
      <c r="M560" s="10">
        <v>0</v>
      </c>
      <c r="O560" s="10">
        <v>0</v>
      </c>
      <c r="Q560" s="10">
        <v>0</v>
      </c>
      <c r="S560" s="10">
        <v>0</v>
      </c>
      <c r="U560" s="10">
        <v>0</v>
      </c>
      <c r="W560" s="10">
        <v>0</v>
      </c>
      <c r="Y560" s="10">
        <v>0</v>
      </c>
      <c r="AA560" s="10">
        <v>0</v>
      </c>
      <c r="AC560" s="10">
        <v>0</v>
      </c>
      <c r="AE560" s="10">
        <f t="shared" si="11"/>
        <v>0</v>
      </c>
      <c r="AF560" s="10"/>
      <c r="AG560" s="46"/>
      <c r="AH560" s="46"/>
      <c r="AI560" s="46"/>
      <c r="AJ560" s="46"/>
      <c r="AK560" s="46"/>
      <c r="AL560" s="46"/>
      <c r="AN560" s="46"/>
    </row>
    <row r="561" spans="1:40" ht="12.75" hidden="1">
      <c r="A561" s="1" t="s">
        <v>217</v>
      </c>
      <c r="C561" s="23" t="s">
        <v>817</v>
      </c>
      <c r="D561" s="23"/>
      <c r="E561" s="10">
        <v>0</v>
      </c>
      <c r="G561" s="10">
        <v>0</v>
      </c>
      <c r="I561" s="10">
        <v>0</v>
      </c>
      <c r="K561" s="10">
        <v>0</v>
      </c>
      <c r="M561" s="10">
        <v>0</v>
      </c>
      <c r="O561" s="10">
        <v>0</v>
      </c>
      <c r="Q561" s="10">
        <v>0</v>
      </c>
      <c r="S561" s="10">
        <v>0</v>
      </c>
      <c r="U561" s="10">
        <v>0</v>
      </c>
      <c r="W561" s="10">
        <v>0</v>
      </c>
      <c r="Y561" s="10">
        <v>0</v>
      </c>
      <c r="AA561" s="10">
        <v>0</v>
      </c>
      <c r="AC561" s="10">
        <v>0</v>
      </c>
      <c r="AE561" s="10">
        <f t="shared" si="11"/>
        <v>0</v>
      </c>
      <c r="AF561" s="10"/>
    </row>
    <row r="562" spans="1:40" ht="12.75" hidden="1">
      <c r="A562" s="1" t="s">
        <v>865</v>
      </c>
      <c r="C562" s="23" t="s">
        <v>805</v>
      </c>
      <c r="D562" s="23"/>
      <c r="E562" s="10">
        <v>0</v>
      </c>
      <c r="G562" s="10">
        <v>0</v>
      </c>
      <c r="I562" s="10">
        <v>0</v>
      </c>
      <c r="K562" s="10">
        <v>0</v>
      </c>
      <c r="M562" s="10">
        <v>0</v>
      </c>
      <c r="O562" s="10">
        <v>0</v>
      </c>
      <c r="Q562" s="10">
        <v>0</v>
      </c>
      <c r="S562" s="10">
        <v>0</v>
      </c>
      <c r="U562" s="10">
        <v>0</v>
      </c>
      <c r="W562" s="10">
        <v>0</v>
      </c>
      <c r="Y562" s="10">
        <v>0</v>
      </c>
      <c r="AA562" s="10">
        <v>0</v>
      </c>
      <c r="AC562" s="10">
        <v>0</v>
      </c>
      <c r="AE562" s="10">
        <f t="shared" si="11"/>
        <v>0</v>
      </c>
      <c r="AF562" s="10"/>
    </row>
    <row r="563" spans="1:40" ht="12.75" hidden="1">
      <c r="A563" s="1" t="s">
        <v>845</v>
      </c>
      <c r="C563" s="23" t="s">
        <v>804</v>
      </c>
      <c r="D563" s="23"/>
      <c r="E563" s="10">
        <v>0</v>
      </c>
      <c r="G563" s="10">
        <v>0</v>
      </c>
      <c r="I563" s="10">
        <v>0</v>
      </c>
      <c r="K563" s="10">
        <v>0</v>
      </c>
      <c r="M563" s="10">
        <v>0</v>
      </c>
      <c r="O563" s="10">
        <v>0</v>
      </c>
      <c r="Q563" s="10">
        <v>0</v>
      </c>
      <c r="S563" s="10">
        <v>0</v>
      </c>
      <c r="U563" s="10">
        <v>0</v>
      </c>
      <c r="W563" s="10">
        <v>0</v>
      </c>
      <c r="Y563" s="10">
        <v>0</v>
      </c>
      <c r="AA563" s="10">
        <v>0</v>
      </c>
      <c r="AC563" s="10">
        <v>0</v>
      </c>
      <c r="AE563" s="10">
        <f t="shared" si="11"/>
        <v>0</v>
      </c>
      <c r="AF563" s="10"/>
    </row>
    <row r="564" spans="1:40" ht="12.75" hidden="1">
      <c r="A564" s="1" t="s">
        <v>861</v>
      </c>
      <c r="C564" s="23" t="s">
        <v>797</v>
      </c>
      <c r="D564" s="23"/>
      <c r="E564" s="10">
        <v>0</v>
      </c>
      <c r="G564" s="10">
        <v>0</v>
      </c>
      <c r="I564" s="10">
        <v>0</v>
      </c>
      <c r="K564" s="10">
        <v>0</v>
      </c>
      <c r="M564" s="10">
        <v>0</v>
      </c>
      <c r="O564" s="10">
        <v>0</v>
      </c>
      <c r="Q564" s="10">
        <v>0</v>
      </c>
      <c r="S564" s="10">
        <v>0</v>
      </c>
      <c r="U564" s="10">
        <v>0</v>
      </c>
      <c r="W564" s="10">
        <v>0</v>
      </c>
      <c r="Y564" s="10">
        <v>0</v>
      </c>
      <c r="AA564" s="10">
        <v>0</v>
      </c>
      <c r="AC564" s="10">
        <v>0</v>
      </c>
      <c r="AE564" s="10">
        <f t="shared" si="11"/>
        <v>0</v>
      </c>
      <c r="AF564" s="10"/>
      <c r="AM564" s="10">
        <f>+'Gen Rev'!AI550-'Gen Exp'!AE564+'Gen Exp'!AI564-AK564</f>
        <v>0</v>
      </c>
    </row>
    <row r="565" spans="1:40" s="21" customFormat="1" ht="12.75" hidden="1">
      <c r="A565" s="1" t="s">
        <v>6</v>
      </c>
      <c r="B565" s="1"/>
      <c r="C565" s="23" t="s">
        <v>751</v>
      </c>
      <c r="D565" s="23"/>
      <c r="E565" s="10">
        <v>0</v>
      </c>
      <c r="F565" s="10"/>
      <c r="G565" s="10">
        <v>0</v>
      </c>
      <c r="H565" s="10"/>
      <c r="I565" s="10">
        <v>0</v>
      </c>
      <c r="J565" s="10"/>
      <c r="K565" s="10">
        <v>0</v>
      </c>
      <c r="L565" s="10"/>
      <c r="M565" s="10">
        <v>0</v>
      </c>
      <c r="N565" s="10"/>
      <c r="O565" s="10">
        <v>0</v>
      </c>
      <c r="P565" s="10"/>
      <c r="Q565" s="10">
        <v>0</v>
      </c>
      <c r="R565" s="10"/>
      <c r="S565" s="10">
        <v>0</v>
      </c>
      <c r="T565" s="10"/>
      <c r="U565" s="10">
        <v>0</v>
      </c>
      <c r="V565" s="10"/>
      <c r="W565" s="10">
        <v>0</v>
      </c>
      <c r="X565" s="10"/>
      <c r="Y565" s="10">
        <v>0</v>
      </c>
      <c r="Z565" s="10"/>
      <c r="AA565" s="10">
        <v>0</v>
      </c>
      <c r="AB565" s="10"/>
      <c r="AC565" s="10">
        <v>0</v>
      </c>
      <c r="AD565" s="10"/>
      <c r="AE565" s="10">
        <f t="shared" si="11"/>
        <v>0</v>
      </c>
      <c r="AF565" s="10"/>
      <c r="AG565" s="10"/>
      <c r="AH565" s="10"/>
      <c r="AI565" s="10"/>
      <c r="AJ565" s="10"/>
      <c r="AK565" s="10"/>
      <c r="AL565" s="10"/>
      <c r="AM565" s="10">
        <f>+'Gen Rev'!AI551-'Gen Exp'!AE565+'Gen Exp'!AI565-AK565</f>
        <v>0</v>
      </c>
      <c r="AN565" s="10"/>
    </row>
    <row r="566" spans="1:40" s="21" customFormat="1" ht="12.75" hidden="1">
      <c r="A566" s="1" t="s">
        <v>85</v>
      </c>
      <c r="B566" s="1"/>
      <c r="C566" s="23" t="s">
        <v>776</v>
      </c>
      <c r="D566" s="23"/>
      <c r="E566" s="10">
        <v>0</v>
      </c>
      <c r="F566" s="10"/>
      <c r="G566" s="10">
        <v>0</v>
      </c>
      <c r="H566" s="10"/>
      <c r="I566" s="10">
        <v>0</v>
      </c>
      <c r="J566" s="10"/>
      <c r="K566" s="10">
        <v>0</v>
      </c>
      <c r="L566" s="10"/>
      <c r="M566" s="10">
        <v>0</v>
      </c>
      <c r="N566" s="10"/>
      <c r="O566" s="10">
        <v>0</v>
      </c>
      <c r="P566" s="10"/>
      <c r="Q566" s="10">
        <v>0</v>
      </c>
      <c r="R566" s="10"/>
      <c r="S566" s="10">
        <v>0</v>
      </c>
      <c r="T566" s="10"/>
      <c r="U566" s="10">
        <v>0</v>
      </c>
      <c r="V566" s="10"/>
      <c r="W566" s="10">
        <v>0</v>
      </c>
      <c r="X566" s="10"/>
      <c r="Y566" s="10">
        <v>0</v>
      </c>
      <c r="Z566" s="10"/>
      <c r="AA566" s="10">
        <v>0</v>
      </c>
      <c r="AB566" s="10"/>
      <c r="AC566" s="10">
        <v>0</v>
      </c>
      <c r="AD566" s="10"/>
      <c r="AE566" s="10">
        <f>SUM(E566:AC566)</f>
        <v>0</v>
      </c>
      <c r="AF566" s="10"/>
      <c r="AG566" s="10"/>
      <c r="AH566" s="10"/>
      <c r="AI566" s="10"/>
      <c r="AJ566" s="10"/>
      <c r="AK566" s="10"/>
      <c r="AL566" s="10"/>
      <c r="AM566" s="10">
        <f>+'Gen Rev'!AI552-'Gen Exp'!AE566+'Gen Exp'!AI566-AK566</f>
        <v>0</v>
      </c>
      <c r="AN566" s="10"/>
    </row>
    <row r="567" spans="1:40" s="21" customFormat="1">
      <c r="A567" s="1" t="s">
        <v>444</v>
      </c>
      <c r="B567" s="1"/>
      <c r="C567" s="1" t="s">
        <v>439</v>
      </c>
      <c r="D567" s="1"/>
      <c r="E567" s="10">
        <v>48832</v>
      </c>
      <c r="F567" s="10"/>
      <c r="G567" s="10">
        <v>737</v>
      </c>
      <c r="H567" s="10"/>
      <c r="I567" s="10">
        <v>4084</v>
      </c>
      <c r="J567" s="10"/>
      <c r="K567" s="10">
        <v>889</v>
      </c>
      <c r="L567" s="10"/>
      <c r="M567" s="10">
        <v>0</v>
      </c>
      <c r="N567" s="10"/>
      <c r="O567" s="10">
        <v>0</v>
      </c>
      <c r="P567" s="10"/>
      <c r="Q567" s="10">
        <f>54130-31</f>
        <v>54099</v>
      </c>
      <c r="R567" s="10"/>
      <c r="S567" s="10">
        <v>0</v>
      </c>
      <c r="T567" s="10"/>
      <c r="U567" s="10">
        <v>0</v>
      </c>
      <c r="V567" s="10"/>
      <c r="W567" s="10">
        <v>0</v>
      </c>
      <c r="X567" s="10"/>
      <c r="Y567" s="10">
        <v>0</v>
      </c>
      <c r="Z567" s="10"/>
      <c r="AA567" s="10">
        <v>0</v>
      </c>
      <c r="AB567" s="10"/>
      <c r="AC567" s="10">
        <v>0</v>
      </c>
      <c r="AD567" s="10"/>
      <c r="AE567" s="10">
        <f t="shared" si="11"/>
        <v>108641</v>
      </c>
      <c r="AF567" s="10"/>
      <c r="AG567" s="10">
        <v>-1256</v>
      </c>
      <c r="AH567" s="10"/>
      <c r="AI567" s="10">
        <v>3038</v>
      </c>
      <c r="AJ567" s="10"/>
      <c r="AK567" s="10">
        <v>1813</v>
      </c>
      <c r="AL567" s="10"/>
      <c r="AM567" s="10">
        <f>+'Gen Rev'!AI553-'Gen Exp'!AE567+'Gen Exp'!AI567-AK567</f>
        <v>0</v>
      </c>
      <c r="AN567" s="10"/>
    </row>
    <row r="568" spans="1:40" s="21" customFormat="1" ht="12.75" hidden="1">
      <c r="A568" s="1" t="s">
        <v>33</v>
      </c>
      <c r="B568" s="1"/>
      <c r="C568" s="23" t="s">
        <v>759</v>
      </c>
      <c r="D568" s="23"/>
      <c r="E568" s="10">
        <v>0</v>
      </c>
      <c r="F568" s="10"/>
      <c r="G568" s="10">
        <v>0</v>
      </c>
      <c r="H568" s="10"/>
      <c r="I568" s="10">
        <v>0</v>
      </c>
      <c r="J568" s="10"/>
      <c r="K568" s="10">
        <v>0</v>
      </c>
      <c r="L568" s="10"/>
      <c r="M568" s="10">
        <v>0</v>
      </c>
      <c r="N568" s="10"/>
      <c r="O568" s="10">
        <v>0</v>
      </c>
      <c r="P568" s="10"/>
      <c r="Q568" s="10">
        <v>0</v>
      </c>
      <c r="R568" s="10"/>
      <c r="S568" s="10">
        <v>0</v>
      </c>
      <c r="T568" s="10"/>
      <c r="U568" s="10">
        <v>0</v>
      </c>
      <c r="V568" s="10"/>
      <c r="W568" s="10">
        <v>0</v>
      </c>
      <c r="X568" s="10"/>
      <c r="Y568" s="10">
        <v>0</v>
      </c>
      <c r="Z568" s="10"/>
      <c r="AA568" s="10">
        <v>0</v>
      </c>
      <c r="AB568" s="10"/>
      <c r="AC568" s="10">
        <v>0</v>
      </c>
      <c r="AD568" s="10"/>
      <c r="AE568" s="10">
        <f t="shared" si="11"/>
        <v>0</v>
      </c>
      <c r="AF568" s="10"/>
      <c r="AG568" s="46"/>
      <c r="AH568" s="46"/>
      <c r="AI568" s="46"/>
      <c r="AJ568" s="46"/>
      <c r="AK568" s="46"/>
      <c r="AL568" s="46"/>
      <c r="AM568" s="10">
        <f>+'Gen Rev'!AI554-'Gen Exp'!AE568+'Gen Exp'!AI568-AK568</f>
        <v>0</v>
      </c>
      <c r="AN568" s="46"/>
    </row>
    <row r="569" spans="1:40">
      <c r="A569" s="1" t="s">
        <v>480</v>
      </c>
      <c r="C569" s="1" t="s">
        <v>477</v>
      </c>
      <c r="E569" s="10">
        <v>3482</v>
      </c>
      <c r="G569" s="10">
        <v>344</v>
      </c>
      <c r="I569" s="10">
        <v>0</v>
      </c>
      <c r="K569" s="10">
        <v>0</v>
      </c>
      <c r="M569" s="10">
        <v>0</v>
      </c>
      <c r="O569" s="10">
        <v>0</v>
      </c>
      <c r="Q569" s="10">
        <v>3118</v>
      </c>
      <c r="S569" s="10">
        <v>0</v>
      </c>
      <c r="U569" s="10">
        <v>0</v>
      </c>
      <c r="W569" s="10">
        <v>0</v>
      </c>
      <c r="Y569" s="10">
        <v>0</v>
      </c>
      <c r="AA569" s="10">
        <v>0</v>
      </c>
      <c r="AC569" s="10">
        <v>0</v>
      </c>
      <c r="AE569" s="10">
        <f t="shared" ref="AE569:AE613" si="12">SUM(E569:AC569)</f>
        <v>6944</v>
      </c>
      <c r="AF569" s="40"/>
      <c r="AG569" s="10">
        <v>1237</v>
      </c>
      <c r="AI569" s="10">
        <v>5825</v>
      </c>
      <c r="AK569" s="10">
        <v>7062</v>
      </c>
      <c r="AM569" s="10">
        <f>+'Gen Rev'!AI555-'Gen Exp'!AE569+'Gen Exp'!AI569-AK569</f>
        <v>0</v>
      </c>
    </row>
    <row r="570" spans="1:40" s="21" customFormat="1" ht="12.75" hidden="1">
      <c r="A570" s="1" t="s">
        <v>169</v>
      </c>
      <c r="B570" s="1"/>
      <c r="C570" s="23" t="s">
        <v>803</v>
      </c>
      <c r="D570" s="23"/>
      <c r="E570" s="10">
        <v>0</v>
      </c>
      <c r="F570" s="10"/>
      <c r="G570" s="10">
        <v>0</v>
      </c>
      <c r="H570" s="10"/>
      <c r="I570" s="10">
        <v>0</v>
      </c>
      <c r="J570" s="10"/>
      <c r="K570" s="10">
        <v>0</v>
      </c>
      <c r="L570" s="10"/>
      <c r="M570" s="10">
        <v>0</v>
      </c>
      <c r="N570" s="10"/>
      <c r="O570" s="10">
        <v>0</v>
      </c>
      <c r="P570" s="10"/>
      <c r="Q570" s="10">
        <v>0</v>
      </c>
      <c r="R570" s="10"/>
      <c r="S570" s="10">
        <v>0</v>
      </c>
      <c r="T570" s="10"/>
      <c r="U570" s="10">
        <v>0</v>
      </c>
      <c r="V570" s="10"/>
      <c r="W570" s="10">
        <v>0</v>
      </c>
      <c r="X570" s="10"/>
      <c r="Y570" s="10">
        <v>0</v>
      </c>
      <c r="Z570" s="10"/>
      <c r="AA570" s="10">
        <v>0</v>
      </c>
      <c r="AB570" s="10"/>
      <c r="AC570" s="10">
        <v>0</v>
      </c>
      <c r="AD570" s="10"/>
      <c r="AE570" s="10">
        <f t="shared" si="12"/>
        <v>0</v>
      </c>
      <c r="AF570" s="10"/>
      <c r="AG570" s="10"/>
      <c r="AH570" s="10"/>
      <c r="AI570" s="10"/>
      <c r="AJ570" s="10"/>
      <c r="AK570" s="10"/>
      <c r="AL570" s="10"/>
      <c r="AM570" s="10">
        <f>+'Gen Rev'!AI556-'Gen Exp'!AE570+'Gen Exp'!AI570-AK570</f>
        <v>0</v>
      </c>
      <c r="AN570" s="10"/>
    </row>
    <row r="571" spans="1:40" hidden="1">
      <c r="A571" s="1" t="s">
        <v>571</v>
      </c>
      <c r="C571" s="1" t="s">
        <v>565</v>
      </c>
      <c r="E571" s="10">
        <v>0</v>
      </c>
      <c r="G571" s="10">
        <v>0</v>
      </c>
      <c r="I571" s="10">
        <v>0</v>
      </c>
      <c r="K571" s="10">
        <v>0</v>
      </c>
      <c r="M571" s="10">
        <v>0</v>
      </c>
      <c r="O571" s="10">
        <v>0</v>
      </c>
      <c r="Q571" s="10">
        <v>0</v>
      </c>
      <c r="S571" s="10">
        <v>0</v>
      </c>
      <c r="U571" s="10">
        <v>0</v>
      </c>
      <c r="W571" s="10">
        <v>0</v>
      </c>
      <c r="Y571" s="10">
        <v>0</v>
      </c>
      <c r="AA571" s="10">
        <v>0</v>
      </c>
      <c r="AC571" s="10">
        <v>0</v>
      </c>
      <c r="AE571" s="10">
        <f t="shared" si="12"/>
        <v>0</v>
      </c>
      <c r="AF571" s="10"/>
      <c r="AM571" s="10">
        <f>+'Gen Rev'!AI557-'Gen Exp'!AE571+'Gen Exp'!AI571-AK571</f>
        <v>0</v>
      </c>
    </row>
    <row r="572" spans="1:40">
      <c r="A572" s="1" t="s">
        <v>572</v>
      </c>
      <c r="C572" s="1" t="s">
        <v>565</v>
      </c>
      <c r="E572" s="10">
        <v>363266</v>
      </c>
      <c r="G572" s="10">
        <v>1894</v>
      </c>
      <c r="I572" s="10">
        <v>0</v>
      </c>
      <c r="K572" s="10">
        <v>2262</v>
      </c>
      <c r="M572" s="10">
        <v>69892</v>
      </c>
      <c r="O572" s="10">
        <v>0</v>
      </c>
      <c r="Q572" s="10">
        <v>221550</v>
      </c>
      <c r="S572" s="10">
        <v>171768</v>
      </c>
      <c r="U572" s="10">
        <v>0</v>
      </c>
      <c r="W572" s="10">
        <v>0</v>
      </c>
      <c r="Y572" s="10">
        <v>0</v>
      </c>
      <c r="AA572" s="10">
        <v>0</v>
      </c>
      <c r="AC572" s="10">
        <v>0</v>
      </c>
      <c r="AE572" s="10">
        <f t="shared" si="12"/>
        <v>830632</v>
      </c>
      <c r="AF572" s="10"/>
      <c r="AG572" s="10">
        <v>-77830</v>
      </c>
      <c r="AI572" s="10">
        <v>294340</v>
      </c>
      <c r="AK572" s="10">
        <v>216511</v>
      </c>
      <c r="AM572" s="10">
        <f>+'Gen Rev'!AI558-'Gen Exp'!AE572+'Gen Exp'!AI572-AK572</f>
        <v>0</v>
      </c>
    </row>
    <row r="573" spans="1:40" s="21" customFormat="1" hidden="1">
      <c r="A573" s="1" t="s">
        <v>424</v>
      </c>
      <c r="B573" s="1"/>
      <c r="C573" s="1" t="s">
        <v>420</v>
      </c>
      <c r="D573" s="1"/>
      <c r="E573" s="10">
        <v>0</v>
      </c>
      <c r="F573" s="10"/>
      <c r="G573" s="10">
        <v>0</v>
      </c>
      <c r="H573" s="10"/>
      <c r="I573" s="10">
        <v>0</v>
      </c>
      <c r="J573" s="10"/>
      <c r="K573" s="10">
        <v>0</v>
      </c>
      <c r="L573" s="10"/>
      <c r="M573" s="10">
        <v>0</v>
      </c>
      <c r="N573" s="10"/>
      <c r="O573" s="10">
        <v>0</v>
      </c>
      <c r="P573" s="10"/>
      <c r="Q573" s="10">
        <v>0</v>
      </c>
      <c r="R573" s="10"/>
      <c r="S573" s="10">
        <v>0</v>
      </c>
      <c r="T573" s="10"/>
      <c r="U573" s="10">
        <v>0</v>
      </c>
      <c r="V573" s="10"/>
      <c r="W573" s="10">
        <v>0</v>
      </c>
      <c r="X573" s="10"/>
      <c r="Y573" s="10">
        <v>0</v>
      </c>
      <c r="Z573" s="10"/>
      <c r="AA573" s="10">
        <v>0</v>
      </c>
      <c r="AB573" s="10"/>
      <c r="AC573" s="10">
        <v>0</v>
      </c>
      <c r="AD573" s="10"/>
      <c r="AE573" s="10">
        <f t="shared" si="12"/>
        <v>0</v>
      </c>
      <c r="AF573" s="10"/>
      <c r="AG573" s="10"/>
      <c r="AH573" s="10"/>
      <c r="AI573" s="10"/>
      <c r="AJ573" s="10"/>
      <c r="AK573" s="10"/>
      <c r="AL573" s="10"/>
      <c r="AM573" s="10">
        <f>+'Gen Rev'!AI559-'Gen Exp'!AE573+'Gen Exp'!AI573-AK573</f>
        <v>0</v>
      </c>
      <c r="AN573" s="10"/>
    </row>
    <row r="574" spans="1:40">
      <c r="A574" s="1" t="s">
        <v>603</v>
      </c>
      <c r="C574" s="1" t="s">
        <v>601</v>
      </c>
      <c r="E574" s="10">
        <v>240924</v>
      </c>
      <c r="G574" s="10">
        <v>16938</v>
      </c>
      <c r="I574" s="10">
        <v>14183</v>
      </c>
      <c r="K574" s="10">
        <v>7451</v>
      </c>
      <c r="M574" s="10">
        <v>8190</v>
      </c>
      <c r="O574" s="10">
        <v>0</v>
      </c>
      <c r="Q574" s="10">
        <v>239271</v>
      </c>
      <c r="S574" s="10">
        <v>0</v>
      </c>
      <c r="U574" s="10">
        <v>0</v>
      </c>
      <c r="W574" s="10">
        <v>0</v>
      </c>
      <c r="Y574" s="10">
        <v>82500</v>
      </c>
      <c r="AA574" s="10">
        <v>0</v>
      </c>
      <c r="AC574" s="10">
        <v>0</v>
      </c>
      <c r="AE574" s="10">
        <f t="shared" si="12"/>
        <v>609457</v>
      </c>
      <c r="AF574" s="10"/>
      <c r="AG574" s="10">
        <v>-25368</v>
      </c>
      <c r="AI574" s="10">
        <v>648633</v>
      </c>
      <c r="AK574" s="10">
        <v>623265</v>
      </c>
      <c r="AM574" s="10">
        <f>+'Gen Rev'!AI560-'Gen Exp'!AE574+'Gen Exp'!AI574-AK574</f>
        <v>0</v>
      </c>
    </row>
    <row r="575" spans="1:40" ht="12.75" hidden="1">
      <c r="A575" s="1" t="s">
        <v>196</v>
      </c>
      <c r="C575" s="23" t="s">
        <v>811</v>
      </c>
      <c r="D575" s="23"/>
      <c r="E575" s="10">
        <v>0</v>
      </c>
      <c r="G575" s="10">
        <v>0</v>
      </c>
      <c r="I575" s="10">
        <v>0</v>
      </c>
      <c r="K575" s="10">
        <v>0</v>
      </c>
      <c r="M575" s="10">
        <v>0</v>
      </c>
      <c r="O575" s="10">
        <v>0</v>
      </c>
      <c r="Q575" s="10">
        <v>0</v>
      </c>
      <c r="S575" s="10">
        <v>0</v>
      </c>
      <c r="U575" s="10">
        <v>0</v>
      </c>
      <c r="W575" s="10">
        <v>0</v>
      </c>
      <c r="Y575" s="10">
        <v>0</v>
      </c>
      <c r="AA575" s="10">
        <v>0</v>
      </c>
      <c r="AC575" s="10">
        <v>0</v>
      </c>
      <c r="AE575" s="10">
        <f t="shared" si="12"/>
        <v>0</v>
      </c>
      <c r="AF575" s="10"/>
      <c r="AM575" s="10">
        <f>+'Gen Rev'!AI561-'Gen Exp'!AE575+'Gen Exp'!AI575-AK575</f>
        <v>0</v>
      </c>
    </row>
    <row r="576" spans="1:40" s="21" customFormat="1" ht="12.75" hidden="1">
      <c r="A576" s="1" t="s">
        <v>66</v>
      </c>
      <c r="B576" s="1"/>
      <c r="C576" s="23" t="s">
        <v>771</v>
      </c>
      <c r="D576" s="23"/>
      <c r="E576" s="10">
        <v>0</v>
      </c>
      <c r="F576" s="10"/>
      <c r="G576" s="10">
        <v>0</v>
      </c>
      <c r="H576" s="10"/>
      <c r="I576" s="10">
        <v>0</v>
      </c>
      <c r="J576" s="10"/>
      <c r="K576" s="10">
        <v>0</v>
      </c>
      <c r="L576" s="10"/>
      <c r="M576" s="10">
        <v>0</v>
      </c>
      <c r="N576" s="10"/>
      <c r="O576" s="10">
        <v>0</v>
      </c>
      <c r="P576" s="10"/>
      <c r="Q576" s="10">
        <v>0</v>
      </c>
      <c r="R576" s="10"/>
      <c r="S576" s="10">
        <v>0</v>
      </c>
      <c r="T576" s="10"/>
      <c r="U576" s="10">
        <v>0</v>
      </c>
      <c r="V576" s="10"/>
      <c r="W576" s="10">
        <v>0</v>
      </c>
      <c r="X576" s="10"/>
      <c r="Y576" s="10">
        <v>0</v>
      </c>
      <c r="Z576" s="10"/>
      <c r="AA576" s="10">
        <v>0</v>
      </c>
      <c r="AB576" s="10"/>
      <c r="AC576" s="10">
        <v>0</v>
      </c>
      <c r="AD576" s="10"/>
      <c r="AE576" s="10">
        <f t="shared" si="12"/>
        <v>0</v>
      </c>
      <c r="AF576" s="10"/>
      <c r="AG576" s="46"/>
      <c r="AH576" s="46"/>
      <c r="AI576" s="46"/>
      <c r="AJ576" s="46"/>
      <c r="AK576" s="46"/>
      <c r="AL576" s="46"/>
      <c r="AM576" s="10">
        <f>+'Gen Rev'!AI562-'Gen Exp'!AE576+'Gen Exp'!AI576-AK576</f>
        <v>0</v>
      </c>
      <c r="AN576" s="46"/>
    </row>
    <row r="577" spans="1:41">
      <c r="A577" s="1" t="s">
        <v>573</v>
      </c>
      <c r="C577" s="1" t="s">
        <v>565</v>
      </c>
      <c r="E577" s="10">
        <v>362397</v>
      </c>
      <c r="G577" s="10">
        <v>2474</v>
      </c>
      <c r="I577" s="10">
        <v>27501</v>
      </c>
      <c r="K577" s="10">
        <v>10720</v>
      </c>
      <c r="M577" s="10">
        <v>109819</v>
      </c>
      <c r="O577" s="10">
        <v>4085</v>
      </c>
      <c r="Q577" s="10">
        <v>454410</v>
      </c>
      <c r="S577" s="10">
        <v>235353</v>
      </c>
      <c r="U577" s="10">
        <v>0</v>
      </c>
      <c r="W577" s="10">
        <v>0</v>
      </c>
      <c r="Y577" s="10">
        <v>320000</v>
      </c>
      <c r="AA577" s="10">
        <v>0</v>
      </c>
      <c r="AC577" s="10">
        <v>15596</v>
      </c>
      <c r="AE577" s="10">
        <f t="shared" si="12"/>
        <v>1542355</v>
      </c>
      <c r="AF577" s="10"/>
      <c r="AG577" s="10">
        <v>-369616</v>
      </c>
      <c r="AI577" s="10">
        <v>794662</v>
      </c>
      <c r="AK577" s="10">
        <v>425046</v>
      </c>
      <c r="AM577" s="10">
        <f>+'Gen Rev'!AI563-'Gen Exp'!AE577+'Gen Exp'!AI577-AK577</f>
        <v>0</v>
      </c>
    </row>
    <row r="578" spans="1:41" ht="12.75" hidden="1">
      <c r="A578" s="1" t="s">
        <v>178</v>
      </c>
      <c r="C578" s="23" t="s">
        <v>806</v>
      </c>
      <c r="D578" s="23"/>
      <c r="E578" s="10">
        <v>0</v>
      </c>
      <c r="G578" s="10">
        <v>0</v>
      </c>
      <c r="I578" s="10">
        <v>0</v>
      </c>
      <c r="K578" s="10">
        <v>0</v>
      </c>
      <c r="M578" s="10">
        <v>0</v>
      </c>
      <c r="O578" s="10">
        <v>0</v>
      </c>
      <c r="Q578" s="10">
        <v>0</v>
      </c>
      <c r="S578" s="10">
        <v>0</v>
      </c>
      <c r="U578" s="10">
        <v>0</v>
      </c>
      <c r="W578" s="10">
        <v>0</v>
      </c>
      <c r="Y578" s="10">
        <v>0</v>
      </c>
      <c r="AA578" s="10">
        <v>0</v>
      </c>
      <c r="AC578" s="10">
        <v>0</v>
      </c>
      <c r="AE578" s="10">
        <f t="shared" si="12"/>
        <v>0</v>
      </c>
      <c r="AF578" s="10"/>
      <c r="AM578" s="10">
        <f>+'Gen Rev'!AI564-'Gen Exp'!AE578+'Gen Exp'!AI578-AK578</f>
        <v>0</v>
      </c>
    </row>
    <row r="579" spans="1:41" ht="12.6" hidden="1" customHeight="1">
      <c r="A579" s="1" t="s">
        <v>47</v>
      </c>
      <c r="C579" s="1" t="s">
        <v>305</v>
      </c>
      <c r="E579" s="10">
        <v>0</v>
      </c>
      <c r="G579" s="10">
        <v>0</v>
      </c>
      <c r="I579" s="10">
        <v>0</v>
      </c>
      <c r="K579" s="10">
        <v>0</v>
      </c>
      <c r="M579" s="10">
        <v>0</v>
      </c>
      <c r="O579" s="10">
        <v>0</v>
      </c>
      <c r="Q579" s="10">
        <v>0</v>
      </c>
      <c r="S579" s="10">
        <v>0</v>
      </c>
      <c r="U579" s="10">
        <v>0</v>
      </c>
      <c r="W579" s="10">
        <v>0</v>
      </c>
      <c r="Y579" s="10">
        <v>0</v>
      </c>
      <c r="AA579" s="10">
        <v>0</v>
      </c>
      <c r="AC579" s="10">
        <v>0</v>
      </c>
      <c r="AE579" s="10">
        <f t="shared" si="12"/>
        <v>0</v>
      </c>
      <c r="AF579" s="10"/>
      <c r="AG579" s="46"/>
      <c r="AH579" s="46"/>
      <c r="AI579" s="46"/>
      <c r="AJ579" s="46"/>
      <c r="AK579" s="46"/>
      <c r="AL579" s="46"/>
      <c r="AM579" s="10">
        <f>+'Gen Rev'!AI565-'Gen Exp'!AE579+'Gen Exp'!AI579-AK579</f>
        <v>0</v>
      </c>
      <c r="AN579" s="46"/>
    </row>
    <row r="580" spans="1:41" ht="12.75" hidden="1">
      <c r="A580" s="1" t="s">
        <v>47</v>
      </c>
      <c r="C580" s="23" t="s">
        <v>763</v>
      </c>
      <c r="D580" s="23"/>
      <c r="E580" s="10">
        <v>0</v>
      </c>
      <c r="G580" s="10">
        <v>0</v>
      </c>
      <c r="I580" s="10">
        <v>0</v>
      </c>
      <c r="K580" s="10">
        <v>0</v>
      </c>
      <c r="M580" s="10">
        <v>0</v>
      </c>
      <c r="O580" s="10">
        <v>0</v>
      </c>
      <c r="Q580" s="10">
        <v>0</v>
      </c>
      <c r="S580" s="10">
        <v>0</v>
      </c>
      <c r="U580" s="10">
        <v>0</v>
      </c>
      <c r="W580" s="10">
        <v>0</v>
      </c>
      <c r="Y580" s="10">
        <v>0</v>
      </c>
      <c r="AA580" s="10">
        <v>0</v>
      </c>
      <c r="AC580" s="10">
        <v>0</v>
      </c>
      <c r="AE580" s="10">
        <f t="shared" si="12"/>
        <v>0</v>
      </c>
      <c r="AF580" s="10"/>
      <c r="AG580" s="46"/>
      <c r="AH580" s="46"/>
      <c r="AI580" s="46"/>
      <c r="AJ580" s="46"/>
      <c r="AK580" s="46"/>
      <c r="AL580" s="46"/>
      <c r="AM580" s="10">
        <f>+'Gen Rev'!AI566-'Gen Exp'!AE580+'Gen Exp'!AI580-AK580</f>
        <v>0</v>
      </c>
      <c r="AN580" s="46"/>
    </row>
    <row r="581" spans="1:41" s="21" customFormat="1" ht="12.6" customHeight="1">
      <c r="A581" s="1" t="s">
        <v>346</v>
      </c>
      <c r="B581" s="1"/>
      <c r="C581" s="1" t="s">
        <v>343</v>
      </c>
      <c r="D581" s="1"/>
      <c r="E581" s="10">
        <v>1121668</v>
      </c>
      <c r="F581" s="10"/>
      <c r="G581" s="10">
        <v>0</v>
      </c>
      <c r="H581" s="10"/>
      <c r="I581" s="10">
        <v>0</v>
      </c>
      <c r="J581" s="10"/>
      <c r="K581" s="10">
        <v>148703</v>
      </c>
      <c r="L581" s="10"/>
      <c r="M581" s="10">
        <v>0</v>
      </c>
      <c r="N581" s="10"/>
      <c r="O581" s="10">
        <v>547931</v>
      </c>
      <c r="P581" s="10"/>
      <c r="Q581" s="10">
        <v>726189</v>
      </c>
      <c r="R581" s="10"/>
      <c r="S581" s="10">
        <v>418532</v>
      </c>
      <c r="T581" s="10"/>
      <c r="U581" s="10">
        <v>2462800</v>
      </c>
      <c r="V581" s="10"/>
      <c r="W581" s="10">
        <v>78168</v>
      </c>
      <c r="X581" s="10"/>
      <c r="Y581" s="10">
        <v>985299</v>
      </c>
      <c r="Z581" s="10"/>
      <c r="AA581" s="10">
        <v>0</v>
      </c>
      <c r="AB581" s="10"/>
      <c r="AC581" s="10">
        <v>0</v>
      </c>
      <c r="AD581" s="10"/>
      <c r="AE581" s="10">
        <f t="shared" si="12"/>
        <v>6489290</v>
      </c>
      <c r="AF581" s="10"/>
      <c r="AG581" s="46">
        <v>-1069000</v>
      </c>
      <c r="AH581" s="46"/>
      <c r="AI581" s="46">
        <v>2044463</v>
      </c>
      <c r="AJ581" s="46"/>
      <c r="AK581" s="46">
        <v>975463</v>
      </c>
      <c r="AL581" s="46"/>
      <c r="AM581" s="10">
        <f>+'Gen Rev'!AI567-'Gen Exp'!AE581+'Gen Exp'!AI581-AK581</f>
        <v>0</v>
      </c>
      <c r="AN581" s="46"/>
    </row>
    <row r="582" spans="1:41" s="21" customFormat="1" hidden="1">
      <c r="A582" s="1" t="s">
        <v>362</v>
      </c>
      <c r="B582" s="1"/>
      <c r="C582" s="1" t="s">
        <v>358</v>
      </c>
      <c r="D582" s="1"/>
      <c r="E582" s="10">
        <v>0</v>
      </c>
      <c r="F582" s="10"/>
      <c r="G582" s="10">
        <v>0</v>
      </c>
      <c r="H582" s="10"/>
      <c r="I582" s="10">
        <v>0</v>
      </c>
      <c r="J582" s="10"/>
      <c r="K582" s="10">
        <v>0</v>
      </c>
      <c r="L582" s="10"/>
      <c r="M582" s="10">
        <v>0</v>
      </c>
      <c r="N582" s="10"/>
      <c r="O582" s="10">
        <v>0</v>
      </c>
      <c r="P582" s="10"/>
      <c r="Q582" s="10">
        <v>0</v>
      </c>
      <c r="R582" s="10"/>
      <c r="S582" s="10">
        <v>0</v>
      </c>
      <c r="T582" s="10"/>
      <c r="U582" s="10">
        <v>0</v>
      </c>
      <c r="V582" s="10"/>
      <c r="W582" s="10">
        <v>0</v>
      </c>
      <c r="X582" s="10"/>
      <c r="Y582" s="10">
        <v>0</v>
      </c>
      <c r="Z582" s="10"/>
      <c r="AA582" s="10">
        <v>0</v>
      </c>
      <c r="AB582" s="10"/>
      <c r="AC582" s="10">
        <v>0</v>
      </c>
      <c r="AD582" s="10"/>
      <c r="AE582" s="10">
        <f t="shared" si="12"/>
        <v>0</v>
      </c>
      <c r="AF582" s="10"/>
      <c r="AG582" s="10"/>
      <c r="AH582" s="10"/>
      <c r="AI582" s="10"/>
      <c r="AJ582" s="10"/>
      <c r="AK582" s="10"/>
      <c r="AL582" s="10"/>
      <c r="AM582" s="10">
        <f>+'Gen Rev'!AI568-'Gen Exp'!AE582+'Gen Exp'!AI582-AK582</f>
        <v>0</v>
      </c>
      <c r="AN582" s="10"/>
    </row>
    <row r="583" spans="1:41" ht="12.75" hidden="1">
      <c r="A583" s="1" t="s">
        <v>266</v>
      </c>
      <c r="C583" s="23" t="s">
        <v>831</v>
      </c>
      <c r="D583" s="23"/>
      <c r="E583" s="10">
        <v>0</v>
      </c>
      <c r="G583" s="10">
        <v>0</v>
      </c>
      <c r="I583" s="10">
        <v>0</v>
      </c>
      <c r="K583" s="10">
        <v>0</v>
      </c>
      <c r="M583" s="10">
        <v>0</v>
      </c>
      <c r="O583" s="10">
        <v>0</v>
      </c>
      <c r="Q583" s="10">
        <v>0</v>
      </c>
      <c r="S583" s="10">
        <v>0</v>
      </c>
      <c r="U583" s="10">
        <v>0</v>
      </c>
      <c r="W583" s="10">
        <v>0</v>
      </c>
      <c r="Y583" s="10">
        <v>0</v>
      </c>
      <c r="AA583" s="10">
        <v>0</v>
      </c>
      <c r="AC583" s="10">
        <v>0</v>
      </c>
      <c r="AE583" s="10">
        <f t="shared" si="12"/>
        <v>0</v>
      </c>
      <c r="AF583" s="10"/>
      <c r="AM583" s="10">
        <f>+'Gen Rev'!AI569-'Gen Exp'!AE583+'Gen Exp'!AI583-AK583</f>
        <v>0</v>
      </c>
    </row>
    <row r="584" spans="1:41" ht="12.75" hidden="1">
      <c r="A584" s="1" t="s">
        <v>159</v>
      </c>
      <c r="C584" s="23" t="s">
        <v>798</v>
      </c>
      <c r="D584" s="23"/>
      <c r="E584" s="10">
        <v>0</v>
      </c>
      <c r="G584" s="10">
        <v>0</v>
      </c>
      <c r="I584" s="10">
        <v>0</v>
      </c>
      <c r="K584" s="10">
        <v>0</v>
      </c>
      <c r="M584" s="10">
        <v>0</v>
      </c>
      <c r="O584" s="10">
        <v>0</v>
      </c>
      <c r="Q584" s="10">
        <v>0</v>
      </c>
      <c r="S584" s="10">
        <v>0</v>
      </c>
      <c r="U584" s="10">
        <v>0</v>
      </c>
      <c r="W584" s="10">
        <v>0</v>
      </c>
      <c r="Y584" s="10">
        <v>0</v>
      </c>
      <c r="AA584" s="10">
        <v>0</v>
      </c>
      <c r="AC584" s="10">
        <v>0</v>
      </c>
      <c r="AE584" s="10">
        <f t="shared" si="12"/>
        <v>0</v>
      </c>
      <c r="AF584" s="10"/>
      <c r="AM584" s="10">
        <f>+'Gen Rev'!AI570-'Gen Exp'!AE584+'Gen Exp'!AI584-AK584</f>
        <v>0</v>
      </c>
    </row>
    <row r="585" spans="1:41" ht="12.75" hidden="1">
      <c r="A585" s="1" t="s">
        <v>191</v>
      </c>
      <c r="C585" s="23" t="s">
        <v>809</v>
      </c>
      <c r="D585" s="23"/>
      <c r="E585" s="10">
        <v>0</v>
      </c>
      <c r="G585" s="10">
        <v>0</v>
      </c>
      <c r="I585" s="10">
        <v>0</v>
      </c>
      <c r="K585" s="10">
        <v>0</v>
      </c>
      <c r="M585" s="10">
        <v>0</v>
      </c>
      <c r="O585" s="10">
        <v>0</v>
      </c>
      <c r="Q585" s="10">
        <v>0</v>
      </c>
      <c r="S585" s="10">
        <v>0</v>
      </c>
      <c r="U585" s="10">
        <v>0</v>
      </c>
      <c r="W585" s="10">
        <v>0</v>
      </c>
      <c r="Y585" s="10">
        <v>0</v>
      </c>
      <c r="AA585" s="10">
        <v>0</v>
      </c>
      <c r="AC585" s="10">
        <v>0</v>
      </c>
      <c r="AE585" s="10">
        <f t="shared" si="12"/>
        <v>0</v>
      </c>
      <c r="AF585" s="10"/>
      <c r="AM585" s="10">
        <f>+'Gen Rev'!AI571-'Gen Exp'!AE585+'Gen Exp'!AI585-AK585</f>
        <v>0</v>
      </c>
    </row>
    <row r="586" spans="1:41" s="15" customFormat="1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 t="s">
        <v>869</v>
      </c>
      <c r="AF586" s="24"/>
      <c r="AG586" s="24"/>
      <c r="AH586" s="24"/>
      <c r="AI586" s="24"/>
      <c r="AJ586" s="24"/>
      <c r="AK586" s="24"/>
      <c r="AL586" s="24"/>
      <c r="AM586" s="10"/>
      <c r="AN586" s="24"/>
    </row>
    <row r="587" spans="1:41" s="54" customFormat="1">
      <c r="A587" s="40" t="s">
        <v>385</v>
      </c>
      <c r="B587" s="40"/>
      <c r="C587" s="40" t="s">
        <v>378</v>
      </c>
      <c r="D587" s="40"/>
      <c r="E587" s="40">
        <v>727766</v>
      </c>
      <c r="F587" s="40"/>
      <c r="G587" s="40">
        <v>3124</v>
      </c>
      <c r="H587" s="40"/>
      <c r="I587" s="40">
        <v>478</v>
      </c>
      <c r="J587" s="40"/>
      <c r="K587" s="40">
        <v>74572</v>
      </c>
      <c r="L587" s="40"/>
      <c r="M587" s="40">
        <v>87985</v>
      </c>
      <c r="N587" s="40"/>
      <c r="O587" s="40">
        <v>186381</v>
      </c>
      <c r="P587" s="40"/>
      <c r="Q587" s="40">
        <v>358519</v>
      </c>
      <c r="R587" s="40"/>
      <c r="S587" s="40">
        <v>0</v>
      </c>
      <c r="T587" s="40"/>
      <c r="U587" s="40">
        <v>0</v>
      </c>
      <c r="V587" s="40"/>
      <c r="W587" s="40">
        <v>0</v>
      </c>
      <c r="X587" s="40"/>
      <c r="Y587" s="40">
        <v>0</v>
      </c>
      <c r="Z587" s="40"/>
      <c r="AA587" s="40">
        <v>0</v>
      </c>
      <c r="AB587" s="40"/>
      <c r="AC587" s="40">
        <v>0</v>
      </c>
      <c r="AD587" s="40"/>
      <c r="AE587" s="40">
        <f t="shared" si="12"/>
        <v>1438825</v>
      </c>
      <c r="AF587" s="40"/>
      <c r="AG587" s="40">
        <v>294733</v>
      </c>
      <c r="AH587" s="40"/>
      <c r="AI587" s="40">
        <v>1420515</v>
      </c>
      <c r="AJ587" s="40"/>
      <c r="AK587" s="40">
        <v>1715248</v>
      </c>
      <c r="AL587" s="40"/>
      <c r="AM587" s="40">
        <f>+'Gen Rev'!AI572-'Gen Exp'!AE587+'Gen Exp'!AI587-AK587</f>
        <v>0</v>
      </c>
      <c r="AN587" s="40"/>
    </row>
    <row r="588" spans="1:41" hidden="1">
      <c r="A588" s="1" t="s">
        <v>507</v>
      </c>
      <c r="C588" s="1" t="s">
        <v>504</v>
      </c>
      <c r="E588" s="10">
        <v>0</v>
      </c>
      <c r="G588" s="10">
        <v>0</v>
      </c>
      <c r="I588" s="10">
        <v>0</v>
      </c>
      <c r="K588" s="10">
        <v>0</v>
      </c>
      <c r="M588" s="10">
        <v>0</v>
      </c>
      <c r="O588" s="10">
        <v>0</v>
      </c>
      <c r="Q588" s="10">
        <v>0</v>
      </c>
      <c r="S588" s="10">
        <v>0</v>
      </c>
      <c r="U588" s="10">
        <v>0</v>
      </c>
      <c r="W588" s="10">
        <v>0</v>
      </c>
      <c r="Y588" s="10">
        <v>0</v>
      </c>
      <c r="AA588" s="10">
        <v>0</v>
      </c>
      <c r="AC588" s="10">
        <v>0</v>
      </c>
      <c r="AE588" s="10">
        <f t="shared" si="12"/>
        <v>0</v>
      </c>
      <c r="AF588" s="10"/>
      <c r="AM588" s="10">
        <f>+'Gen Rev'!AI573-'Gen Exp'!AE588+'Gen Exp'!AI588-AK588</f>
        <v>0</v>
      </c>
    </row>
    <row r="589" spans="1:41" s="21" customFormat="1" ht="12.75" hidden="1">
      <c r="A589" s="1" t="s">
        <v>67</v>
      </c>
      <c r="B589" s="1"/>
      <c r="C589" s="23" t="s">
        <v>771</v>
      </c>
      <c r="D589" s="23"/>
      <c r="E589" s="10">
        <v>0</v>
      </c>
      <c r="F589" s="10"/>
      <c r="G589" s="10">
        <v>0</v>
      </c>
      <c r="H589" s="10"/>
      <c r="I589" s="10">
        <v>0</v>
      </c>
      <c r="J589" s="10"/>
      <c r="K589" s="10">
        <v>0</v>
      </c>
      <c r="L589" s="10"/>
      <c r="M589" s="10">
        <v>0</v>
      </c>
      <c r="N589" s="10"/>
      <c r="O589" s="10">
        <v>0</v>
      </c>
      <c r="P589" s="10"/>
      <c r="Q589" s="10">
        <v>0</v>
      </c>
      <c r="R589" s="10"/>
      <c r="S589" s="10">
        <v>0</v>
      </c>
      <c r="T589" s="10"/>
      <c r="U589" s="10">
        <v>0</v>
      </c>
      <c r="V589" s="10"/>
      <c r="W589" s="10">
        <v>0</v>
      </c>
      <c r="X589" s="10"/>
      <c r="Y589" s="10">
        <v>0</v>
      </c>
      <c r="Z589" s="10"/>
      <c r="AA589" s="10">
        <v>0</v>
      </c>
      <c r="AB589" s="10"/>
      <c r="AC589" s="10">
        <v>0</v>
      </c>
      <c r="AD589" s="10"/>
      <c r="AE589" s="10">
        <f t="shared" si="12"/>
        <v>0</v>
      </c>
      <c r="AF589" s="10"/>
      <c r="AG589" s="46"/>
      <c r="AH589" s="46"/>
      <c r="AI589" s="46"/>
      <c r="AJ589" s="46"/>
      <c r="AK589" s="46"/>
      <c r="AL589" s="46"/>
      <c r="AM589" s="10">
        <f>+'Gen Rev'!AI574-'Gen Exp'!AE589+'Gen Exp'!AI589-AK589</f>
        <v>0</v>
      </c>
      <c r="AN589" s="46"/>
    </row>
    <row r="590" spans="1:41" s="21" customFormat="1" ht="12.75" hidden="1">
      <c r="A590" s="1" t="s">
        <v>120</v>
      </c>
      <c r="B590" s="1"/>
      <c r="C590" s="23" t="s">
        <v>786</v>
      </c>
      <c r="D590" s="23"/>
      <c r="E590" s="10">
        <v>0</v>
      </c>
      <c r="F590" s="10"/>
      <c r="G590" s="10">
        <v>0</v>
      </c>
      <c r="H590" s="10"/>
      <c r="I590" s="10">
        <v>0</v>
      </c>
      <c r="J590" s="10"/>
      <c r="K590" s="10">
        <v>0</v>
      </c>
      <c r="L590" s="10"/>
      <c r="M590" s="10">
        <v>0</v>
      </c>
      <c r="N590" s="10"/>
      <c r="O590" s="10">
        <v>0</v>
      </c>
      <c r="P590" s="10"/>
      <c r="Q590" s="10">
        <v>0</v>
      </c>
      <c r="R590" s="10"/>
      <c r="S590" s="10">
        <v>0</v>
      </c>
      <c r="T590" s="10"/>
      <c r="U590" s="10">
        <v>0</v>
      </c>
      <c r="V590" s="10"/>
      <c r="W590" s="10">
        <v>0</v>
      </c>
      <c r="X590" s="10"/>
      <c r="Y590" s="10">
        <v>0</v>
      </c>
      <c r="Z590" s="10"/>
      <c r="AA590" s="10">
        <v>0</v>
      </c>
      <c r="AB590" s="10"/>
      <c r="AC590" s="10">
        <v>0</v>
      </c>
      <c r="AD590" s="10"/>
      <c r="AE590" s="10">
        <f t="shared" si="12"/>
        <v>0</v>
      </c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1" s="21" customFormat="1">
      <c r="A591" s="1" t="s">
        <v>434</v>
      </c>
      <c r="B591" s="1"/>
      <c r="C591" s="1" t="s">
        <v>430</v>
      </c>
      <c r="D591" s="1"/>
      <c r="E591" s="10">
        <v>242111</v>
      </c>
      <c r="F591" s="10"/>
      <c r="G591" s="10">
        <v>6731</v>
      </c>
      <c r="H591" s="10"/>
      <c r="I591" s="10">
        <v>37813</v>
      </c>
      <c r="J591" s="10"/>
      <c r="K591" s="10">
        <v>10831</v>
      </c>
      <c r="L591" s="10"/>
      <c r="M591" s="10">
        <v>70490</v>
      </c>
      <c r="N591" s="10"/>
      <c r="O591" s="10">
        <v>0</v>
      </c>
      <c r="P591" s="10"/>
      <c r="Q591" s="10">
        <v>109808</v>
      </c>
      <c r="R591" s="10"/>
      <c r="S591" s="10">
        <v>0</v>
      </c>
      <c r="T591" s="10"/>
      <c r="U591" s="10">
        <v>0</v>
      </c>
      <c r="V591" s="10"/>
      <c r="W591" s="10">
        <v>0</v>
      </c>
      <c r="X591" s="10"/>
      <c r="Y591" s="10">
        <v>80000</v>
      </c>
      <c r="Z591" s="10"/>
      <c r="AA591" s="10">
        <v>0</v>
      </c>
      <c r="AB591" s="10"/>
      <c r="AC591" s="10">
        <v>0</v>
      </c>
      <c r="AD591" s="10"/>
      <c r="AE591" s="10">
        <f t="shared" si="12"/>
        <v>557784</v>
      </c>
      <c r="AF591" s="10"/>
      <c r="AG591" s="10">
        <v>-72711</v>
      </c>
      <c r="AH591" s="10"/>
      <c r="AI591" s="10">
        <f>516448+72711</f>
        <v>589159</v>
      </c>
      <c r="AJ591" s="10"/>
      <c r="AK591" s="10">
        <v>516448</v>
      </c>
      <c r="AL591" s="10"/>
      <c r="AM591" s="10">
        <f>+'Gen Rev'!AI576-'Gen Exp'!AE591+'Gen Exp'!AI591-AK591</f>
        <v>0</v>
      </c>
      <c r="AN591" s="10"/>
      <c r="AO591" s="19">
        <f>+'Gen Rev'!AI576</f>
        <v>485073</v>
      </c>
    </row>
    <row r="592" spans="1:41" s="21" customFormat="1" ht="12.75" hidden="1">
      <c r="A592" s="1" t="s">
        <v>862</v>
      </c>
      <c r="B592" s="1"/>
      <c r="C592" s="23" t="s">
        <v>765</v>
      </c>
      <c r="D592" s="23"/>
      <c r="E592" s="10">
        <v>0</v>
      </c>
      <c r="F592" s="10"/>
      <c r="G592" s="10">
        <v>0</v>
      </c>
      <c r="H592" s="10"/>
      <c r="I592" s="10">
        <v>0</v>
      </c>
      <c r="J592" s="10"/>
      <c r="K592" s="10">
        <v>0</v>
      </c>
      <c r="L592" s="10"/>
      <c r="M592" s="10">
        <v>0</v>
      </c>
      <c r="N592" s="10"/>
      <c r="O592" s="10">
        <v>0</v>
      </c>
      <c r="P592" s="10"/>
      <c r="Q592" s="10">
        <v>0</v>
      </c>
      <c r="R592" s="10"/>
      <c r="S592" s="10">
        <v>0</v>
      </c>
      <c r="T592" s="10"/>
      <c r="U592" s="10">
        <v>0</v>
      </c>
      <c r="V592" s="10"/>
      <c r="W592" s="10">
        <v>0</v>
      </c>
      <c r="X592" s="10"/>
      <c r="Y592" s="10">
        <v>0</v>
      </c>
      <c r="Z592" s="10"/>
      <c r="AA592" s="10">
        <v>0</v>
      </c>
      <c r="AB592" s="10"/>
      <c r="AC592" s="10">
        <v>0</v>
      </c>
      <c r="AD592" s="10"/>
      <c r="AE592" s="10">
        <f t="shared" si="12"/>
        <v>0</v>
      </c>
      <c r="AF592" s="10"/>
      <c r="AG592" s="46"/>
      <c r="AH592" s="46"/>
      <c r="AI592" s="46"/>
      <c r="AJ592" s="46"/>
      <c r="AK592" s="46"/>
      <c r="AL592" s="46"/>
      <c r="AM592" s="10">
        <f>+'Gen Rev'!AI577-'Gen Exp'!AE592+'Gen Exp'!AI592-AK592</f>
        <v>0</v>
      </c>
      <c r="AN592" s="46"/>
      <c r="AO592" s="21">
        <v>477783</v>
      </c>
    </row>
    <row r="593" spans="1:41" hidden="1">
      <c r="A593" s="1" t="s">
        <v>612</v>
      </c>
      <c r="C593" s="1" t="s">
        <v>606</v>
      </c>
      <c r="E593" s="10">
        <v>0</v>
      </c>
      <c r="G593" s="10">
        <v>0</v>
      </c>
      <c r="I593" s="10">
        <v>0</v>
      </c>
      <c r="K593" s="10">
        <v>0</v>
      </c>
      <c r="M593" s="10">
        <v>0</v>
      </c>
      <c r="O593" s="10">
        <v>0</v>
      </c>
      <c r="Q593" s="10">
        <v>0</v>
      </c>
      <c r="S593" s="10">
        <v>0</v>
      </c>
      <c r="U593" s="10">
        <v>0</v>
      </c>
      <c r="W593" s="10">
        <v>0</v>
      </c>
      <c r="Y593" s="10">
        <v>0</v>
      </c>
      <c r="AA593" s="10">
        <v>0</v>
      </c>
      <c r="AC593" s="10">
        <v>0</v>
      </c>
      <c r="AE593" s="10">
        <f t="shared" si="12"/>
        <v>0</v>
      </c>
      <c r="AF593" s="10"/>
      <c r="AM593" s="10">
        <f>+'Gen Rev'!AI578-'Gen Exp'!AE593+'Gen Exp'!AI593-AK593</f>
        <v>0</v>
      </c>
      <c r="AO593" s="10">
        <f>+AO591-AO592</f>
        <v>7290</v>
      </c>
    </row>
    <row r="594" spans="1:41" hidden="1">
      <c r="A594" s="1" t="s">
        <v>565</v>
      </c>
      <c r="C594" s="1" t="s">
        <v>565</v>
      </c>
      <c r="E594" s="10">
        <v>0</v>
      </c>
      <c r="G594" s="10">
        <v>0</v>
      </c>
      <c r="I594" s="10">
        <v>0</v>
      </c>
      <c r="K594" s="10">
        <v>0</v>
      </c>
      <c r="M594" s="10">
        <v>0</v>
      </c>
      <c r="O594" s="10">
        <v>0</v>
      </c>
      <c r="Q594" s="10">
        <v>0</v>
      </c>
      <c r="S594" s="10">
        <v>0</v>
      </c>
      <c r="U594" s="10">
        <v>0</v>
      </c>
      <c r="W594" s="10">
        <v>0</v>
      </c>
      <c r="Y594" s="10">
        <v>0</v>
      </c>
      <c r="AA594" s="10">
        <v>0</v>
      </c>
      <c r="AC594" s="10">
        <v>0</v>
      </c>
      <c r="AE594" s="10">
        <f t="shared" si="12"/>
        <v>0</v>
      </c>
      <c r="AF594" s="10"/>
      <c r="AM594" s="10">
        <f>+'Gen Rev'!AI579-'Gen Exp'!AE594+'Gen Exp'!AI594-AK594</f>
        <v>0</v>
      </c>
      <c r="AO594" s="1">
        <v>-80000</v>
      </c>
    </row>
    <row r="595" spans="1:41" ht="12.6" customHeight="1">
      <c r="A595" s="1" t="s">
        <v>337</v>
      </c>
      <c r="C595" s="1" t="s">
        <v>329</v>
      </c>
      <c r="E595" s="10">
        <v>262202</v>
      </c>
      <c r="G595" s="10">
        <v>4567</v>
      </c>
      <c r="I595" s="10">
        <v>0</v>
      </c>
      <c r="K595" s="10">
        <v>0</v>
      </c>
      <c r="M595" s="10">
        <v>65537</v>
      </c>
      <c r="O595" s="10">
        <v>15640</v>
      </c>
      <c r="Q595" s="10">
        <v>185062</v>
      </c>
      <c r="S595" s="10">
        <v>0</v>
      </c>
      <c r="U595" s="10">
        <v>0</v>
      </c>
      <c r="W595" s="10">
        <v>0</v>
      </c>
      <c r="Y595" s="10">
        <v>339505</v>
      </c>
      <c r="AA595" s="10">
        <v>0</v>
      </c>
      <c r="AC595" s="10">
        <v>0</v>
      </c>
      <c r="AE595" s="10">
        <f t="shared" si="12"/>
        <v>872513</v>
      </c>
      <c r="AF595" s="10"/>
      <c r="AG595" s="46">
        <v>4788</v>
      </c>
      <c r="AH595" s="46"/>
      <c r="AI595" s="46">
        <v>31735</v>
      </c>
      <c r="AJ595" s="46"/>
      <c r="AK595" s="46">
        <v>36523</v>
      </c>
      <c r="AL595" s="46"/>
      <c r="AM595" s="10">
        <f>+'Gen Rev'!AI580-'Gen Exp'!AE595+'Gen Exp'!AI595-AK595</f>
        <v>0</v>
      </c>
      <c r="AN595" s="46"/>
      <c r="AO595" s="10">
        <f>SUM(AO593:AO594)</f>
        <v>-72710</v>
      </c>
    </row>
    <row r="596" spans="1:41" hidden="1">
      <c r="A596" s="1" t="s">
        <v>574</v>
      </c>
      <c r="C596" s="1" t="s">
        <v>575</v>
      </c>
      <c r="E596" s="10">
        <v>0</v>
      </c>
      <c r="G596" s="10">
        <v>0</v>
      </c>
      <c r="I596" s="10">
        <v>0</v>
      </c>
      <c r="K596" s="10">
        <v>0</v>
      </c>
      <c r="M596" s="10">
        <v>0</v>
      </c>
      <c r="O596" s="10">
        <v>0</v>
      </c>
      <c r="Q596" s="10">
        <v>0</v>
      </c>
      <c r="S596" s="10">
        <v>0</v>
      </c>
      <c r="U596" s="10">
        <v>0</v>
      </c>
      <c r="W596" s="10">
        <v>0</v>
      </c>
      <c r="Y596" s="10">
        <v>0</v>
      </c>
      <c r="AA596" s="10">
        <v>0</v>
      </c>
      <c r="AC596" s="10">
        <v>0</v>
      </c>
      <c r="AE596" s="10">
        <f t="shared" si="12"/>
        <v>0</v>
      </c>
      <c r="AF596" s="10"/>
      <c r="AM596" s="10">
        <f>+'Gen Rev'!AI581-'Gen Exp'!AE596+'Gen Exp'!AI596-AK596</f>
        <v>0</v>
      </c>
    </row>
    <row r="597" spans="1:41" s="10" customFormat="1" ht="12" hidden="1" customHeight="1">
      <c r="A597" s="10" t="s">
        <v>13</v>
      </c>
      <c r="C597" s="56" t="s">
        <v>754</v>
      </c>
      <c r="D597" s="56"/>
      <c r="E597" s="10">
        <v>0</v>
      </c>
      <c r="G597" s="10">
        <v>0</v>
      </c>
      <c r="I597" s="10">
        <v>0</v>
      </c>
      <c r="K597" s="10">
        <v>0</v>
      </c>
      <c r="M597" s="10">
        <v>0</v>
      </c>
      <c r="O597" s="10">
        <v>0</v>
      </c>
      <c r="Q597" s="10">
        <v>0</v>
      </c>
      <c r="S597" s="10">
        <v>0</v>
      </c>
      <c r="U597" s="10">
        <v>0</v>
      </c>
      <c r="W597" s="10">
        <v>0</v>
      </c>
      <c r="Y597" s="10">
        <v>0</v>
      </c>
      <c r="AA597" s="10">
        <v>0</v>
      </c>
      <c r="AC597" s="10">
        <v>0</v>
      </c>
      <c r="AE597" s="10">
        <f t="shared" si="12"/>
        <v>0</v>
      </c>
      <c r="AG597" s="46"/>
      <c r="AH597" s="46"/>
      <c r="AI597" s="46"/>
      <c r="AJ597" s="46"/>
      <c r="AK597" s="46"/>
      <c r="AL597" s="46"/>
      <c r="AM597" s="10">
        <f>+'Gen Rev'!AI582-'Gen Exp'!AE597+'Gen Exp'!AI597-AK597</f>
        <v>0</v>
      </c>
      <c r="AN597" s="46"/>
    </row>
    <row r="598" spans="1:41" s="21" customFormat="1" ht="12.75" hidden="1">
      <c r="A598" s="1" t="s">
        <v>76</v>
      </c>
      <c r="B598" s="1"/>
      <c r="C598" s="23" t="s">
        <v>773</v>
      </c>
      <c r="D598" s="23"/>
      <c r="E598" s="10">
        <v>0</v>
      </c>
      <c r="F598" s="10"/>
      <c r="G598" s="10">
        <v>0</v>
      </c>
      <c r="H598" s="10"/>
      <c r="I598" s="10">
        <v>0</v>
      </c>
      <c r="J598" s="10"/>
      <c r="K598" s="10">
        <v>0</v>
      </c>
      <c r="L598" s="10"/>
      <c r="M598" s="10">
        <v>0</v>
      </c>
      <c r="N598" s="10"/>
      <c r="O598" s="10">
        <v>0</v>
      </c>
      <c r="P598" s="10"/>
      <c r="Q598" s="10">
        <v>0</v>
      </c>
      <c r="R598" s="10"/>
      <c r="S598" s="10">
        <v>0</v>
      </c>
      <c r="T598" s="10"/>
      <c r="U598" s="10">
        <v>0</v>
      </c>
      <c r="V598" s="10"/>
      <c r="W598" s="10">
        <v>0</v>
      </c>
      <c r="X598" s="10"/>
      <c r="Y598" s="10">
        <v>0</v>
      </c>
      <c r="Z598" s="10"/>
      <c r="AA598" s="10">
        <v>0</v>
      </c>
      <c r="AB598" s="10"/>
      <c r="AC598" s="10">
        <v>0</v>
      </c>
      <c r="AD598" s="10"/>
      <c r="AE598" s="10">
        <f t="shared" si="12"/>
        <v>0</v>
      </c>
      <c r="AF598" s="10"/>
      <c r="AG598" s="10"/>
      <c r="AH598" s="10"/>
      <c r="AI598" s="10"/>
      <c r="AJ598" s="10"/>
      <c r="AK598" s="10"/>
      <c r="AL598" s="10"/>
      <c r="AM598" s="10">
        <f>+'Gen Rev'!AI583-'Gen Exp'!AE598+'Gen Exp'!AI598-AK598</f>
        <v>0</v>
      </c>
      <c r="AN598" s="10"/>
    </row>
    <row r="599" spans="1:41" s="21" customFormat="1">
      <c r="A599" s="1" t="s">
        <v>445</v>
      </c>
      <c r="B599" s="1"/>
      <c r="C599" s="1" t="s">
        <v>439</v>
      </c>
      <c r="D599" s="1"/>
      <c r="E599" s="10">
        <v>11005</v>
      </c>
      <c r="F599" s="10"/>
      <c r="G599" s="10">
        <v>2098</v>
      </c>
      <c r="H599" s="10"/>
      <c r="I599" s="10">
        <v>2943</v>
      </c>
      <c r="J599" s="10"/>
      <c r="K599" s="10">
        <v>228</v>
      </c>
      <c r="L599" s="10"/>
      <c r="M599" s="10">
        <v>0</v>
      </c>
      <c r="N599" s="10"/>
      <c r="O599" s="10">
        <v>0</v>
      </c>
      <c r="P599" s="10"/>
      <c r="Q599" s="10">
        <v>267873</v>
      </c>
      <c r="R599" s="10"/>
      <c r="S599" s="10">
        <v>7200</v>
      </c>
      <c r="T599" s="10"/>
      <c r="U599" s="10">
        <v>0</v>
      </c>
      <c r="V599" s="10"/>
      <c r="W599" s="10">
        <v>0</v>
      </c>
      <c r="X599" s="10"/>
      <c r="Y599" s="10">
        <v>150000</v>
      </c>
      <c r="Z599" s="10"/>
      <c r="AA599" s="10">
        <v>0</v>
      </c>
      <c r="AB599" s="10"/>
      <c r="AC599" s="10">
        <v>0</v>
      </c>
      <c r="AD599" s="10"/>
      <c r="AE599" s="10">
        <f t="shared" si="12"/>
        <v>441347</v>
      </c>
      <c r="AF599" s="10"/>
      <c r="AG599" s="10">
        <v>-14439</v>
      </c>
      <c r="AH599" s="10"/>
      <c r="AI599" s="10">
        <v>77300</v>
      </c>
      <c r="AJ599" s="10"/>
      <c r="AK599" s="10">
        <v>62861</v>
      </c>
      <c r="AL599" s="10"/>
      <c r="AM599" s="10">
        <f>+'Gen Rev'!AI584-'Gen Exp'!AE599+'Gen Exp'!AI599-AK599</f>
        <v>0</v>
      </c>
      <c r="AN599" s="10"/>
    </row>
    <row r="600" spans="1:41">
      <c r="A600" s="1" t="s">
        <v>449</v>
      </c>
      <c r="C600" s="1" t="s">
        <v>447</v>
      </c>
      <c r="E600" s="10">
        <v>0</v>
      </c>
      <c r="G600" s="10">
        <v>0</v>
      </c>
      <c r="I600" s="10">
        <v>0</v>
      </c>
      <c r="K600" s="10">
        <v>0</v>
      </c>
      <c r="M600" s="10">
        <v>0</v>
      </c>
      <c r="O600" s="10">
        <v>0</v>
      </c>
      <c r="Q600" s="10">
        <v>43331</v>
      </c>
      <c r="S600" s="10">
        <v>0</v>
      </c>
      <c r="U600" s="10">
        <v>3700</v>
      </c>
      <c r="W600" s="10">
        <v>229</v>
      </c>
      <c r="Y600" s="10">
        <v>0</v>
      </c>
      <c r="AA600" s="10">
        <v>0</v>
      </c>
      <c r="AC600" s="10">
        <v>0</v>
      </c>
      <c r="AE600" s="10">
        <f t="shared" si="12"/>
        <v>47260</v>
      </c>
      <c r="AF600" s="10"/>
      <c r="AG600" s="10">
        <v>-6818</v>
      </c>
      <c r="AI600" s="10">
        <v>42291</v>
      </c>
      <c r="AK600" s="10">
        <v>35473</v>
      </c>
      <c r="AM600" s="10">
        <f>+'Gen Rev'!AI585-'Gen Exp'!AE600+'Gen Exp'!AI600-AK600</f>
        <v>0</v>
      </c>
    </row>
    <row r="601" spans="1:41" ht="12.6" customHeight="1">
      <c r="A601" s="1" t="s">
        <v>326</v>
      </c>
      <c r="C601" s="1" t="s">
        <v>316</v>
      </c>
      <c r="E601" s="10">
        <v>3527623</v>
      </c>
      <c r="G601" s="10">
        <v>11413</v>
      </c>
      <c r="I601" s="10">
        <v>393009</v>
      </c>
      <c r="K601" s="10">
        <v>0</v>
      </c>
      <c r="M601" s="10">
        <v>185370</v>
      </c>
      <c r="O601" s="10">
        <v>867727</v>
      </c>
      <c r="Q601" s="10">
        <v>1873844</v>
      </c>
      <c r="S601" s="10">
        <v>714515</v>
      </c>
      <c r="U601" s="10">
        <v>0</v>
      </c>
      <c r="W601" s="10">
        <v>0</v>
      </c>
      <c r="Y601" s="10">
        <v>1106700</v>
      </c>
      <c r="AA601" s="10">
        <v>0</v>
      </c>
      <c r="AC601" s="10">
        <v>0</v>
      </c>
      <c r="AE601" s="10">
        <f t="shared" si="12"/>
        <v>8680201</v>
      </c>
      <c r="AF601" s="10"/>
      <c r="AG601" s="46">
        <v>-34245</v>
      </c>
      <c r="AH601" s="46"/>
      <c r="AI601" s="46">
        <v>2630829</v>
      </c>
      <c r="AJ601" s="46"/>
      <c r="AK601" s="46">
        <v>2596584</v>
      </c>
      <c r="AL601" s="46"/>
      <c r="AM601" s="10">
        <f>+'Gen Rev'!AI586-'Gen Exp'!AE601+'Gen Exp'!AI601-AK601</f>
        <v>0</v>
      </c>
      <c r="AN601" s="46"/>
    </row>
    <row r="602" spans="1:41" s="21" customFormat="1" ht="12.75" hidden="1">
      <c r="A602" s="1" t="s">
        <v>77</v>
      </c>
      <c r="B602" s="1"/>
      <c r="C602" s="23" t="s">
        <v>773</v>
      </c>
      <c r="D602" s="23"/>
      <c r="E602" s="10">
        <v>0</v>
      </c>
      <c r="F602" s="10"/>
      <c r="G602" s="10">
        <v>0</v>
      </c>
      <c r="H602" s="10"/>
      <c r="I602" s="10">
        <v>0</v>
      </c>
      <c r="J602" s="10"/>
      <c r="K602" s="10">
        <v>0</v>
      </c>
      <c r="L602" s="10"/>
      <c r="M602" s="10">
        <v>0</v>
      </c>
      <c r="N602" s="10"/>
      <c r="O602" s="10">
        <v>0</v>
      </c>
      <c r="P602" s="10"/>
      <c r="Q602" s="10">
        <v>0</v>
      </c>
      <c r="R602" s="10"/>
      <c r="S602" s="10">
        <v>0</v>
      </c>
      <c r="T602" s="10"/>
      <c r="U602" s="10">
        <v>0</v>
      </c>
      <c r="V602" s="10"/>
      <c r="W602" s="10">
        <v>0</v>
      </c>
      <c r="X602" s="10"/>
      <c r="Y602" s="10">
        <v>0</v>
      </c>
      <c r="Z602" s="10"/>
      <c r="AA602" s="10">
        <v>0</v>
      </c>
      <c r="AB602" s="10"/>
      <c r="AC602" s="10">
        <v>0</v>
      </c>
      <c r="AD602" s="10"/>
      <c r="AE602" s="10">
        <f t="shared" si="12"/>
        <v>0</v>
      </c>
      <c r="AF602" s="10"/>
      <c r="AG602" s="10"/>
      <c r="AH602" s="10"/>
      <c r="AI602" s="10"/>
      <c r="AJ602" s="10"/>
      <c r="AK602" s="10"/>
      <c r="AL602" s="10"/>
      <c r="AM602" s="10">
        <f>+'Gen Rev'!AI587-'Gen Exp'!AE602+'Gen Exp'!AI602-AK602</f>
        <v>0</v>
      </c>
      <c r="AN602" s="10"/>
    </row>
    <row r="603" spans="1:41" s="21" customFormat="1">
      <c r="A603" s="1" t="s">
        <v>393</v>
      </c>
      <c r="B603" s="1"/>
      <c r="C603" s="1" t="s">
        <v>388</v>
      </c>
      <c r="D603" s="1"/>
      <c r="E603" s="10">
        <v>12716</v>
      </c>
      <c r="F603" s="10"/>
      <c r="G603" s="10">
        <v>1580</v>
      </c>
      <c r="H603" s="10"/>
      <c r="I603" s="10">
        <v>394</v>
      </c>
      <c r="J603" s="10"/>
      <c r="K603" s="10">
        <v>3425</v>
      </c>
      <c r="L603" s="10"/>
      <c r="M603" s="10">
        <v>952</v>
      </c>
      <c r="N603" s="10"/>
      <c r="O603" s="10">
        <v>22584</v>
      </c>
      <c r="P603" s="10"/>
      <c r="Q603" s="10">
        <v>29635</v>
      </c>
      <c r="R603" s="10"/>
      <c r="S603" s="10">
        <v>0</v>
      </c>
      <c r="T603" s="10"/>
      <c r="U603" s="10">
        <v>8000</v>
      </c>
      <c r="V603" s="10"/>
      <c r="W603" s="10">
        <v>0</v>
      </c>
      <c r="X603" s="10"/>
      <c r="Y603" s="10">
        <v>0</v>
      </c>
      <c r="Z603" s="10"/>
      <c r="AA603" s="10">
        <v>0</v>
      </c>
      <c r="AB603" s="10"/>
      <c r="AC603" s="10">
        <v>0</v>
      </c>
      <c r="AD603" s="10"/>
      <c r="AE603" s="10">
        <f t="shared" si="12"/>
        <v>79286</v>
      </c>
      <c r="AF603" s="10"/>
      <c r="AG603" s="10">
        <v>-4044</v>
      </c>
      <c r="AH603" s="10"/>
      <c r="AI603" s="10">
        <v>49584</v>
      </c>
      <c r="AJ603" s="10"/>
      <c r="AK603" s="10">
        <v>45540</v>
      </c>
      <c r="AL603" s="10"/>
      <c r="AM603" s="10">
        <f>+'Gen Rev'!AI588-'Gen Exp'!AE603+'Gen Exp'!AI603-AK603</f>
        <v>0</v>
      </c>
      <c r="AN603" s="10"/>
    </row>
    <row r="604" spans="1:41" hidden="1">
      <c r="A604" s="1" t="s">
        <v>394</v>
      </c>
      <c r="C604" s="1" t="s">
        <v>388</v>
      </c>
      <c r="E604" s="10">
        <v>0</v>
      </c>
      <c r="G604" s="10">
        <v>0</v>
      </c>
      <c r="I604" s="10">
        <v>0</v>
      </c>
      <c r="K604" s="10">
        <v>0</v>
      </c>
      <c r="M604" s="10">
        <v>0</v>
      </c>
      <c r="O604" s="10">
        <v>0</v>
      </c>
      <c r="Q604" s="10">
        <v>0</v>
      </c>
      <c r="S604" s="10">
        <v>0</v>
      </c>
      <c r="U604" s="10">
        <v>0</v>
      </c>
      <c r="W604" s="10">
        <v>0</v>
      </c>
      <c r="Y604" s="10">
        <v>0</v>
      </c>
      <c r="AA604" s="10">
        <v>0</v>
      </c>
      <c r="AC604" s="10">
        <v>0</v>
      </c>
      <c r="AE604" s="10">
        <f t="shared" si="12"/>
        <v>0</v>
      </c>
      <c r="AF604" s="10"/>
      <c r="AM604" s="10">
        <f>+'Gen Rev'!AI589-'Gen Exp'!AE604+'Gen Exp'!AI604-AK604</f>
        <v>0</v>
      </c>
    </row>
    <row r="605" spans="1:41" hidden="1">
      <c r="A605" s="1" t="s">
        <v>580</v>
      </c>
      <c r="C605" s="1" t="s">
        <v>577</v>
      </c>
      <c r="E605" s="10">
        <v>0</v>
      </c>
      <c r="G605" s="10">
        <v>0</v>
      </c>
      <c r="I605" s="10">
        <v>0</v>
      </c>
      <c r="K605" s="10">
        <v>0</v>
      </c>
      <c r="M605" s="10">
        <v>0</v>
      </c>
      <c r="O605" s="10">
        <v>0</v>
      </c>
      <c r="Q605" s="10">
        <v>0</v>
      </c>
      <c r="S605" s="10">
        <v>0</v>
      </c>
      <c r="U605" s="10">
        <v>0</v>
      </c>
      <c r="W605" s="10">
        <v>0</v>
      </c>
      <c r="Y605" s="10">
        <v>0</v>
      </c>
      <c r="AA605" s="10">
        <v>0</v>
      </c>
      <c r="AC605" s="10">
        <v>0</v>
      </c>
      <c r="AE605" s="10">
        <f t="shared" si="12"/>
        <v>0</v>
      </c>
      <c r="AF605" s="10"/>
      <c r="AM605" s="10">
        <f>+'Gen Rev'!AI590-'Gen Exp'!AE605+'Gen Exp'!AI605-AK605</f>
        <v>0</v>
      </c>
    </row>
    <row r="606" spans="1:41" s="15" customFormat="1">
      <c r="A606" s="15" t="s">
        <v>515</v>
      </c>
      <c r="C606" s="15" t="s">
        <v>513</v>
      </c>
      <c r="E606" s="24">
        <f>30042+792</f>
        <v>30834</v>
      </c>
      <c r="F606" s="24"/>
      <c r="G606" s="24">
        <v>0</v>
      </c>
      <c r="H606" s="24"/>
      <c r="I606" s="24">
        <v>1662</v>
      </c>
      <c r="J606" s="24"/>
      <c r="K606" s="24">
        <v>4395</v>
      </c>
      <c r="L606" s="24"/>
      <c r="M606" s="24">
        <v>0</v>
      </c>
      <c r="N606" s="24"/>
      <c r="O606" s="24">
        <v>0</v>
      </c>
      <c r="P606" s="24"/>
      <c r="Q606" s="24">
        <v>54915</v>
      </c>
      <c r="R606" s="24"/>
      <c r="S606" s="24">
        <f>9788+2950+4196</f>
        <v>16934</v>
      </c>
      <c r="T606" s="24"/>
      <c r="U606" s="24">
        <v>6138</v>
      </c>
      <c r="V606" s="24"/>
      <c r="W606" s="24">
        <v>0</v>
      </c>
      <c r="X606" s="24"/>
      <c r="Y606" s="24">
        <v>0</v>
      </c>
      <c r="Z606" s="24"/>
      <c r="AA606" s="24">
        <v>0</v>
      </c>
      <c r="AB606" s="24"/>
      <c r="AC606" s="24">
        <v>0</v>
      </c>
      <c r="AD606" s="24"/>
      <c r="AE606" s="24">
        <f t="shared" si="12"/>
        <v>114878</v>
      </c>
      <c r="AF606" s="24"/>
      <c r="AG606" s="24">
        <v>-36069</v>
      </c>
      <c r="AH606" s="24"/>
      <c r="AI606" s="24">
        <v>65554</v>
      </c>
      <c r="AJ606" s="24"/>
      <c r="AK606" s="24">
        <v>29485</v>
      </c>
      <c r="AL606" s="24"/>
      <c r="AM606" s="24">
        <f>+'Gen Rev'!AI591-'Gen Exp'!AE606+'Gen Exp'!AI606-AK606</f>
        <v>0</v>
      </c>
      <c r="AN606" s="24"/>
    </row>
    <row r="607" spans="1:41" ht="12.6" customHeight="1">
      <c r="A607" s="1" t="s">
        <v>338</v>
      </c>
      <c r="C607" s="1" t="s">
        <v>329</v>
      </c>
      <c r="E607" s="10">
        <v>442336</v>
      </c>
      <c r="G607" s="10">
        <v>17310</v>
      </c>
      <c r="I607" s="10">
        <v>0</v>
      </c>
      <c r="K607" s="10">
        <v>10177</v>
      </c>
      <c r="M607" s="10">
        <v>196832</v>
      </c>
      <c r="O607" s="10">
        <v>0</v>
      </c>
      <c r="Q607" s="10">
        <v>216491</v>
      </c>
      <c r="S607" s="10">
        <v>0</v>
      </c>
      <c r="U607" s="10">
        <v>402925</v>
      </c>
      <c r="W607" s="10">
        <v>301465</v>
      </c>
      <c r="Y607" s="10">
        <v>896030</v>
      </c>
      <c r="AA607" s="10">
        <v>0</v>
      </c>
      <c r="AC607" s="10">
        <v>0</v>
      </c>
      <c r="AE607" s="10">
        <f t="shared" si="12"/>
        <v>2483566</v>
      </c>
      <c r="AF607" s="10"/>
      <c r="AG607" s="46">
        <v>595352</v>
      </c>
      <c r="AH607" s="46"/>
      <c r="AI607" s="46">
        <v>3165044</v>
      </c>
      <c r="AJ607" s="46"/>
      <c r="AK607" s="46">
        <v>3760386</v>
      </c>
      <c r="AL607" s="46"/>
      <c r="AM607" s="10">
        <f>+'Gen Rev'!AI592-'Gen Exp'!AE607+'Gen Exp'!AI607-AK607</f>
        <v>0</v>
      </c>
      <c r="AN607" s="46"/>
    </row>
    <row r="608" spans="1:41" ht="12.75" hidden="1">
      <c r="A608" s="1" t="s">
        <v>82</v>
      </c>
      <c r="C608" s="23" t="s">
        <v>775</v>
      </c>
      <c r="D608" s="23"/>
      <c r="E608" s="10">
        <v>0</v>
      </c>
      <c r="G608" s="10">
        <v>0</v>
      </c>
      <c r="I608" s="10">
        <v>0</v>
      </c>
      <c r="K608" s="10">
        <v>0</v>
      </c>
      <c r="M608" s="10">
        <v>0</v>
      </c>
      <c r="O608" s="10">
        <v>0</v>
      </c>
      <c r="Q608" s="10">
        <v>0</v>
      </c>
      <c r="S608" s="10">
        <v>0</v>
      </c>
      <c r="U608" s="10">
        <v>0</v>
      </c>
      <c r="W608" s="10">
        <v>0</v>
      </c>
      <c r="Y608" s="10">
        <v>0</v>
      </c>
      <c r="AA608" s="10">
        <v>0</v>
      </c>
      <c r="AC608" s="10">
        <v>0</v>
      </c>
      <c r="AE608" s="10">
        <f t="shared" si="12"/>
        <v>0</v>
      </c>
      <c r="AF608" s="10"/>
      <c r="AM608" s="10">
        <f>+'Gen Rev'!AI594-'Gen Exp'!AE608+'Gen Exp'!AI608-AK608</f>
        <v>3347823</v>
      </c>
    </row>
    <row r="609" spans="1:40" s="21" customFormat="1">
      <c r="A609" s="1" t="s">
        <v>435</v>
      </c>
      <c r="B609" s="1"/>
      <c r="C609" s="1" t="s">
        <v>430</v>
      </c>
      <c r="D609" s="1"/>
      <c r="E609" s="10">
        <v>540929</v>
      </c>
      <c r="F609" s="10"/>
      <c r="G609" s="10">
        <v>15977</v>
      </c>
      <c r="H609" s="10"/>
      <c r="I609" s="10">
        <v>0</v>
      </c>
      <c r="J609" s="10"/>
      <c r="K609" s="10">
        <v>14954</v>
      </c>
      <c r="L609" s="10"/>
      <c r="M609" s="10">
        <v>33228</v>
      </c>
      <c r="N609" s="10"/>
      <c r="O609" s="10">
        <v>327037</v>
      </c>
      <c r="P609" s="10"/>
      <c r="Q609" s="10">
        <v>279790</v>
      </c>
      <c r="R609" s="10"/>
      <c r="S609" s="10">
        <v>0</v>
      </c>
      <c r="T609" s="10"/>
      <c r="U609" s="10">
        <v>0</v>
      </c>
      <c r="V609" s="10"/>
      <c r="W609" s="10">
        <v>0</v>
      </c>
      <c r="X609" s="10"/>
      <c r="Y609" s="10">
        <v>245680</v>
      </c>
      <c r="Z609" s="10"/>
      <c r="AA609" s="10">
        <v>0</v>
      </c>
      <c r="AB609" s="10"/>
      <c r="AC609" s="10">
        <v>0</v>
      </c>
      <c r="AD609" s="10"/>
      <c r="AE609" s="10">
        <f t="shared" si="12"/>
        <v>1457595</v>
      </c>
      <c r="AF609" s="10"/>
      <c r="AG609" s="10">
        <v>-1854</v>
      </c>
      <c r="AH609" s="10"/>
      <c r="AI609" s="10">
        <v>755577</v>
      </c>
      <c r="AJ609" s="10"/>
      <c r="AK609" s="10">
        <v>753723</v>
      </c>
      <c r="AL609" s="10"/>
      <c r="AM609" s="10">
        <f>+'Gen Rev'!AI593-'Gen Exp'!AE609+'Gen Exp'!AI609-AK609</f>
        <v>0</v>
      </c>
      <c r="AN609" s="10"/>
    </row>
    <row r="610" spans="1:40" hidden="1">
      <c r="A610" s="1" t="s">
        <v>419</v>
      </c>
      <c r="C610" s="1" t="s">
        <v>416</v>
      </c>
      <c r="E610" s="10">
        <v>0</v>
      </c>
      <c r="G610" s="10">
        <v>0</v>
      </c>
      <c r="I610" s="10">
        <v>0</v>
      </c>
      <c r="K610" s="10">
        <v>0</v>
      </c>
      <c r="M610" s="10">
        <v>0</v>
      </c>
      <c r="O610" s="10">
        <v>0</v>
      </c>
      <c r="Q610" s="10">
        <v>0</v>
      </c>
      <c r="S610" s="10">
        <v>0</v>
      </c>
      <c r="U610" s="10">
        <v>0</v>
      </c>
      <c r="W610" s="10">
        <v>0</v>
      </c>
      <c r="Y610" s="10">
        <v>0</v>
      </c>
      <c r="AA610" s="10">
        <v>0</v>
      </c>
      <c r="AC610" s="10">
        <v>0</v>
      </c>
      <c r="AE610" s="10">
        <f t="shared" si="12"/>
        <v>0</v>
      </c>
      <c r="AF610" s="10"/>
      <c r="AM610" s="10">
        <f>+'Gen Rev'!AI598-'Gen Exp'!AE610+'Gen Exp'!AI610-AK610</f>
        <v>88144</v>
      </c>
    </row>
    <row r="611" spans="1:40" ht="12.75" hidden="1">
      <c r="A611" s="1" t="s">
        <v>261</v>
      </c>
      <c r="C611" s="23" t="s">
        <v>830</v>
      </c>
      <c r="D611" s="23"/>
      <c r="E611" s="10">
        <v>0</v>
      </c>
      <c r="G611" s="10">
        <v>0</v>
      </c>
      <c r="I611" s="10">
        <v>0</v>
      </c>
      <c r="K611" s="10">
        <v>0</v>
      </c>
      <c r="M611" s="10">
        <v>0</v>
      </c>
      <c r="O611" s="10">
        <v>0</v>
      </c>
      <c r="Q611" s="10">
        <v>0</v>
      </c>
      <c r="S611" s="10">
        <v>0</v>
      </c>
      <c r="U611" s="10">
        <v>0</v>
      </c>
      <c r="W611" s="10">
        <v>0</v>
      </c>
      <c r="Y611" s="10">
        <v>0</v>
      </c>
      <c r="AA611" s="10">
        <v>0</v>
      </c>
      <c r="AC611" s="10">
        <v>0</v>
      </c>
      <c r="AE611" s="10">
        <f t="shared" si="12"/>
        <v>0</v>
      </c>
      <c r="AF611" s="10"/>
      <c r="AM611" s="10">
        <f>+'Gen Rev'!AI599-'Gen Exp'!AE611+'Gen Exp'!AI611-AK611</f>
        <v>0</v>
      </c>
    </row>
    <row r="612" spans="1:40" ht="12.75" hidden="1">
      <c r="A612" s="1" t="s">
        <v>151</v>
      </c>
      <c r="C612" s="23" t="s">
        <v>796</v>
      </c>
      <c r="D612" s="23"/>
      <c r="E612" s="10">
        <v>0</v>
      </c>
      <c r="G612" s="10">
        <v>0</v>
      </c>
      <c r="I612" s="10">
        <v>0</v>
      </c>
      <c r="K612" s="10">
        <v>0</v>
      </c>
      <c r="M612" s="10">
        <v>0</v>
      </c>
      <c r="O612" s="10">
        <v>0</v>
      </c>
      <c r="Q612" s="10">
        <v>0</v>
      </c>
      <c r="S612" s="10">
        <v>0</v>
      </c>
      <c r="U612" s="10">
        <v>0</v>
      </c>
      <c r="W612" s="10">
        <v>0</v>
      </c>
      <c r="Y612" s="10">
        <v>0</v>
      </c>
      <c r="AA612" s="10">
        <v>0</v>
      </c>
      <c r="AC612" s="10">
        <v>0</v>
      </c>
      <c r="AE612" s="10">
        <f t="shared" si="12"/>
        <v>0</v>
      </c>
      <c r="AF612" s="10"/>
      <c r="AM612" s="10">
        <f>+'Gen Rev'!AI600-'Gen Exp'!AE612+'Gen Exp'!AI612-AK612</f>
        <v>782334</v>
      </c>
    </row>
    <row r="613" spans="1:40" ht="12.75" hidden="1">
      <c r="A613" s="1" t="s">
        <v>50</v>
      </c>
      <c r="C613" s="23" t="s">
        <v>766</v>
      </c>
      <c r="D613" s="23"/>
      <c r="E613" s="10">
        <v>0</v>
      </c>
      <c r="G613" s="10">
        <v>0</v>
      </c>
      <c r="I613" s="10">
        <v>0</v>
      </c>
      <c r="K613" s="10">
        <v>0</v>
      </c>
      <c r="M613" s="10">
        <v>0</v>
      </c>
      <c r="O613" s="10">
        <v>0</v>
      </c>
      <c r="Q613" s="10">
        <v>0</v>
      </c>
      <c r="S613" s="10">
        <v>0</v>
      </c>
      <c r="U613" s="10">
        <v>0</v>
      </c>
      <c r="W613" s="10">
        <v>0</v>
      </c>
      <c r="Y613" s="10">
        <v>0</v>
      </c>
      <c r="AA613" s="10">
        <v>0</v>
      </c>
      <c r="AC613" s="10">
        <v>0</v>
      </c>
      <c r="AE613" s="10">
        <f t="shared" si="12"/>
        <v>0</v>
      </c>
      <c r="AF613" s="10"/>
      <c r="AG613" s="46"/>
      <c r="AH613" s="46"/>
      <c r="AI613" s="46"/>
      <c r="AJ613" s="46"/>
      <c r="AK613" s="46"/>
      <c r="AL613" s="46"/>
      <c r="AM613" s="10">
        <f>+'Gen Rev'!AI601-'Gen Exp'!AE613+'Gen Exp'!AI613-AK613</f>
        <v>2384883</v>
      </c>
      <c r="AN613" s="46"/>
    </row>
    <row r="614" spans="1:40" s="21" customFormat="1" ht="12.75" hidden="1">
      <c r="A614" s="1" t="s">
        <v>853</v>
      </c>
      <c r="B614" s="1"/>
      <c r="C614" s="23" t="s">
        <v>764</v>
      </c>
      <c r="D614" s="23"/>
      <c r="E614" s="10">
        <v>0</v>
      </c>
      <c r="F614" s="10"/>
      <c r="G614" s="10">
        <v>0</v>
      </c>
      <c r="H614" s="10"/>
      <c r="I614" s="10">
        <v>0</v>
      </c>
      <c r="J614" s="10"/>
      <c r="K614" s="10">
        <v>0</v>
      </c>
      <c r="L614" s="10"/>
      <c r="M614" s="10">
        <v>0</v>
      </c>
      <c r="N614" s="10"/>
      <c r="O614" s="10">
        <v>0</v>
      </c>
      <c r="P614" s="10"/>
      <c r="Q614" s="10">
        <v>0</v>
      </c>
      <c r="R614" s="10"/>
      <c r="S614" s="10">
        <v>0</v>
      </c>
      <c r="T614" s="10"/>
      <c r="U614" s="10">
        <v>0</v>
      </c>
      <c r="V614" s="10"/>
      <c r="W614" s="10">
        <v>0</v>
      </c>
      <c r="X614" s="10"/>
      <c r="Y614" s="10">
        <v>0</v>
      </c>
      <c r="Z614" s="10"/>
      <c r="AA614" s="10">
        <v>0</v>
      </c>
      <c r="AB614" s="10"/>
      <c r="AC614" s="10">
        <v>0</v>
      </c>
      <c r="AD614" s="10"/>
      <c r="AE614" s="10">
        <f t="shared" ref="AE614:AE661" si="13">SUM(E614:AC614)</f>
        <v>0</v>
      </c>
      <c r="AF614" s="40"/>
      <c r="AG614" s="46"/>
      <c r="AH614" s="46"/>
      <c r="AI614" s="46"/>
      <c r="AJ614" s="46"/>
      <c r="AK614" s="46"/>
      <c r="AL614" s="46"/>
      <c r="AM614" s="10">
        <f>+'Gen Rev'!AI602-'Gen Exp'!AE614+'Gen Exp'!AI614-AK614</f>
        <v>0</v>
      </c>
      <c r="AN614" s="46"/>
    </row>
    <row r="615" spans="1:40" ht="12.75" hidden="1">
      <c r="A615" s="1" t="s">
        <v>48</v>
      </c>
      <c r="C615" s="23" t="s">
        <v>763</v>
      </c>
      <c r="D615" s="23"/>
      <c r="E615" s="10">
        <v>0</v>
      </c>
      <c r="G615" s="10">
        <v>0</v>
      </c>
      <c r="I615" s="10">
        <v>0</v>
      </c>
      <c r="K615" s="10">
        <v>0</v>
      </c>
      <c r="M615" s="10">
        <v>0</v>
      </c>
      <c r="O615" s="10">
        <v>0</v>
      </c>
      <c r="Q615" s="10">
        <v>0</v>
      </c>
      <c r="S615" s="10">
        <v>0</v>
      </c>
      <c r="U615" s="10">
        <v>0</v>
      </c>
      <c r="W615" s="10">
        <v>0</v>
      </c>
      <c r="Y615" s="10">
        <v>0</v>
      </c>
      <c r="AA615" s="10">
        <v>0</v>
      </c>
      <c r="AC615" s="10">
        <v>0</v>
      </c>
      <c r="AE615" s="10">
        <f t="shared" si="13"/>
        <v>0</v>
      </c>
      <c r="AF615" s="10"/>
      <c r="AG615" s="46"/>
      <c r="AH615" s="46"/>
      <c r="AI615" s="46"/>
      <c r="AJ615" s="46"/>
      <c r="AK615" s="46"/>
      <c r="AL615" s="46"/>
      <c r="AM615" s="10">
        <f>+'Gen Rev'!AI603-'Gen Exp'!AE615+'Gen Exp'!AI615-AK615</f>
        <v>484351</v>
      </c>
      <c r="AN615" s="46"/>
    </row>
    <row r="616" spans="1:40" s="21" customFormat="1">
      <c r="A616" s="1" t="s">
        <v>458</v>
      </c>
      <c r="B616" s="1"/>
      <c r="C616" s="1" t="s">
        <v>456</v>
      </c>
      <c r="D616" s="1"/>
      <c r="E616" s="10">
        <v>1895706</v>
      </c>
      <c r="F616" s="10"/>
      <c r="G616" s="10">
        <v>21642</v>
      </c>
      <c r="H616" s="10"/>
      <c r="I616" s="10">
        <v>56223</v>
      </c>
      <c r="J616" s="10"/>
      <c r="K616" s="10">
        <v>61304</v>
      </c>
      <c r="L616" s="10"/>
      <c r="M616" s="10">
        <v>248186</v>
      </c>
      <c r="N616" s="10"/>
      <c r="O616" s="10">
        <v>0</v>
      </c>
      <c r="P616" s="10"/>
      <c r="Q616" s="10">
        <v>1006591</v>
      </c>
      <c r="R616" s="10"/>
      <c r="S616" s="10">
        <v>0</v>
      </c>
      <c r="T616" s="10"/>
      <c r="U616" s="10">
        <v>0</v>
      </c>
      <c r="V616" s="10"/>
      <c r="W616" s="10">
        <v>0</v>
      </c>
      <c r="X616" s="10"/>
      <c r="Y616" s="10">
        <v>0</v>
      </c>
      <c r="Z616" s="10"/>
      <c r="AA616" s="10">
        <v>0</v>
      </c>
      <c r="AB616" s="10"/>
      <c r="AC616" s="10">
        <v>0</v>
      </c>
      <c r="AD616" s="10"/>
      <c r="AE616" s="10">
        <f t="shared" si="13"/>
        <v>3289652</v>
      </c>
      <c r="AF616" s="10"/>
      <c r="AG616" s="10">
        <v>58171</v>
      </c>
      <c r="AH616" s="10"/>
      <c r="AI616" s="10">
        <v>76866</v>
      </c>
      <c r="AJ616" s="10"/>
      <c r="AK616" s="10">
        <v>135037</v>
      </c>
      <c r="AL616" s="10"/>
      <c r="AM616" s="10">
        <f>+'Gen Rev'!AI594-'Gen Exp'!AE616+'Gen Exp'!AI616-AK616</f>
        <v>0</v>
      </c>
      <c r="AN616" s="10"/>
    </row>
    <row r="617" spans="1:40" s="21" customFormat="1" hidden="1">
      <c r="A617" s="1"/>
      <c r="B617" s="1"/>
      <c r="C617" s="1"/>
      <c r="D617" s="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 t="s">
        <v>869</v>
      </c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s="10" customFormat="1" ht="12.6" customHeight="1">
      <c r="A618" s="10" t="s">
        <v>828</v>
      </c>
      <c r="C618" s="10" t="s">
        <v>606</v>
      </c>
      <c r="E618" s="10">
        <v>0</v>
      </c>
      <c r="G618" s="10">
        <v>531</v>
      </c>
      <c r="I618" s="10">
        <v>1883</v>
      </c>
      <c r="K618" s="10">
        <v>7855</v>
      </c>
      <c r="M618" s="10">
        <v>1759</v>
      </c>
      <c r="O618" s="10">
        <v>0</v>
      </c>
      <c r="Q618" s="10">
        <v>59588</v>
      </c>
      <c r="S618" s="10">
        <v>8755</v>
      </c>
      <c r="U618" s="10">
        <v>0</v>
      </c>
      <c r="W618" s="10">
        <v>0</v>
      </c>
      <c r="Y618" s="10">
        <v>10500</v>
      </c>
      <c r="AA618" s="10">
        <v>0</v>
      </c>
      <c r="AC618" s="10">
        <v>0</v>
      </c>
      <c r="AE618" s="10">
        <f>SUM(E618:AC618)</f>
        <v>90871</v>
      </c>
      <c r="AG618" s="46">
        <v>-14897</v>
      </c>
      <c r="AH618" s="46"/>
      <c r="AI618" s="46">
        <v>94120</v>
      </c>
      <c r="AJ618" s="46"/>
      <c r="AK618" s="46">
        <v>79221</v>
      </c>
      <c r="AL618" s="46"/>
      <c r="AM618" s="10">
        <f>+'Gen Rev'!AI595-'Gen Exp'!AE618+'Gen Exp'!AI618-AK618</f>
        <v>0</v>
      </c>
      <c r="AN618" s="46"/>
    </row>
    <row r="619" spans="1:40" s="40" customFormat="1" ht="12.6" hidden="1" customHeight="1">
      <c r="A619" s="40" t="s">
        <v>339</v>
      </c>
      <c r="C619" s="40" t="s">
        <v>329</v>
      </c>
      <c r="E619" s="10">
        <v>0</v>
      </c>
      <c r="F619" s="10"/>
      <c r="G619" s="10">
        <v>0</v>
      </c>
      <c r="H619" s="10"/>
      <c r="I619" s="10">
        <v>0</v>
      </c>
      <c r="J619" s="10"/>
      <c r="K619" s="10">
        <v>0</v>
      </c>
      <c r="L619" s="10"/>
      <c r="M619" s="10">
        <v>0</v>
      </c>
      <c r="N619" s="10"/>
      <c r="O619" s="10">
        <v>0</v>
      </c>
      <c r="P619" s="10"/>
      <c r="Q619" s="10">
        <v>0</v>
      </c>
      <c r="R619" s="10"/>
      <c r="S619" s="10">
        <v>0</v>
      </c>
      <c r="T619" s="10"/>
      <c r="U619" s="10">
        <v>0</v>
      </c>
      <c r="V619" s="10"/>
      <c r="W619" s="10">
        <v>0</v>
      </c>
      <c r="X619" s="10"/>
      <c r="Y619" s="10">
        <v>0</v>
      </c>
      <c r="Z619" s="10"/>
      <c r="AA619" s="10">
        <v>0</v>
      </c>
      <c r="AB619" s="10"/>
      <c r="AC619" s="10">
        <v>0</v>
      </c>
      <c r="AD619" s="10"/>
      <c r="AE619" s="10">
        <f>SUM(E619:AC619)</f>
        <v>0</v>
      </c>
      <c r="AG619" s="46"/>
      <c r="AH619" s="46"/>
      <c r="AI619" s="46"/>
      <c r="AJ619" s="46"/>
      <c r="AK619" s="46"/>
      <c r="AL619" s="46"/>
      <c r="AM619" s="10">
        <f>+'Gen Rev'!AI596-'Gen Exp'!AE619+'Gen Exp'!AI619-AK619</f>
        <v>0</v>
      </c>
      <c r="AN619" s="46"/>
    </row>
    <row r="620" spans="1:40">
      <c r="A620" s="1" t="s">
        <v>552</v>
      </c>
      <c r="C620" s="1" t="s">
        <v>545</v>
      </c>
      <c r="E620" s="10">
        <v>48160</v>
      </c>
      <c r="G620" s="10">
        <v>0</v>
      </c>
      <c r="I620" s="10">
        <v>0</v>
      </c>
      <c r="K620" s="10">
        <v>0</v>
      </c>
      <c r="M620" s="10">
        <v>0</v>
      </c>
      <c r="O620" s="10">
        <v>0</v>
      </c>
      <c r="Q620" s="10">
        <v>70480</v>
      </c>
      <c r="S620" s="10">
        <v>170</v>
      </c>
      <c r="U620" s="10">
        <v>2304</v>
      </c>
      <c r="W620" s="10">
        <v>201</v>
      </c>
      <c r="Y620" s="10">
        <v>0</v>
      </c>
      <c r="AA620" s="10">
        <v>0</v>
      </c>
      <c r="AC620" s="10">
        <v>0</v>
      </c>
      <c r="AE620" s="10">
        <f t="shared" si="13"/>
        <v>121315</v>
      </c>
      <c r="AF620" s="10"/>
      <c r="AG620" s="10">
        <v>-33171</v>
      </c>
      <c r="AI620" s="10">
        <v>57586</v>
      </c>
      <c r="AK620" s="10">
        <v>24415</v>
      </c>
      <c r="AM620" s="10">
        <f>+'Gen Rev'!AI598-'Gen Exp'!AE620+'Gen Exp'!AI620-AK620</f>
        <v>0</v>
      </c>
    </row>
    <row r="621" spans="1:40" s="21" customFormat="1" ht="13.5" hidden="1" customHeight="1">
      <c r="A621" s="1" t="s">
        <v>14</v>
      </c>
      <c r="B621" s="1"/>
      <c r="C621" s="23" t="s">
        <v>754</v>
      </c>
      <c r="D621" s="23"/>
      <c r="E621" s="10">
        <v>0</v>
      </c>
      <c r="F621" s="10"/>
      <c r="G621" s="10">
        <v>0</v>
      </c>
      <c r="H621" s="10"/>
      <c r="I621" s="10">
        <v>0</v>
      </c>
      <c r="J621" s="10"/>
      <c r="K621" s="10">
        <v>0</v>
      </c>
      <c r="L621" s="10"/>
      <c r="M621" s="10">
        <v>0</v>
      </c>
      <c r="N621" s="10"/>
      <c r="O621" s="10">
        <v>0</v>
      </c>
      <c r="P621" s="10"/>
      <c r="Q621" s="10">
        <v>0</v>
      </c>
      <c r="R621" s="10"/>
      <c r="S621" s="10">
        <v>0</v>
      </c>
      <c r="T621" s="10"/>
      <c r="U621" s="10">
        <v>0</v>
      </c>
      <c r="V621" s="10"/>
      <c r="W621" s="10">
        <v>0</v>
      </c>
      <c r="X621" s="10"/>
      <c r="Y621" s="10">
        <v>0</v>
      </c>
      <c r="Z621" s="10"/>
      <c r="AA621" s="10">
        <v>0</v>
      </c>
      <c r="AB621" s="10"/>
      <c r="AC621" s="10">
        <v>0</v>
      </c>
      <c r="AD621" s="10"/>
      <c r="AE621" s="10">
        <f t="shared" si="13"/>
        <v>0</v>
      </c>
      <c r="AF621" s="10"/>
      <c r="AG621" s="46"/>
      <c r="AH621" s="46"/>
      <c r="AI621" s="46"/>
      <c r="AJ621" s="46"/>
      <c r="AK621" s="46"/>
      <c r="AL621" s="46"/>
      <c r="AM621" s="10">
        <f>+'Gen Rev'!AI599-'Gen Exp'!AE621+'Gen Exp'!AI621-AK621</f>
        <v>0</v>
      </c>
      <c r="AN621" s="46"/>
    </row>
    <row r="622" spans="1:40">
      <c r="A622" s="1" t="s">
        <v>588</v>
      </c>
      <c r="C622" s="1" t="s">
        <v>586</v>
      </c>
      <c r="E622" s="10">
        <v>83638</v>
      </c>
      <c r="G622" s="10">
        <v>0</v>
      </c>
      <c r="I622" s="10">
        <v>0</v>
      </c>
      <c r="K622" s="10">
        <v>0</v>
      </c>
      <c r="M622" s="10">
        <v>0</v>
      </c>
      <c r="O622" s="10">
        <v>294</v>
      </c>
      <c r="Q622" s="10">
        <v>235747</v>
      </c>
      <c r="S622" s="10">
        <v>2500</v>
      </c>
      <c r="U622" s="10">
        <v>363038</v>
      </c>
      <c r="W622" s="10">
        <v>35280</v>
      </c>
      <c r="Y622" s="10">
        <v>0</v>
      </c>
      <c r="AA622" s="10">
        <v>0</v>
      </c>
      <c r="AC622" s="10">
        <v>0</v>
      </c>
      <c r="AE622" s="10">
        <f t="shared" si="13"/>
        <v>720497</v>
      </c>
      <c r="AF622" s="10"/>
      <c r="AG622" s="10">
        <v>61836</v>
      </c>
      <c r="AI622" s="10">
        <v>217488</v>
      </c>
      <c r="AK622" s="10">
        <v>279325</v>
      </c>
      <c r="AM622" s="10">
        <f>+'Gen Rev'!AI600-'Gen Exp'!AE622+'Gen Exp'!AI622-AK622</f>
        <v>0</v>
      </c>
    </row>
    <row r="623" spans="1:40" s="21" customFormat="1">
      <c r="A623" s="1" t="s">
        <v>454</v>
      </c>
      <c r="B623" s="1"/>
      <c r="C623" s="1" t="s">
        <v>452</v>
      </c>
      <c r="D623" s="1"/>
      <c r="E623" s="10">
        <v>855678</v>
      </c>
      <c r="F623" s="10"/>
      <c r="G623" s="10">
        <v>3498</v>
      </c>
      <c r="H623" s="10"/>
      <c r="I623" s="10">
        <v>50635</v>
      </c>
      <c r="J623" s="10"/>
      <c r="K623" s="10">
        <v>117620</v>
      </c>
      <c r="L623" s="10"/>
      <c r="M623" s="10">
        <v>0</v>
      </c>
      <c r="N623" s="10"/>
      <c r="O623" s="10">
        <v>725387</v>
      </c>
      <c r="P623" s="10"/>
      <c r="Q623" s="10">
        <v>413390</v>
      </c>
      <c r="R623" s="10"/>
      <c r="S623" s="10">
        <v>111549</v>
      </c>
      <c r="T623" s="10"/>
      <c r="U623" s="10">
        <v>0</v>
      </c>
      <c r="V623" s="10"/>
      <c r="W623" s="10">
        <v>0</v>
      </c>
      <c r="X623" s="10"/>
      <c r="Y623" s="10">
        <v>5500</v>
      </c>
      <c r="Z623" s="10"/>
      <c r="AA623" s="10">
        <v>0</v>
      </c>
      <c r="AB623" s="10"/>
      <c r="AC623" s="10">
        <v>0</v>
      </c>
      <c r="AD623" s="10"/>
      <c r="AE623" s="10">
        <f t="shared" si="13"/>
        <v>2283257</v>
      </c>
      <c r="AF623" s="10"/>
      <c r="AG623" s="10">
        <v>101626</v>
      </c>
      <c r="AH623" s="10"/>
      <c r="AI623" s="10">
        <v>1027204</v>
      </c>
      <c r="AJ623" s="10"/>
      <c r="AK623" s="10">
        <v>1128830</v>
      </c>
      <c r="AL623" s="10"/>
      <c r="AM623" s="10">
        <f>+'Gen Rev'!AI601-'Gen Exp'!AE623+'Gen Exp'!AI623-AK623</f>
        <v>0</v>
      </c>
      <c r="AN623" s="10"/>
    </row>
    <row r="624" spans="1:40" s="21" customFormat="1" ht="12.6" hidden="1" customHeight="1">
      <c r="A624" s="1" t="s">
        <v>306</v>
      </c>
      <c r="B624" s="1"/>
      <c r="C624" s="1" t="s">
        <v>305</v>
      </c>
      <c r="D624" s="1"/>
      <c r="E624" s="10">
        <v>0</v>
      </c>
      <c r="F624" s="10"/>
      <c r="G624" s="10">
        <v>0</v>
      </c>
      <c r="H624" s="10"/>
      <c r="I624" s="10">
        <v>0</v>
      </c>
      <c r="J624" s="10"/>
      <c r="K624" s="10">
        <v>0</v>
      </c>
      <c r="L624" s="10"/>
      <c r="M624" s="10">
        <v>0</v>
      </c>
      <c r="N624" s="10"/>
      <c r="O624" s="10">
        <v>0</v>
      </c>
      <c r="P624" s="10"/>
      <c r="Q624" s="10">
        <v>0</v>
      </c>
      <c r="R624" s="10"/>
      <c r="S624" s="10">
        <v>0</v>
      </c>
      <c r="T624" s="10"/>
      <c r="U624" s="10">
        <v>0</v>
      </c>
      <c r="V624" s="10"/>
      <c r="W624" s="10">
        <v>0</v>
      </c>
      <c r="X624" s="10"/>
      <c r="Y624" s="10">
        <v>0</v>
      </c>
      <c r="Z624" s="10"/>
      <c r="AA624" s="10">
        <v>0</v>
      </c>
      <c r="AB624" s="10"/>
      <c r="AC624" s="10">
        <v>0</v>
      </c>
      <c r="AD624" s="10"/>
      <c r="AE624" s="10">
        <f t="shared" si="13"/>
        <v>0</v>
      </c>
      <c r="AF624" s="10"/>
      <c r="AG624" s="46"/>
      <c r="AH624" s="46"/>
      <c r="AI624" s="46"/>
      <c r="AJ624" s="46"/>
      <c r="AK624" s="46"/>
      <c r="AL624" s="46"/>
      <c r="AM624" s="10">
        <f>+'Gen Rev'!AI602-'Gen Exp'!AE624+'Gen Exp'!AI624-AK624</f>
        <v>0</v>
      </c>
      <c r="AN624" s="46"/>
    </row>
    <row r="625" spans="1:40">
      <c r="A625" s="1" t="s">
        <v>516</v>
      </c>
      <c r="C625" s="1" t="s">
        <v>513</v>
      </c>
      <c r="E625" s="10">
        <v>223446</v>
      </c>
      <c r="G625" s="10">
        <v>3438</v>
      </c>
      <c r="I625" s="10">
        <v>1263</v>
      </c>
      <c r="K625" s="10">
        <v>5843</v>
      </c>
      <c r="M625" s="10">
        <v>0</v>
      </c>
      <c r="O625" s="10">
        <v>0</v>
      </c>
      <c r="Q625" s="10">
        <v>137608</v>
      </c>
      <c r="S625" s="10">
        <v>0</v>
      </c>
      <c r="U625" s="10">
        <v>0</v>
      </c>
      <c r="W625" s="10">
        <v>0</v>
      </c>
      <c r="Y625" s="10">
        <v>0</v>
      </c>
      <c r="AA625" s="10">
        <v>0</v>
      </c>
      <c r="AC625" s="10">
        <v>33605</v>
      </c>
      <c r="AE625" s="10">
        <f t="shared" si="13"/>
        <v>405203</v>
      </c>
      <c r="AF625" s="10"/>
      <c r="AG625" s="10">
        <v>79148</v>
      </c>
      <c r="AI625" s="10">
        <v>213217</v>
      </c>
      <c r="AK625" s="10">
        <v>292365</v>
      </c>
      <c r="AM625" s="10">
        <f>+'Gen Rev'!AI603-'Gen Exp'!AE625+'Gen Exp'!AI625-AK625</f>
        <v>0</v>
      </c>
    </row>
    <row r="626" spans="1:40" ht="12.75" hidden="1">
      <c r="A626" s="1" t="s">
        <v>230</v>
      </c>
      <c r="C626" s="23" t="s">
        <v>822</v>
      </c>
      <c r="D626" s="23"/>
      <c r="E626" s="10">
        <v>0</v>
      </c>
      <c r="G626" s="10">
        <v>0</v>
      </c>
      <c r="I626" s="10">
        <v>0</v>
      </c>
      <c r="K626" s="10">
        <v>0</v>
      </c>
      <c r="M626" s="10">
        <v>0</v>
      </c>
      <c r="O626" s="10">
        <v>0</v>
      </c>
      <c r="Q626" s="10">
        <v>0</v>
      </c>
      <c r="S626" s="10">
        <v>0</v>
      </c>
      <c r="U626" s="10">
        <v>0</v>
      </c>
      <c r="W626" s="10">
        <v>0</v>
      </c>
      <c r="Y626" s="10">
        <v>0</v>
      </c>
      <c r="AA626" s="10">
        <v>0</v>
      </c>
      <c r="AC626" s="10">
        <v>0</v>
      </c>
      <c r="AE626" s="10">
        <f t="shared" si="13"/>
        <v>0</v>
      </c>
      <c r="AF626" s="10"/>
      <c r="AM626" s="10">
        <f>+'Gen Rev'!AI604-'Gen Exp'!AE626+'Gen Exp'!AI626-AK626</f>
        <v>0</v>
      </c>
    </row>
    <row r="627" spans="1:40" s="21" customFormat="1" ht="12.6" customHeight="1">
      <c r="A627" s="1" t="s">
        <v>310</v>
      </c>
      <c r="B627" s="1"/>
      <c r="C627" s="1" t="s">
        <v>308</v>
      </c>
      <c r="D627" s="1"/>
      <c r="E627" s="10">
        <v>354681</v>
      </c>
      <c r="F627" s="10"/>
      <c r="G627" s="10">
        <v>0</v>
      </c>
      <c r="H627" s="10"/>
      <c r="I627" s="10">
        <v>0</v>
      </c>
      <c r="J627" s="10"/>
      <c r="K627" s="10">
        <v>2806</v>
      </c>
      <c r="L627" s="10"/>
      <c r="M627" s="10">
        <v>14068</v>
      </c>
      <c r="N627" s="10"/>
      <c r="O627" s="10">
        <v>0</v>
      </c>
      <c r="P627" s="10"/>
      <c r="Q627" s="10">
        <v>164226</v>
      </c>
      <c r="R627" s="10"/>
      <c r="S627" s="10">
        <v>0</v>
      </c>
      <c r="T627" s="10"/>
      <c r="U627" s="10">
        <v>0</v>
      </c>
      <c r="V627" s="10"/>
      <c r="W627" s="10">
        <v>0</v>
      </c>
      <c r="X627" s="10"/>
      <c r="Y627" s="10">
        <v>35000</v>
      </c>
      <c r="Z627" s="10"/>
      <c r="AA627" s="10">
        <v>0</v>
      </c>
      <c r="AB627" s="10"/>
      <c r="AC627" s="10">
        <v>0</v>
      </c>
      <c r="AD627" s="10"/>
      <c r="AE627" s="10">
        <f t="shared" si="13"/>
        <v>570781</v>
      </c>
      <c r="AF627" s="10"/>
      <c r="AG627" s="46">
        <v>24317</v>
      </c>
      <c r="AH627" s="46"/>
      <c r="AI627" s="46">
        <v>262726</v>
      </c>
      <c r="AJ627" s="46"/>
      <c r="AK627" s="46">
        <v>287042</v>
      </c>
      <c r="AL627" s="46"/>
      <c r="AM627" s="10">
        <f>+'Gen Rev'!AI605-'Gen Exp'!AE627+'Gen Exp'!AI627-AK627</f>
        <v>0</v>
      </c>
      <c r="AN627" s="46"/>
    </row>
    <row r="628" spans="1:40" s="15" customFormat="1">
      <c r="A628" s="15" t="s">
        <v>927</v>
      </c>
      <c r="C628" s="15" t="s">
        <v>517</v>
      </c>
      <c r="E628" s="24">
        <v>18550</v>
      </c>
      <c r="F628" s="24"/>
      <c r="G628" s="24">
        <v>0</v>
      </c>
      <c r="H628" s="24"/>
      <c r="I628" s="24">
        <v>0</v>
      </c>
      <c r="J628" s="24"/>
      <c r="K628" s="24">
        <v>0</v>
      </c>
      <c r="L628" s="24"/>
      <c r="M628" s="24">
        <v>2466</v>
      </c>
      <c r="N628" s="24"/>
      <c r="O628" s="24">
        <v>7783</v>
      </c>
      <c r="P628" s="24"/>
      <c r="Q628" s="24">
        <v>46951</v>
      </c>
      <c r="R628" s="24"/>
      <c r="S628" s="24">
        <v>0</v>
      </c>
      <c r="T628" s="24"/>
      <c r="U628" s="24">
        <v>0</v>
      </c>
      <c r="V628" s="24"/>
      <c r="W628" s="24">
        <v>0</v>
      </c>
      <c r="X628" s="24"/>
      <c r="Y628" s="24">
        <v>26000</v>
      </c>
      <c r="Z628" s="24"/>
      <c r="AA628" s="24">
        <v>0</v>
      </c>
      <c r="AB628" s="24"/>
      <c r="AC628" s="24">
        <v>0</v>
      </c>
      <c r="AD628" s="24"/>
      <c r="AE628" s="24">
        <f t="shared" si="13"/>
        <v>101750</v>
      </c>
      <c r="AF628" s="24"/>
      <c r="AG628" s="24">
        <v>-48620</v>
      </c>
      <c r="AH628" s="24"/>
      <c r="AI628" s="24">
        <v>181600</v>
      </c>
      <c r="AJ628" s="24"/>
      <c r="AK628" s="24">
        <v>133636</v>
      </c>
      <c r="AL628" s="24"/>
      <c r="AM628" s="24">
        <f>+'Gen Rev'!AI606-'Gen Exp'!AE628+'Gen Exp'!AI628-AK628</f>
        <v>0</v>
      </c>
      <c r="AN628" s="24"/>
    </row>
    <row r="629" spans="1:40" s="21" customFormat="1" ht="12.75" hidden="1">
      <c r="A629" s="1" t="s">
        <v>135</v>
      </c>
      <c r="B629" s="1"/>
      <c r="C629" s="23" t="s">
        <v>791</v>
      </c>
      <c r="D629" s="23"/>
      <c r="E629" s="10">
        <v>0</v>
      </c>
      <c r="F629" s="10"/>
      <c r="G629" s="10">
        <v>0</v>
      </c>
      <c r="H629" s="10"/>
      <c r="I629" s="10">
        <v>0</v>
      </c>
      <c r="J629" s="10"/>
      <c r="K629" s="10">
        <v>0</v>
      </c>
      <c r="L629" s="10"/>
      <c r="M629" s="10">
        <v>0</v>
      </c>
      <c r="N629" s="10"/>
      <c r="O629" s="10">
        <v>0</v>
      </c>
      <c r="P629" s="10"/>
      <c r="Q629" s="10">
        <v>0</v>
      </c>
      <c r="R629" s="10"/>
      <c r="S629" s="10">
        <v>0</v>
      </c>
      <c r="T629" s="10"/>
      <c r="U629" s="10">
        <v>0</v>
      </c>
      <c r="V629" s="10"/>
      <c r="W629" s="10">
        <v>0</v>
      </c>
      <c r="X629" s="10"/>
      <c r="Y629" s="10">
        <v>0</v>
      </c>
      <c r="Z629" s="10"/>
      <c r="AA629" s="10">
        <v>0</v>
      </c>
      <c r="AB629" s="10"/>
      <c r="AC629" s="10">
        <v>0</v>
      </c>
      <c r="AD629" s="10"/>
      <c r="AE629" s="10">
        <f t="shared" si="13"/>
        <v>0</v>
      </c>
      <c r="AF629" s="10"/>
      <c r="AG629" s="10"/>
      <c r="AH629" s="10"/>
      <c r="AI629" s="10"/>
      <c r="AJ629" s="10"/>
      <c r="AK629" s="10"/>
      <c r="AL629" s="10"/>
      <c r="AM629" s="10">
        <f>+'Gen Rev'!AI607-'Gen Exp'!AE629+'Gen Exp'!AI629-AK629</f>
        <v>0</v>
      </c>
      <c r="AN629" s="10"/>
    </row>
    <row r="630" spans="1:40" ht="12.75">
      <c r="A630" s="1" t="s">
        <v>928</v>
      </c>
      <c r="C630" s="23" t="s">
        <v>513</v>
      </c>
      <c r="D630" s="23"/>
      <c r="E630" s="10">
        <v>5695</v>
      </c>
      <c r="G630" s="10">
        <v>0</v>
      </c>
      <c r="I630" s="10">
        <v>1673</v>
      </c>
      <c r="K630" s="10">
        <v>1076</v>
      </c>
      <c r="M630" s="10">
        <v>24701</v>
      </c>
      <c r="O630" s="10">
        <v>5566</v>
      </c>
      <c r="Q630" s="10">
        <v>52226</v>
      </c>
      <c r="S630" s="10">
        <v>0</v>
      </c>
      <c r="U630" s="10">
        <v>0</v>
      </c>
      <c r="W630" s="10">
        <v>0</v>
      </c>
      <c r="Y630" s="10">
        <v>0</v>
      </c>
      <c r="AA630" s="10">
        <v>0</v>
      </c>
      <c r="AC630" s="10">
        <v>0</v>
      </c>
      <c r="AE630" s="10">
        <f>SUM(E630:AC630)</f>
        <v>90937</v>
      </c>
      <c r="AF630" s="10"/>
      <c r="AG630" s="10">
        <v>-7411</v>
      </c>
      <c r="AI630" s="10">
        <v>169795</v>
      </c>
      <c r="AK630" s="10">
        <v>162384</v>
      </c>
      <c r="AM630" s="10">
        <f>+'Gen Rev'!AI608-'Gen Exp'!AE630+'Gen Exp'!AI630-AK630</f>
        <v>0</v>
      </c>
    </row>
    <row r="631" spans="1:40" ht="12.75" hidden="1">
      <c r="A631" s="1" t="s">
        <v>262</v>
      </c>
      <c r="C631" s="23" t="s">
        <v>830</v>
      </c>
      <c r="D631" s="23"/>
      <c r="E631" s="10">
        <v>0</v>
      </c>
      <c r="G631" s="10">
        <v>0</v>
      </c>
      <c r="I631" s="10">
        <v>0</v>
      </c>
      <c r="K631" s="10">
        <v>0</v>
      </c>
      <c r="M631" s="10">
        <v>0</v>
      </c>
      <c r="O631" s="10">
        <v>0</v>
      </c>
      <c r="Q631" s="10">
        <v>0</v>
      </c>
      <c r="S631" s="10">
        <v>0</v>
      </c>
      <c r="U631" s="10">
        <v>0</v>
      </c>
      <c r="W631" s="10">
        <v>0</v>
      </c>
      <c r="Y631" s="10">
        <v>0</v>
      </c>
      <c r="AA631" s="10">
        <v>0</v>
      </c>
      <c r="AC631" s="10">
        <v>0</v>
      </c>
      <c r="AE631" s="10">
        <f t="shared" si="13"/>
        <v>0</v>
      </c>
      <c r="AF631" s="10"/>
      <c r="AM631" s="10">
        <f>+'Gen Rev'!AI609-'Gen Exp'!AE631+'Gen Exp'!AI631-AK631</f>
        <v>0</v>
      </c>
    </row>
    <row r="632" spans="1:40" s="21" customFormat="1">
      <c r="A632" s="1" t="s">
        <v>475</v>
      </c>
      <c r="B632" s="1"/>
      <c r="C632" s="1" t="s">
        <v>473</v>
      </c>
      <c r="D632" s="1"/>
      <c r="E632" s="10">
        <v>743738</v>
      </c>
      <c r="F632" s="10"/>
      <c r="G632" s="10">
        <v>0</v>
      </c>
      <c r="H632" s="10"/>
      <c r="I632" s="10">
        <v>5838</v>
      </c>
      <c r="J632" s="10"/>
      <c r="K632" s="10">
        <v>2124</v>
      </c>
      <c r="L632" s="10"/>
      <c r="M632" s="10">
        <v>0</v>
      </c>
      <c r="N632" s="10"/>
      <c r="O632" s="10">
        <v>0</v>
      </c>
      <c r="P632" s="10"/>
      <c r="Q632" s="10">
        <v>415844</v>
      </c>
      <c r="R632" s="10"/>
      <c r="S632" s="10">
        <v>125885</v>
      </c>
      <c r="T632" s="10"/>
      <c r="U632" s="10">
        <v>0</v>
      </c>
      <c r="V632" s="10"/>
      <c r="W632" s="10">
        <v>0</v>
      </c>
      <c r="X632" s="10"/>
      <c r="Y632" s="10">
        <v>81907</v>
      </c>
      <c r="Z632" s="10"/>
      <c r="AA632" s="10">
        <v>0</v>
      </c>
      <c r="AB632" s="10"/>
      <c r="AC632" s="10">
        <v>0</v>
      </c>
      <c r="AD632" s="10"/>
      <c r="AE632" s="10">
        <f t="shared" si="13"/>
        <v>1375336</v>
      </c>
      <c r="AF632" s="10"/>
      <c r="AG632" s="10">
        <v>168076</v>
      </c>
      <c r="AH632" s="10"/>
      <c r="AI632" s="10">
        <v>2268500</v>
      </c>
      <c r="AJ632" s="10"/>
      <c r="AK632" s="10">
        <v>2436576</v>
      </c>
      <c r="AL632" s="10"/>
      <c r="AM632" s="10">
        <f>+'Gen Rev'!AI610-'Gen Exp'!AE632+'Gen Exp'!AI632-AK632</f>
        <v>0</v>
      </c>
      <c r="AN632" s="10"/>
    </row>
    <row r="633" spans="1:40" s="15" customFormat="1" ht="12.6" hidden="1" customHeight="1">
      <c r="A633" s="15" t="s">
        <v>351</v>
      </c>
      <c r="C633" s="15" t="s">
        <v>350</v>
      </c>
      <c r="E633" s="10">
        <v>0</v>
      </c>
      <c r="F633" s="24"/>
      <c r="G633" s="10">
        <v>0</v>
      </c>
      <c r="H633" s="24"/>
      <c r="I633" s="10">
        <v>0</v>
      </c>
      <c r="J633" s="24"/>
      <c r="K633" s="10">
        <v>0</v>
      </c>
      <c r="L633" s="24"/>
      <c r="M633" s="10">
        <v>0</v>
      </c>
      <c r="N633" s="24"/>
      <c r="O633" s="10">
        <v>0</v>
      </c>
      <c r="P633" s="24"/>
      <c r="Q633" s="10">
        <v>0</v>
      </c>
      <c r="R633" s="24"/>
      <c r="S633" s="10">
        <v>0</v>
      </c>
      <c r="T633" s="24"/>
      <c r="U633" s="10">
        <v>0</v>
      </c>
      <c r="V633" s="24"/>
      <c r="W633" s="10">
        <v>0</v>
      </c>
      <c r="X633" s="24"/>
      <c r="Y633" s="10">
        <v>0</v>
      </c>
      <c r="Z633" s="24"/>
      <c r="AA633" s="10">
        <v>0</v>
      </c>
      <c r="AB633" s="24"/>
      <c r="AC633" s="10">
        <v>0</v>
      </c>
      <c r="AD633" s="24"/>
      <c r="AE633" s="24">
        <f t="shared" si="13"/>
        <v>0</v>
      </c>
      <c r="AF633" s="24"/>
      <c r="AG633" s="47"/>
      <c r="AH633" s="47"/>
      <c r="AI633" s="47"/>
      <c r="AJ633" s="47"/>
      <c r="AK633" s="47"/>
      <c r="AL633" s="47"/>
      <c r="AM633" s="10">
        <f>+'Gen Rev'!AI611-'Gen Exp'!AE633+'Gen Exp'!AI633-AK633</f>
        <v>0</v>
      </c>
      <c r="AN633" s="47"/>
    </row>
    <row r="634" spans="1:40" ht="12.75" hidden="1">
      <c r="A634" s="1" t="s">
        <v>250</v>
      </c>
      <c r="C634" s="23" t="s">
        <v>828</v>
      </c>
      <c r="D634" s="23"/>
      <c r="E634" s="10">
        <v>0</v>
      </c>
      <c r="G634" s="10">
        <v>0</v>
      </c>
      <c r="I634" s="10">
        <v>0</v>
      </c>
      <c r="K634" s="10">
        <v>0</v>
      </c>
      <c r="M634" s="10">
        <v>0</v>
      </c>
      <c r="O634" s="10">
        <v>0</v>
      </c>
      <c r="Q634" s="10">
        <v>0</v>
      </c>
      <c r="S634" s="10">
        <v>0</v>
      </c>
      <c r="U634" s="10">
        <v>0</v>
      </c>
      <c r="W634" s="10">
        <v>0</v>
      </c>
      <c r="Y634" s="10">
        <v>0</v>
      </c>
      <c r="AA634" s="10">
        <v>0</v>
      </c>
      <c r="AC634" s="10">
        <v>0</v>
      </c>
      <c r="AE634" s="10">
        <f t="shared" si="13"/>
        <v>0</v>
      </c>
      <c r="AF634" s="10"/>
      <c r="AM634" s="10">
        <f>+'Gen Rev'!AI612-'Gen Exp'!AE634+'Gen Exp'!AI634-AK634</f>
        <v>0</v>
      </c>
    </row>
    <row r="635" spans="1:40" s="21" customFormat="1" ht="12.75" hidden="1">
      <c r="A635" s="1" t="s">
        <v>0</v>
      </c>
      <c r="B635" s="1"/>
      <c r="C635" s="23" t="s">
        <v>667</v>
      </c>
      <c r="D635" s="23"/>
      <c r="E635" s="10">
        <v>0</v>
      </c>
      <c r="F635" s="10"/>
      <c r="G635" s="10">
        <v>0</v>
      </c>
      <c r="H635" s="10"/>
      <c r="I635" s="10">
        <v>0</v>
      </c>
      <c r="J635" s="10"/>
      <c r="K635" s="10">
        <v>0</v>
      </c>
      <c r="L635" s="10"/>
      <c r="M635" s="10">
        <v>0</v>
      </c>
      <c r="N635" s="10"/>
      <c r="O635" s="10">
        <v>0</v>
      </c>
      <c r="P635" s="10"/>
      <c r="Q635" s="10">
        <v>0</v>
      </c>
      <c r="R635" s="10"/>
      <c r="S635" s="10">
        <v>0</v>
      </c>
      <c r="T635" s="10"/>
      <c r="U635" s="10">
        <v>0</v>
      </c>
      <c r="V635" s="10"/>
      <c r="W635" s="10">
        <v>0</v>
      </c>
      <c r="X635" s="10"/>
      <c r="Y635" s="10">
        <v>0</v>
      </c>
      <c r="Z635" s="10"/>
      <c r="AA635" s="10">
        <v>0</v>
      </c>
      <c r="AB635" s="10"/>
      <c r="AC635" s="10">
        <v>0</v>
      </c>
      <c r="AD635" s="10"/>
      <c r="AE635" s="10">
        <f t="shared" si="13"/>
        <v>0</v>
      </c>
      <c r="AF635" s="10"/>
      <c r="AG635" s="46"/>
      <c r="AH635" s="46"/>
      <c r="AI635" s="46"/>
      <c r="AJ635" s="46"/>
      <c r="AK635" s="46"/>
      <c r="AL635" s="46"/>
      <c r="AM635" s="10">
        <f>+'Gen Rev'!AI613-'Gen Exp'!AE635+'Gen Exp'!AI635-AK635</f>
        <v>0</v>
      </c>
      <c r="AN635" s="46"/>
    </row>
    <row r="636" spans="1:40" hidden="1">
      <c r="A636" s="1" t="s">
        <v>604</v>
      </c>
      <c r="C636" s="1" t="s">
        <v>601</v>
      </c>
      <c r="E636" s="10">
        <v>0</v>
      </c>
      <c r="G636" s="10">
        <v>0</v>
      </c>
      <c r="I636" s="10">
        <v>0</v>
      </c>
      <c r="K636" s="10">
        <v>0</v>
      </c>
      <c r="M636" s="10">
        <v>0</v>
      </c>
      <c r="O636" s="10">
        <v>0</v>
      </c>
      <c r="Q636" s="10">
        <v>0</v>
      </c>
      <c r="S636" s="10">
        <v>0</v>
      </c>
      <c r="U636" s="10">
        <v>0</v>
      </c>
      <c r="W636" s="10">
        <v>0</v>
      </c>
      <c r="Y636" s="10">
        <v>0</v>
      </c>
      <c r="AA636" s="10">
        <v>0</v>
      </c>
      <c r="AC636" s="10">
        <v>0</v>
      </c>
      <c r="AE636" s="10">
        <f t="shared" si="13"/>
        <v>0</v>
      </c>
      <c r="AF636" s="10"/>
      <c r="AM636" s="10">
        <f>+'Gen Rev'!AI614-'Gen Exp'!AE636+'Gen Exp'!AI636-AK636</f>
        <v>0</v>
      </c>
    </row>
    <row r="637" spans="1:40" ht="12.75" hidden="1">
      <c r="A637" s="1" t="s">
        <v>155</v>
      </c>
      <c r="C637" s="23" t="s">
        <v>797</v>
      </c>
      <c r="D637" s="23"/>
      <c r="E637" s="10">
        <v>0</v>
      </c>
      <c r="G637" s="10">
        <v>0</v>
      </c>
      <c r="I637" s="10">
        <v>0</v>
      </c>
      <c r="K637" s="10">
        <v>0</v>
      </c>
      <c r="M637" s="10">
        <v>0</v>
      </c>
      <c r="O637" s="10">
        <v>0</v>
      </c>
      <c r="Q637" s="10">
        <v>0</v>
      </c>
      <c r="S637" s="10">
        <v>0</v>
      </c>
      <c r="U637" s="10">
        <v>0</v>
      </c>
      <c r="W637" s="10">
        <v>0</v>
      </c>
      <c r="Y637" s="10">
        <v>0</v>
      </c>
      <c r="AA637" s="10">
        <v>0</v>
      </c>
      <c r="AC637" s="10">
        <v>0</v>
      </c>
      <c r="AE637" s="10">
        <f t="shared" si="13"/>
        <v>0</v>
      </c>
      <c r="AF637" s="10"/>
      <c r="AM637" s="10">
        <f>+'Gen Rev'!AI615-'Gen Exp'!AE637+'Gen Exp'!AI637-AK637</f>
        <v>0</v>
      </c>
    </row>
    <row r="638" spans="1:40" s="15" customFormat="1" hidden="1">
      <c r="A638" s="15" t="s">
        <v>263</v>
      </c>
      <c r="C638" s="15" t="s">
        <v>606</v>
      </c>
      <c r="E638" s="10">
        <v>0</v>
      </c>
      <c r="F638" s="10"/>
      <c r="G638" s="10">
        <v>0</v>
      </c>
      <c r="H638" s="10"/>
      <c r="I638" s="10">
        <v>0</v>
      </c>
      <c r="J638" s="10"/>
      <c r="K638" s="10">
        <v>0</v>
      </c>
      <c r="L638" s="10"/>
      <c r="M638" s="10">
        <v>0</v>
      </c>
      <c r="N638" s="10"/>
      <c r="O638" s="10">
        <v>0</v>
      </c>
      <c r="P638" s="10"/>
      <c r="Q638" s="10">
        <v>0</v>
      </c>
      <c r="R638" s="10"/>
      <c r="S638" s="10">
        <v>0</v>
      </c>
      <c r="T638" s="10"/>
      <c r="U638" s="10">
        <v>0</v>
      </c>
      <c r="V638" s="10"/>
      <c r="W638" s="10">
        <v>0</v>
      </c>
      <c r="X638" s="10"/>
      <c r="Y638" s="10">
        <v>0</v>
      </c>
      <c r="Z638" s="10"/>
      <c r="AA638" s="10">
        <v>0</v>
      </c>
      <c r="AB638" s="10"/>
      <c r="AC638" s="10">
        <v>0</v>
      </c>
      <c r="AD638" s="10"/>
      <c r="AE638" s="24">
        <f t="shared" si="13"/>
        <v>0</v>
      </c>
      <c r="AF638" s="24"/>
      <c r="AG638" s="24"/>
      <c r="AH638" s="24"/>
      <c r="AI638" s="24"/>
      <c r="AJ638" s="24"/>
      <c r="AK638" s="24"/>
      <c r="AL638" s="24"/>
      <c r="AM638" s="10">
        <f>+'Gen Rev'!AI616-'Gen Exp'!AE638+'Gen Exp'!AI638-AK638</f>
        <v>0</v>
      </c>
      <c r="AN638" s="24"/>
    </row>
    <row r="639" spans="1:40" ht="12.75" hidden="1">
      <c r="A639" s="1" t="s">
        <v>263</v>
      </c>
      <c r="C639" s="23" t="s">
        <v>830</v>
      </c>
      <c r="D639" s="23"/>
      <c r="E639" s="10">
        <v>0</v>
      </c>
      <c r="G639" s="10">
        <v>0</v>
      </c>
      <c r="I639" s="10">
        <v>0</v>
      </c>
      <c r="K639" s="10">
        <v>0</v>
      </c>
      <c r="M639" s="10">
        <v>0</v>
      </c>
      <c r="O639" s="10">
        <v>0</v>
      </c>
      <c r="Q639" s="10">
        <v>0</v>
      </c>
      <c r="S639" s="10">
        <v>0</v>
      </c>
      <c r="U639" s="10">
        <v>0</v>
      </c>
      <c r="W639" s="10">
        <v>0</v>
      </c>
      <c r="Y639" s="10">
        <v>0</v>
      </c>
      <c r="AA639" s="10">
        <v>0</v>
      </c>
      <c r="AC639" s="10">
        <v>0</v>
      </c>
      <c r="AE639" s="10">
        <f t="shared" si="13"/>
        <v>0</v>
      </c>
      <c r="AF639" s="10"/>
      <c r="AM639" s="10">
        <f>+'Gen Rev'!AI617-'Gen Exp'!AE639+'Gen Exp'!AI639-AK639</f>
        <v>0</v>
      </c>
    </row>
    <row r="640" spans="1:40">
      <c r="A640" s="1" t="s">
        <v>929</v>
      </c>
      <c r="C640" s="1" t="s">
        <v>614</v>
      </c>
      <c r="E640" s="10">
        <v>586</v>
      </c>
      <c r="G640" s="10">
        <v>3126</v>
      </c>
      <c r="I640" s="10">
        <v>0</v>
      </c>
      <c r="K640" s="10">
        <v>0</v>
      </c>
      <c r="M640" s="10">
        <v>127</v>
      </c>
      <c r="O640" s="10">
        <v>0</v>
      </c>
      <c r="Q640" s="10">
        <v>41776</v>
      </c>
      <c r="S640" s="10">
        <v>0</v>
      </c>
      <c r="U640" s="10">
        <v>0</v>
      </c>
      <c r="W640" s="10">
        <v>0</v>
      </c>
      <c r="Y640" s="10">
        <v>0</v>
      </c>
      <c r="AA640" s="10">
        <v>0</v>
      </c>
      <c r="AC640" s="10">
        <v>0</v>
      </c>
      <c r="AE640" s="10">
        <f>SUM(E640:AC640)</f>
        <v>45615</v>
      </c>
      <c r="AF640" s="10"/>
      <c r="AG640" s="10">
        <v>-9419</v>
      </c>
      <c r="AI640" s="10">
        <v>24538</v>
      </c>
      <c r="AK640" s="10">
        <v>15119</v>
      </c>
      <c r="AM640" s="10">
        <f>+'Gen Rev'!AI618-'Gen Exp'!AE640+'Gen Exp'!AI640-AK640</f>
        <v>0</v>
      </c>
    </row>
    <row r="641" spans="1:40">
      <c r="A641" s="1" t="s">
        <v>459</v>
      </c>
      <c r="C641" s="1" t="s">
        <v>456</v>
      </c>
      <c r="E641" s="10">
        <v>1255923</v>
      </c>
      <c r="G641" s="10">
        <v>16831</v>
      </c>
      <c r="I641" s="10">
        <v>38139</v>
      </c>
      <c r="K641" s="10">
        <v>76703</v>
      </c>
      <c r="M641" s="10">
        <v>203130</v>
      </c>
      <c r="O641" s="10">
        <v>0</v>
      </c>
      <c r="Q641" s="10">
        <v>457122</v>
      </c>
      <c r="S641" s="10">
        <v>54132</v>
      </c>
      <c r="U641" s="10">
        <v>0</v>
      </c>
      <c r="W641" s="10">
        <v>0</v>
      </c>
      <c r="Y641" s="10">
        <v>187855</v>
      </c>
      <c r="AA641" s="10">
        <v>0</v>
      </c>
      <c r="AC641" s="10">
        <v>0</v>
      </c>
      <c r="AE641" s="10">
        <f t="shared" si="13"/>
        <v>2289835</v>
      </c>
      <c r="AF641" s="10"/>
      <c r="AG641" s="10">
        <v>85476</v>
      </c>
      <c r="AI641" s="10">
        <v>196555</v>
      </c>
      <c r="AK641" s="10">
        <v>282031</v>
      </c>
      <c r="AM641" s="10">
        <f>+'Gen Rev'!AI619-'Gen Exp'!AE641+'Gen Exp'!AI641-AK641</f>
        <v>0</v>
      </c>
    </row>
    <row r="642" spans="1:40">
      <c r="A642" s="1" t="s">
        <v>582</v>
      </c>
      <c r="C642" s="1" t="s">
        <v>82</v>
      </c>
      <c r="E642" s="10">
        <v>2975</v>
      </c>
      <c r="G642" s="10">
        <v>1050</v>
      </c>
      <c r="I642" s="10">
        <v>0</v>
      </c>
      <c r="K642" s="10">
        <v>0</v>
      </c>
      <c r="M642" s="10">
        <v>216</v>
      </c>
      <c r="O642" s="10">
        <v>0</v>
      </c>
      <c r="Q642" s="10">
        <v>9780</v>
      </c>
      <c r="S642" s="10">
        <v>0</v>
      </c>
      <c r="U642" s="10">
        <v>0</v>
      </c>
      <c r="W642" s="10">
        <v>0</v>
      </c>
      <c r="Y642" s="10">
        <v>0</v>
      </c>
      <c r="AA642" s="10">
        <v>0</v>
      </c>
      <c r="AC642" s="10">
        <v>0</v>
      </c>
      <c r="AE642" s="10">
        <f t="shared" si="13"/>
        <v>14021</v>
      </c>
      <c r="AF642" s="10"/>
      <c r="AG642" s="10">
        <v>-1221</v>
      </c>
      <c r="AI642" s="10">
        <v>9897</v>
      </c>
      <c r="AK642" s="10">
        <v>8676</v>
      </c>
      <c r="AM642" s="10">
        <f>+'Gen Rev'!AI620-'Gen Exp'!AE642+'Gen Exp'!AI642-AK642</f>
        <v>0</v>
      </c>
    </row>
    <row r="643" spans="1:40" s="21" customFormat="1" ht="12.75" hidden="1">
      <c r="A643" s="1" t="s">
        <v>40</v>
      </c>
      <c r="B643" s="1"/>
      <c r="C643" s="23" t="s">
        <v>761</v>
      </c>
      <c r="D643" s="23"/>
      <c r="E643" s="10">
        <v>0</v>
      </c>
      <c r="F643" s="10"/>
      <c r="G643" s="10">
        <v>0</v>
      </c>
      <c r="H643" s="10"/>
      <c r="I643" s="10">
        <v>0</v>
      </c>
      <c r="J643" s="10"/>
      <c r="K643" s="10">
        <v>0</v>
      </c>
      <c r="L643" s="10"/>
      <c r="M643" s="10">
        <v>0</v>
      </c>
      <c r="N643" s="10"/>
      <c r="O643" s="10">
        <v>0</v>
      </c>
      <c r="P643" s="10"/>
      <c r="Q643" s="10">
        <v>0</v>
      </c>
      <c r="R643" s="10"/>
      <c r="S643" s="10">
        <v>0</v>
      </c>
      <c r="T643" s="10"/>
      <c r="U643" s="10">
        <v>0</v>
      </c>
      <c r="V643" s="10"/>
      <c r="W643" s="10">
        <v>0</v>
      </c>
      <c r="X643" s="10"/>
      <c r="Y643" s="10">
        <v>0</v>
      </c>
      <c r="Z643" s="10"/>
      <c r="AA643" s="10">
        <v>0</v>
      </c>
      <c r="AB643" s="10"/>
      <c r="AC643" s="10">
        <v>0</v>
      </c>
      <c r="AD643" s="10"/>
      <c r="AE643" s="10">
        <f t="shared" si="13"/>
        <v>0</v>
      </c>
      <c r="AF643" s="10"/>
      <c r="AG643" s="46"/>
      <c r="AH643" s="46"/>
      <c r="AI643" s="46"/>
      <c r="AJ643" s="46"/>
      <c r="AK643" s="46"/>
      <c r="AL643" s="46"/>
      <c r="AM643" s="10">
        <f>+'Gen Rev'!AI621-'Gen Exp'!AE643+'Gen Exp'!AI643-AK643</f>
        <v>0</v>
      </c>
      <c r="AN643" s="46"/>
    </row>
    <row r="644" spans="1:40" ht="12.75" hidden="1">
      <c r="A644" s="1" t="s">
        <v>192</v>
      </c>
      <c r="C644" s="23" t="s">
        <v>809</v>
      </c>
      <c r="D644" s="23"/>
      <c r="E644" s="10">
        <v>0</v>
      </c>
      <c r="G644" s="10">
        <v>0</v>
      </c>
      <c r="I644" s="10">
        <v>0</v>
      </c>
      <c r="K644" s="10">
        <v>0</v>
      </c>
      <c r="M644" s="10">
        <v>0</v>
      </c>
      <c r="O644" s="10">
        <v>0</v>
      </c>
      <c r="Q644" s="10">
        <v>0</v>
      </c>
      <c r="S644" s="10">
        <v>0</v>
      </c>
      <c r="U644" s="10">
        <v>0</v>
      </c>
      <c r="W644" s="10">
        <v>0</v>
      </c>
      <c r="Y644" s="10">
        <v>0</v>
      </c>
      <c r="AA644" s="10">
        <v>0</v>
      </c>
      <c r="AC644" s="10">
        <v>0</v>
      </c>
      <c r="AE644" s="10">
        <f t="shared" si="13"/>
        <v>0</v>
      </c>
      <c r="AF644" s="10"/>
      <c r="AM644" s="10">
        <f>+'Gen Rev'!AI622-'Gen Exp'!AE644+'Gen Exp'!AI644-AK644</f>
        <v>0</v>
      </c>
    </row>
    <row r="645" spans="1:40" hidden="1">
      <c r="A645" s="1" t="s">
        <v>581</v>
      </c>
      <c r="C645" s="1" t="s">
        <v>577</v>
      </c>
      <c r="E645" s="10">
        <v>0</v>
      </c>
      <c r="G645" s="10">
        <v>0</v>
      </c>
      <c r="I645" s="10">
        <v>0</v>
      </c>
      <c r="K645" s="10">
        <v>0</v>
      </c>
      <c r="M645" s="10">
        <v>0</v>
      </c>
      <c r="O645" s="10">
        <v>0</v>
      </c>
      <c r="Q645" s="10">
        <v>0</v>
      </c>
      <c r="S645" s="10">
        <v>0</v>
      </c>
      <c r="U645" s="10">
        <v>0</v>
      </c>
      <c r="W645" s="10">
        <v>0</v>
      </c>
      <c r="Y645" s="10">
        <v>0</v>
      </c>
      <c r="AA645" s="10">
        <v>0</v>
      </c>
      <c r="AC645" s="10">
        <v>0</v>
      </c>
      <c r="AE645" s="10">
        <f t="shared" si="13"/>
        <v>0</v>
      </c>
      <c r="AF645" s="10"/>
      <c r="AM645" s="10">
        <f>+'Gen Rev'!AI623-'Gen Exp'!AE645+'Gen Exp'!AI645-AK645</f>
        <v>0</v>
      </c>
    </row>
    <row r="646" spans="1:40" s="21" customFormat="1" ht="12.75" hidden="1">
      <c r="A646" s="1" t="s">
        <v>863</v>
      </c>
      <c r="B646" s="1"/>
      <c r="C646" s="23" t="s">
        <v>820</v>
      </c>
      <c r="D646" s="23"/>
      <c r="E646" s="10">
        <v>0</v>
      </c>
      <c r="F646" s="10"/>
      <c r="G646" s="10">
        <v>0</v>
      </c>
      <c r="H646" s="10"/>
      <c r="I646" s="10">
        <v>0</v>
      </c>
      <c r="J646" s="10"/>
      <c r="K646" s="10">
        <v>0</v>
      </c>
      <c r="L646" s="10"/>
      <c r="M646" s="10">
        <v>0</v>
      </c>
      <c r="N646" s="10"/>
      <c r="O646" s="10">
        <v>0</v>
      </c>
      <c r="P646" s="10"/>
      <c r="Q646" s="10">
        <v>0</v>
      </c>
      <c r="R646" s="10"/>
      <c r="S646" s="10">
        <v>0</v>
      </c>
      <c r="T646" s="10"/>
      <c r="U646" s="10">
        <v>0</v>
      </c>
      <c r="V646" s="10"/>
      <c r="W646" s="10">
        <v>0</v>
      </c>
      <c r="X646" s="10"/>
      <c r="Y646" s="10">
        <v>0</v>
      </c>
      <c r="Z646" s="10"/>
      <c r="AA646" s="10">
        <v>0</v>
      </c>
      <c r="AB646" s="10"/>
      <c r="AC646" s="10">
        <v>0</v>
      </c>
      <c r="AD646" s="10"/>
      <c r="AE646" s="10">
        <f t="shared" si="13"/>
        <v>0</v>
      </c>
      <c r="AF646" s="10"/>
      <c r="AG646" s="10"/>
      <c r="AH646" s="10"/>
      <c r="AI646" s="10"/>
      <c r="AJ646" s="10"/>
      <c r="AK646" s="10"/>
      <c r="AL646" s="10"/>
      <c r="AM646" s="10">
        <f>+'Gen Rev'!AI624-'Gen Exp'!AE646+'Gen Exp'!AI646-AK646</f>
        <v>0</v>
      </c>
      <c r="AN646" s="10"/>
    </row>
    <row r="647" spans="1:40">
      <c r="A647" s="1" t="s">
        <v>481</v>
      </c>
      <c r="C647" s="1" t="s">
        <v>477</v>
      </c>
      <c r="E647" s="10">
        <v>325</v>
      </c>
      <c r="G647" s="10">
        <v>0</v>
      </c>
      <c r="I647" s="10">
        <v>0</v>
      </c>
      <c r="K647" s="10">
        <v>0</v>
      </c>
      <c r="M647" s="10">
        <v>0</v>
      </c>
      <c r="O647" s="10">
        <v>0</v>
      </c>
      <c r="Q647" s="10">
        <v>12940</v>
      </c>
      <c r="S647" s="10">
        <v>0</v>
      </c>
      <c r="U647" s="10">
        <v>0</v>
      </c>
      <c r="W647" s="10">
        <v>0</v>
      </c>
      <c r="Y647" s="10">
        <v>0</v>
      </c>
      <c r="AA647" s="10">
        <v>0</v>
      </c>
      <c r="AC647" s="10">
        <v>0</v>
      </c>
      <c r="AD647" s="35"/>
      <c r="AE647" s="10">
        <f t="shared" si="13"/>
        <v>13265</v>
      </c>
      <c r="AF647" s="10"/>
      <c r="AG647" s="10">
        <v>-1492</v>
      </c>
      <c r="AI647" s="10">
        <v>12656</v>
      </c>
      <c r="AK647" s="10">
        <v>11164</v>
      </c>
      <c r="AM647" s="10">
        <f>+'Gen Rev'!AI625-'Gen Exp'!AE647+'Gen Exp'!AI647-AK647</f>
        <v>0</v>
      </c>
    </row>
    <row r="648" spans="1:40" s="21" customFormat="1" ht="12.75" hidden="1">
      <c r="A648" s="1" t="s">
        <v>1</v>
      </c>
      <c r="B648" s="1"/>
      <c r="C648" s="23" t="s">
        <v>667</v>
      </c>
      <c r="D648" s="23"/>
      <c r="E648" s="10">
        <v>0</v>
      </c>
      <c r="F648" s="10"/>
      <c r="G648" s="10">
        <v>0</v>
      </c>
      <c r="H648" s="10"/>
      <c r="I648" s="10">
        <v>0</v>
      </c>
      <c r="J648" s="10"/>
      <c r="K648" s="10">
        <v>0</v>
      </c>
      <c r="L648" s="10"/>
      <c r="M648" s="10">
        <v>0</v>
      </c>
      <c r="N648" s="10"/>
      <c r="O648" s="10">
        <v>0</v>
      </c>
      <c r="P648" s="10"/>
      <c r="Q648" s="10">
        <v>0</v>
      </c>
      <c r="R648" s="10"/>
      <c r="S648" s="10">
        <v>0</v>
      </c>
      <c r="T648" s="10"/>
      <c r="U648" s="10">
        <v>0</v>
      </c>
      <c r="V648" s="10"/>
      <c r="W648" s="10">
        <v>0</v>
      </c>
      <c r="X648" s="10"/>
      <c r="Y648" s="10">
        <v>0</v>
      </c>
      <c r="Z648" s="10"/>
      <c r="AA648" s="10">
        <v>0</v>
      </c>
      <c r="AB648" s="10"/>
      <c r="AC648" s="10">
        <v>0</v>
      </c>
      <c r="AD648" s="10"/>
      <c r="AE648" s="10">
        <f t="shared" si="13"/>
        <v>0</v>
      </c>
      <c r="AF648" s="10"/>
      <c r="AG648" s="10"/>
      <c r="AH648" s="10"/>
      <c r="AI648" s="10"/>
      <c r="AJ648" s="10"/>
      <c r="AK648" s="10"/>
      <c r="AL648" s="10"/>
      <c r="AM648" s="10">
        <f>+'Gen Rev'!AI626-'Gen Exp'!AE648+'Gen Exp'!AI648-AK648</f>
        <v>0</v>
      </c>
      <c r="AN648" s="10"/>
    </row>
    <row r="649" spans="1:40" ht="12.75" hidden="1">
      <c r="A649" s="1" t="s">
        <v>197</v>
      </c>
      <c r="C649" s="23" t="s">
        <v>811</v>
      </c>
      <c r="D649" s="23"/>
      <c r="E649" s="10">
        <v>0</v>
      </c>
      <c r="G649" s="10">
        <v>0</v>
      </c>
      <c r="I649" s="10">
        <v>0</v>
      </c>
      <c r="K649" s="10">
        <v>0</v>
      </c>
      <c r="M649" s="10">
        <v>0</v>
      </c>
      <c r="O649" s="10">
        <v>0</v>
      </c>
      <c r="Q649" s="10">
        <v>0</v>
      </c>
      <c r="S649" s="10">
        <v>0</v>
      </c>
      <c r="U649" s="10">
        <v>0</v>
      </c>
      <c r="W649" s="10">
        <v>0</v>
      </c>
      <c r="Y649" s="10">
        <v>0</v>
      </c>
      <c r="AA649" s="10">
        <v>0</v>
      </c>
      <c r="AC649" s="10">
        <v>0</v>
      </c>
      <c r="AE649" s="10">
        <f t="shared" si="13"/>
        <v>0</v>
      </c>
      <c r="AF649" s="10"/>
      <c r="AM649" s="10">
        <f>+'Gen Rev'!AI627-'Gen Exp'!AE649+'Gen Exp'!AI649-AK649</f>
        <v>0</v>
      </c>
    </row>
    <row r="650" spans="1:40" ht="12.75" hidden="1">
      <c r="A650" s="1" t="s">
        <v>864</v>
      </c>
      <c r="C650" s="23" t="s">
        <v>786</v>
      </c>
      <c r="D650" s="23"/>
      <c r="E650" s="10">
        <v>0</v>
      </c>
      <c r="G650" s="10">
        <v>0</v>
      </c>
      <c r="I650" s="10">
        <v>0</v>
      </c>
      <c r="K650" s="10">
        <v>0</v>
      </c>
      <c r="M650" s="10">
        <v>0</v>
      </c>
      <c r="O650" s="10">
        <v>0</v>
      </c>
      <c r="Q650" s="10">
        <v>0</v>
      </c>
      <c r="S650" s="10">
        <v>0</v>
      </c>
      <c r="U650" s="10">
        <v>0</v>
      </c>
      <c r="W650" s="10">
        <v>0</v>
      </c>
      <c r="Y650" s="10">
        <v>0</v>
      </c>
      <c r="AA650" s="10">
        <v>0</v>
      </c>
      <c r="AC650" s="10">
        <v>0</v>
      </c>
      <c r="AE650" s="10">
        <f t="shared" si="13"/>
        <v>0</v>
      </c>
      <c r="AF650" s="10"/>
      <c r="AM650" s="10">
        <f>+'Gen Rev'!AI628-'Gen Exp'!AE650+'Gen Exp'!AI650-AK650</f>
        <v>0</v>
      </c>
    </row>
    <row r="651" spans="1:40" s="21" customFormat="1">
      <c r="A651" s="1" t="s">
        <v>386</v>
      </c>
      <c r="B651" s="1"/>
      <c r="C651" s="1" t="s">
        <v>378</v>
      </c>
      <c r="D651" s="1"/>
      <c r="E651" s="10">
        <v>2783091</v>
      </c>
      <c r="F651" s="10"/>
      <c r="G651" s="10">
        <v>0</v>
      </c>
      <c r="H651" s="10"/>
      <c r="I651" s="10">
        <v>439886</v>
      </c>
      <c r="J651" s="10"/>
      <c r="K651" s="10">
        <v>191545</v>
      </c>
      <c r="L651" s="10"/>
      <c r="M651" s="10">
        <v>504814</v>
      </c>
      <c r="N651" s="10"/>
      <c r="O651" s="10">
        <v>0</v>
      </c>
      <c r="P651" s="10"/>
      <c r="Q651" s="10">
        <v>1463189</v>
      </c>
      <c r="R651" s="10"/>
      <c r="S651" s="10">
        <v>0</v>
      </c>
      <c r="T651" s="10"/>
      <c r="U651" s="10">
        <v>0</v>
      </c>
      <c r="V651" s="10"/>
      <c r="W651" s="10">
        <v>0</v>
      </c>
      <c r="X651" s="10"/>
      <c r="Y651" s="10">
        <v>343396</v>
      </c>
      <c r="Z651" s="10"/>
      <c r="AA651" s="10">
        <v>0</v>
      </c>
      <c r="AB651" s="10"/>
      <c r="AC651" s="10">
        <v>0</v>
      </c>
      <c r="AD651" s="10"/>
      <c r="AE651" s="10">
        <f t="shared" si="13"/>
        <v>5725921</v>
      </c>
      <c r="AF651" s="10"/>
      <c r="AG651" s="10">
        <v>-261691</v>
      </c>
      <c r="AH651" s="10"/>
      <c r="AI651" s="10">
        <v>1482610</v>
      </c>
      <c r="AJ651" s="10"/>
      <c r="AK651" s="10">
        <f>1215675+5244</f>
        <v>1220919</v>
      </c>
      <c r="AL651" s="10"/>
      <c r="AM651" s="10">
        <f>+'Gen Rev'!AI629-'Gen Exp'!AE651+'Gen Exp'!AI651-AK651</f>
        <v>0</v>
      </c>
      <c r="AN651" s="10"/>
    </row>
    <row r="652" spans="1:40" ht="12.6" customHeight="1">
      <c r="A652" s="1" t="s">
        <v>327</v>
      </c>
      <c r="C652" s="1" t="s">
        <v>316</v>
      </c>
      <c r="E652" s="10">
        <v>1320887</v>
      </c>
      <c r="G652" s="10">
        <v>3699</v>
      </c>
      <c r="I652" s="10">
        <v>0</v>
      </c>
      <c r="K652" s="10">
        <v>7150</v>
      </c>
      <c r="M652" s="10">
        <v>58854</v>
      </c>
      <c r="O652" s="10">
        <v>78043</v>
      </c>
      <c r="Q652" s="10">
        <v>805947</v>
      </c>
      <c r="S652" s="10">
        <v>2804</v>
      </c>
      <c r="U652" s="10">
        <v>11115</v>
      </c>
      <c r="W652" s="10">
        <v>0</v>
      </c>
      <c r="Y652" s="10">
        <v>12500</v>
      </c>
      <c r="AA652" s="10">
        <v>5000</v>
      </c>
      <c r="AC652" s="10">
        <v>50</v>
      </c>
      <c r="AE652" s="10">
        <f t="shared" si="13"/>
        <v>2306049</v>
      </c>
      <c r="AF652" s="10"/>
      <c r="AG652" s="46">
        <v>-49023</v>
      </c>
      <c r="AH652" s="46"/>
      <c r="AI652" s="46">
        <v>307975</v>
      </c>
      <c r="AJ652" s="46"/>
      <c r="AK652" s="46">
        <v>258953</v>
      </c>
      <c r="AL652" s="46"/>
      <c r="AM652" s="10">
        <f>+'Gen Rev'!AI630-'Gen Exp'!AE652+'Gen Exp'!AI652-AK652</f>
        <v>0</v>
      </c>
      <c r="AN652" s="46"/>
    </row>
    <row r="653" spans="1:40" ht="12.75" hidden="1">
      <c r="A653" s="1" t="s">
        <v>166</v>
      </c>
      <c r="C653" s="23" t="s">
        <v>801</v>
      </c>
      <c r="D653" s="23"/>
      <c r="E653" s="10">
        <v>0</v>
      </c>
      <c r="G653" s="10">
        <v>0</v>
      </c>
      <c r="I653" s="10">
        <v>0</v>
      </c>
      <c r="K653" s="10">
        <v>0</v>
      </c>
      <c r="M653" s="10">
        <v>0</v>
      </c>
      <c r="O653" s="10">
        <v>0</v>
      </c>
      <c r="Q653" s="10">
        <v>0</v>
      </c>
      <c r="S653" s="10">
        <v>0</v>
      </c>
      <c r="U653" s="10">
        <v>0</v>
      </c>
      <c r="W653" s="10">
        <v>0</v>
      </c>
      <c r="Y653" s="10">
        <v>0</v>
      </c>
      <c r="AA653" s="10">
        <v>0</v>
      </c>
      <c r="AC653" s="10">
        <v>0</v>
      </c>
      <c r="AE653" s="10">
        <f t="shared" si="13"/>
        <v>0</v>
      </c>
      <c r="AF653" s="10"/>
      <c r="AM653" s="10">
        <f>+'Gen Rev'!AI631-'Gen Exp'!AE653+'Gen Exp'!AI653-AK653</f>
        <v>0</v>
      </c>
    </row>
    <row r="654" spans="1:40" s="21" customFormat="1" ht="12.6" hidden="1" customHeight="1">
      <c r="A654" s="1" t="s">
        <v>290</v>
      </c>
      <c r="B654" s="1"/>
      <c r="C654" s="1" t="s">
        <v>287</v>
      </c>
      <c r="D654" s="1"/>
      <c r="E654" s="10">
        <v>0</v>
      </c>
      <c r="F654" s="10"/>
      <c r="G654" s="10">
        <v>0</v>
      </c>
      <c r="H654" s="10"/>
      <c r="I654" s="10">
        <v>0</v>
      </c>
      <c r="J654" s="10"/>
      <c r="K654" s="10">
        <v>0</v>
      </c>
      <c r="L654" s="10"/>
      <c r="M654" s="10">
        <v>0</v>
      </c>
      <c r="N654" s="10"/>
      <c r="O654" s="10">
        <v>0</v>
      </c>
      <c r="P654" s="10"/>
      <c r="Q654" s="10">
        <v>0</v>
      </c>
      <c r="R654" s="10"/>
      <c r="S654" s="10">
        <v>0</v>
      </c>
      <c r="T654" s="10"/>
      <c r="U654" s="10">
        <v>0</v>
      </c>
      <c r="V654" s="10"/>
      <c r="W654" s="10">
        <v>0</v>
      </c>
      <c r="X654" s="10"/>
      <c r="Y654" s="10">
        <v>0</v>
      </c>
      <c r="Z654" s="10"/>
      <c r="AA654" s="10">
        <v>0</v>
      </c>
      <c r="AB654" s="10"/>
      <c r="AC654" s="10">
        <v>0</v>
      </c>
      <c r="AD654" s="10"/>
      <c r="AE654" s="10">
        <f t="shared" si="13"/>
        <v>0</v>
      </c>
      <c r="AF654" s="10"/>
      <c r="AG654" s="46"/>
      <c r="AH654" s="46"/>
      <c r="AI654" s="46"/>
      <c r="AJ654" s="46"/>
      <c r="AK654" s="46"/>
      <c r="AL654" s="46"/>
      <c r="AM654" s="10">
        <f>+'Gen Rev'!AI632-'Gen Exp'!AE654+'Gen Exp'!AI654-AK654</f>
        <v>0</v>
      </c>
      <c r="AN654" s="46"/>
    </row>
    <row r="655" spans="1:40">
      <c r="A655" s="1" t="s">
        <v>532</v>
      </c>
      <c r="C655" s="1" t="s">
        <v>530</v>
      </c>
      <c r="E655" s="10">
        <v>348292</v>
      </c>
      <c r="G655" s="10">
        <v>1271</v>
      </c>
      <c r="I655" s="10">
        <v>7686</v>
      </c>
      <c r="K655" s="10">
        <v>13830</v>
      </c>
      <c r="M655" s="10">
        <v>0</v>
      </c>
      <c r="O655" s="10">
        <v>81362</v>
      </c>
      <c r="Q655" s="10">
        <v>105457</v>
      </c>
      <c r="S655" s="10">
        <v>8233</v>
      </c>
      <c r="U655" s="10">
        <v>0</v>
      </c>
      <c r="W655" s="10">
        <v>0</v>
      </c>
      <c r="Y655" s="10">
        <v>0</v>
      </c>
      <c r="AA655" s="10">
        <v>0</v>
      </c>
      <c r="AC655" s="10">
        <v>0</v>
      </c>
      <c r="AE655" s="10">
        <f t="shared" si="13"/>
        <v>566131</v>
      </c>
      <c r="AF655" s="10"/>
      <c r="AG655" s="10">
        <v>136960</v>
      </c>
      <c r="AI655" s="10">
        <v>247523</v>
      </c>
      <c r="AK655" s="10">
        <v>384483</v>
      </c>
      <c r="AM655" s="10">
        <f>+'Gen Rev'!AI633-'Gen Exp'!AE655+'Gen Exp'!AI655-AK655</f>
        <v>0</v>
      </c>
    </row>
    <row r="656" spans="1:40" ht="12.75" hidden="1">
      <c r="A656" s="1" t="s">
        <v>240</v>
      </c>
      <c r="C656" s="23" t="s">
        <v>825</v>
      </c>
      <c r="D656" s="23"/>
      <c r="E656" s="10">
        <v>0</v>
      </c>
      <c r="G656" s="10">
        <v>0</v>
      </c>
      <c r="I656" s="10">
        <v>0</v>
      </c>
      <c r="K656" s="10">
        <v>0</v>
      </c>
      <c r="M656" s="10">
        <v>0</v>
      </c>
      <c r="O656" s="10">
        <v>0</v>
      </c>
      <c r="Q656" s="10">
        <v>0</v>
      </c>
      <c r="S656" s="10">
        <v>0</v>
      </c>
      <c r="U656" s="10">
        <v>0</v>
      </c>
      <c r="W656" s="10">
        <v>0</v>
      </c>
      <c r="Y656" s="10">
        <v>0</v>
      </c>
      <c r="AA656" s="10">
        <v>0</v>
      </c>
      <c r="AC656" s="10">
        <v>0</v>
      </c>
      <c r="AE656" s="10">
        <f t="shared" si="13"/>
        <v>0</v>
      </c>
      <c r="AF656" s="10"/>
      <c r="AM656" s="10">
        <f>+'Gen Rev'!AI634-'Gen Exp'!AE656+'Gen Exp'!AI656-AK656</f>
        <v>0</v>
      </c>
    </row>
    <row r="657" spans="1:40" s="21" customFormat="1" hidden="1">
      <c r="A657" s="1" t="s">
        <v>231</v>
      </c>
      <c r="B657" s="1"/>
      <c r="C657" s="1" t="s">
        <v>561</v>
      </c>
      <c r="D657" s="1"/>
      <c r="E657" s="10">
        <v>0</v>
      </c>
      <c r="F657" s="10"/>
      <c r="G657" s="10">
        <v>0</v>
      </c>
      <c r="H657" s="10"/>
      <c r="I657" s="10">
        <v>0</v>
      </c>
      <c r="J657" s="10"/>
      <c r="K657" s="10">
        <v>0</v>
      </c>
      <c r="L657" s="10"/>
      <c r="M657" s="10">
        <v>0</v>
      </c>
      <c r="N657" s="10"/>
      <c r="O657" s="10">
        <v>0</v>
      </c>
      <c r="P657" s="10"/>
      <c r="Q657" s="10">
        <v>0</v>
      </c>
      <c r="R657" s="10"/>
      <c r="S657" s="10">
        <v>0</v>
      </c>
      <c r="T657" s="10"/>
      <c r="U657" s="10">
        <v>0</v>
      </c>
      <c r="V657" s="10"/>
      <c r="W657" s="10">
        <v>0</v>
      </c>
      <c r="X657" s="10"/>
      <c r="Y657" s="10">
        <v>0</v>
      </c>
      <c r="Z657" s="10"/>
      <c r="AA657" s="10">
        <v>0</v>
      </c>
      <c r="AB657" s="10"/>
      <c r="AC657" s="10">
        <v>0</v>
      </c>
      <c r="AD657" s="10"/>
      <c r="AE657" s="10">
        <f t="shared" si="13"/>
        <v>0</v>
      </c>
      <c r="AF657" s="10"/>
      <c r="AG657" s="10"/>
      <c r="AH657" s="10"/>
      <c r="AI657" s="10"/>
      <c r="AJ657" s="10"/>
      <c r="AK657" s="10"/>
      <c r="AL657" s="10"/>
      <c r="AM657" s="10">
        <f>+'Gen Rev'!AI635-'Gen Exp'!AE657+'Gen Exp'!AI657-AK657</f>
        <v>0</v>
      </c>
      <c r="AN657" s="10"/>
    </row>
    <row r="658" spans="1:40">
      <c r="A658" s="1" t="s">
        <v>374</v>
      </c>
      <c r="C658" s="1" t="s">
        <v>371</v>
      </c>
      <c r="E658" s="10">
        <v>1088953</v>
      </c>
      <c r="G658" s="10">
        <v>9514</v>
      </c>
      <c r="I658" s="10">
        <v>0</v>
      </c>
      <c r="K658" s="10">
        <v>113119</v>
      </c>
      <c r="M658" s="10">
        <v>0</v>
      </c>
      <c r="O658" s="10">
        <v>0</v>
      </c>
      <c r="Q658" s="10">
        <v>454168</v>
      </c>
      <c r="S658" s="10">
        <v>42360</v>
      </c>
      <c r="U658" s="10">
        <v>0</v>
      </c>
      <c r="W658" s="10">
        <v>0</v>
      </c>
      <c r="Y658" s="10">
        <v>1520617</v>
      </c>
      <c r="AA658" s="10">
        <v>0</v>
      </c>
      <c r="AC658" s="10">
        <v>0</v>
      </c>
      <c r="AE658" s="10">
        <f t="shared" si="13"/>
        <v>3228731</v>
      </c>
      <c r="AF658" s="10"/>
      <c r="AG658" s="10">
        <v>145912</v>
      </c>
      <c r="AI658" s="10">
        <v>1533427</v>
      </c>
      <c r="AK658" s="10">
        <v>1679339</v>
      </c>
      <c r="AM658" s="10">
        <f>+'Gen Rev'!AI637-'Gen Exp'!AE658+'Gen Exp'!AI658-AK658</f>
        <v>0</v>
      </c>
    </row>
    <row r="659" spans="1:40" ht="12.6" customHeight="1">
      <c r="A659" s="1" t="s">
        <v>340</v>
      </c>
      <c r="C659" s="1" t="s">
        <v>329</v>
      </c>
      <c r="E659" s="10">
        <v>3758</v>
      </c>
      <c r="G659" s="10">
        <v>353</v>
      </c>
      <c r="I659" s="10">
        <v>0</v>
      </c>
      <c r="K659" s="10">
        <v>0</v>
      </c>
      <c r="M659" s="10">
        <v>4799</v>
      </c>
      <c r="O659" s="10">
        <v>0</v>
      </c>
      <c r="Q659" s="10">
        <v>20625</v>
      </c>
      <c r="S659" s="10">
        <v>0</v>
      </c>
      <c r="U659" s="10">
        <v>0</v>
      </c>
      <c r="W659" s="10">
        <v>0</v>
      </c>
      <c r="Y659" s="10">
        <v>0</v>
      </c>
      <c r="AA659" s="10">
        <v>0</v>
      </c>
      <c r="AC659" s="10">
        <v>0</v>
      </c>
      <c r="AE659" s="10">
        <f t="shared" si="13"/>
        <v>29535</v>
      </c>
      <c r="AF659" s="10"/>
      <c r="AG659" s="46">
        <v>1058</v>
      </c>
      <c r="AH659" s="46"/>
      <c r="AI659" s="46">
        <v>69909</v>
      </c>
      <c r="AJ659" s="46"/>
      <c r="AK659" s="46">
        <v>70967</v>
      </c>
      <c r="AL659" s="46"/>
      <c r="AM659" s="10">
        <f>+'Gen Rev'!AI638-'Gen Exp'!AE659+'Gen Exp'!AI659-AK659</f>
        <v>0</v>
      </c>
      <c r="AN659" s="46"/>
    </row>
    <row r="660" spans="1:40">
      <c r="A660" s="1" t="s">
        <v>425</v>
      </c>
      <c r="C660" s="1" t="s">
        <v>420</v>
      </c>
      <c r="E660" s="10">
        <v>167235</v>
      </c>
      <c r="G660" s="10">
        <v>0</v>
      </c>
      <c r="I660" s="10">
        <v>0</v>
      </c>
      <c r="K660" s="10">
        <v>684</v>
      </c>
      <c r="M660" s="10">
        <v>0</v>
      </c>
      <c r="O660" s="10">
        <v>1637</v>
      </c>
      <c r="Q660" s="10">
        <v>185806</v>
      </c>
      <c r="S660" s="10">
        <v>0</v>
      </c>
      <c r="U660" s="10">
        <v>0</v>
      </c>
      <c r="W660" s="10">
        <v>0</v>
      </c>
      <c r="Y660" s="10">
        <v>0</v>
      </c>
      <c r="AA660" s="10">
        <v>0</v>
      </c>
      <c r="AC660" s="10">
        <v>0</v>
      </c>
      <c r="AE660" s="10">
        <f t="shared" si="13"/>
        <v>355362</v>
      </c>
      <c r="AF660" s="10"/>
      <c r="AG660" s="10">
        <v>-21744</v>
      </c>
      <c r="AI660" s="10">
        <v>206325</v>
      </c>
      <c r="AK660" s="10">
        <v>184581</v>
      </c>
      <c r="AM660" s="10">
        <f>+'Gen Rev'!AI639-'Gen Exp'!AE660+'Gen Exp'!AI660-AK660</f>
        <v>0</v>
      </c>
    </row>
    <row r="661" spans="1:40">
      <c r="A661" s="1" t="s">
        <v>583</v>
      </c>
      <c r="C661" s="1" t="s">
        <v>82</v>
      </c>
      <c r="E661" s="10">
        <v>0</v>
      </c>
      <c r="G661" s="10">
        <v>0</v>
      </c>
      <c r="I661" s="10">
        <v>0</v>
      </c>
      <c r="K661" s="10">
        <v>0</v>
      </c>
      <c r="M661" s="10">
        <v>2082</v>
      </c>
      <c r="O661" s="10">
        <v>0</v>
      </c>
      <c r="Q661" s="10">
        <v>19218</v>
      </c>
      <c r="S661" s="10">
        <v>0</v>
      </c>
      <c r="U661" s="10">
        <v>0</v>
      </c>
      <c r="W661" s="10">
        <v>0</v>
      </c>
      <c r="Y661" s="10">
        <v>0</v>
      </c>
      <c r="AA661" s="10">
        <v>0</v>
      </c>
      <c r="AC661" s="10">
        <v>0</v>
      </c>
      <c r="AE661" s="10">
        <f t="shared" si="13"/>
        <v>21300</v>
      </c>
      <c r="AF661" s="10"/>
      <c r="AG661" s="10">
        <v>-2335</v>
      </c>
      <c r="AI661" s="10">
        <v>8665</v>
      </c>
      <c r="AK661" s="10">
        <v>6330</v>
      </c>
      <c r="AM661" s="10">
        <f>+'Gen Rev'!AI640-'Gen Exp'!AE661+'Gen Exp'!AI661-AK661</f>
        <v>0</v>
      </c>
    </row>
    <row r="662" spans="1:40">
      <c r="A662" s="1" t="s">
        <v>450</v>
      </c>
      <c r="C662" s="1" t="s">
        <v>447</v>
      </c>
      <c r="E662" s="10">
        <v>0</v>
      </c>
      <c r="G662" s="10">
        <v>0</v>
      </c>
      <c r="I662" s="10">
        <v>1448</v>
      </c>
      <c r="K662" s="10">
        <v>1155</v>
      </c>
      <c r="M662" s="10">
        <v>2400</v>
      </c>
      <c r="O662" s="10">
        <v>0</v>
      </c>
      <c r="Q662" s="10">
        <v>19452</v>
      </c>
      <c r="S662" s="10">
        <v>0</v>
      </c>
      <c r="U662" s="10">
        <v>0</v>
      </c>
      <c r="W662" s="10">
        <v>0</v>
      </c>
      <c r="Y662" s="10">
        <v>0</v>
      </c>
      <c r="AA662" s="10">
        <v>0</v>
      </c>
      <c r="AC662" s="10">
        <v>0</v>
      </c>
      <c r="AE662" s="10">
        <f>SUM(E662:AC662)</f>
        <v>24455</v>
      </c>
      <c r="AF662" s="10"/>
      <c r="AG662" s="10">
        <v>-2986</v>
      </c>
      <c r="AI662" s="10">
        <v>63937</v>
      </c>
      <c r="AK662" s="10">
        <v>60951</v>
      </c>
      <c r="AM662" s="10">
        <f>+'Gen Rev'!AI641-'Gen Exp'!AE662+'Gen Exp'!AI662-AK662</f>
        <v>0</v>
      </c>
    </row>
    <row r="663" spans="1:40" ht="12.75" hidden="1">
      <c r="A663" s="1" t="s">
        <v>235</v>
      </c>
      <c r="C663" s="23" t="s">
        <v>823</v>
      </c>
      <c r="D663" s="23"/>
      <c r="E663" s="10">
        <v>0</v>
      </c>
      <c r="G663" s="10">
        <v>0</v>
      </c>
      <c r="I663" s="10">
        <v>0</v>
      </c>
      <c r="K663" s="10">
        <v>0</v>
      </c>
      <c r="M663" s="10">
        <v>0</v>
      </c>
      <c r="O663" s="10">
        <v>0</v>
      </c>
      <c r="Q663" s="10">
        <v>0</v>
      </c>
      <c r="S663" s="10">
        <v>0</v>
      </c>
      <c r="U663" s="10">
        <v>0</v>
      </c>
      <c r="W663" s="10">
        <v>0</v>
      </c>
      <c r="Y663" s="10">
        <v>0</v>
      </c>
      <c r="AA663" s="10">
        <v>0</v>
      </c>
      <c r="AC663" s="10">
        <v>0</v>
      </c>
      <c r="AE663" s="10">
        <f>SUM(E663:AC663)</f>
        <v>0</v>
      </c>
      <c r="AF663" s="10"/>
      <c r="AM663" s="10">
        <f>+'Gen Rev'!AI642-'Gen Exp'!AE663+'Gen Exp'!AI663-AK663</f>
        <v>0</v>
      </c>
    </row>
    <row r="665" spans="1:40">
      <c r="A665" s="21"/>
      <c r="B665" s="21"/>
      <c r="C665" s="21"/>
      <c r="D665" s="21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</row>
    <row r="666" spans="1:40">
      <c r="A666" s="21"/>
      <c r="B666" s="21"/>
      <c r="C666" s="21"/>
      <c r="D666" s="21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</row>
    <row r="667" spans="1:40">
      <c r="A667" s="21"/>
      <c r="B667" s="21"/>
      <c r="C667" s="21"/>
      <c r="D667" s="21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</row>
    <row r="668" spans="1:40">
      <c r="A668" s="21"/>
      <c r="B668" s="21"/>
      <c r="C668" s="21"/>
      <c r="D668" s="21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</row>
    <row r="669" spans="1:40">
      <c r="A669" s="21"/>
      <c r="B669" s="21"/>
      <c r="C669" s="21"/>
      <c r="D669" s="21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</row>
    <row r="670" spans="1:40">
      <c r="A670" s="21"/>
      <c r="B670" s="21"/>
      <c r="C670" s="21"/>
      <c r="D670" s="21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</row>
    <row r="671" spans="1:40">
      <c r="A671" s="21"/>
      <c r="B671" s="21"/>
      <c r="C671" s="21"/>
      <c r="D671" s="21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</row>
    <row r="672" spans="1:40">
      <c r="A672" s="21"/>
      <c r="B672" s="21"/>
      <c r="C672" s="21"/>
      <c r="D672" s="21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</row>
    <row r="673" spans="1:30">
      <c r="A673" s="21"/>
      <c r="B673" s="21"/>
      <c r="C673" s="21"/>
      <c r="D673" s="21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</row>
    <row r="674" spans="1:30">
      <c r="A674" s="21"/>
      <c r="B674" s="21"/>
      <c r="C674" s="21"/>
      <c r="D674" s="21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</row>
    <row r="675" spans="1:30">
      <c r="A675" s="21"/>
      <c r="B675" s="21"/>
      <c r="C675" s="21"/>
      <c r="D675" s="21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</row>
    <row r="676" spans="1:30">
      <c r="A676" s="21"/>
      <c r="B676" s="21"/>
      <c r="C676" s="21"/>
      <c r="D676" s="21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</row>
    <row r="677" spans="1:30">
      <c r="A677" s="21"/>
      <c r="B677" s="21"/>
      <c r="C677" s="21"/>
      <c r="D677" s="21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</row>
    <row r="678" spans="1:30">
      <c r="A678" s="21"/>
      <c r="B678" s="21"/>
      <c r="C678" s="21"/>
      <c r="D678" s="21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</row>
    <row r="679" spans="1:30">
      <c r="A679" s="21"/>
      <c r="B679" s="21"/>
      <c r="C679" s="21"/>
      <c r="D679" s="21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</row>
    <row r="680" spans="1:30">
      <c r="A680" s="21"/>
      <c r="B680" s="21"/>
      <c r="C680" s="21"/>
      <c r="D680" s="21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</row>
    <row r="681" spans="1:30">
      <c r="A681" s="21"/>
      <c r="B681" s="21"/>
      <c r="C681" s="21"/>
      <c r="D681" s="21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</row>
    <row r="682" spans="1:30">
      <c r="A682" s="21"/>
      <c r="B682" s="21"/>
      <c r="C682" s="21"/>
      <c r="D682" s="21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</row>
    <row r="683" spans="1:30">
      <c r="A683" s="21"/>
      <c r="B683" s="21"/>
      <c r="C683" s="21"/>
      <c r="D683" s="21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</row>
    <row r="684" spans="1:30">
      <c r="A684" s="21"/>
      <c r="B684" s="21"/>
      <c r="C684" s="21"/>
      <c r="D684" s="21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</row>
    <row r="685" spans="1:30">
      <c r="A685" s="21"/>
      <c r="B685" s="21"/>
      <c r="C685" s="21"/>
      <c r="D685" s="21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</row>
    <row r="686" spans="1:30">
      <c r="A686" s="21"/>
      <c r="B686" s="21"/>
      <c r="C686" s="21"/>
      <c r="D686" s="21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</row>
    <row r="687" spans="1:30">
      <c r="A687" s="21"/>
      <c r="B687" s="21"/>
      <c r="C687" s="21"/>
      <c r="D687" s="21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</row>
    <row r="688" spans="1:30">
      <c r="A688" s="21"/>
      <c r="B688" s="21"/>
      <c r="C688" s="21"/>
      <c r="D688" s="21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</row>
    <row r="689" spans="1:30">
      <c r="A689" s="21"/>
      <c r="B689" s="21"/>
      <c r="C689" s="21"/>
      <c r="D689" s="21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</row>
    <row r="690" spans="1:30">
      <c r="A690" s="21"/>
      <c r="B690" s="21"/>
      <c r="C690" s="21"/>
      <c r="D690" s="21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</row>
    <row r="691" spans="1:30">
      <c r="A691" s="21"/>
      <c r="B691" s="21"/>
      <c r="C691" s="21"/>
      <c r="D691" s="21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</row>
    <row r="692" spans="1:30">
      <c r="A692" s="21"/>
      <c r="B692" s="21"/>
      <c r="C692" s="21"/>
      <c r="D692" s="21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</row>
    <row r="693" spans="1:30">
      <c r="A693" s="21"/>
      <c r="B693" s="21"/>
      <c r="C693" s="21"/>
      <c r="D693" s="21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</row>
    <row r="694" spans="1:30">
      <c r="A694" s="21"/>
      <c r="B694" s="21"/>
      <c r="C694" s="21"/>
      <c r="D694" s="21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</row>
    <row r="695" spans="1:30">
      <c r="A695" s="21"/>
      <c r="B695" s="21"/>
      <c r="C695" s="21"/>
      <c r="D695" s="21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</row>
    <row r="696" spans="1:30">
      <c r="A696" s="21"/>
      <c r="B696" s="21"/>
      <c r="C696" s="21"/>
      <c r="D696" s="21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</row>
    <row r="697" spans="1:30">
      <c r="A697" s="21"/>
      <c r="B697" s="21"/>
      <c r="C697" s="21"/>
      <c r="D697" s="21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</row>
    <row r="698" spans="1:30">
      <c r="A698" s="21"/>
      <c r="B698" s="21"/>
      <c r="C698" s="21"/>
      <c r="D698" s="21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</row>
    <row r="699" spans="1:30">
      <c r="A699" s="21"/>
      <c r="B699" s="21"/>
      <c r="C699" s="21"/>
      <c r="D699" s="21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</row>
    <row r="700" spans="1:30">
      <c r="A700" s="21"/>
      <c r="B700" s="21"/>
      <c r="C700" s="21"/>
      <c r="D700" s="21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</row>
    <row r="701" spans="1:30">
      <c r="A701" s="21"/>
      <c r="B701" s="21"/>
      <c r="C701" s="21"/>
      <c r="D701" s="21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</row>
    <row r="702" spans="1:30">
      <c r="A702" s="21"/>
      <c r="B702" s="21"/>
      <c r="C702" s="21"/>
      <c r="D702" s="21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</row>
    <row r="703" spans="1:30">
      <c r="A703" s="21"/>
      <c r="B703" s="21"/>
      <c r="C703" s="21"/>
      <c r="D703" s="21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</row>
    <row r="704" spans="1:30">
      <c r="A704" s="21"/>
      <c r="B704" s="21"/>
      <c r="C704" s="21"/>
      <c r="D704" s="21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</row>
    <row r="705" spans="1:30">
      <c r="A705" s="21"/>
      <c r="B705" s="21"/>
      <c r="C705" s="21"/>
      <c r="D705" s="21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</row>
    <row r="706" spans="1:30">
      <c r="A706" s="21"/>
      <c r="B706" s="21"/>
      <c r="C706" s="21"/>
      <c r="D706" s="21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</row>
    <row r="707" spans="1:30">
      <c r="A707" s="21"/>
      <c r="B707" s="21"/>
      <c r="C707" s="21"/>
      <c r="D707" s="21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</row>
    <row r="708" spans="1:30">
      <c r="A708" s="21"/>
      <c r="B708" s="21"/>
      <c r="C708" s="21"/>
      <c r="D708" s="21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</row>
    <row r="709" spans="1:30">
      <c r="A709" s="21"/>
      <c r="B709" s="21"/>
      <c r="C709" s="21"/>
      <c r="D709" s="21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</row>
    <row r="710" spans="1:30">
      <c r="A710" s="21"/>
      <c r="B710" s="21"/>
      <c r="C710" s="21"/>
      <c r="D710" s="21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</row>
    <row r="711" spans="1:30">
      <c r="A711" s="21"/>
      <c r="B711" s="21"/>
      <c r="C711" s="21"/>
      <c r="D711" s="21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</row>
    <row r="712" spans="1:30">
      <c r="A712" s="21"/>
      <c r="B712" s="21"/>
      <c r="C712" s="21"/>
      <c r="D712" s="21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</row>
    <row r="713" spans="1:30">
      <c r="A713" s="21"/>
      <c r="B713" s="21"/>
      <c r="C713" s="21"/>
      <c r="D713" s="21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</row>
    <row r="714" spans="1:30">
      <c r="A714" s="21"/>
      <c r="B714" s="21"/>
      <c r="C714" s="21"/>
      <c r="D714" s="21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</row>
    <row r="715" spans="1:30">
      <c r="A715" s="21"/>
      <c r="B715" s="21"/>
      <c r="C715" s="21"/>
      <c r="D715" s="21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</row>
    <row r="716" spans="1:30">
      <c r="A716" s="21"/>
      <c r="B716" s="21"/>
      <c r="C716" s="21"/>
      <c r="D716" s="21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</row>
    <row r="717" spans="1:30">
      <c r="A717" s="21"/>
      <c r="B717" s="21"/>
      <c r="C717" s="21"/>
      <c r="D717" s="21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</row>
    <row r="718" spans="1:30">
      <c r="A718" s="21"/>
      <c r="B718" s="21"/>
      <c r="C718" s="21"/>
      <c r="D718" s="21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</row>
    <row r="719" spans="1:30">
      <c r="A719" s="21"/>
      <c r="B719" s="21"/>
      <c r="C719" s="21"/>
      <c r="D719" s="21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</row>
    <row r="720" spans="1:30">
      <c r="A720" s="21"/>
      <c r="B720" s="21"/>
      <c r="C720" s="21"/>
      <c r="D720" s="21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</row>
    <row r="721" spans="1:30">
      <c r="A721" s="21"/>
      <c r="B721" s="21"/>
      <c r="C721" s="21"/>
      <c r="D721" s="21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</row>
    <row r="722" spans="1:30">
      <c r="A722" s="21"/>
      <c r="B722" s="21"/>
      <c r="C722" s="21"/>
      <c r="D722" s="21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</row>
    <row r="723" spans="1:30">
      <c r="A723" s="21"/>
      <c r="B723" s="21"/>
      <c r="C723" s="21"/>
      <c r="D723" s="21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</row>
    <row r="724" spans="1:30">
      <c r="A724" s="21"/>
      <c r="B724" s="21"/>
      <c r="C724" s="21"/>
      <c r="D724" s="21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</row>
    <row r="725" spans="1:30">
      <c r="A725" s="21"/>
      <c r="B725" s="21"/>
      <c r="C725" s="21"/>
      <c r="D725" s="21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</row>
    <row r="726" spans="1:30">
      <c r="A726" s="21"/>
      <c r="B726" s="21"/>
      <c r="C726" s="21"/>
      <c r="D726" s="21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</row>
    <row r="727" spans="1:30">
      <c r="A727" s="21"/>
      <c r="B727" s="21"/>
      <c r="C727" s="21"/>
      <c r="D727" s="21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</row>
    <row r="728" spans="1:30">
      <c r="A728" s="21"/>
      <c r="B728" s="21"/>
      <c r="C728" s="21"/>
      <c r="D728" s="21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</row>
    <row r="729" spans="1:30">
      <c r="A729" s="21"/>
      <c r="B729" s="21"/>
      <c r="C729" s="21"/>
      <c r="D729" s="21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</row>
    <row r="730" spans="1:30">
      <c r="A730" s="21"/>
      <c r="B730" s="21"/>
      <c r="C730" s="21"/>
      <c r="D730" s="21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</row>
    <row r="731" spans="1:30">
      <c r="A731" s="21"/>
      <c r="B731" s="21"/>
      <c r="C731" s="21"/>
      <c r="D731" s="21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</row>
    <row r="732" spans="1:30">
      <c r="A732" s="21"/>
      <c r="B732" s="21"/>
      <c r="C732" s="21"/>
      <c r="D732" s="21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</row>
    <row r="733" spans="1:30">
      <c r="A733" s="21"/>
      <c r="B733" s="21"/>
      <c r="C733" s="21"/>
      <c r="D733" s="21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</row>
    <row r="734" spans="1:30">
      <c r="A734" s="21"/>
      <c r="B734" s="21"/>
      <c r="C734" s="21"/>
      <c r="D734" s="21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</row>
    <row r="735" spans="1:30">
      <c r="A735" s="21"/>
      <c r="B735" s="21"/>
      <c r="C735" s="21"/>
      <c r="D735" s="21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</row>
    <row r="736" spans="1:30">
      <c r="A736" s="21"/>
      <c r="B736" s="21"/>
      <c r="C736" s="21"/>
      <c r="D736" s="21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</row>
    <row r="737" spans="1:30">
      <c r="A737" s="21"/>
      <c r="B737" s="21"/>
      <c r="C737" s="21"/>
      <c r="D737" s="21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</row>
    <row r="738" spans="1:30">
      <c r="A738" s="21"/>
      <c r="B738" s="21"/>
      <c r="C738" s="21"/>
      <c r="D738" s="21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</row>
    <row r="739" spans="1:30">
      <c r="A739" s="21"/>
      <c r="B739" s="21"/>
      <c r="C739" s="21"/>
      <c r="D739" s="21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</row>
    <row r="740" spans="1:30">
      <c r="A740" s="21"/>
      <c r="B740" s="21"/>
      <c r="C740" s="21"/>
      <c r="D740" s="21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</row>
    <row r="741" spans="1:30">
      <c r="A741" s="21"/>
      <c r="B741" s="21"/>
      <c r="C741" s="21"/>
      <c r="D741" s="21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</row>
    <row r="742" spans="1:30">
      <c r="A742" s="21"/>
      <c r="B742" s="21"/>
      <c r="C742" s="21"/>
      <c r="D742" s="21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</row>
    <row r="743" spans="1:30">
      <c r="A743" s="21"/>
      <c r="B743" s="21"/>
      <c r="C743" s="21"/>
      <c r="D743" s="21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</row>
    <row r="744" spans="1:30">
      <c r="A744" s="21"/>
      <c r="B744" s="21"/>
      <c r="C744" s="21"/>
      <c r="D744" s="21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</row>
    <row r="745" spans="1:30">
      <c r="A745" s="21"/>
      <c r="B745" s="21"/>
      <c r="C745" s="21"/>
      <c r="D745" s="21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</row>
    <row r="746" spans="1:30">
      <c r="A746" s="21"/>
      <c r="B746" s="21"/>
      <c r="C746" s="21"/>
      <c r="D746" s="21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</row>
    <row r="747" spans="1:30">
      <c r="A747" s="21"/>
      <c r="B747" s="21"/>
      <c r="C747" s="21"/>
      <c r="D747" s="21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</row>
    <row r="748" spans="1:30">
      <c r="A748" s="21"/>
      <c r="B748" s="21"/>
      <c r="C748" s="21"/>
      <c r="D748" s="21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</row>
    <row r="749" spans="1:30">
      <c r="A749" s="21"/>
      <c r="B749" s="21"/>
      <c r="C749" s="21"/>
      <c r="D749" s="21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</row>
    <row r="750" spans="1:30">
      <c r="A750" s="21"/>
      <c r="B750" s="21"/>
      <c r="C750" s="21"/>
      <c r="D750" s="21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</row>
    <row r="751" spans="1:30">
      <c r="A751" s="21"/>
      <c r="B751" s="21"/>
      <c r="C751" s="21"/>
      <c r="D751" s="21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</row>
    <row r="752" spans="1:30">
      <c r="A752" s="21"/>
      <c r="B752" s="21"/>
      <c r="C752" s="21"/>
      <c r="D752" s="21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</row>
    <row r="753" spans="1:30">
      <c r="A753" s="21"/>
      <c r="B753" s="21"/>
      <c r="C753" s="21"/>
      <c r="D753" s="21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</row>
    <row r="754" spans="1:30">
      <c r="A754" s="21"/>
      <c r="B754" s="21"/>
      <c r="C754" s="21"/>
      <c r="D754" s="21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</row>
    <row r="755" spans="1:30">
      <c r="A755" s="21"/>
      <c r="B755" s="21"/>
      <c r="C755" s="21"/>
      <c r="D755" s="21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</row>
    <row r="756" spans="1:30">
      <c r="A756" s="21"/>
      <c r="B756" s="21"/>
      <c r="C756" s="21"/>
      <c r="D756" s="21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</row>
    <row r="757" spans="1:30">
      <c r="A757" s="21"/>
      <c r="B757" s="21"/>
      <c r="C757" s="21"/>
      <c r="D757" s="21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</row>
    <row r="758" spans="1:30">
      <c r="A758" s="21"/>
      <c r="B758" s="21"/>
      <c r="C758" s="21"/>
      <c r="D758" s="21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</row>
    <row r="759" spans="1:30">
      <c r="A759" s="21"/>
      <c r="B759" s="21"/>
      <c r="C759" s="21"/>
      <c r="D759" s="21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</row>
    <row r="760" spans="1:30">
      <c r="A760" s="21"/>
      <c r="B760" s="21"/>
      <c r="C760" s="21"/>
      <c r="D760" s="21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</row>
    <row r="761" spans="1:30">
      <c r="A761" s="21"/>
      <c r="B761" s="21"/>
      <c r="C761" s="21"/>
      <c r="D761" s="21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</row>
    <row r="762" spans="1:30">
      <c r="A762" s="21"/>
      <c r="B762" s="21"/>
      <c r="C762" s="21"/>
      <c r="D762" s="21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</row>
    <row r="763" spans="1:30">
      <c r="A763" s="21"/>
      <c r="B763" s="21"/>
      <c r="C763" s="21"/>
      <c r="D763" s="21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</row>
    <row r="764" spans="1:30">
      <c r="A764" s="21"/>
      <c r="B764" s="21"/>
      <c r="C764" s="21"/>
      <c r="D764" s="21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</row>
    <row r="765" spans="1:30">
      <c r="A765" s="21"/>
      <c r="B765" s="21"/>
      <c r="C765" s="21"/>
      <c r="D765" s="21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</row>
    <row r="766" spans="1:30">
      <c r="A766" s="21"/>
      <c r="B766" s="21"/>
      <c r="C766" s="21"/>
      <c r="D766" s="21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</row>
    <row r="767" spans="1:30">
      <c r="A767" s="21"/>
      <c r="B767" s="21"/>
      <c r="C767" s="21"/>
      <c r="D767" s="21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</row>
    <row r="768" spans="1:30">
      <c r="A768" s="21"/>
      <c r="B768" s="21"/>
      <c r="C768" s="21"/>
      <c r="D768" s="21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</row>
    <row r="769" spans="1:30">
      <c r="A769" s="21"/>
      <c r="B769" s="21"/>
      <c r="C769" s="21"/>
      <c r="D769" s="21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</row>
    <row r="770" spans="1:30">
      <c r="A770" s="21"/>
      <c r="B770" s="21"/>
      <c r="C770" s="21"/>
      <c r="D770" s="21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</row>
    <row r="771" spans="1:30">
      <c r="A771" s="21"/>
      <c r="B771" s="21"/>
      <c r="C771" s="21"/>
      <c r="D771" s="21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</row>
    <row r="772" spans="1:30">
      <c r="A772" s="21"/>
      <c r="B772" s="21"/>
      <c r="C772" s="21"/>
      <c r="D772" s="21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</row>
    <row r="773" spans="1:30">
      <c r="A773" s="21"/>
      <c r="B773" s="21"/>
      <c r="C773" s="21"/>
      <c r="D773" s="21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</row>
    <row r="774" spans="1:30">
      <c r="A774" s="21"/>
      <c r="B774" s="21"/>
      <c r="C774" s="21"/>
      <c r="D774" s="21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</row>
    <row r="775" spans="1:30">
      <c r="A775" s="21"/>
      <c r="B775" s="21"/>
      <c r="C775" s="21"/>
      <c r="D775" s="21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</row>
    <row r="776" spans="1:30">
      <c r="A776" s="21"/>
      <c r="B776" s="21"/>
      <c r="C776" s="21"/>
      <c r="D776" s="21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</row>
    <row r="777" spans="1:30">
      <c r="A777" s="21"/>
      <c r="B777" s="21"/>
      <c r="C777" s="21"/>
      <c r="D777" s="21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</row>
    <row r="778" spans="1:30">
      <c r="A778" s="21"/>
      <c r="B778" s="21"/>
      <c r="C778" s="21"/>
      <c r="D778" s="21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</row>
    <row r="779" spans="1:30">
      <c r="A779" s="21"/>
      <c r="B779" s="21"/>
      <c r="C779" s="21"/>
      <c r="D779" s="21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</row>
    <row r="780" spans="1:30">
      <c r="A780" s="21"/>
      <c r="B780" s="21"/>
      <c r="C780" s="21"/>
      <c r="D780" s="21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</row>
    <row r="781" spans="1:30">
      <c r="A781" s="21"/>
      <c r="B781" s="21"/>
      <c r="C781" s="21"/>
      <c r="D781" s="21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</row>
    <row r="782" spans="1:30">
      <c r="A782" s="21"/>
      <c r="B782" s="21"/>
      <c r="C782" s="21"/>
      <c r="D782" s="21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</row>
    <row r="783" spans="1:30">
      <c r="A783" s="21"/>
      <c r="B783" s="21"/>
      <c r="C783" s="21"/>
      <c r="D783" s="21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</row>
    <row r="784" spans="1:30">
      <c r="A784" s="21"/>
      <c r="B784" s="21"/>
      <c r="C784" s="21"/>
      <c r="D784" s="21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</row>
    <row r="785" spans="1:30">
      <c r="A785" s="21"/>
      <c r="B785" s="21"/>
      <c r="C785" s="21"/>
      <c r="D785" s="21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</row>
    <row r="786" spans="1:30">
      <c r="A786" s="21"/>
      <c r="B786" s="21"/>
      <c r="C786" s="21"/>
      <c r="D786" s="21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</row>
    <row r="787" spans="1:30">
      <c r="A787" s="21"/>
      <c r="B787" s="21"/>
      <c r="C787" s="21"/>
      <c r="D787" s="21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</row>
    <row r="788" spans="1:30">
      <c r="A788" s="21"/>
      <c r="B788" s="21"/>
      <c r="C788" s="21"/>
      <c r="D788" s="21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</row>
    <row r="789" spans="1:30">
      <c r="A789" s="21"/>
      <c r="B789" s="21"/>
      <c r="C789" s="21"/>
      <c r="D789" s="21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</row>
    <row r="790" spans="1:30">
      <c r="A790" s="21"/>
      <c r="B790" s="21"/>
      <c r="C790" s="21"/>
      <c r="D790" s="21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</row>
    <row r="791" spans="1:30">
      <c r="A791" s="21"/>
      <c r="B791" s="21"/>
      <c r="C791" s="21"/>
      <c r="D791" s="21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</row>
    <row r="792" spans="1:30">
      <c r="A792" s="21"/>
      <c r="B792" s="21"/>
      <c r="C792" s="21"/>
      <c r="D792" s="21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</row>
    <row r="793" spans="1:30">
      <c r="A793" s="21"/>
      <c r="B793" s="21"/>
      <c r="C793" s="21"/>
      <c r="D793" s="21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</row>
    <row r="794" spans="1:30">
      <c r="A794" s="21"/>
      <c r="B794" s="21"/>
      <c r="C794" s="21"/>
      <c r="D794" s="21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</row>
    <row r="795" spans="1:30">
      <c r="A795" s="21"/>
      <c r="B795" s="21"/>
      <c r="C795" s="21"/>
      <c r="D795" s="21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</row>
    <row r="796" spans="1:30">
      <c r="A796" s="21"/>
      <c r="B796" s="21"/>
      <c r="C796" s="21"/>
      <c r="D796" s="21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</row>
    <row r="797" spans="1:30">
      <c r="A797" s="21"/>
      <c r="B797" s="21"/>
      <c r="C797" s="21"/>
      <c r="D797" s="21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</row>
    <row r="798" spans="1:30">
      <c r="A798" s="21"/>
      <c r="B798" s="21"/>
      <c r="C798" s="21"/>
      <c r="D798" s="21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</row>
    <row r="799" spans="1:30">
      <c r="A799" s="21"/>
      <c r="B799" s="21"/>
      <c r="C799" s="21"/>
      <c r="D799" s="21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</row>
    <row r="800" spans="1:30">
      <c r="A800" s="21"/>
      <c r="B800" s="21"/>
      <c r="C800" s="21"/>
      <c r="D800" s="21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</row>
    <row r="801" spans="1:30">
      <c r="A801" s="21"/>
      <c r="B801" s="21"/>
      <c r="C801" s="21"/>
      <c r="D801" s="21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</row>
    <row r="802" spans="1:30">
      <c r="A802" s="21"/>
      <c r="B802" s="21"/>
      <c r="C802" s="21"/>
      <c r="D802" s="21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</row>
    <row r="803" spans="1:30">
      <c r="A803" s="21"/>
      <c r="B803" s="21"/>
      <c r="C803" s="21"/>
      <c r="D803" s="21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</row>
    <row r="804" spans="1:30">
      <c r="A804" s="21"/>
      <c r="B804" s="21"/>
      <c r="C804" s="21"/>
      <c r="D804" s="21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</row>
    <row r="805" spans="1:30">
      <c r="A805" s="21"/>
      <c r="B805" s="21"/>
      <c r="C805" s="21"/>
      <c r="D805" s="21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</row>
    <row r="806" spans="1:30">
      <c r="A806" s="21"/>
      <c r="B806" s="21"/>
      <c r="C806" s="21"/>
      <c r="D806" s="21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</row>
    <row r="807" spans="1:30">
      <c r="A807" s="21"/>
      <c r="B807" s="21"/>
      <c r="C807" s="21"/>
      <c r="D807" s="21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</row>
    <row r="808" spans="1:30">
      <c r="A808" s="21"/>
      <c r="B808" s="21"/>
      <c r="C808" s="21"/>
      <c r="D808" s="21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</row>
    <row r="809" spans="1:30">
      <c r="A809" s="21"/>
      <c r="B809" s="21"/>
      <c r="C809" s="21"/>
      <c r="D809" s="21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</row>
    <row r="810" spans="1:30">
      <c r="A810" s="21"/>
      <c r="B810" s="21"/>
      <c r="C810" s="21"/>
      <c r="D810" s="21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</row>
    <row r="811" spans="1:30">
      <c r="A811" s="21"/>
      <c r="B811" s="21"/>
      <c r="C811" s="21"/>
      <c r="D811" s="21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</row>
    <row r="812" spans="1:30">
      <c r="A812" s="21"/>
      <c r="B812" s="21"/>
      <c r="C812" s="21"/>
      <c r="D812" s="21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</row>
    <row r="813" spans="1:30">
      <c r="A813" s="21"/>
      <c r="B813" s="21"/>
      <c r="C813" s="21"/>
      <c r="D813" s="21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</row>
    <row r="814" spans="1:30">
      <c r="A814" s="21"/>
      <c r="B814" s="21"/>
      <c r="C814" s="21"/>
      <c r="D814" s="21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</row>
    <row r="815" spans="1:30">
      <c r="A815" s="21"/>
      <c r="B815" s="21"/>
      <c r="C815" s="21"/>
      <c r="D815" s="21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</row>
    <row r="816" spans="1:30">
      <c r="A816" s="21"/>
      <c r="B816" s="21"/>
      <c r="C816" s="21"/>
      <c r="D816" s="21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</row>
    <row r="817" spans="1:30">
      <c r="A817" s="21"/>
      <c r="B817" s="21"/>
      <c r="C817" s="21"/>
      <c r="D817" s="21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</row>
    <row r="818" spans="1:30">
      <c r="A818" s="21"/>
      <c r="B818" s="21"/>
      <c r="C818" s="21"/>
      <c r="D818" s="21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</row>
    <row r="819" spans="1:30">
      <c r="A819" s="21"/>
      <c r="B819" s="21"/>
      <c r="C819" s="21"/>
      <c r="D819" s="21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</row>
    <row r="820" spans="1:30">
      <c r="A820" s="21"/>
      <c r="B820" s="21"/>
      <c r="C820" s="21"/>
      <c r="D820" s="21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</row>
    <row r="821" spans="1:30">
      <c r="A821" s="21"/>
      <c r="B821" s="21"/>
      <c r="C821" s="21"/>
      <c r="D821" s="21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</row>
    <row r="822" spans="1:30">
      <c r="A822" s="21"/>
      <c r="B822" s="21"/>
      <c r="C822" s="21"/>
      <c r="D822" s="21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</row>
    <row r="823" spans="1:30">
      <c r="A823" s="21"/>
      <c r="B823" s="21"/>
      <c r="C823" s="21"/>
      <c r="D823" s="21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</row>
    <row r="824" spans="1:30">
      <c r="A824" s="21"/>
      <c r="B824" s="21"/>
      <c r="C824" s="21"/>
      <c r="D824" s="21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</row>
    <row r="825" spans="1:30">
      <c r="A825" s="21"/>
      <c r="B825" s="21"/>
      <c r="C825" s="21"/>
      <c r="D825" s="21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</row>
    <row r="826" spans="1:30">
      <c r="A826" s="21"/>
      <c r="B826" s="21"/>
      <c r="C826" s="21"/>
      <c r="D826" s="21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</row>
    <row r="827" spans="1:30">
      <c r="A827" s="21"/>
      <c r="B827" s="21"/>
      <c r="C827" s="21"/>
      <c r="D827" s="21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</row>
    <row r="828" spans="1:30">
      <c r="A828" s="21"/>
      <c r="B828" s="21"/>
      <c r="C828" s="21"/>
      <c r="D828" s="21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</row>
    <row r="829" spans="1:30">
      <c r="A829" s="21"/>
      <c r="B829" s="21"/>
      <c r="C829" s="21"/>
      <c r="D829" s="21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</row>
    <row r="830" spans="1:30">
      <c r="A830" s="21"/>
      <c r="B830" s="21"/>
      <c r="C830" s="21"/>
      <c r="D830" s="21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</row>
    <row r="831" spans="1:30">
      <c r="A831" s="21"/>
      <c r="B831" s="21"/>
      <c r="C831" s="21"/>
      <c r="D831" s="21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</row>
    <row r="832" spans="1:30">
      <c r="A832" s="21"/>
      <c r="B832" s="21"/>
      <c r="C832" s="21"/>
      <c r="D832" s="21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</row>
    <row r="833" spans="1:30">
      <c r="A833" s="21"/>
      <c r="B833" s="21"/>
      <c r="C833" s="21"/>
      <c r="D833" s="21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</row>
    <row r="834" spans="1:30">
      <c r="A834" s="21"/>
      <c r="B834" s="21"/>
      <c r="C834" s="21"/>
      <c r="D834" s="21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</row>
    <row r="835" spans="1:30">
      <c r="A835" s="21"/>
      <c r="B835" s="21"/>
      <c r="C835" s="21"/>
      <c r="D835" s="21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</row>
    <row r="836" spans="1:30">
      <c r="A836" s="21"/>
      <c r="B836" s="21"/>
      <c r="C836" s="21"/>
      <c r="D836" s="21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</row>
    <row r="837" spans="1:30">
      <c r="A837" s="21"/>
      <c r="B837" s="21"/>
      <c r="C837" s="21"/>
      <c r="D837" s="21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</row>
    <row r="838" spans="1:30">
      <c r="A838" s="21"/>
      <c r="B838" s="21"/>
      <c r="C838" s="21"/>
      <c r="D838" s="21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</row>
    <row r="839" spans="1:30">
      <c r="A839" s="21"/>
      <c r="B839" s="21"/>
      <c r="C839" s="21"/>
      <c r="D839" s="21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</row>
    <row r="840" spans="1:30">
      <c r="A840" s="21"/>
      <c r="B840" s="21"/>
      <c r="C840" s="21"/>
      <c r="D840" s="21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</row>
    <row r="841" spans="1:30">
      <c r="A841" s="21"/>
      <c r="B841" s="21"/>
      <c r="C841" s="21"/>
      <c r="D841" s="21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</row>
    <row r="842" spans="1:30">
      <c r="A842" s="21"/>
      <c r="B842" s="21"/>
      <c r="C842" s="21"/>
      <c r="D842" s="21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</row>
    <row r="843" spans="1:30">
      <c r="A843" s="21"/>
      <c r="B843" s="21"/>
      <c r="C843" s="21"/>
      <c r="D843" s="21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</row>
    <row r="844" spans="1:30">
      <c r="A844" s="21"/>
      <c r="B844" s="21"/>
      <c r="C844" s="21"/>
      <c r="D844" s="21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</row>
    <row r="845" spans="1:30">
      <c r="A845" s="21"/>
      <c r="B845" s="21"/>
      <c r="C845" s="21"/>
      <c r="D845" s="21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</row>
    <row r="846" spans="1:30">
      <c r="A846" s="21"/>
      <c r="B846" s="21"/>
      <c r="C846" s="21"/>
      <c r="D846" s="21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</row>
    <row r="847" spans="1:30">
      <c r="A847" s="21"/>
      <c r="B847" s="21"/>
      <c r="C847" s="21"/>
      <c r="D847" s="21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</row>
    <row r="848" spans="1:30">
      <c r="A848" s="21"/>
      <c r="B848" s="21"/>
      <c r="C848" s="21"/>
      <c r="D848" s="21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</row>
    <row r="849" spans="1:30">
      <c r="A849" s="21"/>
      <c r="B849" s="21"/>
      <c r="C849" s="21"/>
      <c r="D849" s="21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</row>
    <row r="850" spans="1:30">
      <c r="A850" s="21"/>
      <c r="B850" s="21"/>
      <c r="C850" s="21"/>
      <c r="D850" s="21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</row>
    <row r="851" spans="1:30">
      <c r="A851" s="21"/>
      <c r="B851" s="21"/>
      <c r="C851" s="21"/>
      <c r="D851" s="21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</row>
    <row r="852" spans="1:30">
      <c r="A852" s="21"/>
      <c r="B852" s="21"/>
      <c r="C852" s="21"/>
      <c r="D852" s="21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</row>
    <row r="853" spans="1:30">
      <c r="A853" s="21"/>
      <c r="B853" s="21"/>
      <c r="C853" s="21"/>
      <c r="D853" s="21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</row>
    <row r="854" spans="1:30">
      <c r="A854" s="21"/>
      <c r="B854" s="21"/>
      <c r="C854" s="21"/>
      <c r="D854" s="21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</row>
    <row r="855" spans="1:30">
      <c r="A855" s="21"/>
      <c r="B855" s="21"/>
      <c r="C855" s="21"/>
      <c r="D855" s="21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</row>
    <row r="856" spans="1:30">
      <c r="A856" s="21"/>
      <c r="B856" s="21"/>
      <c r="C856" s="21"/>
      <c r="D856" s="21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</row>
    <row r="857" spans="1:30">
      <c r="A857" s="21"/>
      <c r="B857" s="21"/>
      <c r="C857" s="21"/>
      <c r="D857" s="21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</row>
    <row r="858" spans="1:30">
      <c r="A858" s="21"/>
      <c r="B858" s="21"/>
      <c r="C858" s="21"/>
      <c r="D858" s="21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</row>
    <row r="859" spans="1:30">
      <c r="A859" s="21"/>
      <c r="B859" s="21"/>
      <c r="C859" s="21"/>
      <c r="D859" s="21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</row>
    <row r="860" spans="1:30">
      <c r="A860" s="21"/>
      <c r="B860" s="21"/>
      <c r="C860" s="21"/>
      <c r="D860" s="21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</row>
    <row r="861" spans="1:30">
      <c r="A861" s="21"/>
      <c r="B861" s="21"/>
      <c r="C861" s="21"/>
      <c r="D861" s="21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</row>
    <row r="862" spans="1:30">
      <c r="A862" s="21"/>
      <c r="B862" s="21"/>
      <c r="C862" s="21"/>
      <c r="D862" s="21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</row>
    <row r="863" spans="1:30">
      <c r="A863" s="21"/>
      <c r="B863" s="21"/>
      <c r="C863" s="21"/>
      <c r="D863" s="21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</row>
    <row r="864" spans="1:30">
      <c r="A864" s="21"/>
      <c r="B864" s="21"/>
      <c r="C864" s="21"/>
      <c r="D864" s="21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</row>
    <row r="865" spans="1:30">
      <c r="A865" s="21"/>
      <c r="B865" s="21"/>
      <c r="C865" s="21"/>
      <c r="D865" s="21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</row>
    <row r="866" spans="1:30">
      <c r="A866" s="21"/>
      <c r="B866" s="21"/>
      <c r="C866" s="21"/>
      <c r="D866" s="21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</row>
    <row r="867" spans="1:30">
      <c r="A867" s="21"/>
      <c r="B867" s="21"/>
      <c r="C867" s="21"/>
      <c r="D867" s="21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</row>
    <row r="868" spans="1:30">
      <c r="A868" s="21"/>
      <c r="B868" s="21"/>
      <c r="C868" s="21"/>
      <c r="D868" s="21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</row>
    <row r="869" spans="1:30">
      <c r="A869" s="21"/>
      <c r="B869" s="21"/>
      <c r="C869" s="21"/>
      <c r="D869" s="21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</row>
    <row r="870" spans="1:30">
      <c r="A870" s="21"/>
      <c r="B870" s="21"/>
      <c r="C870" s="21"/>
      <c r="D870" s="21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</row>
    <row r="871" spans="1:30">
      <c r="A871" s="21"/>
      <c r="B871" s="21"/>
      <c r="C871" s="21"/>
      <c r="D871" s="21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</row>
    <row r="872" spans="1:30">
      <c r="A872" s="21"/>
      <c r="B872" s="21"/>
      <c r="C872" s="21"/>
      <c r="D872" s="21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</row>
    <row r="873" spans="1:30">
      <c r="A873" s="21"/>
      <c r="B873" s="21"/>
      <c r="C873" s="21"/>
      <c r="D873" s="21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</row>
    <row r="874" spans="1:30">
      <c r="A874" s="21"/>
      <c r="B874" s="21"/>
      <c r="C874" s="21"/>
      <c r="D874" s="21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</row>
    <row r="875" spans="1:30">
      <c r="A875" s="21"/>
      <c r="B875" s="21"/>
      <c r="C875" s="21"/>
      <c r="D875" s="21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</row>
    <row r="876" spans="1:30">
      <c r="A876" s="21"/>
      <c r="B876" s="21"/>
      <c r="C876" s="21"/>
      <c r="D876" s="21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</row>
    <row r="877" spans="1:30">
      <c r="A877" s="21"/>
      <c r="B877" s="21"/>
      <c r="C877" s="21"/>
      <c r="D877" s="21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</row>
    <row r="878" spans="1:30">
      <c r="A878" s="21"/>
      <c r="B878" s="21"/>
      <c r="C878" s="21"/>
      <c r="D878" s="21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</row>
    <row r="879" spans="1:30">
      <c r="A879" s="21"/>
      <c r="B879" s="21"/>
      <c r="C879" s="21"/>
      <c r="D879" s="21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</row>
    <row r="880" spans="1:30">
      <c r="A880" s="21"/>
      <c r="B880" s="21"/>
      <c r="C880" s="21"/>
      <c r="D880" s="21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</row>
    <row r="881" spans="1:30">
      <c r="A881" s="21"/>
      <c r="B881" s="21"/>
      <c r="C881" s="21"/>
      <c r="D881" s="21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</row>
    <row r="882" spans="1:30">
      <c r="A882" s="21"/>
      <c r="B882" s="21"/>
      <c r="C882" s="21"/>
      <c r="D882" s="21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</row>
    <row r="883" spans="1:30">
      <c r="A883" s="21"/>
      <c r="B883" s="21"/>
      <c r="C883" s="21"/>
      <c r="D883" s="21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</row>
    <row r="884" spans="1:30">
      <c r="A884" s="21"/>
      <c r="B884" s="21"/>
      <c r="C884" s="21"/>
      <c r="D884" s="21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</row>
    <row r="885" spans="1:30">
      <c r="A885" s="21"/>
      <c r="B885" s="21"/>
      <c r="C885" s="21"/>
      <c r="D885" s="21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</row>
    <row r="886" spans="1:30">
      <c r="A886" s="21"/>
      <c r="B886" s="21"/>
      <c r="C886" s="21"/>
      <c r="D886" s="21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</row>
    <row r="887" spans="1:30">
      <c r="A887" s="21"/>
      <c r="B887" s="21"/>
      <c r="C887" s="21"/>
      <c r="D887" s="21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</row>
    <row r="888" spans="1:30">
      <c r="A888" s="21"/>
      <c r="B888" s="21"/>
      <c r="C888" s="21"/>
      <c r="D888" s="21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</row>
    <row r="889" spans="1:30">
      <c r="A889" s="21"/>
      <c r="B889" s="21"/>
      <c r="C889" s="21"/>
      <c r="D889" s="21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</row>
    <row r="890" spans="1:30">
      <c r="A890" s="21"/>
      <c r="B890" s="21"/>
      <c r="C890" s="21"/>
      <c r="D890" s="21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</row>
    <row r="891" spans="1:30">
      <c r="A891" s="21"/>
      <c r="B891" s="21"/>
      <c r="C891" s="21"/>
      <c r="D891" s="21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</row>
    <row r="892" spans="1:30">
      <c r="A892" s="21"/>
      <c r="B892" s="21"/>
      <c r="C892" s="21"/>
      <c r="D892" s="21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</row>
    <row r="893" spans="1:30">
      <c r="A893" s="21"/>
      <c r="B893" s="21"/>
      <c r="C893" s="21"/>
      <c r="D893" s="21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</row>
    <row r="894" spans="1:30">
      <c r="A894" s="21"/>
      <c r="B894" s="21"/>
      <c r="C894" s="21"/>
      <c r="D894" s="21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</row>
    <row r="895" spans="1:30">
      <c r="A895" s="21"/>
      <c r="B895" s="21"/>
      <c r="C895" s="21"/>
      <c r="D895" s="21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</row>
    <row r="896" spans="1:30">
      <c r="A896" s="21"/>
      <c r="B896" s="21"/>
      <c r="C896" s="21"/>
      <c r="D896" s="21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</row>
    <row r="897" spans="1:30">
      <c r="A897" s="21"/>
      <c r="B897" s="21"/>
      <c r="C897" s="21"/>
      <c r="D897" s="21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</row>
    <row r="898" spans="1:30">
      <c r="A898" s="21"/>
      <c r="B898" s="21"/>
      <c r="C898" s="21"/>
      <c r="D898" s="21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</row>
    <row r="899" spans="1:30">
      <c r="A899" s="21"/>
      <c r="B899" s="21"/>
      <c r="C899" s="21"/>
      <c r="D899" s="21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</row>
    <row r="900" spans="1:30">
      <c r="A900" s="21"/>
      <c r="B900" s="21"/>
      <c r="C900" s="21"/>
      <c r="D900" s="21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</row>
    <row r="901" spans="1:30">
      <c r="A901" s="21"/>
      <c r="B901" s="21"/>
      <c r="C901" s="21"/>
      <c r="D901" s="21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</row>
    <row r="902" spans="1:30">
      <c r="A902" s="21"/>
      <c r="B902" s="21"/>
      <c r="C902" s="21"/>
      <c r="D902" s="21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</row>
    <row r="903" spans="1:30">
      <c r="A903" s="21"/>
      <c r="B903" s="21"/>
      <c r="C903" s="21"/>
      <c r="D903" s="21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</row>
    <row r="904" spans="1:30">
      <c r="A904" s="21"/>
      <c r="B904" s="21"/>
      <c r="C904" s="21"/>
      <c r="D904" s="21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</row>
    <row r="905" spans="1:30">
      <c r="A905" s="21"/>
      <c r="B905" s="21"/>
      <c r="C905" s="21"/>
      <c r="D905" s="21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</row>
    <row r="906" spans="1:30">
      <c r="A906" s="21"/>
      <c r="B906" s="21"/>
      <c r="C906" s="21"/>
      <c r="D906" s="21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</row>
    <row r="907" spans="1:30">
      <c r="A907" s="21"/>
      <c r="B907" s="21"/>
      <c r="C907" s="21"/>
      <c r="D907" s="21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</row>
    <row r="908" spans="1:30">
      <c r="A908" s="21"/>
      <c r="B908" s="21"/>
      <c r="C908" s="21"/>
      <c r="D908" s="21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</row>
    <row r="909" spans="1:30">
      <c r="A909" s="21"/>
      <c r="B909" s="21"/>
      <c r="C909" s="21"/>
      <c r="D909" s="21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</row>
    <row r="910" spans="1:30">
      <c r="A910" s="21"/>
      <c r="B910" s="21"/>
      <c r="C910" s="21"/>
      <c r="D910" s="21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</row>
    <row r="911" spans="1:30">
      <c r="A911" s="21"/>
      <c r="B911" s="21"/>
      <c r="C911" s="21"/>
      <c r="D911" s="21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</row>
    <row r="912" spans="1:30">
      <c r="A912" s="21"/>
      <c r="B912" s="21"/>
      <c r="C912" s="21"/>
      <c r="D912" s="21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</row>
    <row r="913" spans="1:30">
      <c r="A913" s="21"/>
      <c r="B913" s="21"/>
      <c r="C913" s="21"/>
      <c r="D913" s="21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</row>
    <row r="914" spans="1:30">
      <c r="A914" s="21"/>
      <c r="B914" s="21"/>
      <c r="C914" s="21"/>
      <c r="D914" s="21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</row>
    <row r="915" spans="1:30">
      <c r="A915" s="21"/>
      <c r="B915" s="21"/>
      <c r="C915" s="21"/>
      <c r="D915" s="21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</row>
    <row r="916" spans="1:30">
      <c r="A916" s="21"/>
      <c r="B916" s="21"/>
      <c r="C916" s="21"/>
      <c r="D916" s="21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</row>
  </sheetData>
  <phoneticPr fontId="1" type="noConversion"/>
  <pageMargins left="0.75" right="0.5" top="0.5" bottom="0.5" header="0" footer="0.3"/>
  <pageSetup scale="80" firstPageNumber="14" fitToWidth="2" fitToHeight="14" pageOrder="overThenDown" orientation="portrait" useFirstPageNumber="1" horizontalDpi="1200" verticalDpi="12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P819"/>
  <sheetViews>
    <sheetView zoomScaleNormal="100" zoomScaleSheetLayoutView="80" workbookViewId="0">
      <pane xSplit="3" ySplit="7" topLeftCell="D9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defaultColWidth="9.33203125" defaultRowHeight="12"/>
  <cols>
    <col min="1" max="1" width="16.6640625" style="15" customWidth="1"/>
    <col min="2" max="2" width="1.83203125" style="15" customWidth="1"/>
    <col min="3" max="3" width="13" style="15" customWidth="1"/>
    <col min="4" max="4" width="1.83203125" style="15" customWidth="1"/>
    <col min="5" max="5" width="12.83203125" style="24" customWidth="1"/>
    <col min="6" max="6" width="1.83203125" style="24" customWidth="1"/>
    <col min="7" max="7" width="12.1640625" style="24" customWidth="1"/>
    <col min="8" max="8" width="1.83203125" style="24" customWidth="1"/>
    <col min="9" max="9" width="12.5" style="24" customWidth="1"/>
    <col min="10" max="10" width="1.83203125" style="24" customWidth="1"/>
    <col min="11" max="11" width="12.33203125" style="24" customWidth="1"/>
    <col min="12" max="12" width="1.83203125" style="24" customWidth="1"/>
    <col min="13" max="13" width="12.83203125" style="24" customWidth="1"/>
    <col min="14" max="14" width="1.83203125" style="24" customWidth="1"/>
    <col min="15" max="15" width="12.83203125" style="24" customWidth="1"/>
    <col min="16" max="16" width="1.83203125" style="24" customWidth="1"/>
    <col min="17" max="17" width="12.83203125" style="24" customWidth="1"/>
    <col min="18" max="18" width="1.83203125" style="24" customWidth="1"/>
    <col min="19" max="19" width="12.83203125" style="24" customWidth="1"/>
    <col min="20" max="20" width="1.83203125" style="24" customWidth="1"/>
    <col min="21" max="21" width="12.1640625" style="24" customWidth="1"/>
    <col min="22" max="22" width="1.83203125" style="24" customWidth="1"/>
    <col min="23" max="23" width="11.6640625" style="24" customWidth="1"/>
    <col min="24" max="24" width="1.83203125" style="24" customWidth="1"/>
    <col min="25" max="25" width="11.83203125" style="24" customWidth="1"/>
    <col min="26" max="26" width="1.83203125" style="24" customWidth="1"/>
    <col min="27" max="27" width="11.83203125" style="24" customWidth="1"/>
    <col min="28" max="28" width="1.83203125" style="24" customWidth="1"/>
    <col min="29" max="29" width="11.83203125" style="24" bestFit="1" customWidth="1"/>
    <col min="30" max="30" width="1.83203125" style="24" customWidth="1"/>
    <col min="31" max="31" width="10" style="24" customWidth="1"/>
    <col min="32" max="32" width="1.83203125" style="24" customWidth="1"/>
    <col min="33" max="33" width="9.5" style="24" customWidth="1"/>
    <col min="34" max="34" width="1.83203125" style="24" customWidth="1"/>
    <col min="35" max="35" width="13.33203125" style="15" customWidth="1"/>
    <col min="36" max="36" width="1.83203125" style="15" customWidth="1"/>
    <col min="37" max="37" width="10.6640625" style="15" bestFit="1" customWidth="1"/>
    <col min="38" max="16384" width="9.33203125" style="15"/>
  </cols>
  <sheetData>
    <row r="1" spans="1:42">
      <c r="A1" s="15" t="s">
        <v>620</v>
      </c>
    </row>
    <row r="2" spans="1:42">
      <c r="A2" s="15" t="s">
        <v>876</v>
      </c>
    </row>
    <row r="3" spans="1:42">
      <c r="A3" s="15" t="s">
        <v>878</v>
      </c>
      <c r="G3" s="68"/>
      <c r="H3" s="68"/>
    </row>
    <row r="4" spans="1:42">
      <c r="A4" s="15" t="s">
        <v>869</v>
      </c>
    </row>
    <row r="5" spans="1:42" s="73" customFormat="1" ht="15" customHeight="1">
      <c r="A5" s="69"/>
      <c r="B5" s="69"/>
      <c r="C5" s="69"/>
      <c r="D5" s="69"/>
      <c r="E5" s="70" t="s">
        <v>622</v>
      </c>
      <c r="F5" s="70"/>
      <c r="G5" s="71"/>
      <c r="H5" s="71"/>
      <c r="I5" s="71"/>
      <c r="J5" s="71"/>
      <c r="K5" s="71"/>
      <c r="L5" s="71"/>
      <c r="M5" s="71"/>
      <c r="N5" s="71"/>
      <c r="O5" s="70" t="s">
        <v>633</v>
      </c>
      <c r="P5" s="70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0" t="s">
        <v>641</v>
      </c>
      <c r="AF5" s="70"/>
      <c r="AG5" s="70"/>
      <c r="AH5" s="70"/>
      <c r="AI5" s="72"/>
      <c r="AJ5" s="72"/>
      <c r="AK5" s="72"/>
      <c r="AL5" s="72"/>
      <c r="AM5" s="72"/>
      <c r="AN5" s="72"/>
      <c r="AO5" s="72"/>
      <c r="AP5" s="72"/>
    </row>
    <row r="6" spans="1:42" s="73" customFormat="1" ht="12.6" customHeight="1">
      <c r="A6" s="69"/>
      <c r="B6" s="69"/>
      <c r="C6" s="69"/>
      <c r="D6" s="69"/>
      <c r="E6" s="70" t="s">
        <v>623</v>
      </c>
      <c r="F6" s="70"/>
      <c r="G6" s="70" t="s">
        <v>625</v>
      </c>
      <c r="H6" s="70"/>
      <c r="I6" s="70" t="s">
        <v>627</v>
      </c>
      <c r="J6" s="70"/>
      <c r="K6" s="70" t="s">
        <v>629</v>
      </c>
      <c r="L6" s="70"/>
      <c r="M6" s="70" t="s">
        <v>631</v>
      </c>
      <c r="N6" s="70"/>
      <c r="O6" s="70" t="s">
        <v>634</v>
      </c>
      <c r="P6" s="70"/>
      <c r="Q6" s="70" t="s">
        <v>636</v>
      </c>
      <c r="R6" s="70"/>
      <c r="S6" s="71"/>
      <c r="T6" s="71"/>
      <c r="U6" s="74" t="s">
        <v>871</v>
      </c>
      <c r="V6" s="71"/>
      <c r="W6" s="74" t="s">
        <v>871</v>
      </c>
      <c r="X6" s="71"/>
      <c r="Y6" s="70" t="s">
        <v>638</v>
      </c>
      <c r="Z6" s="70"/>
      <c r="AA6" s="71"/>
      <c r="AB6" s="71"/>
      <c r="AC6" s="71"/>
      <c r="AD6" s="71"/>
      <c r="AE6" s="70" t="s">
        <v>642</v>
      </c>
      <c r="AF6" s="70"/>
      <c r="AG6" s="70" t="s">
        <v>722</v>
      </c>
      <c r="AH6" s="70"/>
      <c r="AI6" s="72"/>
      <c r="AJ6" s="72"/>
      <c r="AK6" s="72"/>
      <c r="AL6" s="72"/>
      <c r="AM6" s="72"/>
      <c r="AN6" s="72"/>
      <c r="AO6" s="72"/>
      <c r="AP6" s="72"/>
    </row>
    <row r="7" spans="1:42" s="76" customFormat="1" ht="12.6" customHeight="1">
      <c r="A7" s="75" t="s">
        <v>739</v>
      </c>
      <c r="C7" s="75" t="s">
        <v>740</v>
      </c>
      <c r="E7" s="77" t="s">
        <v>624</v>
      </c>
      <c r="F7" s="78"/>
      <c r="G7" s="77" t="s">
        <v>626</v>
      </c>
      <c r="H7" s="78"/>
      <c r="I7" s="27" t="s">
        <v>628</v>
      </c>
      <c r="J7" s="49"/>
      <c r="K7" s="27" t="s">
        <v>630</v>
      </c>
      <c r="L7" s="49"/>
      <c r="M7" s="27" t="s">
        <v>632</v>
      </c>
      <c r="N7" s="49"/>
      <c r="O7" s="27" t="s">
        <v>635</v>
      </c>
      <c r="P7" s="49"/>
      <c r="Q7" s="27" t="s">
        <v>637</v>
      </c>
      <c r="R7" s="49"/>
      <c r="S7" s="27" t="s">
        <v>616</v>
      </c>
      <c r="T7" s="80"/>
      <c r="U7" s="81" t="s">
        <v>872</v>
      </c>
      <c r="V7" s="82"/>
      <c r="W7" s="81" t="s">
        <v>873</v>
      </c>
      <c r="X7" s="82"/>
      <c r="Y7" s="27" t="s">
        <v>639</v>
      </c>
      <c r="Z7" s="49"/>
      <c r="AA7" s="79" t="s">
        <v>618</v>
      </c>
      <c r="AB7" s="80"/>
      <c r="AC7" s="79" t="s">
        <v>640</v>
      </c>
      <c r="AD7" s="80"/>
      <c r="AE7" s="27" t="s">
        <v>643</v>
      </c>
      <c r="AF7" s="49"/>
      <c r="AG7" s="27" t="s">
        <v>833</v>
      </c>
      <c r="AH7" s="49"/>
      <c r="AI7" s="75" t="s">
        <v>832</v>
      </c>
    </row>
    <row r="8" spans="1:42" ht="12.6" hidden="1" customHeight="1">
      <c r="A8" s="15" t="s">
        <v>282</v>
      </c>
      <c r="C8" s="15" t="s">
        <v>283</v>
      </c>
      <c r="E8" s="41">
        <v>0</v>
      </c>
      <c r="F8" s="41"/>
      <c r="G8" s="41">
        <v>0</v>
      </c>
      <c r="H8" s="41"/>
      <c r="I8" s="41">
        <v>0</v>
      </c>
      <c r="J8" s="41"/>
      <c r="K8" s="41">
        <v>0</v>
      </c>
      <c r="L8" s="41"/>
      <c r="M8" s="41">
        <v>0</v>
      </c>
      <c r="N8" s="41"/>
      <c r="O8" s="41">
        <v>0</v>
      </c>
      <c r="P8" s="41"/>
      <c r="Q8" s="41">
        <v>0</v>
      </c>
      <c r="R8" s="41"/>
      <c r="S8" s="41">
        <v>0</v>
      </c>
      <c r="T8" s="41"/>
      <c r="U8" s="41">
        <v>0</v>
      </c>
      <c r="V8" s="41"/>
      <c r="W8" s="41">
        <v>0</v>
      </c>
      <c r="X8" s="41"/>
      <c r="Y8" s="41">
        <v>0</v>
      </c>
      <c r="Z8" s="41"/>
      <c r="AA8" s="41">
        <v>0</v>
      </c>
      <c r="AB8" s="41"/>
      <c r="AC8" s="41">
        <v>0</v>
      </c>
      <c r="AD8" s="41"/>
      <c r="AE8" s="41">
        <v>0</v>
      </c>
      <c r="AF8" s="41"/>
      <c r="AG8" s="41">
        <v>0</v>
      </c>
      <c r="AH8" s="41"/>
      <c r="AI8" s="41">
        <f t="shared" ref="AI8:AI39" si="0">SUM(E8:AG8)</f>
        <v>0</v>
      </c>
      <c r="AJ8" s="41"/>
    </row>
    <row r="9" spans="1:42" s="41" customFormat="1">
      <c r="A9" s="41" t="s">
        <v>395</v>
      </c>
      <c r="C9" s="41" t="s">
        <v>396</v>
      </c>
      <c r="E9" s="41">
        <f>1103460</f>
        <v>1103460</v>
      </c>
      <c r="G9" s="41">
        <v>0</v>
      </c>
      <c r="I9" s="41">
        <f>321021+938939</f>
        <v>1259960</v>
      </c>
      <c r="K9" s="41">
        <v>17858</v>
      </c>
      <c r="M9" s="41">
        <v>80623</v>
      </c>
      <c r="O9" s="41">
        <f>67535</f>
        <v>67535</v>
      </c>
      <c r="Q9" s="41">
        <v>107884</v>
      </c>
      <c r="S9" s="41">
        <f>102165</f>
        <v>102165</v>
      </c>
      <c r="U9" s="41">
        <v>0</v>
      </c>
      <c r="W9" s="41">
        <v>0</v>
      </c>
      <c r="Y9" s="41">
        <v>0</v>
      </c>
      <c r="AA9" s="41">
        <v>0</v>
      </c>
      <c r="AC9" s="41">
        <v>0</v>
      </c>
      <c r="AE9" s="41">
        <f>999870</f>
        <v>999870</v>
      </c>
      <c r="AG9" s="41">
        <v>0</v>
      </c>
      <c r="AI9" s="41">
        <f t="shared" si="0"/>
        <v>3739355</v>
      </c>
    </row>
    <row r="10" spans="1:42" s="31" customFormat="1">
      <c r="A10" s="15" t="s">
        <v>487</v>
      </c>
      <c r="B10" s="15"/>
      <c r="C10" s="15" t="s">
        <v>488</v>
      </c>
      <c r="D10" s="15"/>
      <c r="E10" s="24">
        <v>2731</v>
      </c>
      <c r="F10" s="24"/>
      <c r="G10" s="24">
        <v>0</v>
      </c>
      <c r="H10" s="24"/>
      <c r="I10" s="24">
        <f>1164+5782-57+9767</f>
        <v>16656</v>
      </c>
      <c r="J10" s="24"/>
      <c r="K10" s="24">
        <v>0</v>
      </c>
      <c r="L10" s="24"/>
      <c r="M10" s="24">
        <v>0</v>
      </c>
      <c r="N10" s="24"/>
      <c r="O10" s="24">
        <v>0</v>
      </c>
      <c r="P10" s="24"/>
      <c r="Q10" s="24">
        <v>474</v>
      </c>
      <c r="R10" s="24"/>
      <c r="S10" s="24">
        <v>0</v>
      </c>
      <c r="T10" s="24"/>
      <c r="U10" s="24">
        <v>0</v>
      </c>
      <c r="V10" s="24"/>
      <c r="W10" s="24">
        <v>0</v>
      </c>
      <c r="X10" s="24"/>
      <c r="Y10" s="24">
        <v>0</v>
      </c>
      <c r="Z10" s="24"/>
      <c r="AA10" s="24">
        <v>0</v>
      </c>
      <c r="AB10" s="24"/>
      <c r="AC10" s="24">
        <v>0</v>
      </c>
      <c r="AD10" s="24"/>
      <c r="AE10" s="24">
        <v>0</v>
      </c>
      <c r="AF10" s="38"/>
      <c r="AG10" s="24">
        <v>0</v>
      </c>
      <c r="AH10" s="38"/>
      <c r="AI10" s="24">
        <f t="shared" si="0"/>
        <v>19861</v>
      </c>
      <c r="AJ10" s="24"/>
    </row>
    <row r="11" spans="1:42" s="31" customFormat="1">
      <c r="A11" s="15" t="s">
        <v>898</v>
      </c>
      <c r="B11" s="15"/>
      <c r="C11" s="15" t="s">
        <v>420</v>
      </c>
      <c r="D11" s="15"/>
      <c r="E11" s="24">
        <f>51410+27863</f>
        <v>79273</v>
      </c>
      <c r="F11" s="24"/>
      <c r="G11" s="24">
        <v>0</v>
      </c>
      <c r="H11" s="24"/>
      <c r="I11" s="24">
        <f>41895+40649</f>
        <v>82544</v>
      </c>
      <c r="J11" s="24"/>
      <c r="K11" s="24">
        <v>8122</v>
      </c>
      <c r="L11" s="24"/>
      <c r="M11" s="24">
        <v>280</v>
      </c>
      <c r="N11" s="24"/>
      <c r="O11" s="24">
        <v>3230</v>
      </c>
      <c r="P11" s="24"/>
      <c r="Q11" s="24">
        <f>509+1033</f>
        <v>1542</v>
      </c>
      <c r="R11" s="24"/>
      <c r="S11" s="24">
        <f>4558+35447</f>
        <v>40005</v>
      </c>
      <c r="T11" s="24"/>
      <c r="U11" s="24">
        <v>0</v>
      </c>
      <c r="V11" s="24"/>
      <c r="W11" s="24">
        <v>0</v>
      </c>
      <c r="X11" s="24"/>
      <c r="Y11" s="24">
        <v>0</v>
      </c>
      <c r="Z11" s="24"/>
      <c r="AA11" s="24">
        <f>4000+40496</f>
        <v>44496</v>
      </c>
      <c r="AB11" s="24"/>
      <c r="AC11" s="24">
        <v>0</v>
      </c>
      <c r="AD11" s="24"/>
      <c r="AE11" s="24">
        <v>0</v>
      </c>
      <c r="AF11" s="24"/>
      <c r="AG11" s="24">
        <v>0</v>
      </c>
      <c r="AH11" s="24"/>
      <c r="AI11" s="24">
        <f t="shared" si="0"/>
        <v>259492</v>
      </c>
      <c r="AJ11" s="24"/>
    </row>
    <row r="12" spans="1:42" s="31" customFormat="1" hidden="1">
      <c r="A12" s="15" t="s">
        <v>91</v>
      </c>
      <c r="B12" s="15"/>
      <c r="C12" s="15" t="s">
        <v>778</v>
      </c>
      <c r="D12" s="15"/>
      <c r="E12" s="24">
        <v>0</v>
      </c>
      <c r="F12" s="24"/>
      <c r="G12" s="24">
        <v>0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0</v>
      </c>
      <c r="P12" s="24"/>
      <c r="Q12" s="24">
        <v>0</v>
      </c>
      <c r="R12" s="24"/>
      <c r="S12" s="24">
        <v>0</v>
      </c>
      <c r="T12" s="24"/>
      <c r="U12" s="24">
        <v>0</v>
      </c>
      <c r="V12" s="24"/>
      <c r="W12" s="24">
        <v>0</v>
      </c>
      <c r="X12" s="24"/>
      <c r="Y12" s="24">
        <v>0</v>
      </c>
      <c r="Z12" s="24"/>
      <c r="AA12" s="24">
        <v>0</v>
      </c>
      <c r="AB12" s="24"/>
      <c r="AC12" s="24">
        <v>0</v>
      </c>
      <c r="AD12" s="24"/>
      <c r="AE12" s="24">
        <v>0</v>
      </c>
      <c r="AF12" s="24"/>
      <c r="AG12" s="24">
        <v>0</v>
      </c>
      <c r="AH12" s="24"/>
      <c r="AI12" s="24">
        <f t="shared" si="0"/>
        <v>0</v>
      </c>
      <c r="AJ12" s="24"/>
      <c r="AK12" s="31">
        <f>9946-9889</f>
        <v>57</v>
      </c>
    </row>
    <row r="13" spans="1:42" hidden="1">
      <c r="A13" s="15" t="s">
        <v>210</v>
      </c>
      <c r="C13" s="15" t="s">
        <v>815</v>
      </c>
      <c r="E13" s="24">
        <v>0</v>
      </c>
      <c r="G13" s="24">
        <v>0</v>
      </c>
      <c r="I13" s="24">
        <v>0</v>
      </c>
      <c r="K13" s="24">
        <v>0</v>
      </c>
      <c r="M13" s="24">
        <v>0</v>
      </c>
      <c r="O13" s="24">
        <v>0</v>
      </c>
      <c r="Q13" s="24">
        <v>0</v>
      </c>
      <c r="S13" s="24">
        <v>0</v>
      </c>
      <c r="U13" s="24">
        <v>0</v>
      </c>
      <c r="W13" s="24">
        <v>0</v>
      </c>
      <c r="Y13" s="24">
        <v>0</v>
      </c>
      <c r="AA13" s="24">
        <v>0</v>
      </c>
      <c r="AC13" s="24">
        <v>0</v>
      </c>
      <c r="AE13" s="24">
        <v>0</v>
      </c>
      <c r="AG13" s="24">
        <v>0</v>
      </c>
      <c r="AI13" s="24">
        <f t="shared" si="0"/>
        <v>0</v>
      </c>
      <c r="AJ13" s="24"/>
      <c r="AK13" s="15">
        <f>1803+304+698+309+861+3000</f>
        <v>6975</v>
      </c>
    </row>
    <row r="14" spans="1:42" ht="12.6" hidden="1" customHeight="1">
      <c r="A14" s="15" t="s">
        <v>270</v>
      </c>
      <c r="C14" s="15" t="s">
        <v>271</v>
      </c>
      <c r="E14" s="24">
        <v>0</v>
      </c>
      <c r="G14" s="24">
        <v>0</v>
      </c>
      <c r="I14" s="24">
        <v>0</v>
      </c>
      <c r="K14" s="24">
        <v>0</v>
      </c>
      <c r="M14" s="24">
        <v>0</v>
      </c>
      <c r="O14" s="24">
        <v>0</v>
      </c>
      <c r="Q14" s="24">
        <v>0</v>
      </c>
      <c r="S14" s="24">
        <v>0</v>
      </c>
      <c r="U14" s="24">
        <v>0</v>
      </c>
      <c r="W14" s="24">
        <v>0</v>
      </c>
      <c r="Y14" s="24">
        <v>0</v>
      </c>
      <c r="AA14" s="24">
        <v>0</v>
      </c>
      <c r="AC14" s="24">
        <v>0</v>
      </c>
      <c r="AE14" s="24">
        <v>0</v>
      </c>
      <c r="AG14" s="24">
        <v>0</v>
      </c>
      <c r="AI14" s="24">
        <f t="shared" si="0"/>
        <v>0</v>
      </c>
      <c r="AJ14" s="24"/>
    </row>
    <row r="15" spans="1:42" hidden="1">
      <c r="A15" s="15" t="s">
        <v>129</v>
      </c>
      <c r="C15" s="15" t="s">
        <v>790</v>
      </c>
      <c r="E15" s="24">
        <v>0</v>
      </c>
      <c r="G15" s="24">
        <v>0</v>
      </c>
      <c r="I15" s="24">
        <v>0</v>
      </c>
      <c r="K15" s="24">
        <v>0</v>
      </c>
      <c r="M15" s="24">
        <v>0</v>
      </c>
      <c r="O15" s="24">
        <v>0</v>
      </c>
      <c r="Q15" s="24">
        <v>0</v>
      </c>
      <c r="S15" s="24">
        <v>0</v>
      </c>
      <c r="U15" s="24">
        <v>0</v>
      </c>
      <c r="W15" s="24">
        <v>0</v>
      </c>
      <c r="Y15" s="24">
        <v>0</v>
      </c>
      <c r="AA15" s="24">
        <v>0</v>
      </c>
      <c r="AC15" s="24">
        <v>0</v>
      </c>
      <c r="AE15" s="24">
        <v>0</v>
      </c>
      <c r="AG15" s="24">
        <v>0</v>
      </c>
      <c r="AI15" s="24">
        <f t="shared" si="0"/>
        <v>0</v>
      </c>
      <c r="AJ15" s="24"/>
    </row>
    <row r="16" spans="1:42" s="31" customFormat="1" hidden="1">
      <c r="A16" s="15" t="s">
        <v>715</v>
      </c>
      <c r="B16" s="15"/>
      <c r="C16" s="15" t="s">
        <v>396</v>
      </c>
      <c r="D16" s="15"/>
      <c r="E16" s="24">
        <v>0</v>
      </c>
      <c r="F16" s="24"/>
      <c r="G16" s="24">
        <v>0</v>
      </c>
      <c r="H16" s="24"/>
      <c r="I16" s="24">
        <v>0</v>
      </c>
      <c r="J16" s="24"/>
      <c r="K16" s="24">
        <v>0</v>
      </c>
      <c r="L16" s="24"/>
      <c r="M16" s="24">
        <v>0</v>
      </c>
      <c r="N16" s="24"/>
      <c r="O16" s="24">
        <v>0</v>
      </c>
      <c r="P16" s="24"/>
      <c r="Q16" s="24">
        <v>0</v>
      </c>
      <c r="R16" s="24"/>
      <c r="S16" s="24">
        <v>0</v>
      </c>
      <c r="T16" s="24"/>
      <c r="U16" s="24">
        <v>0</v>
      </c>
      <c r="V16" s="24"/>
      <c r="W16" s="24">
        <v>0</v>
      </c>
      <c r="X16" s="24"/>
      <c r="Y16" s="24">
        <v>0</v>
      </c>
      <c r="Z16" s="24"/>
      <c r="AA16" s="24">
        <v>0</v>
      </c>
      <c r="AB16" s="24"/>
      <c r="AC16" s="24">
        <v>0</v>
      </c>
      <c r="AD16" s="24"/>
      <c r="AE16" s="24">
        <v>0</v>
      </c>
      <c r="AF16" s="24"/>
      <c r="AG16" s="24">
        <v>0</v>
      </c>
      <c r="AH16" s="24"/>
      <c r="AI16" s="24">
        <f t="shared" si="0"/>
        <v>0</v>
      </c>
      <c r="AJ16" s="24"/>
    </row>
    <row r="17" spans="1:42" hidden="1">
      <c r="A17" s="15" t="s">
        <v>251</v>
      </c>
      <c r="C17" s="15" t="s">
        <v>829</v>
      </c>
      <c r="E17" s="24">
        <v>0</v>
      </c>
      <c r="G17" s="24">
        <v>0</v>
      </c>
      <c r="I17" s="24">
        <v>0</v>
      </c>
      <c r="K17" s="24">
        <v>0</v>
      </c>
      <c r="M17" s="24">
        <v>0</v>
      </c>
      <c r="O17" s="24">
        <v>0</v>
      </c>
      <c r="Q17" s="24">
        <v>0</v>
      </c>
      <c r="S17" s="24">
        <v>0</v>
      </c>
      <c r="U17" s="24">
        <v>0</v>
      </c>
      <c r="W17" s="24">
        <v>0</v>
      </c>
      <c r="Y17" s="24">
        <v>0</v>
      </c>
      <c r="AA17" s="24">
        <v>0</v>
      </c>
      <c r="AC17" s="24">
        <v>0</v>
      </c>
      <c r="AE17" s="24">
        <v>0</v>
      </c>
      <c r="AG17" s="24">
        <v>0</v>
      </c>
      <c r="AI17" s="24">
        <f t="shared" si="0"/>
        <v>0</v>
      </c>
      <c r="AJ17" s="24"/>
    </row>
    <row r="18" spans="1:42" s="31" customFormat="1" ht="12.6" hidden="1" customHeight="1">
      <c r="A18" s="15" t="s">
        <v>671</v>
      </c>
      <c r="B18" s="15"/>
      <c r="C18" s="15" t="s">
        <v>350</v>
      </c>
      <c r="D18" s="15"/>
      <c r="E18" s="24">
        <v>0</v>
      </c>
      <c r="F18" s="24"/>
      <c r="G18" s="24">
        <v>0</v>
      </c>
      <c r="H18" s="24"/>
      <c r="I18" s="24">
        <v>0</v>
      </c>
      <c r="J18" s="24"/>
      <c r="K18" s="24">
        <v>0</v>
      </c>
      <c r="L18" s="24"/>
      <c r="M18" s="24">
        <v>0</v>
      </c>
      <c r="N18" s="24"/>
      <c r="O18" s="24">
        <v>0</v>
      </c>
      <c r="P18" s="24"/>
      <c r="Q18" s="24">
        <v>0</v>
      </c>
      <c r="R18" s="24"/>
      <c r="S18" s="24">
        <v>0</v>
      </c>
      <c r="T18" s="24"/>
      <c r="U18" s="24">
        <v>0</v>
      </c>
      <c r="V18" s="24"/>
      <c r="W18" s="24">
        <v>0</v>
      </c>
      <c r="X18" s="24"/>
      <c r="Y18" s="24">
        <v>0</v>
      </c>
      <c r="Z18" s="24"/>
      <c r="AA18" s="24">
        <v>0</v>
      </c>
      <c r="AB18" s="24"/>
      <c r="AC18" s="24">
        <v>0</v>
      </c>
      <c r="AD18" s="24"/>
      <c r="AE18" s="24">
        <v>0</v>
      </c>
      <c r="AF18" s="24"/>
      <c r="AG18" s="24">
        <v>0</v>
      </c>
      <c r="AH18" s="24"/>
      <c r="AI18" s="24">
        <f t="shared" si="0"/>
        <v>0</v>
      </c>
      <c r="AJ18" s="24"/>
      <c r="AK18" s="32"/>
      <c r="AL18" s="32"/>
      <c r="AM18" s="32"/>
      <c r="AN18" s="32"/>
      <c r="AO18" s="32"/>
      <c r="AP18" s="32"/>
    </row>
    <row r="19" spans="1:42" s="31" customFormat="1">
      <c r="A19" s="15" t="s">
        <v>377</v>
      </c>
      <c r="B19" s="15"/>
      <c r="C19" s="15" t="s">
        <v>378</v>
      </c>
      <c r="D19" s="15"/>
      <c r="E19" s="24">
        <v>1280092</v>
      </c>
      <c r="F19" s="24"/>
      <c r="G19" s="24">
        <v>2396271</v>
      </c>
      <c r="H19" s="24"/>
      <c r="I19" s="24">
        <f>186659+348027</f>
        <v>534686</v>
      </c>
      <c r="J19" s="24"/>
      <c r="K19" s="24">
        <v>0</v>
      </c>
      <c r="L19" s="24"/>
      <c r="M19" s="24">
        <v>27834</v>
      </c>
      <c r="N19" s="24"/>
      <c r="O19" s="24">
        <f>4752+194561</f>
        <v>199313</v>
      </c>
      <c r="P19" s="24"/>
      <c r="Q19" s="24">
        <v>352390</v>
      </c>
      <c r="R19" s="24"/>
      <c r="S19" s="24">
        <f>54077+20282</f>
        <v>74359</v>
      </c>
      <c r="T19" s="24"/>
      <c r="U19" s="24">
        <v>6030720</v>
      </c>
      <c r="V19" s="24"/>
      <c r="W19" s="24">
        <v>0</v>
      </c>
      <c r="X19" s="24"/>
      <c r="Y19" s="24">
        <v>0</v>
      </c>
      <c r="Z19" s="24"/>
      <c r="AA19" s="24">
        <f>175000+501000+270000</f>
        <v>946000</v>
      </c>
      <c r="AB19" s="24"/>
      <c r="AC19" s="24">
        <v>0</v>
      </c>
      <c r="AD19" s="24"/>
      <c r="AE19" s="24">
        <v>0</v>
      </c>
      <c r="AF19" s="24"/>
      <c r="AG19" s="24">
        <v>0</v>
      </c>
      <c r="AH19" s="24"/>
      <c r="AI19" s="24">
        <f t="shared" si="0"/>
        <v>11841665</v>
      </c>
      <c r="AJ19" s="24"/>
    </row>
    <row r="20" spans="1:42" ht="12.6" hidden="1" customHeight="1">
      <c r="A20" s="15" t="s">
        <v>36</v>
      </c>
      <c r="C20" s="15" t="s">
        <v>761</v>
      </c>
      <c r="E20" s="24">
        <v>0</v>
      </c>
      <c r="G20" s="24">
        <v>0</v>
      </c>
      <c r="I20" s="24">
        <v>0</v>
      </c>
      <c r="K20" s="24">
        <v>0</v>
      </c>
      <c r="M20" s="24">
        <v>0</v>
      </c>
      <c r="O20" s="24">
        <v>0</v>
      </c>
      <c r="Q20" s="24">
        <v>0</v>
      </c>
      <c r="S20" s="24">
        <v>0</v>
      </c>
      <c r="U20" s="24">
        <v>0</v>
      </c>
      <c r="W20" s="24">
        <v>0</v>
      </c>
      <c r="Y20" s="24">
        <v>0</v>
      </c>
      <c r="AA20" s="24">
        <v>0</v>
      </c>
      <c r="AC20" s="24">
        <v>0</v>
      </c>
      <c r="AE20" s="24">
        <v>0</v>
      </c>
      <c r="AG20" s="24">
        <v>0</v>
      </c>
      <c r="AI20" s="24">
        <f t="shared" si="0"/>
        <v>0</v>
      </c>
      <c r="AJ20" s="24"/>
    </row>
    <row r="21" spans="1:42" ht="12.6" hidden="1" customHeight="1">
      <c r="A21" s="15" t="s">
        <v>9</v>
      </c>
      <c r="C21" s="15" t="s">
        <v>753</v>
      </c>
      <c r="E21" s="24">
        <v>0</v>
      </c>
      <c r="G21" s="24">
        <v>0</v>
      </c>
      <c r="I21" s="24">
        <v>0</v>
      </c>
      <c r="K21" s="24">
        <v>0</v>
      </c>
      <c r="M21" s="24">
        <v>0</v>
      </c>
      <c r="O21" s="24">
        <v>0</v>
      </c>
      <c r="Q21" s="24">
        <v>0</v>
      </c>
      <c r="S21" s="24">
        <v>0</v>
      </c>
      <c r="U21" s="24">
        <v>0</v>
      </c>
      <c r="W21" s="24">
        <v>0</v>
      </c>
      <c r="Y21" s="24">
        <v>0</v>
      </c>
      <c r="AA21" s="24">
        <v>0</v>
      </c>
      <c r="AC21" s="24">
        <v>0</v>
      </c>
      <c r="AE21" s="24">
        <v>0</v>
      </c>
      <c r="AG21" s="24">
        <v>0</v>
      </c>
      <c r="AI21" s="24">
        <f t="shared" si="0"/>
        <v>0</v>
      </c>
      <c r="AJ21" s="24"/>
    </row>
    <row r="22" spans="1:42">
      <c r="A22" s="15" t="s">
        <v>421</v>
      </c>
      <c r="C22" s="15" t="s">
        <v>420</v>
      </c>
      <c r="E22" s="24">
        <f>14545+18528</f>
        <v>33073</v>
      </c>
      <c r="G22" s="24">
        <v>0</v>
      </c>
      <c r="I22" s="24">
        <f>24676.21+61847</f>
        <v>86523.209999999992</v>
      </c>
      <c r="K22" s="24">
        <v>0</v>
      </c>
      <c r="M22" s="24">
        <v>0</v>
      </c>
      <c r="O22" s="24">
        <v>21902</v>
      </c>
      <c r="Q22" s="24">
        <v>1190</v>
      </c>
      <c r="S22" s="24">
        <v>7662</v>
      </c>
      <c r="U22" s="24">
        <v>0</v>
      </c>
      <c r="W22" s="24">
        <v>0</v>
      </c>
      <c r="Y22" s="24">
        <v>0</v>
      </c>
      <c r="AA22" s="24">
        <v>500</v>
      </c>
      <c r="AC22" s="24">
        <v>0</v>
      </c>
      <c r="AE22" s="24">
        <v>0</v>
      </c>
      <c r="AG22" s="24">
        <v>0</v>
      </c>
      <c r="AI22" s="24">
        <f t="shared" si="0"/>
        <v>150850.21</v>
      </c>
      <c r="AJ22" s="24"/>
    </row>
    <row r="23" spans="1:42" hidden="1">
      <c r="A23" s="15" t="s">
        <v>221</v>
      </c>
      <c r="C23" s="15" t="s">
        <v>819</v>
      </c>
      <c r="E23" s="24">
        <v>0</v>
      </c>
      <c r="G23" s="24">
        <v>0</v>
      </c>
      <c r="I23" s="24">
        <v>0</v>
      </c>
      <c r="K23" s="24">
        <v>0</v>
      </c>
      <c r="M23" s="24">
        <v>0</v>
      </c>
      <c r="O23" s="24">
        <v>0</v>
      </c>
      <c r="Q23" s="24">
        <v>0</v>
      </c>
      <c r="S23" s="24">
        <v>0</v>
      </c>
      <c r="U23" s="24">
        <v>0</v>
      </c>
      <c r="W23" s="24">
        <v>0</v>
      </c>
      <c r="Y23" s="24">
        <v>0</v>
      </c>
      <c r="AA23" s="24">
        <v>0</v>
      </c>
      <c r="AC23" s="24">
        <v>0</v>
      </c>
      <c r="AE23" s="24">
        <v>0</v>
      </c>
      <c r="AG23" s="24">
        <v>0</v>
      </c>
      <c r="AI23" s="24">
        <f t="shared" si="0"/>
        <v>0</v>
      </c>
      <c r="AJ23" s="24"/>
    </row>
    <row r="24" spans="1:42" ht="12.6" customHeight="1">
      <c r="A24" s="15" t="s">
        <v>328</v>
      </c>
      <c r="C24" s="15" t="s">
        <v>329</v>
      </c>
      <c r="E24" s="24">
        <v>85824</v>
      </c>
      <c r="G24" s="24">
        <v>151013</v>
      </c>
      <c r="I24" s="24">
        <f>65951+46091+159871</f>
        <v>271913</v>
      </c>
      <c r="K24" s="24">
        <v>86504</v>
      </c>
      <c r="M24" s="24">
        <f>8476+37904</f>
        <v>46380</v>
      </c>
      <c r="O24" s="24">
        <f>220+1009</f>
        <v>1229</v>
      </c>
      <c r="Q24" s="24">
        <f>3205+38</f>
        <v>3243</v>
      </c>
      <c r="S24" s="24">
        <f>28351+6125</f>
        <v>34476</v>
      </c>
      <c r="U24" s="24">
        <v>150000</v>
      </c>
      <c r="W24" s="24">
        <v>0</v>
      </c>
      <c r="Y24" s="24">
        <v>0</v>
      </c>
      <c r="AA24" s="24">
        <f>13204+38799</f>
        <v>52003</v>
      </c>
      <c r="AC24" s="24">
        <v>0</v>
      </c>
      <c r="AE24" s="24">
        <v>0</v>
      </c>
      <c r="AG24" s="24">
        <v>0</v>
      </c>
      <c r="AI24" s="24">
        <f t="shared" si="0"/>
        <v>882585</v>
      </c>
      <c r="AJ24" s="24"/>
      <c r="AK24" s="30"/>
      <c r="AL24" s="30"/>
      <c r="AM24" s="30"/>
      <c r="AN24" s="30"/>
      <c r="AO24" s="30"/>
      <c r="AP24" s="30"/>
    </row>
    <row r="25" spans="1:42" s="31" customFormat="1">
      <c r="A25" s="15" t="s">
        <v>476</v>
      </c>
      <c r="B25" s="15"/>
      <c r="C25" s="15" t="s">
        <v>477</v>
      </c>
      <c r="D25" s="15"/>
      <c r="E25" s="24">
        <v>4326</v>
      </c>
      <c r="F25" s="24"/>
      <c r="G25" s="24">
        <v>0</v>
      </c>
      <c r="H25" s="24"/>
      <c r="I25" s="24">
        <f>4552+2391</f>
        <v>6943</v>
      </c>
      <c r="J25" s="24"/>
      <c r="K25" s="24">
        <v>0</v>
      </c>
      <c r="L25" s="24"/>
      <c r="M25" s="24">
        <v>0</v>
      </c>
      <c r="N25" s="24"/>
      <c r="O25" s="24">
        <v>0</v>
      </c>
      <c r="P25" s="24"/>
      <c r="Q25" s="24">
        <v>672</v>
      </c>
      <c r="R25" s="24"/>
      <c r="S25" s="24">
        <v>1720</v>
      </c>
      <c r="T25" s="24"/>
      <c r="U25" s="24">
        <v>0</v>
      </c>
      <c r="V25" s="24"/>
      <c r="W25" s="24">
        <v>0</v>
      </c>
      <c r="X25" s="24"/>
      <c r="Y25" s="24">
        <v>0</v>
      </c>
      <c r="Z25" s="24"/>
      <c r="AA25" s="24">
        <v>0</v>
      </c>
      <c r="AB25" s="24"/>
      <c r="AC25" s="24">
        <v>0</v>
      </c>
      <c r="AD25" s="24"/>
      <c r="AE25" s="24">
        <v>0</v>
      </c>
      <c r="AF25" s="24"/>
      <c r="AG25" s="24">
        <v>0</v>
      </c>
      <c r="AH25" s="24"/>
      <c r="AI25" s="24">
        <f t="shared" si="0"/>
        <v>13661</v>
      </c>
      <c r="AJ25" s="24"/>
    </row>
    <row r="26" spans="1:42" s="31" customFormat="1">
      <c r="A26" s="15" t="s">
        <v>499</v>
      </c>
      <c r="B26" s="15"/>
      <c r="C26" s="15" t="s">
        <v>500</v>
      </c>
      <c r="D26" s="15"/>
      <c r="E26" s="24">
        <f>46898+130842</f>
        <v>177740</v>
      </c>
      <c r="F26" s="24"/>
      <c r="G26" s="24">
        <f>256692+247</f>
        <v>256939</v>
      </c>
      <c r="H26" s="24"/>
      <c r="I26" s="24">
        <f>114893+126995+58047</f>
        <v>299935</v>
      </c>
      <c r="J26" s="24"/>
      <c r="K26" s="24">
        <v>26055</v>
      </c>
      <c r="L26" s="24"/>
      <c r="M26" s="24">
        <v>109626</v>
      </c>
      <c r="N26" s="24"/>
      <c r="O26" s="24">
        <f>77146+2871</f>
        <v>80017</v>
      </c>
      <c r="P26" s="24"/>
      <c r="Q26" s="24">
        <f>2069+1209</f>
        <v>3278</v>
      </c>
      <c r="R26" s="24"/>
      <c r="S26" s="24">
        <f>2402+2194</f>
        <v>4596</v>
      </c>
      <c r="T26" s="24"/>
      <c r="U26" s="24">
        <v>0</v>
      </c>
      <c r="V26" s="24"/>
      <c r="W26" s="24">
        <v>140061</v>
      </c>
      <c r="X26" s="24"/>
      <c r="Y26" s="24">
        <v>0</v>
      </c>
      <c r="Z26" s="24"/>
      <c r="AA26" s="24">
        <f>196420+9405</f>
        <v>205825</v>
      </c>
      <c r="AB26" s="24"/>
      <c r="AC26" s="24">
        <v>0</v>
      </c>
      <c r="AD26" s="24"/>
      <c r="AE26" s="24">
        <v>0</v>
      </c>
      <c r="AF26" s="24"/>
      <c r="AG26" s="24">
        <v>0</v>
      </c>
      <c r="AH26" s="24"/>
      <c r="AI26" s="24">
        <f t="shared" si="0"/>
        <v>1304072</v>
      </c>
      <c r="AJ26" s="24"/>
    </row>
    <row r="27" spans="1:42" s="31" customFormat="1">
      <c r="A27" s="15" t="s">
        <v>592</v>
      </c>
      <c r="B27" s="15"/>
      <c r="C27" s="15" t="s">
        <v>593</v>
      </c>
      <c r="D27" s="15"/>
      <c r="E27" s="24">
        <v>47105</v>
      </c>
      <c r="F27" s="24"/>
      <c r="G27" s="24">
        <v>193574</v>
      </c>
      <c r="H27" s="24"/>
      <c r="I27" s="24">
        <v>34854</v>
      </c>
      <c r="J27" s="24"/>
      <c r="K27" s="24">
        <v>0</v>
      </c>
      <c r="L27" s="24"/>
      <c r="M27" s="24">
        <v>0</v>
      </c>
      <c r="N27" s="24"/>
      <c r="O27" s="24">
        <v>2828</v>
      </c>
      <c r="P27" s="24"/>
      <c r="Q27" s="24">
        <v>17900</v>
      </c>
      <c r="R27" s="24"/>
      <c r="S27" s="24">
        <v>8186</v>
      </c>
      <c r="T27" s="24"/>
      <c r="U27" s="24">
        <v>0</v>
      </c>
      <c r="V27" s="24"/>
      <c r="W27" s="24">
        <v>0</v>
      </c>
      <c r="X27" s="24"/>
      <c r="Y27" s="24">
        <v>0</v>
      </c>
      <c r="Z27" s="24"/>
      <c r="AA27" s="24">
        <v>0</v>
      </c>
      <c r="AB27" s="24"/>
      <c r="AC27" s="24">
        <v>50000</v>
      </c>
      <c r="AD27" s="24"/>
      <c r="AE27" s="24">
        <v>0</v>
      </c>
      <c r="AF27" s="24"/>
      <c r="AG27" s="24">
        <v>0</v>
      </c>
      <c r="AH27" s="24"/>
      <c r="AI27" s="24">
        <f t="shared" si="0"/>
        <v>354447</v>
      </c>
      <c r="AJ27" s="24"/>
    </row>
    <row r="28" spans="1:42" s="31" customFormat="1" ht="12.6" hidden="1" customHeight="1">
      <c r="A28" s="15" t="s">
        <v>716</v>
      </c>
      <c r="B28" s="15"/>
      <c r="C28" s="15" t="s">
        <v>368</v>
      </c>
      <c r="D28" s="15"/>
      <c r="E28" s="24">
        <v>0</v>
      </c>
      <c r="F28" s="24"/>
      <c r="G28" s="24">
        <v>0</v>
      </c>
      <c r="H28" s="24"/>
      <c r="I28" s="24">
        <v>0</v>
      </c>
      <c r="J28" s="24"/>
      <c r="K28" s="24">
        <v>0</v>
      </c>
      <c r="L28" s="24"/>
      <c r="M28" s="24">
        <v>0</v>
      </c>
      <c r="N28" s="24"/>
      <c r="O28" s="24">
        <v>0</v>
      </c>
      <c r="P28" s="24"/>
      <c r="Q28" s="24">
        <v>0</v>
      </c>
      <c r="R28" s="24"/>
      <c r="S28" s="24">
        <v>0</v>
      </c>
      <c r="T28" s="24"/>
      <c r="U28" s="24">
        <v>0</v>
      </c>
      <c r="V28" s="24"/>
      <c r="W28" s="24">
        <v>0</v>
      </c>
      <c r="X28" s="24"/>
      <c r="Y28" s="24">
        <v>0</v>
      </c>
      <c r="Z28" s="24"/>
      <c r="AA28" s="24">
        <v>0</v>
      </c>
      <c r="AB28" s="24"/>
      <c r="AC28" s="24">
        <v>0</v>
      </c>
      <c r="AD28" s="24"/>
      <c r="AE28" s="24">
        <v>0</v>
      </c>
      <c r="AF28" s="24"/>
      <c r="AG28" s="24">
        <v>0</v>
      </c>
      <c r="AH28" s="24"/>
      <c r="AI28" s="24">
        <f t="shared" si="0"/>
        <v>0</v>
      </c>
      <c r="AJ28" s="24"/>
    </row>
    <row r="29" spans="1:42" s="31" customFormat="1" hidden="1">
      <c r="A29" s="15" t="s">
        <v>387</v>
      </c>
      <c r="B29" s="15"/>
      <c r="C29" s="15" t="s">
        <v>388</v>
      </c>
      <c r="D29" s="15"/>
      <c r="E29" s="24">
        <v>0</v>
      </c>
      <c r="F29" s="24"/>
      <c r="G29" s="24">
        <v>0</v>
      </c>
      <c r="H29" s="24"/>
      <c r="I29" s="24">
        <v>0</v>
      </c>
      <c r="J29" s="24"/>
      <c r="K29" s="24">
        <v>0</v>
      </c>
      <c r="L29" s="24"/>
      <c r="M29" s="24">
        <v>0</v>
      </c>
      <c r="N29" s="24"/>
      <c r="O29" s="24">
        <v>0</v>
      </c>
      <c r="P29" s="24"/>
      <c r="Q29" s="24">
        <v>0</v>
      </c>
      <c r="R29" s="24"/>
      <c r="S29" s="24">
        <v>0</v>
      </c>
      <c r="T29" s="24"/>
      <c r="U29" s="24">
        <v>0</v>
      </c>
      <c r="V29" s="24"/>
      <c r="W29" s="24">
        <v>0</v>
      </c>
      <c r="X29" s="24"/>
      <c r="Y29" s="24">
        <v>0</v>
      </c>
      <c r="Z29" s="24"/>
      <c r="AA29" s="24">
        <v>0</v>
      </c>
      <c r="AB29" s="24"/>
      <c r="AC29" s="24">
        <v>0</v>
      </c>
      <c r="AD29" s="24"/>
      <c r="AE29" s="24">
        <v>0</v>
      </c>
      <c r="AF29" s="24"/>
      <c r="AG29" s="24">
        <v>0</v>
      </c>
      <c r="AH29" s="24"/>
      <c r="AI29" s="24">
        <f t="shared" si="0"/>
        <v>0</v>
      </c>
      <c r="AJ29" s="24"/>
    </row>
    <row r="30" spans="1:42" s="31" customFormat="1" ht="12.6" customHeight="1">
      <c r="A30" s="15" t="s">
        <v>330</v>
      </c>
      <c r="B30" s="15"/>
      <c r="C30" s="15" t="s">
        <v>329</v>
      </c>
      <c r="D30" s="15"/>
      <c r="E30" s="24">
        <f>67130+49014</f>
        <v>116144</v>
      </c>
      <c r="F30" s="24"/>
      <c r="G30" s="24">
        <v>276543</v>
      </c>
      <c r="H30" s="24"/>
      <c r="I30" s="24">
        <f>178916+95407+48611</f>
        <v>322934</v>
      </c>
      <c r="J30" s="24"/>
      <c r="K30" s="24">
        <v>0</v>
      </c>
      <c r="L30" s="24"/>
      <c r="M30" s="24">
        <f>1215+81178</f>
        <v>82393</v>
      </c>
      <c r="N30" s="24"/>
      <c r="O30" s="24">
        <f>1498+1148</f>
        <v>2646</v>
      </c>
      <c r="P30" s="24"/>
      <c r="Q30" s="24">
        <f>81400+16280+20446</f>
        <v>118126</v>
      </c>
      <c r="R30" s="24"/>
      <c r="S30" s="24">
        <f>15762+26+3359</f>
        <v>19147</v>
      </c>
      <c r="T30" s="24"/>
      <c r="U30" s="24">
        <v>0</v>
      </c>
      <c r="V30" s="24"/>
      <c r="W30" s="24">
        <v>0</v>
      </c>
      <c r="X30" s="24"/>
      <c r="Y30" s="24">
        <v>0</v>
      </c>
      <c r="Z30" s="24"/>
      <c r="AA30" s="24">
        <f>67961+50000</f>
        <v>117961</v>
      </c>
      <c r="AB30" s="24"/>
      <c r="AC30" s="24">
        <v>50000</v>
      </c>
      <c r="AD30" s="24"/>
      <c r="AE30" s="24">
        <f>24257+100000</f>
        <v>124257</v>
      </c>
      <c r="AF30" s="24"/>
      <c r="AG30" s="24">
        <v>0</v>
      </c>
      <c r="AH30" s="24"/>
      <c r="AI30" s="24">
        <f t="shared" si="0"/>
        <v>1230151</v>
      </c>
      <c r="AJ30" s="24"/>
      <c r="AK30" s="32"/>
      <c r="AL30" s="32"/>
      <c r="AM30" s="32"/>
      <c r="AN30" s="32"/>
      <c r="AO30" s="32"/>
      <c r="AP30" s="32"/>
    </row>
    <row r="31" spans="1:42" s="31" customFormat="1">
      <c r="A31" s="15" t="s">
        <v>357</v>
      </c>
      <c r="B31" s="15"/>
      <c r="C31" s="15" t="s">
        <v>358</v>
      </c>
      <c r="D31" s="15"/>
      <c r="E31" s="24">
        <v>1007215</v>
      </c>
      <c r="F31" s="24"/>
      <c r="G31" s="24">
        <f>3485256+700841</f>
        <v>4186097</v>
      </c>
      <c r="H31" s="24"/>
      <c r="I31" s="24">
        <f>403075+265133</f>
        <v>668208</v>
      </c>
      <c r="J31" s="24"/>
      <c r="K31" s="24">
        <f>297118+6590</f>
        <v>303708</v>
      </c>
      <c r="L31" s="24"/>
      <c r="M31" s="24">
        <f>522857+126575</f>
        <v>649432</v>
      </c>
      <c r="N31" s="24"/>
      <c r="O31" s="24">
        <v>15105</v>
      </c>
      <c r="P31" s="24"/>
      <c r="Q31" s="24">
        <f>80099+3410+103107</f>
        <v>186616</v>
      </c>
      <c r="R31" s="24"/>
      <c r="S31" s="24">
        <f>50174+37064+86437</f>
        <v>173675</v>
      </c>
      <c r="T31" s="24"/>
      <c r="U31" s="24">
        <v>0</v>
      </c>
      <c r="V31" s="24"/>
      <c r="W31" s="24">
        <f>2450000+5578</f>
        <v>2455578</v>
      </c>
      <c r="X31" s="24"/>
      <c r="Y31" s="24">
        <v>0</v>
      </c>
      <c r="Z31" s="24"/>
      <c r="AA31" s="24">
        <f>350000+2900000</f>
        <v>3250000</v>
      </c>
      <c r="AB31" s="24"/>
      <c r="AC31" s="24">
        <v>0</v>
      </c>
      <c r="AD31" s="24"/>
      <c r="AE31" s="24">
        <f>310494+53829</f>
        <v>364323</v>
      </c>
      <c r="AF31" s="24"/>
      <c r="AG31" s="24">
        <v>0</v>
      </c>
      <c r="AH31" s="24"/>
      <c r="AI31" s="24">
        <f t="shared" si="0"/>
        <v>13259957</v>
      </c>
      <c r="AJ31" s="24"/>
    </row>
    <row r="32" spans="1:42">
      <c r="A32" s="15" t="s">
        <v>98</v>
      </c>
      <c r="C32" s="15" t="s">
        <v>779</v>
      </c>
      <c r="E32" s="24">
        <f>50121+42938</f>
        <v>93059</v>
      </c>
      <c r="G32" s="24">
        <v>161369</v>
      </c>
      <c r="I32" s="24">
        <f>56222+150623</f>
        <v>206845</v>
      </c>
      <c r="K32" s="24">
        <v>60771</v>
      </c>
      <c r="M32" s="24">
        <f>250+28246</f>
        <v>28496</v>
      </c>
      <c r="O32" s="24">
        <v>958</v>
      </c>
      <c r="Q32" s="24">
        <f>27230+1500</f>
        <v>28730</v>
      </c>
      <c r="S32" s="24">
        <f>10525+15+250</f>
        <v>10790</v>
      </c>
      <c r="U32" s="24">
        <v>0</v>
      </c>
      <c r="W32" s="24">
        <v>0</v>
      </c>
      <c r="Y32" s="24">
        <v>0</v>
      </c>
      <c r="AA32" s="24">
        <v>164000</v>
      </c>
      <c r="AC32" s="24">
        <f>5500+5000</f>
        <v>10500</v>
      </c>
      <c r="AE32" s="24">
        <f>7843+1829</f>
        <v>9672</v>
      </c>
      <c r="AG32" s="24">
        <v>0</v>
      </c>
      <c r="AI32" s="24">
        <f t="shared" si="0"/>
        <v>775190</v>
      </c>
      <c r="AJ32" s="24"/>
    </row>
    <row r="33" spans="1:42" s="31" customFormat="1">
      <c r="A33" s="15" t="s">
        <v>379</v>
      </c>
      <c r="B33" s="15"/>
      <c r="C33" s="15" t="s">
        <v>378</v>
      </c>
      <c r="D33" s="15"/>
      <c r="E33" s="24">
        <f>528123+48383</f>
        <v>576506</v>
      </c>
      <c r="F33" s="24"/>
      <c r="G33" s="24">
        <v>0</v>
      </c>
      <c r="H33" s="24"/>
      <c r="I33" s="24">
        <f>25214+97813</f>
        <v>123027</v>
      </c>
      <c r="J33" s="24"/>
      <c r="K33" s="24">
        <v>0</v>
      </c>
      <c r="L33" s="24"/>
      <c r="M33" s="24">
        <v>106263</v>
      </c>
      <c r="N33" s="24"/>
      <c r="O33" s="24">
        <f>197537+36712</f>
        <v>234249</v>
      </c>
      <c r="P33" s="24"/>
      <c r="Q33" s="24">
        <v>0</v>
      </c>
      <c r="R33" s="24"/>
      <c r="S33" s="24">
        <f>10021+4349</f>
        <v>14370</v>
      </c>
      <c r="T33" s="24"/>
      <c r="U33" s="24">
        <v>0</v>
      </c>
      <c r="V33" s="24"/>
      <c r="W33" s="24">
        <v>0</v>
      </c>
      <c r="X33" s="24"/>
      <c r="Y33" s="24">
        <v>990</v>
      </c>
      <c r="Z33" s="24"/>
      <c r="AA33" s="24">
        <v>0</v>
      </c>
      <c r="AB33" s="24"/>
      <c r="AC33" s="24">
        <v>0</v>
      </c>
      <c r="AD33" s="24"/>
      <c r="AE33" s="24">
        <v>0</v>
      </c>
      <c r="AF33" s="24"/>
      <c r="AG33" s="24">
        <v>0</v>
      </c>
      <c r="AH33" s="24"/>
      <c r="AI33" s="24">
        <f t="shared" si="0"/>
        <v>1055405</v>
      </c>
      <c r="AJ33" s="24"/>
    </row>
    <row r="34" spans="1:42" hidden="1">
      <c r="A34" s="15" t="s">
        <v>854</v>
      </c>
      <c r="C34" s="15" t="s">
        <v>809</v>
      </c>
      <c r="E34" s="24">
        <v>0</v>
      </c>
      <c r="G34" s="24">
        <v>0</v>
      </c>
      <c r="I34" s="24">
        <v>0</v>
      </c>
      <c r="K34" s="24">
        <v>0</v>
      </c>
      <c r="M34" s="24">
        <v>0</v>
      </c>
      <c r="O34" s="24">
        <v>0</v>
      </c>
      <c r="Q34" s="24">
        <v>0</v>
      </c>
      <c r="S34" s="24">
        <v>0</v>
      </c>
      <c r="U34" s="24">
        <v>0</v>
      </c>
      <c r="W34" s="24">
        <v>0</v>
      </c>
      <c r="Y34" s="24">
        <v>0</v>
      </c>
      <c r="AA34" s="24">
        <v>0</v>
      </c>
      <c r="AC34" s="24">
        <v>0</v>
      </c>
      <c r="AE34" s="24">
        <v>0</v>
      </c>
      <c r="AG34" s="24">
        <v>0</v>
      </c>
      <c r="AI34" s="24">
        <f t="shared" si="0"/>
        <v>0</v>
      </c>
      <c r="AJ34" s="24"/>
    </row>
    <row r="35" spans="1:42">
      <c r="A35" s="15" t="s">
        <v>899</v>
      </c>
      <c r="C35" s="15" t="s">
        <v>437</v>
      </c>
      <c r="E35" s="24">
        <f>3921+12445</f>
        <v>16366</v>
      </c>
      <c r="G35" s="24">
        <v>0</v>
      </c>
      <c r="I35" s="24">
        <v>18117</v>
      </c>
      <c r="K35" s="24">
        <v>0</v>
      </c>
      <c r="M35" s="24">
        <v>0</v>
      </c>
      <c r="O35" s="24">
        <v>0</v>
      </c>
      <c r="Q35" s="24">
        <v>37</v>
      </c>
      <c r="S35" s="24">
        <f>3619+2597</f>
        <v>6216</v>
      </c>
      <c r="U35" s="24">
        <v>0</v>
      </c>
      <c r="W35" s="24">
        <v>0</v>
      </c>
      <c r="Y35" s="24">
        <v>0</v>
      </c>
      <c r="AA35" s="24">
        <v>0</v>
      </c>
      <c r="AC35" s="24">
        <v>0</v>
      </c>
      <c r="AE35" s="24">
        <v>0</v>
      </c>
      <c r="AG35" s="24">
        <v>0</v>
      </c>
      <c r="AI35" s="24">
        <f t="shared" si="0"/>
        <v>40736</v>
      </c>
      <c r="AJ35" s="24"/>
    </row>
    <row r="36" spans="1:42" hidden="1">
      <c r="A36" s="15" t="s">
        <v>218</v>
      </c>
      <c r="C36" s="15" t="s">
        <v>818</v>
      </c>
      <c r="E36" s="24">
        <v>0</v>
      </c>
      <c r="G36" s="24">
        <v>0</v>
      </c>
      <c r="I36" s="24">
        <v>0</v>
      </c>
      <c r="K36" s="24">
        <v>0</v>
      </c>
      <c r="M36" s="24">
        <v>0</v>
      </c>
      <c r="O36" s="24">
        <v>0</v>
      </c>
      <c r="Q36" s="24">
        <v>0</v>
      </c>
      <c r="S36" s="24">
        <v>0</v>
      </c>
      <c r="U36" s="24">
        <v>0</v>
      </c>
      <c r="W36" s="24">
        <v>0</v>
      </c>
      <c r="Y36" s="24">
        <v>0</v>
      </c>
      <c r="AA36" s="24">
        <v>0</v>
      </c>
      <c r="AC36" s="24">
        <v>0</v>
      </c>
      <c r="AE36" s="24">
        <v>0</v>
      </c>
      <c r="AG36" s="24">
        <v>0</v>
      </c>
      <c r="AI36" s="24">
        <f t="shared" si="0"/>
        <v>0</v>
      </c>
      <c r="AJ36" s="24"/>
    </row>
    <row r="37" spans="1:42">
      <c r="A37" s="15" t="s">
        <v>673</v>
      </c>
      <c r="C37" s="15" t="s">
        <v>672</v>
      </c>
      <c r="E37" s="24">
        <v>5360</v>
      </c>
      <c r="G37" s="24">
        <v>0</v>
      </c>
      <c r="I37" s="24">
        <f>49718+18781</f>
        <v>68499</v>
      </c>
      <c r="K37" s="24">
        <v>0</v>
      </c>
      <c r="M37" s="24">
        <v>3000</v>
      </c>
      <c r="O37" s="24">
        <v>2258</v>
      </c>
      <c r="Q37" s="24">
        <v>196</v>
      </c>
      <c r="S37" s="24">
        <v>122</v>
      </c>
      <c r="U37" s="24">
        <v>0</v>
      </c>
      <c r="W37" s="24">
        <v>0</v>
      </c>
      <c r="Y37" s="24">
        <v>0</v>
      </c>
      <c r="AA37" s="24">
        <v>0</v>
      </c>
      <c r="AC37" s="24">
        <v>0</v>
      </c>
      <c r="AE37" s="24">
        <v>0</v>
      </c>
      <c r="AG37" s="24">
        <v>0</v>
      </c>
      <c r="AI37" s="24">
        <f t="shared" si="0"/>
        <v>79435</v>
      </c>
      <c r="AJ37" s="24"/>
    </row>
    <row r="38" spans="1:42" s="31" customFormat="1" hidden="1">
      <c r="A38" s="15" t="s">
        <v>855</v>
      </c>
      <c r="B38" s="15"/>
      <c r="C38" s="15" t="s">
        <v>815</v>
      </c>
      <c r="D38" s="15"/>
      <c r="E38" s="24">
        <v>0</v>
      </c>
      <c r="F38" s="24"/>
      <c r="G38" s="24">
        <v>0</v>
      </c>
      <c r="H38" s="24"/>
      <c r="I38" s="24">
        <v>0</v>
      </c>
      <c r="J38" s="24"/>
      <c r="K38" s="24">
        <v>0</v>
      </c>
      <c r="L38" s="24"/>
      <c r="M38" s="24">
        <v>0</v>
      </c>
      <c r="N38" s="24"/>
      <c r="O38" s="24">
        <v>0</v>
      </c>
      <c r="P38" s="24"/>
      <c r="Q38" s="24">
        <v>0</v>
      </c>
      <c r="R38" s="24"/>
      <c r="S38" s="24">
        <v>0</v>
      </c>
      <c r="T38" s="24"/>
      <c r="U38" s="24">
        <v>0</v>
      </c>
      <c r="V38" s="24"/>
      <c r="W38" s="24">
        <v>0</v>
      </c>
      <c r="X38" s="24"/>
      <c r="Y38" s="24">
        <v>0</v>
      </c>
      <c r="Z38" s="24"/>
      <c r="AA38" s="24">
        <v>0</v>
      </c>
      <c r="AB38" s="24"/>
      <c r="AC38" s="24">
        <v>0</v>
      </c>
      <c r="AD38" s="24"/>
      <c r="AE38" s="24">
        <v>0</v>
      </c>
      <c r="AF38" s="24"/>
      <c r="AG38" s="24">
        <v>0</v>
      </c>
      <c r="AH38" s="24"/>
      <c r="AI38" s="24">
        <f t="shared" si="0"/>
        <v>0</v>
      </c>
      <c r="AJ38" s="24"/>
    </row>
    <row r="39" spans="1:42" s="31" customFormat="1" hidden="1">
      <c r="A39" s="15" t="s">
        <v>605</v>
      </c>
      <c r="B39" s="15"/>
      <c r="C39" s="15" t="s">
        <v>606</v>
      </c>
      <c r="D39" s="15"/>
      <c r="E39" s="24">
        <v>0</v>
      </c>
      <c r="F39" s="24"/>
      <c r="G39" s="24">
        <v>0</v>
      </c>
      <c r="H39" s="24"/>
      <c r="I39" s="24">
        <v>0</v>
      </c>
      <c r="J39" s="24"/>
      <c r="K39" s="24">
        <v>0</v>
      </c>
      <c r="L39" s="24"/>
      <c r="M39" s="24">
        <v>0</v>
      </c>
      <c r="N39" s="24"/>
      <c r="O39" s="24">
        <v>0</v>
      </c>
      <c r="P39" s="24"/>
      <c r="Q39" s="24">
        <v>0</v>
      </c>
      <c r="R39" s="24"/>
      <c r="S39" s="24">
        <v>0</v>
      </c>
      <c r="T39" s="24"/>
      <c r="U39" s="24">
        <v>0</v>
      </c>
      <c r="V39" s="24"/>
      <c r="W39" s="24">
        <v>0</v>
      </c>
      <c r="X39" s="24"/>
      <c r="Y39" s="24">
        <v>0</v>
      </c>
      <c r="Z39" s="24"/>
      <c r="AA39" s="24">
        <v>0</v>
      </c>
      <c r="AB39" s="24"/>
      <c r="AC39" s="24">
        <v>0</v>
      </c>
      <c r="AD39" s="24"/>
      <c r="AE39" s="24">
        <v>0</v>
      </c>
      <c r="AF39" s="24"/>
      <c r="AG39" s="24">
        <v>0</v>
      </c>
      <c r="AH39" s="24"/>
      <c r="AI39" s="24">
        <f t="shared" si="0"/>
        <v>0</v>
      </c>
      <c r="AJ39" s="24"/>
    </row>
    <row r="40" spans="1:42">
      <c r="A40" s="15" t="s">
        <v>564</v>
      </c>
      <c r="C40" s="15" t="s">
        <v>565</v>
      </c>
      <c r="E40" s="24">
        <f>49100+64230</f>
        <v>113330</v>
      </c>
      <c r="G40" s="24">
        <f>62901+154922+15142</f>
        <v>232965</v>
      </c>
      <c r="I40" s="24">
        <f>31016+37495+1951</f>
        <v>70462</v>
      </c>
      <c r="K40" s="24">
        <v>0</v>
      </c>
      <c r="M40" s="24">
        <f>4495+82451</f>
        <v>86946</v>
      </c>
      <c r="O40" s="24">
        <v>1455</v>
      </c>
      <c r="Q40" s="24">
        <f>2277+1818</f>
        <v>4095</v>
      </c>
      <c r="S40" s="24">
        <f>3091+2179+7500</f>
        <v>12770</v>
      </c>
      <c r="U40" s="24">
        <v>0</v>
      </c>
      <c r="W40" s="24">
        <v>5902</v>
      </c>
      <c r="Y40" s="24">
        <v>0</v>
      </c>
      <c r="AA40" s="24">
        <v>0</v>
      </c>
      <c r="AC40" s="24">
        <v>0</v>
      </c>
      <c r="AE40" s="24">
        <f>1009+5582</f>
        <v>6591</v>
      </c>
      <c r="AG40" s="24">
        <v>0</v>
      </c>
      <c r="AI40" s="24">
        <f t="shared" ref="AI40:AI71" si="1">SUM(E40:AG40)</f>
        <v>534516</v>
      </c>
      <c r="AJ40" s="24"/>
      <c r="AM40" s="15">
        <v>282204</v>
      </c>
    </row>
    <row r="41" spans="1:42" s="31" customFormat="1" ht="12.6" customHeight="1">
      <c r="A41" s="15" t="s">
        <v>349</v>
      </c>
      <c r="B41" s="15"/>
      <c r="C41" s="15" t="s">
        <v>350</v>
      </c>
      <c r="D41" s="15"/>
      <c r="E41" s="24">
        <f>88081+20566</f>
        <v>108647</v>
      </c>
      <c r="F41" s="24"/>
      <c r="G41" s="24">
        <f>244034+244034</f>
        <v>488068</v>
      </c>
      <c r="H41" s="24"/>
      <c r="I41" s="24">
        <f>65258+136159</f>
        <v>201417</v>
      </c>
      <c r="J41" s="24"/>
      <c r="K41" s="24">
        <v>0</v>
      </c>
      <c r="L41" s="24"/>
      <c r="M41" s="24">
        <v>15940</v>
      </c>
      <c r="N41" s="24"/>
      <c r="O41" s="24">
        <f>37604+3168</f>
        <v>40772</v>
      </c>
      <c r="P41" s="24"/>
      <c r="Q41" s="24">
        <f>33624+1817</f>
        <v>35441</v>
      </c>
      <c r="R41" s="24"/>
      <c r="S41" s="24">
        <f>8958+1439</f>
        <v>10397</v>
      </c>
      <c r="T41" s="24"/>
      <c r="U41" s="24">
        <v>0</v>
      </c>
      <c r="V41" s="24"/>
      <c r="W41" s="24">
        <v>0</v>
      </c>
      <c r="X41" s="24"/>
      <c r="Y41" s="24">
        <v>0</v>
      </c>
      <c r="Z41" s="24"/>
      <c r="AA41" s="24">
        <v>0</v>
      </c>
      <c r="AB41" s="24"/>
      <c r="AC41" s="24">
        <v>0</v>
      </c>
      <c r="AD41" s="24"/>
      <c r="AE41" s="24">
        <v>4521</v>
      </c>
      <c r="AF41" s="24"/>
      <c r="AG41" s="24">
        <v>0</v>
      </c>
      <c r="AH41" s="24"/>
      <c r="AI41" s="24">
        <f t="shared" si="1"/>
        <v>905203</v>
      </c>
      <c r="AJ41" s="24"/>
      <c r="AM41" s="31">
        <v>40792</v>
      </c>
    </row>
    <row r="42" spans="1:42" ht="12.6" customHeight="1">
      <c r="A42" s="15" t="s">
        <v>278</v>
      </c>
      <c r="C42" s="15" t="s">
        <v>279</v>
      </c>
      <c r="E42" s="24">
        <f>131654+25685</f>
        <v>157339</v>
      </c>
      <c r="G42" s="24">
        <v>618554</v>
      </c>
      <c r="I42" s="24">
        <f>424706+247326+469192</f>
        <v>1141224</v>
      </c>
      <c r="K42" s="24">
        <v>0</v>
      </c>
      <c r="M42" s="24">
        <f>727+276625</f>
        <v>277352</v>
      </c>
      <c r="O42" s="24">
        <f>31703+2383</f>
        <v>34086</v>
      </c>
      <c r="Q42" s="24">
        <f>130630+2653</f>
        <v>133283</v>
      </c>
      <c r="S42" s="24">
        <f>5270+32597+1936</f>
        <v>39803</v>
      </c>
      <c r="U42" s="24">
        <v>0</v>
      </c>
      <c r="W42" s="24">
        <v>0</v>
      </c>
      <c r="Y42" s="24">
        <v>3500</v>
      </c>
      <c r="AA42" s="24">
        <f>31400+155435+383651+253034</f>
        <v>823520</v>
      </c>
      <c r="AC42" s="24">
        <v>0</v>
      </c>
      <c r="AE42" s="24">
        <f>873+4766</f>
        <v>5639</v>
      </c>
      <c r="AG42" s="24">
        <v>0</v>
      </c>
      <c r="AI42" s="24">
        <f t="shared" si="1"/>
        <v>3234300</v>
      </c>
      <c r="AJ42" s="24"/>
      <c r="AM42" s="15">
        <v>44693</v>
      </c>
    </row>
    <row r="43" spans="1:42" s="31" customFormat="1" hidden="1">
      <c r="A43" s="15" t="s">
        <v>566</v>
      </c>
      <c r="B43" s="15"/>
      <c r="C43" s="15" t="s">
        <v>565</v>
      </c>
      <c r="D43" s="15"/>
      <c r="E43" s="24">
        <v>0</v>
      </c>
      <c r="F43" s="24"/>
      <c r="G43" s="24">
        <v>0</v>
      </c>
      <c r="H43" s="24"/>
      <c r="I43" s="24">
        <v>0</v>
      </c>
      <c r="J43" s="24"/>
      <c r="K43" s="24">
        <v>0</v>
      </c>
      <c r="L43" s="24"/>
      <c r="M43" s="24">
        <v>0</v>
      </c>
      <c r="N43" s="24"/>
      <c r="O43" s="24">
        <v>0</v>
      </c>
      <c r="P43" s="24"/>
      <c r="Q43" s="24">
        <v>0</v>
      </c>
      <c r="R43" s="24"/>
      <c r="S43" s="24">
        <v>0</v>
      </c>
      <c r="T43" s="24"/>
      <c r="U43" s="24">
        <v>0</v>
      </c>
      <c r="V43" s="24"/>
      <c r="W43" s="24">
        <v>0</v>
      </c>
      <c r="X43" s="24"/>
      <c r="Y43" s="24">
        <v>0</v>
      </c>
      <c r="Z43" s="24"/>
      <c r="AA43" s="24">
        <v>0</v>
      </c>
      <c r="AB43" s="24"/>
      <c r="AC43" s="24">
        <v>0</v>
      </c>
      <c r="AD43" s="24"/>
      <c r="AE43" s="24">
        <v>0</v>
      </c>
      <c r="AF43" s="24"/>
      <c r="AG43" s="24">
        <v>0</v>
      </c>
      <c r="AH43" s="24"/>
      <c r="AI43" s="24">
        <f t="shared" si="1"/>
        <v>0</v>
      </c>
      <c r="AJ43" s="24"/>
      <c r="AM43" s="31">
        <f>SUM(AM40:AM42)</f>
        <v>367689</v>
      </c>
    </row>
    <row r="44" spans="1:42" ht="12.6" hidden="1" customHeight="1">
      <c r="A44" s="15" t="s">
        <v>294</v>
      </c>
      <c r="C44" s="15" t="s">
        <v>295</v>
      </c>
      <c r="E44" s="24">
        <v>0</v>
      </c>
      <c r="G44" s="24">
        <v>0</v>
      </c>
      <c r="I44" s="24">
        <v>0</v>
      </c>
      <c r="K44" s="24">
        <v>0</v>
      </c>
      <c r="M44" s="24">
        <v>0</v>
      </c>
      <c r="O44" s="24">
        <v>0</v>
      </c>
      <c r="Q44" s="24">
        <v>0</v>
      </c>
      <c r="S44" s="24">
        <v>0</v>
      </c>
      <c r="U44" s="24">
        <v>0</v>
      </c>
      <c r="W44" s="24">
        <v>0</v>
      </c>
      <c r="Y44" s="24">
        <v>0</v>
      </c>
      <c r="AA44" s="24">
        <v>0</v>
      </c>
      <c r="AC44" s="24">
        <v>0</v>
      </c>
      <c r="AE44" s="24">
        <v>0</v>
      </c>
      <c r="AG44" s="24">
        <v>0</v>
      </c>
      <c r="AI44" s="24">
        <f t="shared" si="1"/>
        <v>0</v>
      </c>
      <c r="AJ44" s="24"/>
      <c r="AM44" s="15">
        <v>5582</v>
      </c>
    </row>
    <row r="45" spans="1:42">
      <c r="A45" s="15" t="s">
        <v>493</v>
      </c>
      <c r="C45" s="15" t="s">
        <v>494</v>
      </c>
      <c r="E45" s="24">
        <f>2666+851</f>
        <v>3517</v>
      </c>
      <c r="G45" s="24">
        <v>0</v>
      </c>
      <c r="I45" s="24">
        <v>0</v>
      </c>
      <c r="K45" s="24">
        <v>4351</v>
      </c>
      <c r="M45" s="24">
        <v>0</v>
      </c>
      <c r="O45" s="24">
        <v>12630</v>
      </c>
      <c r="Q45" s="24">
        <v>0</v>
      </c>
      <c r="S45" s="24">
        <v>2378</v>
      </c>
      <c r="U45" s="24">
        <v>0</v>
      </c>
      <c r="W45" s="24">
        <v>0</v>
      </c>
      <c r="Y45" s="24">
        <v>0</v>
      </c>
      <c r="AA45" s="24">
        <v>0</v>
      </c>
      <c r="AC45" s="24">
        <v>0</v>
      </c>
      <c r="AE45" s="24">
        <v>0</v>
      </c>
      <c r="AG45" s="24">
        <v>0</v>
      </c>
      <c r="AI45" s="24">
        <f t="shared" si="1"/>
        <v>22876</v>
      </c>
      <c r="AJ45" s="24"/>
      <c r="AM45" s="15">
        <v>5902</v>
      </c>
    </row>
    <row r="46" spans="1:42" s="31" customFormat="1" hidden="1">
      <c r="A46" s="15" t="s">
        <v>58</v>
      </c>
      <c r="B46" s="15"/>
      <c r="C46" s="15" t="s">
        <v>770</v>
      </c>
      <c r="D46" s="15"/>
      <c r="E46" s="24">
        <v>0</v>
      </c>
      <c r="F46" s="24"/>
      <c r="G46" s="24">
        <v>0</v>
      </c>
      <c r="H46" s="24"/>
      <c r="I46" s="24">
        <v>0</v>
      </c>
      <c r="J46" s="24"/>
      <c r="K46" s="24">
        <v>0</v>
      </c>
      <c r="L46" s="24"/>
      <c r="M46" s="24">
        <v>0</v>
      </c>
      <c r="N46" s="24"/>
      <c r="O46" s="24">
        <v>0</v>
      </c>
      <c r="P46" s="24"/>
      <c r="Q46" s="24">
        <v>0</v>
      </c>
      <c r="R46" s="24"/>
      <c r="S46" s="24">
        <v>0</v>
      </c>
      <c r="T46" s="24"/>
      <c r="U46" s="24">
        <v>0</v>
      </c>
      <c r="V46" s="24"/>
      <c r="W46" s="24">
        <v>0</v>
      </c>
      <c r="X46" s="24"/>
      <c r="Y46" s="24">
        <v>0</v>
      </c>
      <c r="Z46" s="24"/>
      <c r="AA46" s="24">
        <v>0</v>
      </c>
      <c r="AB46" s="24"/>
      <c r="AC46" s="24">
        <v>0</v>
      </c>
      <c r="AD46" s="24"/>
      <c r="AE46" s="24">
        <v>0</v>
      </c>
      <c r="AF46" s="24"/>
      <c r="AG46" s="24">
        <v>0</v>
      </c>
      <c r="AH46" s="24"/>
      <c r="AI46" s="24">
        <f t="shared" si="1"/>
        <v>0</v>
      </c>
      <c r="AJ46" s="24"/>
      <c r="AK46" s="32"/>
      <c r="AL46" s="32"/>
      <c r="AM46" s="32">
        <f>SUM(AM44:AM45)</f>
        <v>11484</v>
      </c>
      <c r="AN46" s="32"/>
      <c r="AO46" s="32"/>
      <c r="AP46" s="32"/>
    </row>
    <row r="47" spans="1:42" s="31" customFormat="1">
      <c r="A47" s="15" t="s">
        <v>544</v>
      </c>
      <c r="B47" s="15"/>
      <c r="C47" s="15" t="s">
        <v>545</v>
      </c>
      <c r="D47" s="15"/>
      <c r="E47" s="24">
        <f>53964+66588</f>
        <v>120552</v>
      </c>
      <c r="F47" s="24"/>
      <c r="G47" s="24">
        <f>42180+16223+6489</f>
        <v>64892</v>
      </c>
      <c r="H47" s="24"/>
      <c r="I47" s="24">
        <f>65992+53306</f>
        <v>119298</v>
      </c>
      <c r="J47" s="24"/>
      <c r="K47" s="24">
        <v>0</v>
      </c>
      <c r="L47" s="24"/>
      <c r="M47" s="24">
        <f>5+67561+120</f>
        <v>67686</v>
      </c>
      <c r="N47" s="24"/>
      <c r="O47" s="24">
        <f>34+640</f>
        <v>674</v>
      </c>
      <c r="P47" s="24"/>
      <c r="Q47" s="24">
        <f>23951+812+1530</f>
        <v>26293</v>
      </c>
      <c r="R47" s="24"/>
      <c r="S47" s="24">
        <f>31155+1731+50</f>
        <v>32936</v>
      </c>
      <c r="T47" s="24"/>
      <c r="U47" s="24">
        <v>0</v>
      </c>
      <c r="V47" s="24"/>
      <c r="W47" s="24">
        <v>0</v>
      </c>
      <c r="X47" s="24"/>
      <c r="Y47" s="24">
        <v>0</v>
      </c>
      <c r="Z47" s="24"/>
      <c r="AA47" s="24">
        <v>0</v>
      </c>
      <c r="AB47" s="24"/>
      <c r="AC47" s="24">
        <v>0</v>
      </c>
      <c r="AD47" s="24"/>
      <c r="AE47" s="24">
        <v>55</v>
      </c>
      <c r="AF47" s="24"/>
      <c r="AG47" s="24">
        <v>0</v>
      </c>
      <c r="AH47" s="24"/>
      <c r="AI47" s="24">
        <f t="shared" si="1"/>
        <v>432386</v>
      </c>
      <c r="AJ47" s="24"/>
      <c r="AM47" s="31">
        <f>+AM43+AM46</f>
        <v>379173</v>
      </c>
    </row>
    <row r="48" spans="1:42" hidden="1">
      <c r="A48" s="15" t="s">
        <v>164</v>
      </c>
      <c r="C48" s="15" t="s">
        <v>801</v>
      </c>
      <c r="E48" s="24">
        <v>0</v>
      </c>
      <c r="G48" s="24">
        <v>0</v>
      </c>
      <c r="I48" s="24">
        <v>0</v>
      </c>
      <c r="K48" s="24">
        <v>0</v>
      </c>
      <c r="M48" s="24">
        <v>0</v>
      </c>
      <c r="O48" s="24">
        <v>0</v>
      </c>
      <c r="Q48" s="24">
        <v>0</v>
      </c>
      <c r="S48" s="24">
        <v>0</v>
      </c>
      <c r="U48" s="24">
        <v>0</v>
      </c>
      <c r="W48" s="24">
        <v>0</v>
      </c>
      <c r="Y48" s="24">
        <v>0</v>
      </c>
      <c r="AA48" s="24">
        <v>0</v>
      </c>
      <c r="AC48" s="24">
        <v>0</v>
      </c>
      <c r="AE48" s="24">
        <v>0</v>
      </c>
      <c r="AG48" s="24">
        <v>0</v>
      </c>
      <c r="AI48" s="24">
        <f t="shared" si="1"/>
        <v>0</v>
      </c>
      <c r="AJ48" s="24"/>
    </row>
    <row r="49" spans="1:42" s="31" customFormat="1" hidden="1">
      <c r="A49" s="15" t="s">
        <v>193</v>
      </c>
      <c r="B49" s="15"/>
      <c r="C49" s="15" t="s">
        <v>810</v>
      </c>
      <c r="D49" s="15"/>
      <c r="E49" s="24">
        <v>0</v>
      </c>
      <c r="F49" s="24"/>
      <c r="G49" s="24">
        <v>0</v>
      </c>
      <c r="H49" s="24"/>
      <c r="I49" s="24">
        <v>0</v>
      </c>
      <c r="J49" s="24"/>
      <c r="K49" s="24">
        <v>0</v>
      </c>
      <c r="L49" s="24"/>
      <c r="M49" s="24">
        <v>0</v>
      </c>
      <c r="N49" s="24"/>
      <c r="O49" s="24">
        <v>0</v>
      </c>
      <c r="P49" s="24"/>
      <c r="Q49" s="24">
        <v>0</v>
      </c>
      <c r="R49" s="24"/>
      <c r="S49" s="24">
        <v>0</v>
      </c>
      <c r="T49" s="24"/>
      <c r="U49" s="24">
        <v>0</v>
      </c>
      <c r="V49" s="24"/>
      <c r="W49" s="24">
        <v>0</v>
      </c>
      <c r="X49" s="24"/>
      <c r="Y49" s="24">
        <v>0</v>
      </c>
      <c r="Z49" s="24"/>
      <c r="AA49" s="24">
        <v>0</v>
      </c>
      <c r="AB49" s="24"/>
      <c r="AC49" s="24">
        <v>0</v>
      </c>
      <c r="AD49" s="24"/>
      <c r="AE49" s="24">
        <v>0</v>
      </c>
      <c r="AF49" s="24"/>
      <c r="AG49" s="24">
        <v>0</v>
      </c>
      <c r="AH49" s="24"/>
      <c r="AI49" s="24">
        <f t="shared" si="1"/>
        <v>0</v>
      </c>
      <c r="AJ49" s="24"/>
    </row>
    <row r="50" spans="1:42" hidden="1">
      <c r="A50" s="15" t="s">
        <v>2</v>
      </c>
      <c r="C50" s="15" t="s">
        <v>751</v>
      </c>
      <c r="E50" s="24">
        <v>0</v>
      </c>
      <c r="G50" s="24">
        <v>0</v>
      </c>
      <c r="I50" s="24">
        <v>0</v>
      </c>
      <c r="K50" s="24">
        <v>0</v>
      </c>
      <c r="M50" s="24">
        <v>0</v>
      </c>
      <c r="O50" s="24">
        <v>0</v>
      </c>
      <c r="Q50" s="24">
        <v>0</v>
      </c>
      <c r="S50" s="24">
        <v>0</v>
      </c>
      <c r="U50" s="24">
        <v>0</v>
      </c>
      <c r="W50" s="24">
        <v>0</v>
      </c>
      <c r="Y50" s="24">
        <v>0</v>
      </c>
      <c r="AA50" s="24">
        <v>0</v>
      </c>
      <c r="AC50" s="24">
        <v>0</v>
      </c>
      <c r="AE50" s="24">
        <v>0</v>
      </c>
      <c r="AG50" s="24">
        <v>0</v>
      </c>
      <c r="AI50" s="24">
        <f t="shared" si="1"/>
        <v>0</v>
      </c>
      <c r="AJ50" s="24"/>
    </row>
    <row r="51" spans="1:42" ht="12.6" customHeight="1">
      <c r="A51" s="15" t="s">
        <v>280</v>
      </c>
      <c r="C51" s="15" t="s">
        <v>279</v>
      </c>
      <c r="E51" s="24">
        <f>101011+59975</f>
        <v>160986</v>
      </c>
      <c r="G51" s="24">
        <v>674595</v>
      </c>
      <c r="I51" s="24">
        <f>566315+209167</f>
        <v>775482</v>
      </c>
      <c r="K51" s="24">
        <v>0</v>
      </c>
      <c r="M51" s="24">
        <f>30728+21653</f>
        <v>52381</v>
      </c>
      <c r="O51" s="24">
        <f>72171+1305</f>
        <v>73476</v>
      </c>
      <c r="Q51" s="24">
        <f>27739+1272</f>
        <v>29011</v>
      </c>
      <c r="S51" s="24">
        <f>35093+28800+14321</f>
        <v>78214</v>
      </c>
      <c r="U51" s="24">
        <v>0</v>
      </c>
      <c r="W51" s="24">
        <v>51578</v>
      </c>
      <c r="Y51" s="24">
        <v>0</v>
      </c>
      <c r="AA51" s="24">
        <v>76475</v>
      </c>
      <c r="AC51" s="24">
        <v>0</v>
      </c>
      <c r="AE51" s="24">
        <v>278736</v>
      </c>
      <c r="AG51" s="24">
        <v>0</v>
      </c>
      <c r="AI51" s="24">
        <f t="shared" si="1"/>
        <v>2250934</v>
      </c>
      <c r="AJ51" s="24"/>
    </row>
    <row r="52" spans="1:42" hidden="1">
      <c r="A52" s="15" t="s">
        <v>132</v>
      </c>
      <c r="C52" s="15" t="s">
        <v>791</v>
      </c>
      <c r="E52" s="24">
        <v>0</v>
      </c>
      <c r="G52" s="24">
        <v>0</v>
      </c>
      <c r="I52" s="24">
        <v>0</v>
      </c>
      <c r="K52" s="24">
        <v>0</v>
      </c>
      <c r="M52" s="24">
        <v>0</v>
      </c>
      <c r="O52" s="24">
        <v>0</v>
      </c>
      <c r="Q52" s="24">
        <v>0</v>
      </c>
      <c r="S52" s="24">
        <v>0</v>
      </c>
      <c r="U52" s="24">
        <v>0</v>
      </c>
      <c r="W52" s="24">
        <v>0</v>
      </c>
      <c r="Y52" s="24">
        <v>0</v>
      </c>
      <c r="AA52" s="24">
        <v>0</v>
      </c>
      <c r="AC52" s="24">
        <v>0</v>
      </c>
      <c r="AE52" s="24">
        <v>0</v>
      </c>
      <c r="AG52" s="24">
        <v>0</v>
      </c>
      <c r="AI52" s="24">
        <f t="shared" si="1"/>
        <v>0</v>
      </c>
      <c r="AJ52" s="24"/>
    </row>
    <row r="53" spans="1:42" s="31" customFormat="1">
      <c r="A53" s="15" t="s">
        <v>495</v>
      </c>
      <c r="B53" s="15"/>
      <c r="C53" s="15" t="s">
        <v>494</v>
      </c>
      <c r="D53" s="15"/>
      <c r="E53" s="24">
        <v>9035</v>
      </c>
      <c r="F53" s="24"/>
      <c r="G53" s="24">
        <v>0</v>
      </c>
      <c r="H53" s="24"/>
      <c r="I53" s="24">
        <f>15961+7309</f>
        <v>23270</v>
      </c>
      <c r="J53" s="24"/>
      <c r="K53" s="24">
        <v>77535</v>
      </c>
      <c r="L53" s="24"/>
      <c r="M53" s="24">
        <v>35</v>
      </c>
      <c r="N53" s="24"/>
      <c r="O53" s="24">
        <v>0</v>
      </c>
      <c r="P53" s="24"/>
      <c r="Q53" s="24">
        <f>22+14</f>
        <v>36</v>
      </c>
      <c r="R53" s="24"/>
      <c r="S53" s="24">
        <v>4857</v>
      </c>
      <c r="T53" s="24"/>
      <c r="U53" s="24">
        <v>0</v>
      </c>
      <c r="V53" s="24"/>
      <c r="W53" s="24">
        <v>0</v>
      </c>
      <c r="X53" s="24"/>
      <c r="Y53" s="24">
        <v>0</v>
      </c>
      <c r="Z53" s="24"/>
      <c r="AA53" s="24">
        <v>0</v>
      </c>
      <c r="AB53" s="24"/>
      <c r="AC53" s="24">
        <v>0</v>
      </c>
      <c r="AD53" s="24"/>
      <c r="AE53" s="24">
        <v>0</v>
      </c>
      <c r="AF53" s="24"/>
      <c r="AG53" s="24">
        <v>0</v>
      </c>
      <c r="AH53" s="24"/>
      <c r="AI53" s="24">
        <f t="shared" si="1"/>
        <v>114768</v>
      </c>
      <c r="AJ53" s="41"/>
    </row>
    <row r="54" spans="1:42" hidden="1">
      <c r="A54" s="15" t="s">
        <v>208</v>
      </c>
      <c r="C54" s="15" t="s">
        <v>814</v>
      </c>
      <c r="E54" s="24">
        <v>0</v>
      </c>
      <c r="G54" s="24">
        <v>0</v>
      </c>
      <c r="I54" s="24">
        <v>0</v>
      </c>
      <c r="K54" s="24">
        <v>0</v>
      </c>
      <c r="M54" s="24">
        <v>0</v>
      </c>
      <c r="O54" s="24">
        <v>0</v>
      </c>
      <c r="Q54" s="24">
        <v>0</v>
      </c>
      <c r="S54" s="24">
        <v>0</v>
      </c>
      <c r="U54" s="24">
        <v>0</v>
      </c>
      <c r="W54" s="24">
        <v>0</v>
      </c>
      <c r="Y54" s="24">
        <v>0</v>
      </c>
      <c r="AA54" s="24">
        <v>0</v>
      </c>
      <c r="AC54" s="24">
        <v>0</v>
      </c>
      <c r="AE54" s="24">
        <v>0</v>
      </c>
      <c r="AG54" s="24">
        <v>0</v>
      </c>
      <c r="AI54" s="24">
        <f t="shared" si="1"/>
        <v>0</v>
      </c>
      <c r="AJ54" s="24"/>
    </row>
    <row r="55" spans="1:42" ht="12.75" hidden="1" customHeight="1">
      <c r="A55" s="15" t="s">
        <v>279</v>
      </c>
      <c r="C55" s="15" t="s">
        <v>279</v>
      </c>
      <c r="E55" s="24">
        <v>0</v>
      </c>
      <c r="G55" s="24">
        <v>0</v>
      </c>
      <c r="I55" s="24">
        <v>0</v>
      </c>
      <c r="K55" s="24">
        <v>0</v>
      </c>
      <c r="M55" s="24">
        <v>0</v>
      </c>
      <c r="O55" s="24">
        <v>0</v>
      </c>
      <c r="Q55" s="24">
        <v>0</v>
      </c>
      <c r="S55" s="24">
        <v>0</v>
      </c>
      <c r="U55" s="24">
        <v>0</v>
      </c>
      <c r="W55" s="24">
        <v>0</v>
      </c>
      <c r="Y55" s="24">
        <v>0</v>
      </c>
      <c r="AA55" s="24">
        <v>0</v>
      </c>
      <c r="AC55" s="24">
        <v>0</v>
      </c>
      <c r="AE55" s="24">
        <v>0</v>
      </c>
      <c r="AG55" s="24">
        <v>0</v>
      </c>
      <c r="AI55" s="24">
        <f t="shared" si="1"/>
        <v>0</v>
      </c>
      <c r="AJ55" s="24"/>
    </row>
    <row r="56" spans="1:42" hidden="1">
      <c r="A56" s="15" t="s">
        <v>143</v>
      </c>
      <c r="C56" s="15" t="s">
        <v>795</v>
      </c>
      <c r="E56" s="24">
        <v>0</v>
      </c>
      <c r="G56" s="24">
        <v>0</v>
      </c>
      <c r="I56" s="24">
        <v>0</v>
      </c>
      <c r="K56" s="24">
        <v>0</v>
      </c>
      <c r="M56" s="24">
        <v>0</v>
      </c>
      <c r="O56" s="24">
        <v>0</v>
      </c>
      <c r="Q56" s="24">
        <v>0</v>
      </c>
      <c r="S56" s="24">
        <v>0</v>
      </c>
      <c r="U56" s="24">
        <v>0</v>
      </c>
      <c r="W56" s="24">
        <v>0</v>
      </c>
      <c r="Y56" s="24">
        <v>0</v>
      </c>
      <c r="AA56" s="24">
        <v>0</v>
      </c>
      <c r="AC56" s="24">
        <v>0</v>
      </c>
      <c r="AE56" s="24">
        <v>0</v>
      </c>
      <c r="AG56" s="24">
        <v>0</v>
      </c>
      <c r="AI56" s="24">
        <f t="shared" si="1"/>
        <v>0</v>
      </c>
      <c r="AJ56" s="24"/>
    </row>
    <row r="57" spans="1:42" ht="12.6" customHeight="1">
      <c r="A57" s="15" t="s">
        <v>315</v>
      </c>
      <c r="C57" s="15" t="s">
        <v>316</v>
      </c>
      <c r="E57" s="24">
        <f>387672+49343</f>
        <v>437015</v>
      </c>
      <c r="G57" s="24">
        <v>1146578</v>
      </c>
      <c r="I57" s="24">
        <f>94976+40438+56986</f>
        <v>192400</v>
      </c>
      <c r="K57" s="24">
        <v>123576</v>
      </c>
      <c r="M57" s="24">
        <f>3593+1500</f>
        <v>5093</v>
      </c>
      <c r="O57" s="24">
        <v>35876</v>
      </c>
      <c r="Q57" s="24">
        <f>55575+8617</f>
        <v>64192</v>
      </c>
      <c r="S57" s="24">
        <f>17371+500</f>
        <v>17871</v>
      </c>
      <c r="U57" s="24">
        <v>0</v>
      </c>
      <c r="W57" s="24">
        <v>0</v>
      </c>
      <c r="Y57" s="24">
        <v>0</v>
      </c>
      <c r="AA57" s="24">
        <v>252245</v>
      </c>
      <c r="AC57" s="24">
        <v>0</v>
      </c>
      <c r="AE57" s="24">
        <v>46464</v>
      </c>
      <c r="AG57" s="24">
        <v>0</v>
      </c>
      <c r="AI57" s="24">
        <f t="shared" si="1"/>
        <v>2321310</v>
      </c>
      <c r="AJ57" s="24"/>
      <c r="AK57" s="30"/>
      <c r="AL57" s="30"/>
      <c r="AM57" s="30"/>
      <c r="AN57" s="30"/>
      <c r="AO57" s="30"/>
      <c r="AP57" s="30"/>
    </row>
    <row r="58" spans="1:42" s="31" customFormat="1">
      <c r="A58" s="15" t="s">
        <v>900</v>
      </c>
      <c r="B58" s="15"/>
      <c r="C58" s="15" t="s">
        <v>388</v>
      </c>
      <c r="D58" s="15"/>
      <c r="E58" s="24">
        <f>5730+54</f>
        <v>5784</v>
      </c>
      <c r="F58" s="24"/>
      <c r="G58" s="24">
        <v>0</v>
      </c>
      <c r="H58" s="24"/>
      <c r="I58" s="24">
        <f>43751+25006+36200+17300</f>
        <v>122257</v>
      </c>
      <c r="J58" s="24"/>
      <c r="K58" s="24">
        <v>9769</v>
      </c>
      <c r="L58" s="24"/>
      <c r="M58" s="24">
        <v>0</v>
      </c>
      <c r="N58" s="24"/>
      <c r="O58" s="24">
        <v>0</v>
      </c>
      <c r="P58" s="24"/>
      <c r="Q58" s="24">
        <f>2946+598</f>
        <v>3544</v>
      </c>
      <c r="R58" s="24"/>
      <c r="S58" s="24">
        <f>3522+7846</f>
        <v>11368</v>
      </c>
      <c r="T58" s="24"/>
      <c r="U58" s="24">
        <v>0</v>
      </c>
      <c r="V58" s="24"/>
      <c r="W58" s="24">
        <v>0</v>
      </c>
      <c r="X58" s="24"/>
      <c r="Y58" s="24">
        <v>0</v>
      </c>
      <c r="Z58" s="24"/>
      <c r="AA58" s="24">
        <v>0</v>
      </c>
      <c r="AB58" s="24"/>
      <c r="AC58" s="24">
        <v>0</v>
      </c>
      <c r="AD58" s="24"/>
      <c r="AE58" s="24">
        <v>0</v>
      </c>
      <c r="AF58" s="24"/>
      <c r="AG58" s="24">
        <v>0</v>
      </c>
      <c r="AH58" s="24"/>
      <c r="AI58" s="24">
        <f t="shared" si="1"/>
        <v>152722</v>
      </c>
      <c r="AJ58" s="24"/>
    </row>
    <row r="59" spans="1:42" s="31" customFormat="1" hidden="1">
      <c r="A59" s="15" t="s">
        <v>422</v>
      </c>
      <c r="B59" s="15"/>
      <c r="C59" s="15" t="s">
        <v>420</v>
      </c>
      <c r="D59" s="15"/>
      <c r="E59" s="24">
        <v>0</v>
      </c>
      <c r="F59" s="24"/>
      <c r="G59" s="24">
        <v>0</v>
      </c>
      <c r="H59" s="24"/>
      <c r="I59" s="24">
        <v>0</v>
      </c>
      <c r="J59" s="24"/>
      <c r="K59" s="24">
        <v>0</v>
      </c>
      <c r="L59" s="24"/>
      <c r="M59" s="24">
        <v>0</v>
      </c>
      <c r="N59" s="24"/>
      <c r="O59" s="24">
        <v>0</v>
      </c>
      <c r="P59" s="24"/>
      <c r="Q59" s="24">
        <v>0</v>
      </c>
      <c r="R59" s="24"/>
      <c r="S59" s="24">
        <v>0</v>
      </c>
      <c r="T59" s="24"/>
      <c r="U59" s="24">
        <v>0</v>
      </c>
      <c r="V59" s="24"/>
      <c r="W59" s="24">
        <v>0</v>
      </c>
      <c r="X59" s="24"/>
      <c r="Y59" s="24">
        <v>0</v>
      </c>
      <c r="Z59" s="24"/>
      <c r="AA59" s="24">
        <v>0</v>
      </c>
      <c r="AB59" s="24"/>
      <c r="AC59" s="24">
        <v>0</v>
      </c>
      <c r="AD59" s="24"/>
      <c r="AE59" s="24">
        <v>0</v>
      </c>
      <c r="AF59" s="24"/>
      <c r="AG59" s="24">
        <v>0</v>
      </c>
      <c r="AH59" s="24"/>
      <c r="AI59" s="24">
        <f t="shared" si="1"/>
        <v>0</v>
      </c>
      <c r="AJ59" s="24"/>
    </row>
    <row r="60" spans="1:42" s="31" customFormat="1" hidden="1">
      <c r="A60" s="15" t="s">
        <v>139</v>
      </c>
      <c r="B60" s="15"/>
      <c r="C60" s="15" t="s">
        <v>793</v>
      </c>
      <c r="D60" s="15"/>
      <c r="E60" s="24">
        <v>0</v>
      </c>
      <c r="F60" s="24"/>
      <c r="G60" s="24">
        <v>0</v>
      </c>
      <c r="H60" s="24"/>
      <c r="I60" s="24">
        <v>0</v>
      </c>
      <c r="J60" s="24"/>
      <c r="K60" s="24">
        <v>0</v>
      </c>
      <c r="L60" s="24"/>
      <c r="M60" s="24">
        <v>0</v>
      </c>
      <c r="N60" s="24"/>
      <c r="O60" s="24">
        <v>0</v>
      </c>
      <c r="P60" s="24"/>
      <c r="Q60" s="24">
        <v>0</v>
      </c>
      <c r="R60" s="24"/>
      <c r="S60" s="24">
        <v>0</v>
      </c>
      <c r="T60" s="24"/>
      <c r="U60" s="24">
        <v>0</v>
      </c>
      <c r="V60" s="24"/>
      <c r="W60" s="24">
        <v>0</v>
      </c>
      <c r="X60" s="24"/>
      <c r="Y60" s="24">
        <v>0</v>
      </c>
      <c r="Z60" s="24"/>
      <c r="AA60" s="24">
        <v>0</v>
      </c>
      <c r="AB60" s="24"/>
      <c r="AC60" s="24">
        <v>0</v>
      </c>
      <c r="AD60" s="24"/>
      <c r="AE60" s="24">
        <v>0</v>
      </c>
      <c r="AF60" s="24"/>
      <c r="AG60" s="24">
        <v>0</v>
      </c>
      <c r="AH60" s="24"/>
      <c r="AI60" s="24">
        <f t="shared" si="1"/>
        <v>0</v>
      </c>
      <c r="AJ60" s="24"/>
    </row>
    <row r="61" spans="1:42" ht="12.6" hidden="1" customHeight="1">
      <c r="A61" s="15" t="s">
        <v>59</v>
      </c>
      <c r="C61" s="15" t="s">
        <v>770</v>
      </c>
      <c r="E61" s="24">
        <v>0</v>
      </c>
      <c r="G61" s="24">
        <v>0</v>
      </c>
      <c r="I61" s="24">
        <v>0</v>
      </c>
      <c r="K61" s="24">
        <v>0</v>
      </c>
      <c r="M61" s="24">
        <v>0</v>
      </c>
      <c r="O61" s="24">
        <v>0</v>
      </c>
      <c r="Q61" s="24">
        <v>0</v>
      </c>
      <c r="S61" s="24">
        <v>0</v>
      </c>
      <c r="U61" s="24">
        <v>0</v>
      </c>
      <c r="W61" s="24">
        <v>0</v>
      </c>
      <c r="Y61" s="24">
        <v>0</v>
      </c>
      <c r="AA61" s="24">
        <v>0</v>
      </c>
      <c r="AC61" s="24">
        <v>0</v>
      </c>
      <c r="AE61" s="24">
        <v>0</v>
      </c>
      <c r="AG61" s="24">
        <v>0</v>
      </c>
      <c r="AI61" s="24">
        <f t="shared" si="1"/>
        <v>0</v>
      </c>
      <c r="AJ61" s="24"/>
      <c r="AK61" s="30"/>
      <c r="AL61" s="30"/>
      <c r="AM61" s="30"/>
      <c r="AN61" s="30"/>
      <c r="AO61" s="30"/>
      <c r="AP61" s="30"/>
    </row>
    <row r="62" spans="1:42" ht="12.6" customHeight="1">
      <c r="A62" s="15" t="s">
        <v>296</v>
      </c>
      <c r="C62" s="15" t="s">
        <v>295</v>
      </c>
      <c r="E62" s="24">
        <f>66804+135801</f>
        <v>202605</v>
      </c>
      <c r="G62" s="24">
        <v>0</v>
      </c>
      <c r="I62" s="24">
        <f>317549+75832+7500</f>
        <v>400881</v>
      </c>
      <c r="K62" s="24">
        <v>3658</v>
      </c>
      <c r="M62" s="24">
        <f>7808+2295</f>
        <v>10103</v>
      </c>
      <c r="O62" s="24">
        <f>88613+10868</f>
        <v>99481</v>
      </c>
      <c r="Q62" s="24">
        <v>0</v>
      </c>
      <c r="S62" s="24">
        <f>119000+1741+3663</f>
        <v>124404</v>
      </c>
      <c r="U62" s="24">
        <v>125000</v>
      </c>
      <c r="W62" s="24">
        <v>0</v>
      </c>
      <c r="Y62" s="24">
        <f>1372+1663</f>
        <v>3035</v>
      </c>
      <c r="AA62" s="24">
        <f>35269+147113</f>
        <v>182382</v>
      </c>
      <c r="AC62" s="24">
        <f>644+7200+19340</f>
        <v>27184</v>
      </c>
      <c r="AE62" s="24">
        <v>0</v>
      </c>
      <c r="AG62" s="24">
        <v>0</v>
      </c>
      <c r="AI62" s="24">
        <f t="shared" si="1"/>
        <v>1178733</v>
      </c>
      <c r="AJ62" s="24"/>
      <c r="AK62" s="30"/>
      <c r="AL62" s="30"/>
      <c r="AM62" s="30"/>
      <c r="AN62" s="30"/>
      <c r="AO62" s="30"/>
      <c r="AP62" s="30"/>
    </row>
    <row r="63" spans="1:42" hidden="1">
      <c r="A63" s="15" t="s">
        <v>15</v>
      </c>
      <c r="C63" s="15" t="s">
        <v>755</v>
      </c>
      <c r="E63" s="24">
        <v>0</v>
      </c>
      <c r="G63" s="24">
        <v>0</v>
      </c>
      <c r="I63" s="24">
        <v>0</v>
      </c>
      <c r="K63" s="24">
        <v>0</v>
      </c>
      <c r="M63" s="24">
        <v>0</v>
      </c>
      <c r="O63" s="24">
        <v>0</v>
      </c>
      <c r="Q63" s="24">
        <v>0</v>
      </c>
      <c r="S63" s="24">
        <v>0</v>
      </c>
      <c r="U63" s="24">
        <v>0</v>
      </c>
      <c r="W63" s="24">
        <v>0</v>
      </c>
      <c r="Y63" s="24">
        <v>0</v>
      </c>
      <c r="AA63" s="24">
        <v>0</v>
      </c>
      <c r="AC63" s="24">
        <v>0</v>
      </c>
      <c r="AE63" s="24">
        <v>0</v>
      </c>
      <c r="AG63" s="24">
        <v>0</v>
      </c>
      <c r="AI63" s="24">
        <f t="shared" si="1"/>
        <v>0</v>
      </c>
      <c r="AJ63" s="24"/>
    </row>
    <row r="64" spans="1:42" s="31" customFormat="1" hidden="1">
      <c r="A64" s="15" t="s">
        <v>536</v>
      </c>
      <c r="B64" s="15"/>
      <c r="C64" s="15" t="s">
        <v>537</v>
      </c>
      <c r="D64" s="15"/>
      <c r="E64" s="24">
        <v>0</v>
      </c>
      <c r="F64" s="24"/>
      <c r="G64" s="24">
        <v>0</v>
      </c>
      <c r="H64" s="24"/>
      <c r="I64" s="24">
        <v>0</v>
      </c>
      <c r="J64" s="24"/>
      <c r="K64" s="24">
        <v>0</v>
      </c>
      <c r="L64" s="24"/>
      <c r="M64" s="24">
        <v>0</v>
      </c>
      <c r="N64" s="24"/>
      <c r="O64" s="24">
        <v>0</v>
      </c>
      <c r="P64" s="24"/>
      <c r="Q64" s="24">
        <v>0</v>
      </c>
      <c r="R64" s="24"/>
      <c r="S64" s="24">
        <v>0</v>
      </c>
      <c r="T64" s="24"/>
      <c r="U64" s="24">
        <v>0</v>
      </c>
      <c r="V64" s="24"/>
      <c r="W64" s="24">
        <v>0</v>
      </c>
      <c r="X64" s="24"/>
      <c r="Y64" s="24">
        <v>0</v>
      </c>
      <c r="Z64" s="24"/>
      <c r="AA64" s="24">
        <v>0</v>
      </c>
      <c r="AB64" s="24"/>
      <c r="AC64" s="24">
        <v>0</v>
      </c>
      <c r="AD64" s="24"/>
      <c r="AE64" s="24">
        <v>0</v>
      </c>
      <c r="AF64" s="24"/>
      <c r="AG64" s="24">
        <v>0</v>
      </c>
      <c r="AH64" s="24"/>
      <c r="AI64" s="24">
        <f t="shared" si="1"/>
        <v>0</v>
      </c>
      <c r="AJ64" s="24"/>
    </row>
    <row r="65" spans="1:42">
      <c r="A65" s="15" t="s">
        <v>589</v>
      </c>
      <c r="C65" s="15" t="s">
        <v>590</v>
      </c>
      <c r="E65" s="24">
        <v>51545</v>
      </c>
      <c r="G65" s="24">
        <v>272980</v>
      </c>
      <c r="I65" s="24">
        <f>106514+44813+11126</f>
        <v>162453</v>
      </c>
      <c r="K65" s="24">
        <v>0</v>
      </c>
      <c r="M65" s="24">
        <f>146374+1800</f>
        <v>148174</v>
      </c>
      <c r="O65" s="24">
        <f>12528+184</f>
        <v>12712</v>
      </c>
      <c r="Q65" s="24">
        <f>7111+90+314</f>
        <v>7515</v>
      </c>
      <c r="S65" s="24">
        <f>10373+4596+13250</f>
        <v>28219</v>
      </c>
      <c r="U65" s="24">
        <v>0</v>
      </c>
      <c r="W65" s="24">
        <v>0</v>
      </c>
      <c r="Y65" s="24">
        <v>0</v>
      </c>
      <c r="AA65" s="24">
        <f>5100+86002+47463</f>
        <v>138565</v>
      </c>
      <c r="AC65" s="24">
        <v>0</v>
      </c>
      <c r="AE65" s="24">
        <v>1560</v>
      </c>
      <c r="AG65" s="24">
        <v>0</v>
      </c>
      <c r="AI65" s="24">
        <f t="shared" si="1"/>
        <v>823723</v>
      </c>
      <c r="AJ65" s="24"/>
    </row>
    <row r="66" spans="1:42" hidden="1">
      <c r="A66" s="15" t="s">
        <v>252</v>
      </c>
      <c r="C66" s="15" t="s">
        <v>829</v>
      </c>
      <c r="E66" s="24">
        <v>0</v>
      </c>
      <c r="G66" s="24">
        <v>0</v>
      </c>
      <c r="I66" s="24">
        <v>0</v>
      </c>
      <c r="K66" s="24">
        <v>0</v>
      </c>
      <c r="M66" s="24">
        <v>0</v>
      </c>
      <c r="O66" s="24">
        <v>0</v>
      </c>
      <c r="Q66" s="24">
        <v>0</v>
      </c>
      <c r="S66" s="24">
        <v>0</v>
      </c>
      <c r="U66" s="24">
        <v>0</v>
      </c>
      <c r="W66" s="24">
        <v>0</v>
      </c>
      <c r="Y66" s="24">
        <v>0</v>
      </c>
      <c r="AA66" s="24">
        <v>0</v>
      </c>
      <c r="AC66" s="24">
        <v>0</v>
      </c>
      <c r="AE66" s="24">
        <v>0</v>
      </c>
      <c r="AG66" s="24">
        <v>0</v>
      </c>
      <c r="AI66" s="24">
        <f t="shared" si="1"/>
        <v>0</v>
      </c>
      <c r="AJ66" s="24"/>
    </row>
    <row r="67" spans="1:42" s="31" customFormat="1">
      <c r="A67" s="15" t="s">
        <v>607</v>
      </c>
      <c r="B67" s="15"/>
      <c r="C67" s="15" t="s">
        <v>606</v>
      </c>
      <c r="D67" s="15"/>
      <c r="E67" s="24">
        <v>31395</v>
      </c>
      <c r="F67" s="24"/>
      <c r="G67" s="24">
        <v>74812</v>
      </c>
      <c r="H67" s="24"/>
      <c r="I67" s="24">
        <f>31941+40560</f>
        <v>72501</v>
      </c>
      <c r="J67" s="24"/>
      <c r="K67" s="24">
        <v>0</v>
      </c>
      <c r="L67" s="24"/>
      <c r="M67" s="24">
        <v>35913</v>
      </c>
      <c r="N67" s="24"/>
      <c r="O67" s="24">
        <f>3864+4644</f>
        <v>8508</v>
      </c>
      <c r="P67" s="24"/>
      <c r="Q67" s="24">
        <f>9425+685</f>
        <v>10110</v>
      </c>
      <c r="R67" s="24"/>
      <c r="S67" s="24">
        <v>6639</v>
      </c>
      <c r="T67" s="24"/>
      <c r="U67" s="24">
        <v>0</v>
      </c>
      <c r="V67" s="24"/>
      <c r="W67" s="24">
        <v>0</v>
      </c>
      <c r="X67" s="24"/>
      <c r="Y67" s="24">
        <v>0</v>
      </c>
      <c r="Z67" s="24"/>
      <c r="AA67" s="24">
        <v>0</v>
      </c>
      <c r="AB67" s="24"/>
      <c r="AC67" s="24">
        <v>32588</v>
      </c>
      <c r="AD67" s="24"/>
      <c r="AE67" s="24">
        <v>0</v>
      </c>
      <c r="AF67" s="24"/>
      <c r="AG67" s="24">
        <v>0</v>
      </c>
      <c r="AH67" s="24"/>
      <c r="AI67" s="24">
        <f t="shared" si="1"/>
        <v>272466</v>
      </c>
      <c r="AJ67" s="24"/>
    </row>
    <row r="68" spans="1:42" s="31" customFormat="1" hidden="1">
      <c r="A68" s="15" t="s">
        <v>68</v>
      </c>
      <c r="B68" s="15"/>
      <c r="C68" s="15" t="s">
        <v>772</v>
      </c>
      <c r="D68" s="15"/>
      <c r="E68" s="24">
        <v>0</v>
      </c>
      <c r="F68" s="24"/>
      <c r="G68" s="24">
        <v>0</v>
      </c>
      <c r="H68" s="24"/>
      <c r="I68" s="24">
        <v>0</v>
      </c>
      <c r="J68" s="24"/>
      <c r="K68" s="24">
        <v>0</v>
      </c>
      <c r="L68" s="24"/>
      <c r="M68" s="24">
        <v>0</v>
      </c>
      <c r="N68" s="24"/>
      <c r="O68" s="24">
        <v>0</v>
      </c>
      <c r="P68" s="24"/>
      <c r="Q68" s="24">
        <v>0</v>
      </c>
      <c r="R68" s="24"/>
      <c r="S68" s="24">
        <v>0</v>
      </c>
      <c r="T68" s="24"/>
      <c r="U68" s="24">
        <v>0</v>
      </c>
      <c r="V68" s="24"/>
      <c r="W68" s="24">
        <v>0</v>
      </c>
      <c r="X68" s="24"/>
      <c r="Y68" s="24">
        <v>0</v>
      </c>
      <c r="Z68" s="24"/>
      <c r="AA68" s="24">
        <v>0</v>
      </c>
      <c r="AB68" s="24"/>
      <c r="AC68" s="24">
        <v>0</v>
      </c>
      <c r="AD68" s="24"/>
      <c r="AE68" s="24">
        <v>0</v>
      </c>
      <c r="AF68" s="24"/>
      <c r="AG68" s="24">
        <v>0</v>
      </c>
      <c r="AH68" s="24"/>
      <c r="AI68" s="24">
        <f t="shared" si="1"/>
        <v>0</v>
      </c>
      <c r="AJ68" s="24"/>
      <c r="AK68" s="32"/>
      <c r="AL68" s="32"/>
      <c r="AM68" s="32"/>
      <c r="AN68" s="32"/>
      <c r="AO68" s="32"/>
      <c r="AP68" s="32"/>
    </row>
    <row r="69" spans="1:42" s="31" customFormat="1" hidden="1">
      <c r="A69" s="15" t="s">
        <v>115</v>
      </c>
      <c r="B69" s="15"/>
      <c r="C69" s="15" t="s">
        <v>786</v>
      </c>
      <c r="D69" s="15"/>
      <c r="E69" s="24">
        <v>0</v>
      </c>
      <c r="F69" s="24"/>
      <c r="G69" s="24">
        <v>0</v>
      </c>
      <c r="H69" s="24"/>
      <c r="I69" s="24">
        <v>0</v>
      </c>
      <c r="J69" s="24"/>
      <c r="K69" s="24">
        <v>0</v>
      </c>
      <c r="L69" s="24"/>
      <c r="M69" s="24">
        <v>0</v>
      </c>
      <c r="N69" s="24"/>
      <c r="O69" s="24">
        <v>0</v>
      </c>
      <c r="P69" s="24"/>
      <c r="Q69" s="24">
        <v>0</v>
      </c>
      <c r="R69" s="24"/>
      <c r="S69" s="24">
        <v>0</v>
      </c>
      <c r="T69" s="24"/>
      <c r="U69" s="24">
        <v>0</v>
      </c>
      <c r="V69" s="24"/>
      <c r="W69" s="24">
        <v>0</v>
      </c>
      <c r="X69" s="24"/>
      <c r="Y69" s="24">
        <v>0</v>
      </c>
      <c r="Z69" s="24"/>
      <c r="AA69" s="24">
        <v>0</v>
      </c>
      <c r="AB69" s="24"/>
      <c r="AC69" s="24">
        <v>0</v>
      </c>
      <c r="AD69" s="24"/>
      <c r="AE69" s="24">
        <v>0</v>
      </c>
      <c r="AF69" s="24"/>
      <c r="AG69" s="24">
        <v>0</v>
      </c>
      <c r="AH69" s="24"/>
      <c r="AI69" s="24">
        <f t="shared" si="1"/>
        <v>0</v>
      </c>
      <c r="AJ69" s="24"/>
    </row>
    <row r="70" spans="1:42">
      <c r="A70" s="15" t="s">
        <v>538</v>
      </c>
      <c r="C70" s="15" t="s">
        <v>537</v>
      </c>
      <c r="E70" s="24">
        <f>26650+11234</f>
        <v>37884</v>
      </c>
      <c r="G70" s="24">
        <v>0</v>
      </c>
      <c r="I70" s="24">
        <f>85763+41472</f>
        <v>127235</v>
      </c>
      <c r="K70" s="24">
        <v>0</v>
      </c>
      <c r="M70" s="24">
        <f>67+110</f>
        <v>177</v>
      </c>
      <c r="O70" s="24">
        <v>6792</v>
      </c>
      <c r="Q70" s="24">
        <f>5648+113</f>
        <v>5761</v>
      </c>
      <c r="S70" s="24">
        <f>26697+2595</f>
        <v>29292</v>
      </c>
      <c r="U70" s="24">
        <v>0</v>
      </c>
      <c r="W70" s="24">
        <v>0</v>
      </c>
      <c r="Y70" s="24">
        <v>0</v>
      </c>
      <c r="AA70" s="24">
        <v>0</v>
      </c>
      <c r="AC70" s="24">
        <v>60000</v>
      </c>
      <c r="AE70" s="24">
        <v>0</v>
      </c>
      <c r="AG70" s="24">
        <v>0</v>
      </c>
      <c r="AI70" s="24">
        <f t="shared" si="1"/>
        <v>267141</v>
      </c>
      <c r="AJ70" s="24"/>
    </row>
    <row r="71" spans="1:42" s="31" customFormat="1" ht="12.6" customHeight="1">
      <c r="A71" s="15" t="s">
        <v>688</v>
      </c>
      <c r="B71" s="15"/>
      <c r="C71" s="15" t="s">
        <v>689</v>
      </c>
      <c r="D71" s="15"/>
      <c r="E71" s="24">
        <f>262658+110912+8993</f>
        <v>382563</v>
      </c>
      <c r="F71" s="24"/>
      <c r="G71" s="24">
        <f>1492000+372665</f>
        <v>1864665</v>
      </c>
      <c r="H71" s="24"/>
      <c r="I71" s="24">
        <f>230093+36193+111732</f>
        <v>378018</v>
      </c>
      <c r="J71" s="24"/>
      <c r="K71" s="24">
        <v>0</v>
      </c>
      <c r="L71" s="24"/>
      <c r="M71" s="24">
        <f>209675+47414</f>
        <v>257089</v>
      </c>
      <c r="N71" s="24"/>
      <c r="O71" s="24">
        <f>19079+22845+3167</f>
        <v>45091</v>
      </c>
      <c r="P71" s="24"/>
      <c r="Q71" s="24">
        <f>63408+39675+16763+11111</f>
        <v>130957</v>
      </c>
      <c r="R71" s="24"/>
      <c r="S71" s="24">
        <f>52765+3462+5399</f>
        <v>61626</v>
      </c>
      <c r="T71" s="24"/>
      <c r="U71" s="24">
        <v>0</v>
      </c>
      <c r="V71" s="24"/>
      <c r="W71" s="24">
        <v>0</v>
      </c>
      <c r="X71" s="24"/>
      <c r="Y71" s="24">
        <v>0</v>
      </c>
      <c r="Z71" s="24"/>
      <c r="AA71" s="24">
        <v>732200</v>
      </c>
      <c r="AB71" s="24"/>
      <c r="AC71" s="24">
        <f>12750+15000</f>
        <v>27750</v>
      </c>
      <c r="AD71" s="24"/>
      <c r="AE71" s="24">
        <v>0</v>
      </c>
      <c r="AF71" s="24"/>
      <c r="AG71" s="24">
        <v>0</v>
      </c>
      <c r="AH71" s="24"/>
      <c r="AI71" s="24">
        <f t="shared" si="1"/>
        <v>3879959</v>
      </c>
      <c r="AJ71" s="24"/>
    </row>
    <row r="72" spans="1:42" s="31" customFormat="1">
      <c r="A72" s="15" t="s">
        <v>567</v>
      </c>
      <c r="B72" s="15"/>
      <c r="C72" s="15" t="s">
        <v>565</v>
      </c>
      <c r="D72" s="15" t="s">
        <v>902</v>
      </c>
      <c r="E72" s="24">
        <f>45641+110469</f>
        <v>156110</v>
      </c>
      <c r="F72" s="24"/>
      <c r="G72" s="24">
        <v>157100</v>
      </c>
      <c r="H72" s="24"/>
      <c r="I72" s="24">
        <f>51468+57382</f>
        <v>108850</v>
      </c>
      <c r="J72" s="24"/>
      <c r="K72" s="24">
        <v>0</v>
      </c>
      <c r="L72" s="24"/>
      <c r="M72" s="24">
        <v>47902</v>
      </c>
      <c r="N72" s="24"/>
      <c r="O72" s="24">
        <v>6163</v>
      </c>
      <c r="P72" s="24"/>
      <c r="Q72" s="24">
        <f>1856+341</f>
        <v>2197</v>
      </c>
      <c r="R72" s="24"/>
      <c r="S72" s="24">
        <v>0</v>
      </c>
      <c r="T72" s="24"/>
      <c r="U72" s="24">
        <v>0</v>
      </c>
      <c r="V72" s="24"/>
      <c r="W72" s="24">
        <v>0</v>
      </c>
      <c r="X72" s="24"/>
      <c r="Y72" s="24">
        <v>0</v>
      </c>
      <c r="Z72" s="24"/>
      <c r="AA72" s="24">
        <f>55850+50210+35354</f>
        <v>141414</v>
      </c>
      <c r="AB72" s="24"/>
      <c r="AC72" s="24">
        <v>0</v>
      </c>
      <c r="AD72" s="24"/>
      <c r="AE72" s="24">
        <v>0</v>
      </c>
      <c r="AF72" s="24"/>
      <c r="AG72" s="24">
        <v>0</v>
      </c>
      <c r="AH72" s="24"/>
      <c r="AI72" s="24">
        <f t="shared" ref="AI72:AI82" si="2">SUM(E72:AG72)</f>
        <v>619736</v>
      </c>
      <c r="AJ72" s="24"/>
    </row>
    <row r="73" spans="1:42">
      <c r="A73" s="15" t="s">
        <v>553</v>
      </c>
      <c r="C73" s="15" t="s">
        <v>554</v>
      </c>
      <c r="E73" s="24">
        <f>229221+266284+19879+5000</f>
        <v>520384</v>
      </c>
      <c r="G73" s="24">
        <v>573515</v>
      </c>
      <c r="I73" s="24">
        <f>121869+133023+2171+9632</f>
        <v>266695</v>
      </c>
      <c r="K73" s="24">
        <v>0</v>
      </c>
      <c r="M73" s="24">
        <v>0</v>
      </c>
      <c r="O73" s="24">
        <f>355972+20519+21193</f>
        <v>397684</v>
      </c>
      <c r="Q73" s="24">
        <f>18358+3736+1</f>
        <v>22095</v>
      </c>
      <c r="S73" s="24">
        <f>71446+4149</f>
        <v>75595</v>
      </c>
      <c r="U73" s="24">
        <v>0</v>
      </c>
      <c r="W73" s="24">
        <v>65000</v>
      </c>
      <c r="Y73" s="24">
        <v>0</v>
      </c>
      <c r="AA73" s="24">
        <v>0</v>
      </c>
      <c r="AC73" s="24">
        <v>0</v>
      </c>
      <c r="AE73" s="24">
        <v>0</v>
      </c>
      <c r="AG73" s="24">
        <v>0</v>
      </c>
      <c r="AI73" s="24">
        <f t="shared" si="2"/>
        <v>1920968</v>
      </c>
      <c r="AJ73" s="24"/>
      <c r="AK73" s="15">
        <f>463536+65000+22051</f>
        <v>550587</v>
      </c>
    </row>
    <row r="74" spans="1:42" s="29" customFormat="1">
      <c r="A74" s="24" t="s">
        <v>540</v>
      </c>
      <c r="B74" s="24"/>
      <c r="C74" s="24" t="s">
        <v>541</v>
      </c>
      <c r="D74" s="24"/>
      <c r="E74" s="24">
        <v>60311</v>
      </c>
      <c r="F74" s="24"/>
      <c r="G74" s="24">
        <f>347462+187095</f>
        <v>534557</v>
      </c>
      <c r="H74" s="24"/>
      <c r="I74" s="24">
        <f>72600+86679</f>
        <v>159279</v>
      </c>
      <c r="J74" s="24"/>
      <c r="K74" s="24">
        <v>0</v>
      </c>
      <c r="L74" s="24"/>
      <c r="M74" s="24">
        <v>36468</v>
      </c>
      <c r="N74" s="24"/>
      <c r="O74" s="24">
        <f>2044+203</f>
        <v>2247</v>
      </c>
      <c r="P74" s="24"/>
      <c r="Q74" s="24">
        <f>38994+1318</f>
        <v>40312</v>
      </c>
      <c r="R74" s="24"/>
      <c r="S74" s="24">
        <f>32489+1587</f>
        <v>34076</v>
      </c>
      <c r="T74" s="24"/>
      <c r="U74" s="24">
        <v>0</v>
      </c>
      <c r="V74" s="24"/>
      <c r="W74" s="24">
        <v>0</v>
      </c>
      <c r="X74" s="24"/>
      <c r="Y74" s="24">
        <v>0</v>
      </c>
      <c r="Z74" s="24"/>
      <c r="AA74" s="24">
        <v>6000</v>
      </c>
      <c r="AB74" s="24"/>
      <c r="AC74" s="24">
        <v>0</v>
      </c>
      <c r="AD74" s="24"/>
      <c r="AE74" s="24">
        <v>0</v>
      </c>
      <c r="AF74" s="24"/>
      <c r="AG74" s="24">
        <v>0</v>
      </c>
      <c r="AH74" s="24"/>
      <c r="AI74" s="24">
        <f t="shared" si="2"/>
        <v>873250</v>
      </c>
      <c r="AJ74" s="24"/>
    </row>
    <row r="75" spans="1:42" s="31" customFormat="1" hidden="1">
      <c r="A75" s="15" t="s">
        <v>402</v>
      </c>
      <c r="B75" s="15"/>
      <c r="C75" s="15" t="s">
        <v>403</v>
      </c>
      <c r="D75" s="15"/>
      <c r="E75" s="24">
        <v>0</v>
      </c>
      <c r="F75" s="24"/>
      <c r="G75" s="24">
        <v>0</v>
      </c>
      <c r="H75" s="24"/>
      <c r="I75" s="24">
        <v>0</v>
      </c>
      <c r="J75" s="24"/>
      <c r="K75" s="24">
        <v>0</v>
      </c>
      <c r="L75" s="24"/>
      <c r="M75" s="24">
        <v>0</v>
      </c>
      <c r="N75" s="24"/>
      <c r="O75" s="24">
        <v>0</v>
      </c>
      <c r="P75" s="24"/>
      <c r="Q75" s="24">
        <v>0</v>
      </c>
      <c r="R75" s="24"/>
      <c r="S75" s="24">
        <v>0</v>
      </c>
      <c r="T75" s="24"/>
      <c r="U75" s="24">
        <v>0</v>
      </c>
      <c r="V75" s="24"/>
      <c r="W75" s="24">
        <v>0</v>
      </c>
      <c r="X75" s="24"/>
      <c r="Y75" s="24">
        <v>0</v>
      </c>
      <c r="Z75" s="24"/>
      <c r="AA75" s="24">
        <v>0</v>
      </c>
      <c r="AB75" s="24"/>
      <c r="AC75" s="24">
        <v>0</v>
      </c>
      <c r="AD75" s="24"/>
      <c r="AE75" s="24">
        <v>0</v>
      </c>
      <c r="AF75" s="24"/>
      <c r="AG75" s="24">
        <v>0</v>
      </c>
      <c r="AH75" s="24"/>
      <c r="AI75" s="24">
        <f t="shared" si="2"/>
        <v>0</v>
      </c>
      <c r="AJ75" s="24"/>
    </row>
    <row r="76" spans="1:42" s="31" customFormat="1" hidden="1">
      <c r="A76" s="15" t="s">
        <v>83</v>
      </c>
      <c r="B76" s="15"/>
      <c r="C76" s="15" t="s">
        <v>776</v>
      </c>
      <c r="D76" s="15"/>
      <c r="E76" s="24">
        <v>0</v>
      </c>
      <c r="F76" s="24"/>
      <c r="G76" s="24">
        <v>0</v>
      </c>
      <c r="H76" s="24"/>
      <c r="I76" s="24">
        <v>0</v>
      </c>
      <c r="J76" s="24"/>
      <c r="K76" s="24">
        <v>0</v>
      </c>
      <c r="L76" s="24"/>
      <c r="M76" s="24">
        <v>0</v>
      </c>
      <c r="N76" s="24"/>
      <c r="O76" s="24">
        <v>0</v>
      </c>
      <c r="P76" s="24"/>
      <c r="Q76" s="24">
        <v>0</v>
      </c>
      <c r="R76" s="24"/>
      <c r="S76" s="24">
        <v>0</v>
      </c>
      <c r="T76" s="24"/>
      <c r="U76" s="24">
        <v>0</v>
      </c>
      <c r="V76" s="24"/>
      <c r="W76" s="24">
        <v>0</v>
      </c>
      <c r="X76" s="24"/>
      <c r="Y76" s="24">
        <v>0</v>
      </c>
      <c r="Z76" s="24"/>
      <c r="AA76" s="24">
        <v>0</v>
      </c>
      <c r="AB76" s="24"/>
      <c r="AC76" s="24">
        <v>0</v>
      </c>
      <c r="AD76" s="24"/>
      <c r="AE76" s="24">
        <v>0</v>
      </c>
      <c r="AF76" s="24"/>
      <c r="AG76" s="24">
        <v>0</v>
      </c>
      <c r="AH76" s="24"/>
      <c r="AI76" s="24">
        <f t="shared" si="2"/>
        <v>0</v>
      </c>
      <c r="AJ76" s="24"/>
    </row>
    <row r="77" spans="1:42">
      <c r="A77" s="15" t="s">
        <v>472</v>
      </c>
      <c r="C77" s="15" t="s">
        <v>931</v>
      </c>
      <c r="E77" s="24">
        <f>24352+157163</f>
        <v>181515</v>
      </c>
      <c r="G77" s="24">
        <v>261383</v>
      </c>
      <c r="I77" s="24">
        <f>113717+107955</f>
        <v>221672</v>
      </c>
      <c r="K77" s="24">
        <v>52076</v>
      </c>
      <c r="M77" s="24">
        <v>420</v>
      </c>
      <c r="O77" s="24">
        <f>4353+637</f>
        <v>4990</v>
      </c>
      <c r="Q77" s="24">
        <v>10803</v>
      </c>
      <c r="S77" s="24">
        <f>15344+1425</f>
        <v>16769</v>
      </c>
      <c r="U77" s="24">
        <v>0</v>
      </c>
      <c r="W77" s="24">
        <v>0</v>
      </c>
      <c r="Y77" s="24">
        <v>0</v>
      </c>
      <c r="AA77" s="24">
        <v>0</v>
      </c>
      <c r="AC77" s="24">
        <v>0</v>
      </c>
      <c r="AE77" s="24">
        <f>32369+190945</f>
        <v>223314</v>
      </c>
      <c r="AG77" s="24">
        <v>0</v>
      </c>
      <c r="AI77" s="24">
        <f t="shared" si="2"/>
        <v>972942</v>
      </c>
      <c r="AJ77" s="24"/>
    </row>
    <row r="78" spans="1:42" s="31" customFormat="1">
      <c r="A78" s="15" t="s">
        <v>608</v>
      </c>
      <c r="B78" s="15"/>
      <c r="C78" s="15" t="s">
        <v>606</v>
      </c>
      <c r="D78" s="15"/>
      <c r="E78" s="24">
        <f>20727+21218+13714</f>
        <v>55659</v>
      </c>
      <c r="F78" s="24"/>
      <c r="G78" s="24">
        <f>86320+20614+34923</f>
        <v>141857</v>
      </c>
      <c r="H78" s="24"/>
      <c r="I78" s="24">
        <f>95814+184639+2210</f>
        <v>282663</v>
      </c>
      <c r="J78" s="24"/>
      <c r="K78" s="24">
        <v>29751</v>
      </c>
      <c r="L78" s="24"/>
      <c r="M78" s="24">
        <f>28449+47908</f>
        <v>76357</v>
      </c>
      <c r="N78" s="24"/>
      <c r="O78" s="24">
        <f>11902+35</f>
        <v>11937</v>
      </c>
      <c r="P78" s="24"/>
      <c r="Q78" s="24">
        <f>60837+5788</f>
        <v>66625</v>
      </c>
      <c r="R78" s="24"/>
      <c r="S78" s="24">
        <f>12224+22240</f>
        <v>34464</v>
      </c>
      <c r="T78" s="24"/>
      <c r="U78" s="24">
        <v>0</v>
      </c>
      <c r="V78" s="24"/>
      <c r="W78" s="24">
        <v>0</v>
      </c>
      <c r="X78" s="24"/>
      <c r="Y78" s="24">
        <v>0</v>
      </c>
      <c r="Z78" s="24"/>
      <c r="AA78" s="24">
        <f>75553+5000</f>
        <v>80553</v>
      </c>
      <c r="AB78" s="24"/>
      <c r="AC78" s="24">
        <v>0</v>
      </c>
      <c r="AD78" s="24"/>
      <c r="AE78" s="24">
        <v>0</v>
      </c>
      <c r="AF78" s="24"/>
      <c r="AG78" s="24">
        <v>0</v>
      </c>
      <c r="AH78" s="24"/>
      <c r="AI78" s="24">
        <f t="shared" si="2"/>
        <v>779866</v>
      </c>
      <c r="AJ78" s="24"/>
    </row>
    <row r="79" spans="1:42" s="31" customFormat="1" ht="12.6" customHeight="1">
      <c r="A79" s="15" t="s">
        <v>903</v>
      </c>
      <c r="B79" s="15"/>
      <c r="C79" s="15" t="s">
        <v>259</v>
      </c>
      <c r="D79" s="15"/>
      <c r="E79" s="24">
        <v>42423</v>
      </c>
      <c r="F79" s="24"/>
      <c r="G79" s="24">
        <f>56456+13136</f>
        <v>69592</v>
      </c>
      <c r="H79" s="24"/>
      <c r="I79" s="24">
        <f>113492+20506</f>
        <v>133998</v>
      </c>
      <c r="J79" s="24"/>
      <c r="K79" s="24">
        <v>19467</v>
      </c>
      <c r="L79" s="24"/>
      <c r="M79" s="24">
        <v>0</v>
      </c>
      <c r="N79" s="24"/>
      <c r="O79" s="24">
        <v>28895</v>
      </c>
      <c r="P79" s="24"/>
      <c r="Q79" s="24">
        <v>947</v>
      </c>
      <c r="R79" s="24"/>
      <c r="S79" s="24">
        <v>6753</v>
      </c>
      <c r="T79" s="24"/>
      <c r="U79" s="24">
        <v>0</v>
      </c>
      <c r="V79" s="24"/>
      <c r="W79" s="24">
        <v>0</v>
      </c>
      <c r="X79" s="24"/>
      <c r="Y79" s="24">
        <v>0</v>
      </c>
      <c r="Z79" s="24"/>
      <c r="AA79" s="24">
        <v>17000</v>
      </c>
      <c r="AB79" s="24"/>
      <c r="AC79" s="24">
        <v>0</v>
      </c>
      <c r="AD79" s="24"/>
      <c r="AE79" s="24">
        <v>0</v>
      </c>
      <c r="AF79" s="24"/>
      <c r="AG79" s="24">
        <v>0</v>
      </c>
      <c r="AH79" s="24"/>
      <c r="AI79" s="24">
        <f t="shared" si="2"/>
        <v>319075</v>
      </c>
      <c r="AJ79" s="24"/>
      <c r="AK79" s="32"/>
      <c r="AL79" s="32"/>
      <c r="AM79" s="32"/>
      <c r="AN79" s="32"/>
      <c r="AO79" s="32"/>
      <c r="AP79" s="32"/>
    </row>
    <row r="80" spans="1:42" s="31" customFormat="1" ht="13.5" hidden="1" customHeight="1">
      <c r="A80" s="15" t="s">
        <v>317</v>
      </c>
      <c r="B80" s="15"/>
      <c r="C80" s="15" t="s">
        <v>316</v>
      </c>
      <c r="D80" s="15"/>
      <c r="E80" s="24">
        <v>0</v>
      </c>
      <c r="F80" s="24"/>
      <c r="G80" s="24">
        <v>0</v>
      </c>
      <c r="H80" s="24"/>
      <c r="I80" s="24">
        <v>0</v>
      </c>
      <c r="J80" s="24"/>
      <c r="K80" s="24">
        <v>0</v>
      </c>
      <c r="L80" s="24"/>
      <c r="M80" s="24">
        <v>0</v>
      </c>
      <c r="N80" s="24"/>
      <c r="O80" s="24">
        <v>0</v>
      </c>
      <c r="P80" s="24"/>
      <c r="Q80" s="24">
        <v>0</v>
      </c>
      <c r="R80" s="24"/>
      <c r="S80" s="24">
        <v>0</v>
      </c>
      <c r="T80" s="24"/>
      <c r="U80" s="24">
        <v>0</v>
      </c>
      <c r="V80" s="24"/>
      <c r="W80" s="24">
        <v>0</v>
      </c>
      <c r="X80" s="24"/>
      <c r="Y80" s="24">
        <v>0</v>
      </c>
      <c r="Z80" s="24"/>
      <c r="AA80" s="24">
        <v>0</v>
      </c>
      <c r="AB80" s="24"/>
      <c r="AC80" s="24">
        <v>0</v>
      </c>
      <c r="AD80" s="24"/>
      <c r="AE80" s="24">
        <v>0</v>
      </c>
      <c r="AF80" s="24"/>
      <c r="AG80" s="24">
        <v>0</v>
      </c>
      <c r="AH80" s="24"/>
      <c r="AI80" s="24">
        <f t="shared" si="2"/>
        <v>0</v>
      </c>
      <c r="AJ80" s="24"/>
      <c r="AK80" s="32"/>
      <c r="AL80" s="32"/>
      <c r="AM80" s="32"/>
      <c r="AN80" s="32"/>
      <c r="AO80" s="32"/>
      <c r="AP80" s="32"/>
    </row>
    <row r="81" spans="1:42" ht="13.5" hidden="1" customHeight="1">
      <c r="A81" s="15" t="s">
        <v>61</v>
      </c>
      <c r="C81" s="15" t="s">
        <v>771</v>
      </c>
      <c r="E81" s="24">
        <v>0</v>
      </c>
      <c r="G81" s="24">
        <v>0</v>
      </c>
      <c r="I81" s="24">
        <v>0</v>
      </c>
      <c r="K81" s="24">
        <v>0</v>
      </c>
      <c r="M81" s="24">
        <v>0</v>
      </c>
      <c r="O81" s="24">
        <v>0</v>
      </c>
      <c r="Q81" s="24">
        <v>0</v>
      </c>
      <c r="S81" s="24">
        <v>0</v>
      </c>
      <c r="U81" s="24">
        <v>0</v>
      </c>
      <c r="W81" s="24">
        <v>0</v>
      </c>
      <c r="Y81" s="24">
        <v>0</v>
      </c>
      <c r="AA81" s="24">
        <v>0</v>
      </c>
      <c r="AC81" s="24">
        <v>0</v>
      </c>
      <c r="AE81" s="24">
        <v>0</v>
      </c>
      <c r="AG81" s="24">
        <v>0</v>
      </c>
      <c r="AI81" s="24">
        <f t="shared" si="2"/>
        <v>0</v>
      </c>
      <c r="AJ81" s="24"/>
      <c r="AK81" s="30"/>
      <c r="AL81" s="30"/>
      <c r="AM81" s="30"/>
      <c r="AN81" s="30"/>
      <c r="AO81" s="30"/>
      <c r="AP81" s="30"/>
    </row>
    <row r="82" spans="1:42" s="31" customFormat="1">
      <c r="A82" s="15" t="s">
        <v>546</v>
      </c>
      <c r="B82" s="15"/>
      <c r="C82" s="15" t="s">
        <v>545</v>
      </c>
      <c r="D82" s="15"/>
      <c r="E82" s="24">
        <f>81963+30609+24000</f>
        <v>136572</v>
      </c>
      <c r="F82" s="24"/>
      <c r="G82" s="24">
        <v>908959</v>
      </c>
      <c r="H82" s="24"/>
      <c r="I82" s="24">
        <f>149270+145012</f>
        <v>294282</v>
      </c>
      <c r="J82" s="24"/>
      <c r="K82" s="24">
        <v>1135</v>
      </c>
      <c r="L82" s="24"/>
      <c r="M82" s="24">
        <v>192614</v>
      </c>
      <c r="N82" s="24"/>
      <c r="O82" s="24">
        <f>4605+1440</f>
        <v>6045</v>
      </c>
      <c r="P82" s="24"/>
      <c r="Q82" s="24">
        <f>37326+2064</f>
        <v>39390</v>
      </c>
      <c r="R82" s="24"/>
      <c r="S82" s="24">
        <f>2274+5354+46974</f>
        <v>54602</v>
      </c>
      <c r="T82" s="24"/>
      <c r="U82" s="24">
        <v>0</v>
      </c>
      <c r="V82" s="24"/>
      <c r="W82" s="24">
        <v>0</v>
      </c>
      <c r="X82" s="24"/>
      <c r="Y82" s="24">
        <v>150</v>
      </c>
      <c r="Z82" s="24"/>
      <c r="AA82" s="24">
        <f>551655+365980+118365</f>
        <v>1036000</v>
      </c>
      <c r="AB82" s="24"/>
      <c r="AC82" s="24">
        <v>0</v>
      </c>
      <c r="AD82" s="24"/>
      <c r="AE82" s="24">
        <v>0</v>
      </c>
      <c r="AF82" s="24"/>
      <c r="AG82" s="24">
        <v>0</v>
      </c>
      <c r="AH82" s="24"/>
      <c r="AI82" s="24">
        <f t="shared" si="2"/>
        <v>2669749</v>
      </c>
      <c r="AJ82" s="24"/>
    </row>
    <row r="83" spans="1:42" s="31" customFormat="1" hidden="1">
      <c r="A83" s="15"/>
      <c r="B83" s="15"/>
      <c r="C83" s="15"/>
      <c r="D83" s="15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 t="s">
        <v>869</v>
      </c>
      <c r="AJ83" s="24"/>
    </row>
    <row r="84" spans="1:42" s="41" customFormat="1" ht="12.6" hidden="1" customHeight="1">
      <c r="A84" s="41" t="s">
        <v>72</v>
      </c>
      <c r="C84" s="41" t="s">
        <v>773</v>
      </c>
      <c r="E84" s="24">
        <v>0</v>
      </c>
      <c r="G84" s="24">
        <v>0</v>
      </c>
      <c r="I84" s="24">
        <v>0</v>
      </c>
      <c r="K84" s="24">
        <v>0</v>
      </c>
      <c r="M84" s="24">
        <v>0</v>
      </c>
      <c r="O84" s="24">
        <v>0</v>
      </c>
      <c r="Q84" s="24">
        <v>0</v>
      </c>
      <c r="S84" s="24">
        <v>0</v>
      </c>
      <c r="U84" s="24">
        <v>0</v>
      </c>
      <c r="W84" s="24">
        <v>0</v>
      </c>
      <c r="Y84" s="24">
        <v>0</v>
      </c>
      <c r="AA84" s="24">
        <v>0</v>
      </c>
      <c r="AC84" s="24">
        <v>0</v>
      </c>
      <c r="AE84" s="24">
        <v>0</v>
      </c>
      <c r="AG84" s="24">
        <v>0</v>
      </c>
      <c r="AI84" s="41">
        <f t="shared" ref="AI84:AI115" si="3">SUM(E84:AG84)</f>
        <v>0</v>
      </c>
      <c r="AK84" s="45"/>
      <c r="AL84" s="45"/>
      <c r="AM84" s="45"/>
      <c r="AN84" s="45"/>
      <c r="AO84" s="45"/>
      <c r="AP84" s="45"/>
    </row>
    <row r="85" spans="1:42" ht="12.6" hidden="1" customHeight="1">
      <c r="A85" s="15" t="s">
        <v>281</v>
      </c>
      <c r="C85" s="15" t="s">
        <v>279</v>
      </c>
      <c r="E85" s="24">
        <v>0</v>
      </c>
      <c r="G85" s="24">
        <v>0</v>
      </c>
      <c r="I85" s="24">
        <v>0</v>
      </c>
      <c r="K85" s="24">
        <v>0</v>
      </c>
      <c r="M85" s="24">
        <v>0</v>
      </c>
      <c r="O85" s="24">
        <v>0</v>
      </c>
      <c r="Q85" s="24">
        <v>0</v>
      </c>
      <c r="S85" s="24">
        <v>0</v>
      </c>
      <c r="U85" s="24">
        <v>0</v>
      </c>
      <c r="W85" s="24">
        <v>0</v>
      </c>
      <c r="Y85" s="24">
        <v>0</v>
      </c>
      <c r="AA85" s="24">
        <v>0</v>
      </c>
      <c r="AC85" s="24">
        <v>0</v>
      </c>
      <c r="AE85" s="24">
        <v>0</v>
      </c>
      <c r="AG85" s="24">
        <v>0</v>
      </c>
      <c r="AI85" s="24">
        <f t="shared" si="3"/>
        <v>0</v>
      </c>
      <c r="AJ85" s="24"/>
    </row>
    <row r="86" spans="1:42" ht="12.6" customHeight="1">
      <c r="A86" s="15" t="s">
        <v>318</v>
      </c>
      <c r="C86" s="15" t="s">
        <v>316</v>
      </c>
      <c r="E86" s="24">
        <f>355879+26040</f>
        <v>381919</v>
      </c>
      <c r="G86" s="24">
        <v>4950228</v>
      </c>
      <c r="I86" s="24">
        <f>271198+443699+316194+149060</f>
        <v>1180151</v>
      </c>
      <c r="K86" s="24">
        <v>82795</v>
      </c>
      <c r="M86" s="24">
        <v>79159</v>
      </c>
      <c r="O86" s="24">
        <f>126323+8946</f>
        <v>135269</v>
      </c>
      <c r="Q86" s="24">
        <f>123147+16195+10980</f>
        <v>150322</v>
      </c>
      <c r="S86" s="24">
        <f>10854+394</f>
        <v>11248</v>
      </c>
      <c r="U86" s="24">
        <v>0</v>
      </c>
      <c r="W86" s="24">
        <v>0</v>
      </c>
      <c r="Y86" s="24">
        <v>12271</v>
      </c>
      <c r="AA86" s="24">
        <f>150+5015+361139</f>
        <v>366304</v>
      </c>
      <c r="AC86" s="24">
        <v>0</v>
      </c>
      <c r="AE86" s="24">
        <f>39008+31000+12463</f>
        <v>82471</v>
      </c>
      <c r="AG86" s="24">
        <v>0</v>
      </c>
      <c r="AI86" s="24">
        <f t="shared" si="3"/>
        <v>7432137</v>
      </c>
      <c r="AJ86" s="24"/>
      <c r="AK86" s="30"/>
      <c r="AL86" s="30"/>
      <c r="AM86" s="30"/>
      <c r="AN86" s="30"/>
      <c r="AO86" s="30"/>
      <c r="AP86" s="30"/>
    </row>
    <row r="87" spans="1:42" ht="12" hidden="1" customHeight="1">
      <c r="A87" s="15" t="s">
        <v>16</v>
      </c>
      <c r="C87" s="15" t="s">
        <v>755</v>
      </c>
      <c r="E87" s="24">
        <v>0</v>
      </c>
      <c r="G87" s="24">
        <v>0</v>
      </c>
      <c r="I87" s="24">
        <v>0</v>
      </c>
      <c r="K87" s="24">
        <v>0</v>
      </c>
      <c r="M87" s="24">
        <v>0</v>
      </c>
      <c r="O87" s="24">
        <v>0</v>
      </c>
      <c r="Q87" s="24">
        <v>0</v>
      </c>
      <c r="S87" s="24">
        <v>0</v>
      </c>
      <c r="U87" s="24">
        <v>0</v>
      </c>
      <c r="W87" s="24">
        <v>0</v>
      </c>
      <c r="Y87" s="24">
        <v>0</v>
      </c>
      <c r="AA87" s="24">
        <v>0</v>
      </c>
      <c r="AC87" s="24">
        <v>0</v>
      </c>
      <c r="AE87" s="24">
        <v>0</v>
      </c>
      <c r="AG87" s="24">
        <v>0</v>
      </c>
      <c r="AI87" s="24">
        <f t="shared" si="3"/>
        <v>0</v>
      </c>
      <c r="AJ87" s="24"/>
    </row>
    <row r="88" spans="1:42" s="29" customFormat="1" hidden="1">
      <c r="A88" s="24" t="s">
        <v>501</v>
      </c>
      <c r="B88" s="24"/>
      <c r="C88" s="24" t="s">
        <v>500</v>
      </c>
      <c r="D88" s="24"/>
      <c r="E88" s="24">
        <v>0</v>
      </c>
      <c r="F88" s="24"/>
      <c r="G88" s="24">
        <v>0</v>
      </c>
      <c r="H88" s="24"/>
      <c r="I88" s="24">
        <v>0</v>
      </c>
      <c r="J88" s="24"/>
      <c r="K88" s="24">
        <v>0</v>
      </c>
      <c r="L88" s="24"/>
      <c r="M88" s="24">
        <v>0</v>
      </c>
      <c r="N88" s="24"/>
      <c r="O88" s="24">
        <v>0</v>
      </c>
      <c r="P88" s="24"/>
      <c r="Q88" s="24">
        <v>0</v>
      </c>
      <c r="R88" s="24"/>
      <c r="S88" s="24">
        <v>0</v>
      </c>
      <c r="T88" s="24"/>
      <c r="U88" s="24">
        <v>0</v>
      </c>
      <c r="V88" s="24"/>
      <c r="W88" s="24">
        <v>0</v>
      </c>
      <c r="X88" s="24"/>
      <c r="Y88" s="24">
        <v>0</v>
      </c>
      <c r="Z88" s="24"/>
      <c r="AA88" s="24">
        <v>0</v>
      </c>
      <c r="AB88" s="24"/>
      <c r="AC88" s="24">
        <v>0</v>
      </c>
      <c r="AD88" s="24"/>
      <c r="AE88" s="24">
        <v>0</v>
      </c>
      <c r="AF88" s="24"/>
      <c r="AG88" s="24">
        <v>0</v>
      </c>
      <c r="AH88" s="24"/>
      <c r="AI88" s="24">
        <f t="shared" si="3"/>
        <v>0</v>
      </c>
      <c r="AJ88" s="24"/>
    </row>
    <row r="89" spans="1:42" ht="12.6" customHeight="1">
      <c r="A89" s="15" t="s">
        <v>272</v>
      </c>
      <c r="C89" s="15" t="s">
        <v>271</v>
      </c>
      <c r="E89" s="24">
        <v>74600</v>
      </c>
      <c r="G89" s="24">
        <v>0</v>
      </c>
      <c r="I89" s="24">
        <f>11559+27850</f>
        <v>39409</v>
      </c>
      <c r="K89" s="24">
        <v>0</v>
      </c>
      <c r="M89" s="24">
        <v>0</v>
      </c>
      <c r="O89" s="24">
        <f>22522+1687</f>
        <v>24209</v>
      </c>
      <c r="Q89" s="24">
        <v>1090</v>
      </c>
      <c r="S89" s="24">
        <f>12998+5205</f>
        <v>18203</v>
      </c>
      <c r="U89" s="24">
        <v>0</v>
      </c>
      <c r="W89" s="24">
        <v>0</v>
      </c>
      <c r="Y89" s="24">
        <v>0</v>
      </c>
      <c r="AA89" s="24">
        <v>0</v>
      </c>
      <c r="AC89" s="24">
        <v>0</v>
      </c>
      <c r="AE89" s="24">
        <v>0</v>
      </c>
      <c r="AG89" s="24">
        <v>0</v>
      </c>
      <c r="AI89" s="24">
        <f t="shared" si="3"/>
        <v>157511</v>
      </c>
      <c r="AJ89" s="24"/>
    </row>
    <row r="90" spans="1:42" hidden="1">
      <c r="A90" s="15" t="s">
        <v>130</v>
      </c>
      <c r="C90" s="15" t="s">
        <v>790</v>
      </c>
      <c r="E90" s="24">
        <v>0</v>
      </c>
      <c r="G90" s="24">
        <v>0</v>
      </c>
      <c r="I90" s="24">
        <v>0</v>
      </c>
      <c r="K90" s="24">
        <v>0</v>
      </c>
      <c r="M90" s="24">
        <v>0</v>
      </c>
      <c r="O90" s="24">
        <v>0</v>
      </c>
      <c r="Q90" s="24">
        <v>0</v>
      </c>
      <c r="S90" s="24">
        <v>0</v>
      </c>
      <c r="U90" s="24">
        <v>0</v>
      </c>
      <c r="W90" s="24">
        <v>0</v>
      </c>
      <c r="Y90" s="24">
        <v>0</v>
      </c>
      <c r="AA90" s="24">
        <v>0</v>
      </c>
      <c r="AC90" s="24">
        <v>0</v>
      </c>
      <c r="AE90" s="24">
        <v>0</v>
      </c>
      <c r="AG90" s="24">
        <v>0</v>
      </c>
      <c r="AI90" s="24">
        <f t="shared" si="3"/>
        <v>0</v>
      </c>
      <c r="AJ90" s="24"/>
    </row>
    <row r="91" spans="1:42" hidden="1">
      <c r="A91" s="15" t="s">
        <v>11</v>
      </c>
      <c r="C91" s="15" t="s">
        <v>754</v>
      </c>
      <c r="E91" s="24">
        <v>0</v>
      </c>
      <c r="G91" s="24">
        <v>0</v>
      </c>
      <c r="I91" s="24">
        <v>0</v>
      </c>
      <c r="K91" s="24">
        <v>0</v>
      </c>
      <c r="M91" s="24">
        <v>0</v>
      </c>
      <c r="O91" s="24">
        <v>0</v>
      </c>
      <c r="Q91" s="24">
        <v>0</v>
      </c>
      <c r="S91" s="24">
        <v>0</v>
      </c>
      <c r="U91" s="24">
        <v>0</v>
      </c>
      <c r="W91" s="24">
        <v>0</v>
      </c>
      <c r="Y91" s="24">
        <v>0</v>
      </c>
      <c r="AA91" s="24">
        <v>0</v>
      </c>
      <c r="AC91" s="24">
        <v>0</v>
      </c>
      <c r="AE91" s="24">
        <v>0</v>
      </c>
      <c r="AG91" s="24">
        <v>0</v>
      </c>
      <c r="AI91" s="24">
        <f t="shared" si="3"/>
        <v>0</v>
      </c>
      <c r="AJ91" s="24"/>
    </row>
    <row r="92" spans="1:42" hidden="1">
      <c r="A92" s="15" t="s">
        <v>248</v>
      </c>
      <c r="C92" s="15" t="s">
        <v>828</v>
      </c>
      <c r="E92" s="24">
        <v>0</v>
      </c>
      <c r="G92" s="24">
        <v>0</v>
      </c>
      <c r="I92" s="24">
        <v>0</v>
      </c>
      <c r="K92" s="24">
        <v>0</v>
      </c>
      <c r="M92" s="24">
        <v>0</v>
      </c>
      <c r="O92" s="24">
        <v>0</v>
      </c>
      <c r="Q92" s="24">
        <v>0</v>
      </c>
      <c r="S92" s="24">
        <v>0</v>
      </c>
      <c r="U92" s="24">
        <v>0</v>
      </c>
      <c r="W92" s="24">
        <v>0</v>
      </c>
      <c r="Y92" s="24">
        <v>0</v>
      </c>
      <c r="AA92" s="24">
        <v>0</v>
      </c>
      <c r="AC92" s="24">
        <v>0</v>
      </c>
      <c r="AE92" s="24">
        <v>0</v>
      </c>
      <c r="AG92" s="24">
        <v>0</v>
      </c>
      <c r="AI92" s="24">
        <f t="shared" si="3"/>
        <v>0</v>
      </c>
      <c r="AJ92" s="24"/>
    </row>
    <row r="93" spans="1:42">
      <c r="A93" s="15" t="s">
        <v>529</v>
      </c>
      <c r="C93" s="15" t="s">
        <v>530</v>
      </c>
      <c r="E93" s="24">
        <v>18949</v>
      </c>
      <c r="G93" s="24">
        <v>0</v>
      </c>
      <c r="I93" s="24">
        <f>14962</f>
        <v>14962</v>
      </c>
      <c r="K93" s="24">
        <v>0</v>
      </c>
      <c r="M93" s="24">
        <v>0</v>
      </c>
      <c r="O93" s="24">
        <v>0</v>
      </c>
      <c r="Q93" s="24">
        <f>114</f>
        <v>114</v>
      </c>
      <c r="S93" s="24">
        <v>0</v>
      </c>
      <c r="U93" s="24">
        <v>0</v>
      </c>
      <c r="W93" s="24">
        <v>0</v>
      </c>
      <c r="Y93" s="24">
        <v>0</v>
      </c>
      <c r="AA93" s="24">
        <v>0</v>
      </c>
      <c r="AC93" s="24">
        <v>0</v>
      </c>
      <c r="AE93" s="24">
        <v>0</v>
      </c>
      <c r="AG93" s="24">
        <v>0</v>
      </c>
      <c r="AI93" s="24">
        <f t="shared" si="3"/>
        <v>34025</v>
      </c>
      <c r="AJ93" s="24"/>
    </row>
    <row r="94" spans="1:42">
      <c r="A94" s="15" t="s">
        <v>468</v>
      </c>
      <c r="C94" s="15" t="s">
        <v>710</v>
      </c>
      <c r="E94" s="24">
        <f>5064+8784</f>
        <v>13848</v>
      </c>
      <c r="G94" s="24">
        <v>0</v>
      </c>
      <c r="I94" s="24">
        <f>26290+23614</f>
        <v>49904</v>
      </c>
      <c r="K94" s="24">
        <v>0</v>
      </c>
      <c r="M94" s="24">
        <v>0</v>
      </c>
      <c r="O94" s="24">
        <v>0</v>
      </c>
      <c r="Q94" s="24">
        <v>0</v>
      </c>
      <c r="S94" s="24">
        <f>28954+12330</f>
        <v>41284</v>
      </c>
      <c r="U94" s="24">
        <v>0</v>
      </c>
      <c r="W94" s="24">
        <v>0</v>
      </c>
      <c r="Y94" s="24">
        <v>0</v>
      </c>
      <c r="AA94" s="24">
        <v>0</v>
      </c>
      <c r="AC94" s="24">
        <v>0</v>
      </c>
      <c r="AE94" s="24">
        <v>0</v>
      </c>
      <c r="AG94" s="24">
        <v>0</v>
      </c>
      <c r="AI94" s="24">
        <f t="shared" si="3"/>
        <v>105036</v>
      </c>
      <c r="AJ94" s="24"/>
    </row>
    <row r="95" spans="1:42">
      <c r="A95" s="15" t="s">
        <v>690</v>
      </c>
      <c r="C95" s="15" t="s">
        <v>366</v>
      </c>
      <c r="E95" s="24">
        <f>70910+144915</f>
        <v>215825</v>
      </c>
      <c r="G95" s="24">
        <v>501919</v>
      </c>
      <c r="I95" s="24">
        <f>67462+122859</f>
        <v>190321</v>
      </c>
      <c r="K95" s="24">
        <v>24</v>
      </c>
      <c r="M95" s="24">
        <f>12821+12466</f>
        <v>25287</v>
      </c>
      <c r="O95" s="24">
        <f>620+2605</f>
        <v>3225</v>
      </c>
      <c r="Q95" s="24">
        <v>0</v>
      </c>
      <c r="S95" s="24">
        <f>23989+7865+12971</f>
        <v>44825</v>
      </c>
      <c r="U95" s="24">
        <v>0</v>
      </c>
      <c r="W95" s="24">
        <v>0</v>
      </c>
      <c r="Y95" s="24">
        <v>1225</v>
      </c>
      <c r="AA95" s="24">
        <f>366186+104980</f>
        <v>471166</v>
      </c>
      <c r="AC95" s="24">
        <f>48704+35000</f>
        <v>83704</v>
      </c>
      <c r="AE95" s="24">
        <v>4215</v>
      </c>
      <c r="AG95" s="24">
        <v>0</v>
      </c>
      <c r="AI95" s="24">
        <f t="shared" si="3"/>
        <v>1541736</v>
      </c>
      <c r="AJ95" s="24"/>
    </row>
    <row r="96" spans="1:42" s="31" customFormat="1" hidden="1">
      <c r="A96" s="15" t="s">
        <v>522</v>
      </c>
      <c r="B96" s="15"/>
      <c r="C96" s="15" t="s">
        <v>523</v>
      </c>
      <c r="D96" s="15"/>
      <c r="E96" s="24">
        <v>0</v>
      </c>
      <c r="F96" s="24"/>
      <c r="G96" s="24">
        <v>0</v>
      </c>
      <c r="H96" s="24"/>
      <c r="I96" s="24">
        <v>0</v>
      </c>
      <c r="J96" s="24"/>
      <c r="K96" s="24">
        <v>0</v>
      </c>
      <c r="L96" s="24"/>
      <c r="M96" s="24">
        <v>0</v>
      </c>
      <c r="N96" s="24"/>
      <c r="O96" s="24">
        <v>0</v>
      </c>
      <c r="P96" s="24"/>
      <c r="Q96" s="24">
        <v>0</v>
      </c>
      <c r="R96" s="24"/>
      <c r="S96" s="24">
        <v>0</v>
      </c>
      <c r="T96" s="24"/>
      <c r="U96" s="24">
        <v>0</v>
      </c>
      <c r="V96" s="24"/>
      <c r="W96" s="24">
        <v>0</v>
      </c>
      <c r="X96" s="24"/>
      <c r="Y96" s="24">
        <v>0</v>
      </c>
      <c r="Z96" s="24"/>
      <c r="AA96" s="24">
        <v>0</v>
      </c>
      <c r="AB96" s="24"/>
      <c r="AC96" s="24">
        <v>0</v>
      </c>
      <c r="AD96" s="24"/>
      <c r="AE96" s="24">
        <v>0</v>
      </c>
      <c r="AF96" s="24"/>
      <c r="AG96" s="24">
        <v>0</v>
      </c>
      <c r="AH96" s="24"/>
      <c r="AI96" s="24">
        <f t="shared" si="3"/>
        <v>0</v>
      </c>
      <c r="AJ96" s="24"/>
    </row>
    <row r="97" spans="1:42" hidden="1">
      <c r="A97" s="15" t="s">
        <v>241</v>
      </c>
      <c r="C97" s="15" t="s">
        <v>826</v>
      </c>
      <c r="E97" s="24">
        <v>0</v>
      </c>
      <c r="G97" s="24">
        <v>0</v>
      </c>
      <c r="I97" s="24">
        <v>0</v>
      </c>
      <c r="K97" s="24">
        <v>0</v>
      </c>
      <c r="M97" s="24">
        <v>0</v>
      </c>
      <c r="O97" s="24">
        <v>0</v>
      </c>
      <c r="Q97" s="24">
        <v>0</v>
      </c>
      <c r="S97" s="24">
        <v>0</v>
      </c>
      <c r="U97" s="24">
        <v>0</v>
      </c>
      <c r="W97" s="24">
        <v>0</v>
      </c>
      <c r="Y97" s="24">
        <v>0</v>
      </c>
      <c r="AA97" s="24">
        <v>0</v>
      </c>
      <c r="AC97" s="24">
        <v>0</v>
      </c>
      <c r="AE97" s="24">
        <v>0</v>
      </c>
      <c r="AG97" s="24">
        <v>0</v>
      </c>
      <c r="AI97" s="24">
        <f t="shared" si="3"/>
        <v>0</v>
      </c>
      <c r="AJ97" s="24"/>
    </row>
    <row r="98" spans="1:42" s="31" customFormat="1" hidden="1">
      <c r="A98" s="15" t="s">
        <v>86</v>
      </c>
      <c r="B98" s="15"/>
      <c r="C98" s="15" t="s">
        <v>777</v>
      </c>
      <c r="D98" s="15"/>
      <c r="E98" s="24">
        <v>0</v>
      </c>
      <c r="F98" s="24"/>
      <c r="G98" s="24">
        <v>0</v>
      </c>
      <c r="H98" s="24"/>
      <c r="I98" s="24">
        <v>0</v>
      </c>
      <c r="J98" s="24"/>
      <c r="K98" s="24">
        <v>0</v>
      </c>
      <c r="L98" s="24"/>
      <c r="M98" s="24">
        <v>0</v>
      </c>
      <c r="N98" s="24"/>
      <c r="O98" s="24">
        <v>0</v>
      </c>
      <c r="P98" s="24"/>
      <c r="Q98" s="24">
        <v>0</v>
      </c>
      <c r="R98" s="24"/>
      <c r="S98" s="24">
        <v>0</v>
      </c>
      <c r="T98" s="24"/>
      <c r="U98" s="24">
        <v>0</v>
      </c>
      <c r="V98" s="24"/>
      <c r="W98" s="24">
        <v>0</v>
      </c>
      <c r="X98" s="24"/>
      <c r="Y98" s="24">
        <v>0</v>
      </c>
      <c r="Z98" s="24"/>
      <c r="AA98" s="24">
        <v>0</v>
      </c>
      <c r="AB98" s="24"/>
      <c r="AC98" s="24">
        <v>0</v>
      </c>
      <c r="AD98" s="24"/>
      <c r="AE98" s="24">
        <v>0</v>
      </c>
      <c r="AF98" s="24"/>
      <c r="AG98" s="24">
        <v>0</v>
      </c>
      <c r="AH98" s="24"/>
      <c r="AI98" s="24">
        <f t="shared" si="3"/>
        <v>0</v>
      </c>
      <c r="AJ98" s="24"/>
    </row>
    <row r="99" spans="1:42" s="31" customFormat="1" ht="12.6" hidden="1" customHeight="1">
      <c r="A99" s="15" t="s">
        <v>100</v>
      </c>
      <c r="B99" s="15"/>
      <c r="C99" s="15" t="s">
        <v>403</v>
      </c>
      <c r="D99" s="15"/>
      <c r="E99" s="24">
        <v>0</v>
      </c>
      <c r="F99" s="24"/>
      <c r="G99" s="24">
        <v>0</v>
      </c>
      <c r="H99" s="24"/>
      <c r="I99" s="24">
        <v>0</v>
      </c>
      <c r="J99" s="24"/>
      <c r="K99" s="24">
        <v>0</v>
      </c>
      <c r="L99" s="24"/>
      <c r="M99" s="24">
        <v>0</v>
      </c>
      <c r="N99" s="24"/>
      <c r="O99" s="24">
        <v>0</v>
      </c>
      <c r="P99" s="24"/>
      <c r="Q99" s="24">
        <v>0</v>
      </c>
      <c r="R99" s="24"/>
      <c r="S99" s="24">
        <v>0</v>
      </c>
      <c r="T99" s="24"/>
      <c r="U99" s="24">
        <v>0</v>
      </c>
      <c r="V99" s="24"/>
      <c r="W99" s="24">
        <v>0</v>
      </c>
      <c r="X99" s="24"/>
      <c r="Y99" s="24">
        <v>0</v>
      </c>
      <c r="Z99" s="24"/>
      <c r="AA99" s="24">
        <v>0</v>
      </c>
      <c r="AB99" s="24"/>
      <c r="AC99" s="24">
        <v>0</v>
      </c>
      <c r="AD99" s="24"/>
      <c r="AE99" s="24">
        <v>0</v>
      </c>
      <c r="AF99" s="24"/>
      <c r="AG99" s="24">
        <v>0</v>
      </c>
      <c r="AH99" s="24"/>
      <c r="AI99" s="24">
        <f t="shared" si="3"/>
        <v>0</v>
      </c>
      <c r="AJ99" s="41"/>
    </row>
    <row r="100" spans="1:42" s="31" customFormat="1" ht="12.6" hidden="1" customHeight="1">
      <c r="A100" s="15" t="s">
        <v>713</v>
      </c>
      <c r="B100" s="15"/>
      <c r="C100" s="15" t="s">
        <v>714</v>
      </c>
      <c r="D100" s="15"/>
      <c r="E100" s="24">
        <v>0</v>
      </c>
      <c r="F100" s="24"/>
      <c r="G100" s="24">
        <v>0</v>
      </c>
      <c r="H100" s="24"/>
      <c r="I100" s="24">
        <v>0</v>
      </c>
      <c r="J100" s="24"/>
      <c r="K100" s="24">
        <v>0</v>
      </c>
      <c r="L100" s="24"/>
      <c r="M100" s="24">
        <v>0</v>
      </c>
      <c r="N100" s="24"/>
      <c r="O100" s="24">
        <v>0</v>
      </c>
      <c r="P100" s="24"/>
      <c r="Q100" s="24">
        <v>0</v>
      </c>
      <c r="R100" s="24"/>
      <c r="S100" s="24">
        <v>0</v>
      </c>
      <c r="T100" s="24"/>
      <c r="U100" s="24">
        <v>0</v>
      </c>
      <c r="V100" s="24"/>
      <c r="W100" s="24">
        <v>0</v>
      </c>
      <c r="X100" s="24"/>
      <c r="Y100" s="24">
        <v>0</v>
      </c>
      <c r="Z100" s="24"/>
      <c r="AA100" s="24">
        <v>0</v>
      </c>
      <c r="AB100" s="24"/>
      <c r="AC100" s="24">
        <v>0</v>
      </c>
      <c r="AD100" s="24"/>
      <c r="AE100" s="24">
        <v>0</v>
      </c>
      <c r="AF100" s="24"/>
      <c r="AG100" s="24">
        <v>0</v>
      </c>
      <c r="AH100" s="24"/>
      <c r="AI100" s="24">
        <f t="shared" si="3"/>
        <v>0</v>
      </c>
      <c r="AJ100" s="24"/>
    </row>
    <row r="101" spans="1:42" hidden="1">
      <c r="A101" s="15" t="s">
        <v>177</v>
      </c>
      <c r="C101" s="15" t="s">
        <v>806</v>
      </c>
      <c r="E101" s="24">
        <v>0</v>
      </c>
      <c r="G101" s="24">
        <v>0</v>
      </c>
      <c r="I101" s="24">
        <v>0</v>
      </c>
      <c r="K101" s="24">
        <v>0</v>
      </c>
      <c r="M101" s="24">
        <v>0</v>
      </c>
      <c r="O101" s="24">
        <v>0</v>
      </c>
      <c r="Q101" s="24">
        <v>0</v>
      </c>
      <c r="S101" s="24">
        <v>0</v>
      </c>
      <c r="U101" s="24">
        <v>0</v>
      </c>
      <c r="W101" s="24">
        <v>0</v>
      </c>
      <c r="Y101" s="24">
        <v>0</v>
      </c>
      <c r="AA101" s="24">
        <v>0</v>
      </c>
      <c r="AC101" s="24">
        <v>0</v>
      </c>
      <c r="AE101" s="24">
        <v>0</v>
      </c>
      <c r="AG101" s="24">
        <v>0</v>
      </c>
      <c r="AI101" s="24">
        <f t="shared" si="3"/>
        <v>0</v>
      </c>
      <c r="AJ101" s="24"/>
    </row>
    <row r="102" spans="1:42" hidden="1">
      <c r="A102" s="15" t="s">
        <v>147</v>
      </c>
      <c r="C102" s="15" t="s">
        <v>796</v>
      </c>
      <c r="E102" s="24">
        <v>0</v>
      </c>
      <c r="G102" s="24">
        <v>0</v>
      </c>
      <c r="I102" s="24">
        <v>0</v>
      </c>
      <c r="K102" s="24">
        <v>0</v>
      </c>
      <c r="M102" s="24">
        <v>0</v>
      </c>
      <c r="O102" s="24">
        <v>0</v>
      </c>
      <c r="Q102" s="24">
        <v>0</v>
      </c>
      <c r="S102" s="24">
        <v>0</v>
      </c>
      <c r="U102" s="24">
        <v>0</v>
      </c>
      <c r="W102" s="24">
        <v>0</v>
      </c>
      <c r="Y102" s="24">
        <v>0</v>
      </c>
      <c r="AA102" s="24">
        <v>0</v>
      </c>
      <c r="AC102" s="24">
        <v>0</v>
      </c>
      <c r="AE102" s="24">
        <v>0</v>
      </c>
      <c r="AG102" s="24">
        <v>0</v>
      </c>
      <c r="AI102" s="24">
        <f t="shared" si="3"/>
        <v>0</v>
      </c>
      <c r="AJ102" s="24"/>
    </row>
    <row r="103" spans="1:42" hidden="1">
      <c r="A103" s="15" t="s">
        <v>198</v>
      </c>
      <c r="C103" s="15" t="s">
        <v>812</v>
      </c>
      <c r="E103" s="24">
        <v>0</v>
      </c>
      <c r="G103" s="24">
        <v>0</v>
      </c>
      <c r="I103" s="24">
        <v>0</v>
      </c>
      <c r="K103" s="24">
        <v>0</v>
      </c>
      <c r="M103" s="24">
        <v>0</v>
      </c>
      <c r="O103" s="24">
        <v>0</v>
      </c>
      <c r="Q103" s="24">
        <v>0</v>
      </c>
      <c r="S103" s="24">
        <v>0</v>
      </c>
      <c r="U103" s="24">
        <v>0</v>
      </c>
      <c r="W103" s="24">
        <v>0</v>
      </c>
      <c r="Y103" s="24">
        <v>0</v>
      </c>
      <c r="AA103" s="24">
        <v>0</v>
      </c>
      <c r="AC103" s="24">
        <v>0</v>
      </c>
      <c r="AE103" s="24">
        <v>0</v>
      </c>
      <c r="AG103" s="24">
        <v>0</v>
      </c>
      <c r="AI103" s="24">
        <f t="shared" si="3"/>
        <v>0</v>
      </c>
      <c r="AJ103" s="24"/>
    </row>
    <row r="104" spans="1:42" s="31" customFormat="1" ht="12.6" customHeight="1">
      <c r="A104" s="15" t="s">
        <v>352</v>
      </c>
      <c r="B104" s="15"/>
      <c r="C104" s="15" t="s">
        <v>353</v>
      </c>
      <c r="D104" s="15"/>
      <c r="E104" s="24">
        <f>4605310+48669</f>
        <v>4653979</v>
      </c>
      <c r="F104" s="24"/>
      <c r="G104" s="24">
        <v>0</v>
      </c>
      <c r="H104" s="24"/>
      <c r="I104" s="24">
        <f>350897+917223</f>
        <v>1268120</v>
      </c>
      <c r="J104" s="24"/>
      <c r="K104" s="24">
        <v>76747</v>
      </c>
      <c r="L104" s="24"/>
      <c r="M104" s="24">
        <v>126277</v>
      </c>
      <c r="N104" s="24"/>
      <c r="O104" s="24">
        <f>479037+3862</f>
        <v>482899</v>
      </c>
      <c r="P104" s="24"/>
      <c r="Q104" s="24">
        <f>377468+4373</f>
        <v>381841</v>
      </c>
      <c r="R104" s="24"/>
      <c r="S104" s="24">
        <f>60260+4670+13625+8901</f>
        <v>87456</v>
      </c>
      <c r="T104" s="24"/>
      <c r="U104" s="24">
        <f>2200000+3590000</f>
        <v>5790000</v>
      </c>
      <c r="V104" s="24"/>
      <c r="W104" s="24">
        <v>456000</v>
      </c>
      <c r="X104" s="24"/>
      <c r="Y104" s="24">
        <v>0</v>
      </c>
      <c r="Z104" s="24"/>
      <c r="AA104" s="24">
        <f>780132+560750</f>
        <v>1340882</v>
      </c>
      <c r="AB104" s="24"/>
      <c r="AC104" s="24">
        <v>0</v>
      </c>
      <c r="AD104" s="24"/>
      <c r="AE104" s="24">
        <v>0</v>
      </c>
      <c r="AF104" s="24"/>
      <c r="AG104" s="24">
        <v>0</v>
      </c>
      <c r="AH104" s="24"/>
      <c r="AI104" s="24">
        <f t="shared" si="3"/>
        <v>14664201</v>
      </c>
      <c r="AJ104" s="24"/>
      <c r="AK104" s="32"/>
      <c r="AL104" s="32"/>
      <c r="AM104" s="32"/>
      <c r="AN104" s="32"/>
      <c r="AO104" s="32"/>
      <c r="AP104" s="32"/>
    </row>
    <row r="105" spans="1:42" hidden="1">
      <c r="A105" s="15" t="s">
        <v>170</v>
      </c>
      <c r="C105" s="15" t="s">
        <v>804</v>
      </c>
      <c r="E105" s="24">
        <v>0</v>
      </c>
      <c r="G105" s="24">
        <v>0</v>
      </c>
      <c r="I105" s="24">
        <v>0</v>
      </c>
      <c r="K105" s="24">
        <v>0</v>
      </c>
      <c r="M105" s="24">
        <v>0</v>
      </c>
      <c r="O105" s="24">
        <v>0</v>
      </c>
      <c r="Q105" s="24">
        <v>0</v>
      </c>
      <c r="S105" s="24">
        <v>0</v>
      </c>
      <c r="U105" s="24">
        <v>0</v>
      </c>
      <c r="W105" s="24">
        <v>0</v>
      </c>
      <c r="Y105" s="24">
        <v>0</v>
      </c>
      <c r="AA105" s="24">
        <v>0</v>
      </c>
      <c r="AC105" s="24">
        <v>0</v>
      </c>
      <c r="AE105" s="24">
        <v>0</v>
      </c>
      <c r="AG105" s="24">
        <v>0</v>
      </c>
      <c r="AI105" s="24">
        <f t="shared" si="3"/>
        <v>0</v>
      </c>
      <c r="AJ105" s="24"/>
    </row>
    <row r="106" spans="1:42">
      <c r="A106" s="15" t="s">
        <v>613</v>
      </c>
      <c r="C106" s="15" t="s">
        <v>614</v>
      </c>
      <c r="E106" s="24">
        <v>335238</v>
      </c>
      <c r="G106" s="24">
        <f>432837+107785</f>
        <v>540622</v>
      </c>
      <c r="I106" s="24">
        <f>140469+300378</f>
        <v>440847</v>
      </c>
      <c r="K106" s="24">
        <v>1666</v>
      </c>
      <c r="M106" s="24">
        <f>17350+42847</f>
        <v>60197</v>
      </c>
      <c r="O106" s="24">
        <f>10838+40019+150</f>
        <v>51007</v>
      </c>
      <c r="Q106" s="24">
        <f>241218+31779</f>
        <v>272997</v>
      </c>
      <c r="S106" s="24">
        <f>43799+23549</f>
        <v>67348</v>
      </c>
      <c r="U106" s="24">
        <v>0</v>
      </c>
      <c r="W106" s="24">
        <v>0</v>
      </c>
      <c r="Y106" s="24">
        <v>2179</v>
      </c>
      <c r="AA106" s="24">
        <f>533582+60000</f>
        <v>593582</v>
      </c>
      <c r="AC106" s="24">
        <v>0</v>
      </c>
      <c r="AE106" s="24">
        <v>0</v>
      </c>
      <c r="AG106" s="24">
        <v>0</v>
      </c>
      <c r="AI106" s="24">
        <f t="shared" si="3"/>
        <v>2365683</v>
      </c>
      <c r="AJ106" s="24"/>
    </row>
    <row r="107" spans="1:42" ht="12.6" hidden="1" customHeight="1">
      <c r="A107" s="15" t="s">
        <v>62</v>
      </c>
      <c r="C107" s="15" t="s">
        <v>771</v>
      </c>
      <c r="E107" s="24">
        <v>0</v>
      </c>
      <c r="G107" s="24">
        <v>0</v>
      </c>
      <c r="I107" s="24">
        <v>0</v>
      </c>
      <c r="K107" s="24">
        <v>0</v>
      </c>
      <c r="M107" s="24">
        <v>0</v>
      </c>
      <c r="O107" s="24">
        <v>0</v>
      </c>
      <c r="Q107" s="24">
        <v>0</v>
      </c>
      <c r="S107" s="24">
        <v>0</v>
      </c>
      <c r="U107" s="24">
        <v>0</v>
      </c>
      <c r="W107" s="24">
        <v>0</v>
      </c>
      <c r="Y107" s="24">
        <v>0</v>
      </c>
      <c r="AA107" s="24">
        <v>0</v>
      </c>
      <c r="AC107" s="24">
        <v>0</v>
      </c>
      <c r="AE107" s="24">
        <v>0</v>
      </c>
      <c r="AG107" s="24">
        <v>0</v>
      </c>
      <c r="AI107" s="24">
        <f t="shared" si="3"/>
        <v>0</v>
      </c>
      <c r="AJ107" s="24"/>
      <c r="AK107" s="30"/>
      <c r="AL107" s="30"/>
      <c r="AM107" s="30"/>
      <c r="AN107" s="30"/>
      <c r="AO107" s="30"/>
      <c r="AP107" s="30"/>
    </row>
    <row r="108" spans="1:42" ht="12.6" customHeight="1">
      <c r="A108" s="15" t="s">
        <v>285</v>
      </c>
      <c r="C108" s="15" t="s">
        <v>62</v>
      </c>
      <c r="E108" s="24">
        <f>188980+87415+800834-1</f>
        <v>1077228</v>
      </c>
      <c r="G108" s="24">
        <v>0</v>
      </c>
      <c r="I108" s="24">
        <f>114655+153251+8231+12917+75000</f>
        <v>364054</v>
      </c>
      <c r="K108" s="24">
        <v>0</v>
      </c>
      <c r="M108" s="24">
        <f>9547+30000</f>
        <v>39547</v>
      </c>
      <c r="O108" s="24">
        <f>72314+25025</f>
        <v>97339</v>
      </c>
      <c r="Q108" s="24">
        <f>20613+604</f>
        <v>21217</v>
      </c>
      <c r="S108" s="24">
        <f>40842+41129+376</f>
        <v>82347</v>
      </c>
      <c r="U108" s="24">
        <v>0</v>
      </c>
      <c r="W108" s="24">
        <v>0</v>
      </c>
      <c r="Y108" s="24">
        <v>7500</v>
      </c>
      <c r="AA108" s="24">
        <v>800000</v>
      </c>
      <c r="AC108" s="24">
        <v>0</v>
      </c>
      <c r="AE108" s="24">
        <v>35512</v>
      </c>
      <c r="AG108" s="24">
        <v>0</v>
      </c>
      <c r="AI108" s="24">
        <f t="shared" si="3"/>
        <v>2524744</v>
      </c>
      <c r="AJ108" s="24"/>
    </row>
    <row r="109" spans="1:42" s="31" customFormat="1" ht="12.6" hidden="1" customHeight="1">
      <c r="A109" s="15" t="s">
        <v>60</v>
      </c>
      <c r="B109" s="15"/>
      <c r="C109" s="15" t="s">
        <v>770</v>
      </c>
      <c r="D109" s="15"/>
      <c r="E109" s="24">
        <v>0</v>
      </c>
      <c r="F109" s="24"/>
      <c r="G109" s="24">
        <v>0</v>
      </c>
      <c r="H109" s="24"/>
      <c r="I109" s="24">
        <v>0</v>
      </c>
      <c r="J109" s="24"/>
      <c r="K109" s="24">
        <v>0</v>
      </c>
      <c r="L109" s="24"/>
      <c r="M109" s="24">
        <v>0</v>
      </c>
      <c r="N109" s="24"/>
      <c r="O109" s="24">
        <v>0</v>
      </c>
      <c r="P109" s="24"/>
      <c r="Q109" s="24">
        <v>0</v>
      </c>
      <c r="R109" s="24"/>
      <c r="S109" s="24">
        <v>0</v>
      </c>
      <c r="T109" s="24"/>
      <c r="U109" s="24">
        <v>0</v>
      </c>
      <c r="V109" s="24"/>
      <c r="W109" s="24">
        <v>0</v>
      </c>
      <c r="X109" s="24"/>
      <c r="Y109" s="24">
        <v>0</v>
      </c>
      <c r="Z109" s="24"/>
      <c r="AA109" s="24">
        <v>0</v>
      </c>
      <c r="AB109" s="24"/>
      <c r="AC109" s="24">
        <v>0</v>
      </c>
      <c r="AD109" s="24"/>
      <c r="AE109" s="24">
        <v>0</v>
      </c>
      <c r="AF109" s="24"/>
      <c r="AG109" s="24">
        <v>0</v>
      </c>
      <c r="AH109" s="24"/>
      <c r="AI109" s="24">
        <f t="shared" si="3"/>
        <v>0</v>
      </c>
      <c r="AJ109" s="24"/>
      <c r="AK109" s="32"/>
      <c r="AL109" s="32"/>
      <c r="AM109" s="32"/>
      <c r="AN109" s="32"/>
      <c r="AO109" s="32"/>
      <c r="AP109" s="32"/>
    </row>
    <row r="110" spans="1:42" s="31" customFormat="1" hidden="1">
      <c r="A110" s="15" t="s">
        <v>51</v>
      </c>
      <c r="B110" s="15"/>
      <c r="C110" s="15" t="s">
        <v>767</v>
      </c>
      <c r="D110" s="15"/>
      <c r="E110" s="24">
        <v>0</v>
      </c>
      <c r="F110" s="24"/>
      <c r="G110" s="24">
        <v>0</v>
      </c>
      <c r="H110" s="24"/>
      <c r="I110" s="24">
        <v>0</v>
      </c>
      <c r="J110" s="24"/>
      <c r="K110" s="24">
        <v>0</v>
      </c>
      <c r="L110" s="24"/>
      <c r="M110" s="24">
        <v>0</v>
      </c>
      <c r="N110" s="24"/>
      <c r="O110" s="24">
        <v>0</v>
      </c>
      <c r="P110" s="24"/>
      <c r="Q110" s="24">
        <v>0</v>
      </c>
      <c r="R110" s="24"/>
      <c r="S110" s="24">
        <v>0</v>
      </c>
      <c r="T110" s="24"/>
      <c r="U110" s="24">
        <v>0</v>
      </c>
      <c r="V110" s="24"/>
      <c r="W110" s="24">
        <v>0</v>
      </c>
      <c r="X110" s="24"/>
      <c r="Y110" s="24">
        <v>0</v>
      </c>
      <c r="Z110" s="24"/>
      <c r="AA110" s="24">
        <v>0</v>
      </c>
      <c r="AB110" s="24"/>
      <c r="AC110" s="24">
        <v>0</v>
      </c>
      <c r="AD110" s="24"/>
      <c r="AE110" s="24">
        <v>0</v>
      </c>
      <c r="AF110" s="24"/>
      <c r="AG110" s="24">
        <v>0</v>
      </c>
      <c r="AH110" s="24"/>
      <c r="AI110" s="24">
        <f t="shared" si="3"/>
        <v>0</v>
      </c>
      <c r="AJ110" s="24"/>
      <c r="AK110" s="32"/>
      <c r="AL110" s="32"/>
      <c r="AM110" s="32"/>
      <c r="AN110" s="32"/>
      <c r="AO110" s="32"/>
      <c r="AP110" s="32"/>
    </row>
    <row r="111" spans="1:42" hidden="1">
      <c r="A111" s="15" t="s">
        <v>34</v>
      </c>
      <c r="C111" s="15" t="s">
        <v>760</v>
      </c>
      <c r="E111" s="24">
        <v>0</v>
      </c>
      <c r="G111" s="24">
        <v>0</v>
      </c>
      <c r="I111" s="24">
        <v>0</v>
      </c>
      <c r="K111" s="24">
        <v>0</v>
      </c>
      <c r="M111" s="24">
        <v>0</v>
      </c>
      <c r="O111" s="24">
        <v>0</v>
      </c>
      <c r="Q111" s="24">
        <v>0</v>
      </c>
      <c r="S111" s="24">
        <v>0</v>
      </c>
      <c r="U111" s="24">
        <v>0</v>
      </c>
      <c r="W111" s="24">
        <v>0</v>
      </c>
      <c r="Y111" s="24">
        <v>0</v>
      </c>
      <c r="AA111" s="24">
        <v>0</v>
      </c>
      <c r="AC111" s="24">
        <v>0</v>
      </c>
      <c r="AE111" s="24">
        <v>0</v>
      </c>
      <c r="AG111" s="24">
        <v>0</v>
      </c>
      <c r="AI111" s="24">
        <f t="shared" si="3"/>
        <v>0</v>
      </c>
      <c r="AJ111" s="24"/>
    </row>
    <row r="112" spans="1:42" hidden="1">
      <c r="A112" s="15" t="s">
        <v>182</v>
      </c>
      <c r="C112" s="15" t="s">
        <v>808</v>
      </c>
      <c r="E112" s="24">
        <v>0</v>
      </c>
      <c r="G112" s="24">
        <v>0</v>
      </c>
      <c r="I112" s="24">
        <v>0</v>
      </c>
      <c r="K112" s="24">
        <v>0</v>
      </c>
      <c r="M112" s="24">
        <v>0</v>
      </c>
      <c r="O112" s="24">
        <v>0</v>
      </c>
      <c r="Q112" s="24">
        <v>0</v>
      </c>
      <c r="S112" s="24">
        <v>0</v>
      </c>
      <c r="U112" s="24">
        <v>0</v>
      </c>
      <c r="W112" s="24">
        <v>0</v>
      </c>
      <c r="Y112" s="24">
        <v>0</v>
      </c>
      <c r="AA112" s="24">
        <v>0</v>
      </c>
      <c r="AC112" s="24">
        <v>0</v>
      </c>
      <c r="AE112" s="24">
        <v>0</v>
      </c>
      <c r="AG112" s="24">
        <v>0</v>
      </c>
      <c r="AI112" s="24">
        <f t="shared" si="3"/>
        <v>0</v>
      </c>
      <c r="AJ112" s="24"/>
    </row>
    <row r="113" spans="1:42" s="31" customFormat="1">
      <c r="A113" s="15" t="s">
        <v>370</v>
      </c>
      <c r="B113" s="15"/>
      <c r="C113" s="15" t="s">
        <v>371</v>
      </c>
      <c r="D113" s="15"/>
      <c r="E113" s="24">
        <f>59445+6299</f>
        <v>65744</v>
      </c>
      <c r="F113" s="24"/>
      <c r="G113" s="24">
        <v>512793</v>
      </c>
      <c r="H113" s="24"/>
      <c r="I113" s="24">
        <f>176368+70961</f>
        <v>247329</v>
      </c>
      <c r="J113" s="24"/>
      <c r="K113" s="24">
        <v>0</v>
      </c>
      <c r="L113" s="24"/>
      <c r="M113" s="24">
        <v>0</v>
      </c>
      <c r="N113" s="24"/>
      <c r="O113" s="24">
        <f>235+26741</f>
        <v>26976</v>
      </c>
      <c r="P113" s="24"/>
      <c r="Q113" s="24">
        <f>8463+1211</f>
        <v>9674</v>
      </c>
      <c r="R113" s="24"/>
      <c r="S113" s="24">
        <f>58117+4871</f>
        <v>62988</v>
      </c>
      <c r="T113" s="24"/>
      <c r="U113" s="24">
        <v>0</v>
      </c>
      <c r="V113" s="24"/>
      <c r="W113" s="24">
        <v>0</v>
      </c>
      <c r="X113" s="24"/>
      <c r="Y113" s="24">
        <v>0</v>
      </c>
      <c r="Z113" s="24"/>
      <c r="AA113" s="24">
        <f>3718+330351</f>
        <v>334069</v>
      </c>
      <c r="AB113" s="24"/>
      <c r="AC113" s="24">
        <v>0</v>
      </c>
      <c r="AD113" s="24"/>
      <c r="AE113" s="24">
        <v>0</v>
      </c>
      <c r="AF113" s="24"/>
      <c r="AG113" s="24">
        <v>0</v>
      </c>
      <c r="AH113" s="24"/>
      <c r="AI113" s="24">
        <f t="shared" si="3"/>
        <v>1259573</v>
      </c>
      <c r="AJ113" s="24"/>
    </row>
    <row r="114" spans="1:42" hidden="1">
      <c r="A114" s="15" t="s">
        <v>121</v>
      </c>
      <c r="C114" s="15" t="s">
        <v>787</v>
      </c>
      <c r="E114" s="24">
        <v>0</v>
      </c>
      <c r="G114" s="24">
        <v>0</v>
      </c>
      <c r="I114" s="24">
        <v>0</v>
      </c>
      <c r="K114" s="24">
        <v>0</v>
      </c>
      <c r="M114" s="24">
        <v>0</v>
      </c>
      <c r="O114" s="24">
        <v>0</v>
      </c>
      <c r="Q114" s="24">
        <v>0</v>
      </c>
      <c r="S114" s="24">
        <v>0</v>
      </c>
      <c r="U114" s="24">
        <v>0</v>
      </c>
      <c r="W114" s="24">
        <v>0</v>
      </c>
      <c r="Y114" s="24">
        <v>0</v>
      </c>
      <c r="AA114" s="24">
        <v>0</v>
      </c>
      <c r="AC114" s="24">
        <v>0</v>
      </c>
      <c r="AE114" s="24">
        <v>0</v>
      </c>
      <c r="AG114" s="24">
        <v>0</v>
      </c>
      <c r="AI114" s="24">
        <f t="shared" si="3"/>
        <v>0</v>
      </c>
      <c r="AJ114" s="24"/>
    </row>
    <row r="115" spans="1:42" hidden="1">
      <c r="A115" s="15" t="s">
        <v>844</v>
      </c>
      <c r="C115" s="15" t="s">
        <v>775</v>
      </c>
      <c r="E115" s="24">
        <v>0</v>
      </c>
      <c r="G115" s="24">
        <v>0</v>
      </c>
      <c r="I115" s="24">
        <v>0</v>
      </c>
      <c r="K115" s="24">
        <v>0</v>
      </c>
      <c r="M115" s="24">
        <v>0</v>
      </c>
      <c r="O115" s="24">
        <v>0</v>
      </c>
      <c r="Q115" s="24">
        <v>0</v>
      </c>
      <c r="S115" s="24">
        <v>0</v>
      </c>
      <c r="U115" s="24">
        <v>0</v>
      </c>
      <c r="W115" s="24">
        <v>0</v>
      </c>
      <c r="Y115" s="24">
        <v>0</v>
      </c>
      <c r="AA115" s="24">
        <v>0</v>
      </c>
      <c r="AC115" s="24">
        <v>0</v>
      </c>
      <c r="AE115" s="24">
        <v>0</v>
      </c>
      <c r="AG115" s="24">
        <v>0</v>
      </c>
      <c r="AI115" s="24">
        <f t="shared" si="3"/>
        <v>0</v>
      </c>
      <c r="AJ115" s="24"/>
    </row>
    <row r="116" spans="1:42" s="31" customFormat="1" ht="12.6" customHeight="1">
      <c r="A116" s="15" t="s">
        <v>319</v>
      </c>
      <c r="B116" s="15"/>
      <c r="C116" s="15" t="s">
        <v>316</v>
      </c>
      <c r="D116" s="15"/>
      <c r="E116" s="24">
        <f>921497+47494+459110</f>
        <v>1428101</v>
      </c>
      <c r="F116" s="24"/>
      <c r="G116" s="24">
        <f>2262610+390471</f>
        <v>2653081</v>
      </c>
      <c r="H116" s="24"/>
      <c r="I116" s="24">
        <f>605256+332835+59424+60138</f>
        <v>1057653</v>
      </c>
      <c r="J116" s="24"/>
      <c r="K116" s="24">
        <v>56907</v>
      </c>
      <c r="L116" s="24"/>
      <c r="M116" s="24">
        <v>736149</v>
      </c>
      <c r="N116" s="24"/>
      <c r="O116" s="24">
        <v>99643</v>
      </c>
      <c r="P116" s="24"/>
      <c r="Q116" s="24">
        <f>116851+32997+8206+33808</f>
        <v>191862</v>
      </c>
      <c r="R116" s="24"/>
      <c r="S116" s="24">
        <f>74006+22929+42210+105592</f>
        <v>244737</v>
      </c>
      <c r="T116" s="24"/>
      <c r="U116" s="24">
        <v>0</v>
      </c>
      <c r="V116" s="24"/>
      <c r="W116" s="24">
        <v>0</v>
      </c>
      <c r="X116" s="24"/>
      <c r="Y116" s="24">
        <v>0</v>
      </c>
      <c r="Z116" s="24"/>
      <c r="AA116" s="24">
        <f>35000+1217722</f>
        <v>1252722</v>
      </c>
      <c r="AB116" s="24"/>
      <c r="AC116" s="24">
        <v>0</v>
      </c>
      <c r="AD116" s="24"/>
      <c r="AE116" s="24">
        <v>0</v>
      </c>
      <c r="AF116" s="24"/>
      <c r="AG116" s="24">
        <v>0</v>
      </c>
      <c r="AH116" s="24"/>
      <c r="AI116" s="24">
        <f t="shared" ref="AI116:AI147" si="4">SUM(E116:AG116)</f>
        <v>7720855</v>
      </c>
      <c r="AJ116" s="24"/>
      <c r="AK116" s="32"/>
      <c r="AL116" s="32"/>
      <c r="AM116" s="32"/>
      <c r="AN116" s="32"/>
      <c r="AO116" s="32"/>
      <c r="AP116" s="32"/>
    </row>
    <row r="117" spans="1:42" s="31" customFormat="1" ht="12.6" customHeight="1">
      <c r="A117" s="15" t="s">
        <v>311</v>
      </c>
      <c r="B117" s="15"/>
      <c r="C117" s="15" t="s">
        <v>312</v>
      </c>
      <c r="D117" s="15"/>
      <c r="E117" s="24">
        <v>2673</v>
      </c>
      <c r="F117" s="24"/>
      <c r="G117" s="24">
        <v>0</v>
      </c>
      <c r="H117" s="24"/>
      <c r="I117" s="24">
        <f>12105+4743</f>
        <v>16848</v>
      </c>
      <c r="J117" s="24"/>
      <c r="K117" s="24">
        <v>0</v>
      </c>
      <c r="L117" s="24"/>
      <c r="M117" s="24">
        <v>0</v>
      </c>
      <c r="N117" s="24"/>
      <c r="O117" s="24">
        <v>10</v>
      </c>
      <c r="P117" s="24"/>
      <c r="Q117" s="24">
        <f>362+104</f>
        <v>466</v>
      </c>
      <c r="R117" s="24"/>
      <c r="S117" s="24">
        <v>334</v>
      </c>
      <c r="T117" s="24"/>
      <c r="U117" s="24">
        <v>0</v>
      </c>
      <c r="V117" s="24"/>
      <c r="W117" s="24">
        <v>0</v>
      </c>
      <c r="X117" s="24"/>
      <c r="Y117" s="24">
        <v>0</v>
      </c>
      <c r="Z117" s="24"/>
      <c r="AA117" s="24">
        <v>0</v>
      </c>
      <c r="AB117" s="24"/>
      <c r="AC117" s="24">
        <v>0</v>
      </c>
      <c r="AD117" s="24"/>
      <c r="AE117" s="24">
        <v>0</v>
      </c>
      <c r="AF117" s="24"/>
      <c r="AG117" s="24">
        <v>0</v>
      </c>
      <c r="AH117" s="24"/>
      <c r="AI117" s="24">
        <f t="shared" si="4"/>
        <v>20331</v>
      </c>
      <c r="AJ117" s="24"/>
    </row>
    <row r="118" spans="1:42" ht="12.6" hidden="1" customHeight="1">
      <c r="A118" s="15" t="s">
        <v>273</v>
      </c>
      <c r="C118" s="15" t="s">
        <v>271</v>
      </c>
      <c r="E118" s="24">
        <v>0</v>
      </c>
      <c r="G118" s="24">
        <v>0</v>
      </c>
      <c r="I118" s="24">
        <v>0</v>
      </c>
      <c r="K118" s="24">
        <v>0</v>
      </c>
      <c r="M118" s="24">
        <v>0</v>
      </c>
      <c r="O118" s="24">
        <v>0</v>
      </c>
      <c r="Q118" s="24">
        <v>0</v>
      </c>
      <c r="S118" s="24">
        <v>0</v>
      </c>
      <c r="U118" s="24">
        <v>0</v>
      </c>
      <c r="W118" s="24">
        <v>0</v>
      </c>
      <c r="Y118" s="24">
        <v>0</v>
      </c>
      <c r="AA118" s="24">
        <v>0</v>
      </c>
      <c r="AC118" s="24">
        <v>0</v>
      </c>
      <c r="AE118" s="24">
        <v>0</v>
      </c>
      <c r="AG118" s="24">
        <v>0</v>
      </c>
      <c r="AI118" s="24">
        <f t="shared" si="4"/>
        <v>0</v>
      </c>
      <c r="AJ118" s="24"/>
      <c r="AK118" s="30"/>
      <c r="AL118" s="30"/>
      <c r="AM118" s="30"/>
      <c r="AN118" s="30"/>
      <c r="AO118" s="30"/>
      <c r="AP118" s="30"/>
    </row>
    <row r="119" spans="1:42" s="31" customFormat="1" hidden="1">
      <c r="A119" s="15" t="s">
        <v>666</v>
      </c>
      <c r="B119" s="15"/>
      <c r="C119" s="15" t="s">
        <v>667</v>
      </c>
      <c r="D119" s="15"/>
      <c r="E119" s="24">
        <v>0</v>
      </c>
      <c r="F119" s="24"/>
      <c r="G119" s="24">
        <v>0</v>
      </c>
      <c r="H119" s="24"/>
      <c r="I119" s="24">
        <v>0</v>
      </c>
      <c r="J119" s="24"/>
      <c r="K119" s="24">
        <v>0</v>
      </c>
      <c r="L119" s="24"/>
      <c r="M119" s="24">
        <v>0</v>
      </c>
      <c r="N119" s="24"/>
      <c r="O119" s="24">
        <v>0</v>
      </c>
      <c r="P119" s="24"/>
      <c r="Q119" s="24">
        <v>0</v>
      </c>
      <c r="R119" s="24"/>
      <c r="S119" s="24">
        <v>0</v>
      </c>
      <c r="T119" s="24"/>
      <c r="U119" s="24">
        <v>0</v>
      </c>
      <c r="V119" s="24"/>
      <c r="W119" s="24">
        <v>0</v>
      </c>
      <c r="X119" s="24"/>
      <c r="Y119" s="24">
        <v>0</v>
      </c>
      <c r="Z119" s="24"/>
      <c r="AA119" s="24">
        <v>0</v>
      </c>
      <c r="AB119" s="24"/>
      <c r="AC119" s="24">
        <v>0</v>
      </c>
      <c r="AD119" s="24"/>
      <c r="AE119" s="24">
        <v>0</v>
      </c>
      <c r="AF119" s="24"/>
      <c r="AG119" s="24">
        <v>0</v>
      </c>
      <c r="AH119" s="24"/>
      <c r="AI119" s="24">
        <f t="shared" si="4"/>
        <v>0</v>
      </c>
      <c r="AJ119" s="24"/>
    </row>
    <row r="120" spans="1:42" hidden="1">
      <c r="A120" s="15" t="s">
        <v>436</v>
      </c>
      <c r="C120" s="15" t="s">
        <v>437</v>
      </c>
      <c r="E120" s="24">
        <v>0</v>
      </c>
      <c r="G120" s="24">
        <v>0</v>
      </c>
      <c r="I120" s="24">
        <v>0</v>
      </c>
      <c r="K120" s="24">
        <v>0</v>
      </c>
      <c r="M120" s="24">
        <v>0</v>
      </c>
      <c r="O120" s="24">
        <v>0</v>
      </c>
      <c r="Q120" s="24">
        <v>0</v>
      </c>
      <c r="S120" s="24">
        <v>0</v>
      </c>
      <c r="U120" s="24">
        <v>0</v>
      </c>
      <c r="W120" s="24">
        <v>0</v>
      </c>
      <c r="Y120" s="24">
        <v>0</v>
      </c>
      <c r="AA120" s="24">
        <v>0</v>
      </c>
      <c r="AC120" s="24">
        <v>0</v>
      </c>
      <c r="AE120" s="24">
        <v>0</v>
      </c>
      <c r="AG120" s="24">
        <v>0</v>
      </c>
      <c r="AI120" s="24">
        <f t="shared" si="4"/>
        <v>0</v>
      </c>
      <c r="AJ120" s="24"/>
    </row>
    <row r="121" spans="1:42" s="31" customFormat="1" hidden="1">
      <c r="A121" s="15" t="s">
        <v>79</v>
      </c>
      <c r="B121" s="15"/>
      <c r="C121" s="15" t="s">
        <v>775</v>
      </c>
      <c r="D121" s="15"/>
      <c r="E121" s="24">
        <v>0</v>
      </c>
      <c r="F121" s="24"/>
      <c r="G121" s="24">
        <v>0</v>
      </c>
      <c r="H121" s="24"/>
      <c r="I121" s="24">
        <v>0</v>
      </c>
      <c r="J121" s="24"/>
      <c r="K121" s="24">
        <v>0</v>
      </c>
      <c r="L121" s="24"/>
      <c r="M121" s="24">
        <v>0</v>
      </c>
      <c r="N121" s="24"/>
      <c r="O121" s="24">
        <v>0</v>
      </c>
      <c r="P121" s="24"/>
      <c r="Q121" s="24">
        <v>0</v>
      </c>
      <c r="R121" s="24"/>
      <c r="S121" s="24">
        <v>0</v>
      </c>
      <c r="T121" s="24"/>
      <c r="U121" s="24">
        <v>0</v>
      </c>
      <c r="V121" s="24"/>
      <c r="W121" s="24">
        <v>0</v>
      </c>
      <c r="X121" s="24"/>
      <c r="Y121" s="24">
        <v>0</v>
      </c>
      <c r="Z121" s="24"/>
      <c r="AA121" s="24">
        <v>0</v>
      </c>
      <c r="AB121" s="24"/>
      <c r="AC121" s="24">
        <v>0</v>
      </c>
      <c r="AD121" s="24"/>
      <c r="AE121" s="24">
        <v>0</v>
      </c>
      <c r="AF121" s="24"/>
      <c r="AG121" s="24">
        <v>0</v>
      </c>
      <c r="AH121" s="24"/>
      <c r="AI121" s="24">
        <f t="shared" si="4"/>
        <v>0</v>
      </c>
      <c r="AJ121" s="24"/>
    </row>
    <row r="122" spans="1:42">
      <c r="A122" s="15" t="s">
        <v>904</v>
      </c>
      <c r="C122" s="15" t="s">
        <v>905</v>
      </c>
      <c r="E122" s="24">
        <f>1157+5127</f>
        <v>6284</v>
      </c>
      <c r="G122" s="24">
        <v>0</v>
      </c>
      <c r="I122" s="24">
        <f>46557+12284</f>
        <v>58841</v>
      </c>
      <c r="K122" s="24">
        <v>0</v>
      </c>
      <c r="M122" s="24">
        <v>938</v>
      </c>
      <c r="O122" s="24">
        <v>75</v>
      </c>
      <c r="Q122" s="24">
        <v>1890</v>
      </c>
      <c r="S122" s="24">
        <v>11903</v>
      </c>
      <c r="U122" s="24">
        <v>0</v>
      </c>
      <c r="W122" s="24">
        <v>0</v>
      </c>
      <c r="Y122" s="24">
        <v>0</v>
      </c>
      <c r="AA122" s="24">
        <v>0</v>
      </c>
      <c r="AC122" s="24">
        <v>0</v>
      </c>
      <c r="AE122" s="24">
        <v>0</v>
      </c>
      <c r="AG122" s="24">
        <v>0</v>
      </c>
      <c r="AI122" s="24">
        <f t="shared" si="4"/>
        <v>79931</v>
      </c>
      <c r="AJ122" s="24"/>
    </row>
    <row r="123" spans="1:42" hidden="1">
      <c r="A123" s="15" t="s">
        <v>171</v>
      </c>
      <c r="C123" s="15" t="s">
        <v>804</v>
      </c>
      <c r="E123" s="24">
        <v>0</v>
      </c>
      <c r="G123" s="24">
        <v>0</v>
      </c>
      <c r="I123" s="24">
        <v>0</v>
      </c>
      <c r="K123" s="24">
        <v>0</v>
      </c>
      <c r="M123" s="24">
        <v>0</v>
      </c>
      <c r="O123" s="24">
        <v>0</v>
      </c>
      <c r="Q123" s="24">
        <v>0</v>
      </c>
      <c r="S123" s="24">
        <v>0</v>
      </c>
      <c r="U123" s="24">
        <v>0</v>
      </c>
      <c r="W123" s="24">
        <v>0</v>
      </c>
      <c r="Y123" s="24">
        <v>0</v>
      </c>
      <c r="AA123" s="24">
        <v>0</v>
      </c>
      <c r="AC123" s="24">
        <v>0</v>
      </c>
      <c r="AE123" s="24">
        <v>0</v>
      </c>
      <c r="AG123" s="24">
        <v>0</v>
      </c>
      <c r="AI123" s="24">
        <f t="shared" si="4"/>
        <v>0</v>
      </c>
      <c r="AJ123" s="24"/>
    </row>
    <row r="124" spans="1:42" hidden="1">
      <c r="A124" s="15" t="s">
        <v>856</v>
      </c>
      <c r="C124" s="15" t="s">
        <v>799</v>
      </c>
      <c r="E124" s="24">
        <v>0</v>
      </c>
      <c r="G124" s="24">
        <v>0</v>
      </c>
      <c r="I124" s="24">
        <v>0</v>
      </c>
      <c r="K124" s="24">
        <v>0</v>
      </c>
      <c r="M124" s="24">
        <v>0</v>
      </c>
      <c r="O124" s="24">
        <v>0</v>
      </c>
      <c r="Q124" s="24">
        <v>0</v>
      </c>
      <c r="S124" s="24">
        <v>0</v>
      </c>
      <c r="U124" s="24">
        <v>0</v>
      </c>
      <c r="W124" s="24">
        <v>0</v>
      </c>
      <c r="Y124" s="24">
        <v>0</v>
      </c>
      <c r="AA124" s="24">
        <v>0</v>
      </c>
      <c r="AC124" s="24">
        <v>0</v>
      </c>
      <c r="AE124" s="24">
        <v>0</v>
      </c>
      <c r="AG124" s="24">
        <v>0</v>
      </c>
      <c r="AI124" s="24">
        <f t="shared" si="4"/>
        <v>0</v>
      </c>
      <c r="AJ124" s="24"/>
    </row>
    <row r="125" spans="1:42">
      <c r="A125" s="15" t="s">
        <v>906</v>
      </c>
      <c r="C125" s="15" t="s">
        <v>295</v>
      </c>
      <c r="E125" s="24">
        <v>1915</v>
      </c>
      <c r="G125" s="24">
        <v>0</v>
      </c>
      <c r="I125" s="24">
        <f>18848+5251</f>
        <v>24099</v>
      </c>
      <c r="K125" s="24">
        <v>0</v>
      </c>
      <c r="M125" s="24">
        <v>0</v>
      </c>
      <c r="O125" s="24">
        <v>0</v>
      </c>
      <c r="Q125" s="24">
        <v>401</v>
      </c>
      <c r="S125" s="24">
        <v>2275</v>
      </c>
      <c r="U125" s="24">
        <v>0</v>
      </c>
      <c r="W125" s="24">
        <v>0</v>
      </c>
      <c r="Y125" s="24">
        <v>0</v>
      </c>
      <c r="AA125" s="24">
        <v>0</v>
      </c>
      <c r="AC125" s="24">
        <v>0</v>
      </c>
      <c r="AE125" s="24">
        <v>0</v>
      </c>
      <c r="AG125" s="24">
        <v>0</v>
      </c>
      <c r="AI125" s="24">
        <f t="shared" si="4"/>
        <v>28690</v>
      </c>
      <c r="AJ125" s="24"/>
    </row>
    <row r="126" spans="1:42" hidden="1">
      <c r="A126" s="15" t="s">
        <v>152</v>
      </c>
      <c r="C126" s="15" t="s">
        <v>797</v>
      </c>
      <c r="E126" s="24">
        <v>0</v>
      </c>
      <c r="G126" s="24">
        <v>0</v>
      </c>
      <c r="I126" s="24">
        <v>0</v>
      </c>
      <c r="K126" s="24">
        <v>0</v>
      </c>
      <c r="M126" s="24">
        <v>0</v>
      </c>
      <c r="O126" s="24">
        <v>0</v>
      </c>
      <c r="Q126" s="24">
        <v>0</v>
      </c>
      <c r="S126" s="24">
        <v>0</v>
      </c>
      <c r="U126" s="24">
        <v>0</v>
      </c>
      <c r="W126" s="24">
        <v>0</v>
      </c>
      <c r="Y126" s="24">
        <v>0</v>
      </c>
      <c r="AA126" s="24">
        <v>0</v>
      </c>
      <c r="AC126" s="24">
        <v>0</v>
      </c>
      <c r="AE126" s="24">
        <v>0</v>
      </c>
      <c r="AG126" s="24">
        <v>0</v>
      </c>
      <c r="AI126" s="24">
        <f t="shared" si="4"/>
        <v>0</v>
      </c>
      <c r="AJ126" s="24"/>
    </row>
    <row r="127" spans="1:42" hidden="1">
      <c r="A127" s="15" t="s">
        <v>32</v>
      </c>
      <c r="C127" s="15" t="s">
        <v>759</v>
      </c>
      <c r="E127" s="24">
        <v>0</v>
      </c>
      <c r="G127" s="24">
        <v>0</v>
      </c>
      <c r="I127" s="24">
        <v>0</v>
      </c>
      <c r="K127" s="24">
        <v>0</v>
      </c>
      <c r="M127" s="24">
        <v>0</v>
      </c>
      <c r="O127" s="24">
        <v>0</v>
      </c>
      <c r="Q127" s="24">
        <v>0</v>
      </c>
      <c r="S127" s="24">
        <v>0</v>
      </c>
      <c r="U127" s="24">
        <v>0</v>
      </c>
      <c r="W127" s="24">
        <v>0</v>
      </c>
      <c r="Y127" s="24">
        <v>0</v>
      </c>
      <c r="AA127" s="24">
        <v>0</v>
      </c>
      <c r="AC127" s="24">
        <v>0</v>
      </c>
      <c r="AE127" s="24">
        <v>0</v>
      </c>
      <c r="AG127" s="24">
        <v>0</v>
      </c>
      <c r="AI127" s="24">
        <f t="shared" si="4"/>
        <v>0</v>
      </c>
      <c r="AJ127" s="24"/>
    </row>
    <row r="128" spans="1:42" hidden="1">
      <c r="A128" s="15" t="s">
        <v>211</v>
      </c>
      <c r="C128" s="15" t="s">
        <v>815</v>
      </c>
      <c r="E128" s="24">
        <v>0</v>
      </c>
      <c r="G128" s="24">
        <v>0</v>
      </c>
      <c r="I128" s="24">
        <v>0</v>
      </c>
      <c r="K128" s="24">
        <v>0</v>
      </c>
      <c r="M128" s="24">
        <v>0</v>
      </c>
      <c r="O128" s="24">
        <v>0</v>
      </c>
      <c r="Q128" s="24">
        <v>0</v>
      </c>
      <c r="S128" s="24">
        <v>0</v>
      </c>
      <c r="U128" s="24">
        <v>0</v>
      </c>
      <c r="W128" s="24">
        <v>0</v>
      </c>
      <c r="Y128" s="24">
        <v>0</v>
      </c>
      <c r="AA128" s="24">
        <v>0</v>
      </c>
      <c r="AC128" s="24">
        <v>0</v>
      </c>
      <c r="AE128" s="24">
        <v>0</v>
      </c>
      <c r="AG128" s="24">
        <v>0</v>
      </c>
      <c r="AI128" s="24">
        <f t="shared" si="4"/>
        <v>0</v>
      </c>
      <c r="AJ128" s="24"/>
    </row>
    <row r="129" spans="1:42" s="31" customFormat="1" ht="12.6" hidden="1" customHeight="1">
      <c r="A129" s="15" t="s">
        <v>300</v>
      </c>
      <c r="B129" s="15"/>
      <c r="C129" s="15" t="s">
        <v>299</v>
      </c>
      <c r="D129" s="15"/>
      <c r="E129" s="24">
        <v>0</v>
      </c>
      <c r="F129" s="24"/>
      <c r="G129" s="24">
        <v>0</v>
      </c>
      <c r="H129" s="24"/>
      <c r="I129" s="24">
        <v>0</v>
      </c>
      <c r="J129" s="24"/>
      <c r="K129" s="24">
        <v>0</v>
      </c>
      <c r="L129" s="24"/>
      <c r="M129" s="24">
        <v>0</v>
      </c>
      <c r="N129" s="24"/>
      <c r="O129" s="24">
        <v>0</v>
      </c>
      <c r="P129" s="24"/>
      <c r="Q129" s="24">
        <v>0</v>
      </c>
      <c r="R129" s="24"/>
      <c r="S129" s="24">
        <v>0</v>
      </c>
      <c r="T129" s="24"/>
      <c r="U129" s="24">
        <v>0</v>
      </c>
      <c r="V129" s="24"/>
      <c r="W129" s="24">
        <v>0</v>
      </c>
      <c r="X129" s="24"/>
      <c r="Y129" s="24">
        <v>0</v>
      </c>
      <c r="Z129" s="24"/>
      <c r="AA129" s="24">
        <v>0</v>
      </c>
      <c r="AB129" s="24"/>
      <c r="AC129" s="24">
        <v>0</v>
      </c>
      <c r="AD129" s="24"/>
      <c r="AE129" s="24">
        <v>0</v>
      </c>
      <c r="AF129" s="24"/>
      <c r="AG129" s="24">
        <v>0</v>
      </c>
      <c r="AH129" s="24"/>
      <c r="AI129" s="24">
        <f t="shared" si="4"/>
        <v>0</v>
      </c>
      <c r="AJ129" s="24"/>
      <c r="AK129" s="32"/>
      <c r="AL129" s="32"/>
      <c r="AM129" s="32"/>
      <c r="AN129" s="32"/>
      <c r="AO129" s="32"/>
      <c r="AP129" s="32"/>
    </row>
    <row r="130" spans="1:42" hidden="1">
      <c r="A130" s="15" t="s">
        <v>179</v>
      </c>
      <c r="C130" s="15" t="s">
        <v>807</v>
      </c>
      <c r="E130" s="24">
        <v>0</v>
      </c>
      <c r="G130" s="24">
        <v>0</v>
      </c>
      <c r="I130" s="24">
        <v>0</v>
      </c>
      <c r="K130" s="24">
        <v>0</v>
      </c>
      <c r="M130" s="24">
        <v>0</v>
      </c>
      <c r="O130" s="24">
        <v>0</v>
      </c>
      <c r="Q130" s="24">
        <v>0</v>
      </c>
      <c r="S130" s="24">
        <v>0</v>
      </c>
      <c r="U130" s="24">
        <v>0</v>
      </c>
      <c r="W130" s="24">
        <v>0</v>
      </c>
      <c r="Y130" s="24">
        <v>0</v>
      </c>
      <c r="AA130" s="24">
        <v>0</v>
      </c>
      <c r="AC130" s="24">
        <v>0</v>
      </c>
      <c r="AE130" s="24">
        <v>0</v>
      </c>
      <c r="AG130" s="24">
        <v>0</v>
      </c>
      <c r="AI130" s="24">
        <f t="shared" si="4"/>
        <v>0</v>
      </c>
      <c r="AJ130" s="24"/>
    </row>
    <row r="131" spans="1:42" hidden="1">
      <c r="A131" s="15" t="s">
        <v>857</v>
      </c>
      <c r="C131" s="15" t="s">
        <v>778</v>
      </c>
      <c r="E131" s="24">
        <v>0</v>
      </c>
      <c r="G131" s="24">
        <v>0</v>
      </c>
      <c r="I131" s="24">
        <v>0</v>
      </c>
      <c r="K131" s="24">
        <v>0</v>
      </c>
      <c r="M131" s="24">
        <v>0</v>
      </c>
      <c r="O131" s="24">
        <v>0</v>
      </c>
      <c r="Q131" s="24">
        <v>0</v>
      </c>
      <c r="S131" s="24">
        <v>0</v>
      </c>
      <c r="U131" s="24">
        <v>0</v>
      </c>
      <c r="W131" s="24">
        <v>0</v>
      </c>
      <c r="Y131" s="24">
        <v>0</v>
      </c>
      <c r="AA131" s="24">
        <v>0</v>
      </c>
      <c r="AC131" s="24">
        <v>0</v>
      </c>
      <c r="AE131" s="24">
        <v>0</v>
      </c>
      <c r="AG131" s="24">
        <v>0</v>
      </c>
      <c r="AI131" s="24">
        <f t="shared" si="4"/>
        <v>0</v>
      </c>
      <c r="AJ131" s="24"/>
    </row>
    <row r="132" spans="1:42" s="31" customFormat="1">
      <c r="A132" s="15" t="s">
        <v>372</v>
      </c>
      <c r="B132" s="15"/>
      <c r="C132" s="15" t="s">
        <v>373</v>
      </c>
      <c r="D132" s="15"/>
      <c r="E132" s="24">
        <v>13570</v>
      </c>
      <c r="F132" s="24"/>
      <c r="G132" s="24">
        <v>0</v>
      </c>
      <c r="H132" s="24"/>
      <c r="I132" s="24">
        <f>9604+8592</f>
        <v>18196</v>
      </c>
      <c r="J132" s="24"/>
      <c r="K132" s="24">
        <v>0</v>
      </c>
      <c r="L132" s="24"/>
      <c r="M132" s="24">
        <v>0</v>
      </c>
      <c r="N132" s="24"/>
      <c r="O132" s="24">
        <v>50</v>
      </c>
      <c r="P132" s="24"/>
      <c r="Q132" s="24">
        <f>14+9</f>
        <v>23</v>
      </c>
      <c r="R132" s="24"/>
      <c r="S132" s="24">
        <f>4075+6182</f>
        <v>10257</v>
      </c>
      <c r="T132" s="24"/>
      <c r="U132" s="24">
        <v>0</v>
      </c>
      <c r="V132" s="24"/>
      <c r="W132" s="24">
        <v>0</v>
      </c>
      <c r="X132" s="24"/>
      <c r="Y132" s="24">
        <v>0</v>
      </c>
      <c r="Z132" s="24"/>
      <c r="AA132" s="24">
        <v>0</v>
      </c>
      <c r="AB132" s="24"/>
      <c r="AC132" s="24">
        <v>0</v>
      </c>
      <c r="AD132" s="24"/>
      <c r="AE132" s="24">
        <v>0</v>
      </c>
      <c r="AF132" s="24"/>
      <c r="AG132" s="24">
        <v>0</v>
      </c>
      <c r="AH132" s="24"/>
      <c r="AI132" s="24">
        <f t="shared" si="4"/>
        <v>42096</v>
      </c>
      <c r="AJ132" s="24"/>
    </row>
    <row r="133" spans="1:42" s="31" customFormat="1" hidden="1">
      <c r="A133" s="15" t="s">
        <v>299</v>
      </c>
      <c r="B133" s="15"/>
      <c r="C133" s="15" t="s">
        <v>554</v>
      </c>
      <c r="D133" s="15"/>
      <c r="E133" s="24">
        <v>0</v>
      </c>
      <c r="F133" s="24"/>
      <c r="G133" s="24">
        <v>0</v>
      </c>
      <c r="H133" s="24"/>
      <c r="I133" s="24">
        <v>0</v>
      </c>
      <c r="J133" s="24"/>
      <c r="K133" s="24">
        <v>0</v>
      </c>
      <c r="L133" s="24"/>
      <c r="M133" s="24">
        <v>0</v>
      </c>
      <c r="N133" s="24"/>
      <c r="O133" s="24">
        <v>0</v>
      </c>
      <c r="P133" s="24"/>
      <c r="Q133" s="24">
        <v>0</v>
      </c>
      <c r="R133" s="24"/>
      <c r="S133" s="24">
        <v>0</v>
      </c>
      <c r="T133" s="24"/>
      <c r="U133" s="24">
        <v>0</v>
      </c>
      <c r="V133" s="24"/>
      <c r="W133" s="24">
        <v>0</v>
      </c>
      <c r="X133" s="24"/>
      <c r="Y133" s="24">
        <v>0</v>
      </c>
      <c r="Z133" s="24"/>
      <c r="AA133" s="24">
        <v>0</v>
      </c>
      <c r="AB133" s="24"/>
      <c r="AC133" s="24">
        <v>0</v>
      </c>
      <c r="AD133" s="24"/>
      <c r="AE133" s="24">
        <v>0</v>
      </c>
      <c r="AF133" s="24"/>
      <c r="AG133" s="24">
        <v>0</v>
      </c>
      <c r="AH133" s="24"/>
      <c r="AI133" s="24">
        <f t="shared" si="4"/>
        <v>0</v>
      </c>
      <c r="AJ133" s="24"/>
    </row>
    <row r="134" spans="1:42" hidden="1">
      <c r="A134" s="15" t="s">
        <v>668</v>
      </c>
      <c r="C134" s="15" t="s">
        <v>517</v>
      </c>
      <c r="E134" s="24">
        <v>0</v>
      </c>
      <c r="G134" s="24">
        <v>0</v>
      </c>
      <c r="I134" s="24">
        <v>9664</v>
      </c>
      <c r="K134" s="24">
        <v>0</v>
      </c>
      <c r="M134" s="24">
        <v>0</v>
      </c>
      <c r="O134" s="24">
        <v>0</v>
      </c>
      <c r="Q134" s="24">
        <v>132</v>
      </c>
      <c r="S134" s="24">
        <v>0</v>
      </c>
      <c r="U134" s="24">
        <v>0</v>
      </c>
      <c r="W134" s="24">
        <v>0</v>
      </c>
      <c r="Y134" s="24">
        <v>0</v>
      </c>
      <c r="AA134" s="24">
        <v>0</v>
      </c>
      <c r="AC134" s="24">
        <v>0</v>
      </c>
      <c r="AE134" s="24">
        <v>0</v>
      </c>
      <c r="AF134" s="38"/>
      <c r="AG134" s="24">
        <v>0</v>
      </c>
      <c r="AH134" s="38"/>
      <c r="AI134" s="24">
        <f t="shared" si="4"/>
        <v>9796</v>
      </c>
      <c r="AJ134" s="24"/>
    </row>
    <row r="135" spans="1:42" s="31" customFormat="1" hidden="1">
      <c r="A135" s="15" t="s">
        <v>125</v>
      </c>
      <c r="B135" s="15"/>
      <c r="C135" s="15" t="s">
        <v>789</v>
      </c>
      <c r="D135" s="15"/>
      <c r="E135" s="24">
        <v>0</v>
      </c>
      <c r="F135" s="24"/>
      <c r="G135" s="24">
        <v>0</v>
      </c>
      <c r="H135" s="24"/>
      <c r="I135" s="24">
        <v>0</v>
      </c>
      <c r="J135" s="24"/>
      <c r="K135" s="24">
        <v>0</v>
      </c>
      <c r="L135" s="24"/>
      <c r="M135" s="24">
        <v>0</v>
      </c>
      <c r="N135" s="24"/>
      <c r="O135" s="24">
        <v>0</v>
      </c>
      <c r="P135" s="24"/>
      <c r="Q135" s="24">
        <v>0</v>
      </c>
      <c r="R135" s="24"/>
      <c r="S135" s="24">
        <v>0</v>
      </c>
      <c r="T135" s="24"/>
      <c r="U135" s="24">
        <v>0</v>
      </c>
      <c r="V135" s="24"/>
      <c r="W135" s="24">
        <v>0</v>
      </c>
      <c r="X135" s="24"/>
      <c r="Y135" s="24">
        <v>0</v>
      </c>
      <c r="Z135" s="24"/>
      <c r="AA135" s="24">
        <v>0</v>
      </c>
      <c r="AB135" s="24"/>
      <c r="AC135" s="24">
        <v>0</v>
      </c>
      <c r="AD135" s="24"/>
      <c r="AE135" s="24">
        <v>0</v>
      </c>
      <c r="AF135" s="24"/>
      <c r="AG135" s="24">
        <v>0</v>
      </c>
      <c r="AH135" s="24"/>
      <c r="AI135" s="24">
        <f t="shared" si="4"/>
        <v>0</v>
      </c>
      <c r="AJ135" s="24"/>
    </row>
    <row r="136" spans="1:42" s="31" customFormat="1" hidden="1">
      <c r="A136" s="15" t="s">
        <v>670</v>
      </c>
      <c r="B136" s="15"/>
      <c r="C136" s="15" t="s">
        <v>669</v>
      </c>
      <c r="D136" s="15"/>
      <c r="E136" s="24">
        <v>0</v>
      </c>
      <c r="F136" s="24"/>
      <c r="G136" s="24">
        <v>0</v>
      </c>
      <c r="H136" s="24"/>
      <c r="I136" s="24">
        <v>0</v>
      </c>
      <c r="J136" s="24"/>
      <c r="K136" s="24">
        <v>0</v>
      </c>
      <c r="L136" s="24"/>
      <c r="M136" s="24">
        <v>0</v>
      </c>
      <c r="N136" s="24"/>
      <c r="O136" s="24">
        <v>0</v>
      </c>
      <c r="P136" s="24"/>
      <c r="Q136" s="24">
        <v>0</v>
      </c>
      <c r="R136" s="24"/>
      <c r="S136" s="24">
        <v>0</v>
      </c>
      <c r="T136" s="24"/>
      <c r="U136" s="24">
        <v>0</v>
      </c>
      <c r="V136" s="24"/>
      <c r="W136" s="24">
        <v>0</v>
      </c>
      <c r="X136" s="24"/>
      <c r="Y136" s="24">
        <v>0</v>
      </c>
      <c r="Z136" s="24"/>
      <c r="AA136" s="24">
        <v>0</v>
      </c>
      <c r="AB136" s="24"/>
      <c r="AC136" s="24">
        <v>0</v>
      </c>
      <c r="AD136" s="24"/>
      <c r="AE136" s="24">
        <v>0</v>
      </c>
      <c r="AF136" s="24"/>
      <c r="AG136" s="24">
        <v>0</v>
      </c>
      <c r="AH136" s="24"/>
      <c r="AI136" s="24">
        <f t="shared" si="4"/>
        <v>0</v>
      </c>
      <c r="AJ136" s="24"/>
    </row>
    <row r="137" spans="1:42">
      <c r="A137" s="15" t="s">
        <v>907</v>
      </c>
      <c r="C137" s="15" t="s">
        <v>469</v>
      </c>
      <c r="E137" s="24">
        <f>1431643+214269</f>
        <v>1645912</v>
      </c>
      <c r="G137" s="24">
        <v>0</v>
      </c>
      <c r="I137" s="24">
        <f>327314+189945+26494+19438</f>
        <v>563191</v>
      </c>
      <c r="K137" s="24">
        <v>5255</v>
      </c>
      <c r="M137" s="24">
        <f>58512+60295+84+193622</f>
        <v>312513</v>
      </c>
      <c r="O137" s="24">
        <f>8199+1523</f>
        <v>9722</v>
      </c>
      <c r="Q137" s="24">
        <f>5560+1589+1158</f>
        <v>8307</v>
      </c>
      <c r="S137" s="24">
        <f>24555+3055</f>
        <v>27610</v>
      </c>
      <c r="U137" s="24">
        <v>0</v>
      </c>
      <c r="W137" s="24">
        <v>0</v>
      </c>
      <c r="Y137" s="24">
        <v>0</v>
      </c>
      <c r="AA137" s="24">
        <v>0</v>
      </c>
      <c r="AC137" s="24">
        <v>0</v>
      </c>
      <c r="AE137" s="24">
        <f>12855+546825+413713+161000+140907</f>
        <v>1275300</v>
      </c>
      <c r="AG137" s="24">
        <v>0</v>
      </c>
      <c r="AI137" s="24">
        <f t="shared" si="4"/>
        <v>3847810</v>
      </c>
      <c r="AJ137" s="24"/>
      <c r="AK137" s="15">
        <f>2572510-1855783</f>
        <v>716727</v>
      </c>
    </row>
    <row r="138" spans="1:42" hidden="1">
      <c r="A138" s="15" t="s">
        <v>199</v>
      </c>
      <c r="C138" s="15" t="s">
        <v>812</v>
      </c>
      <c r="E138" s="24">
        <v>0</v>
      </c>
      <c r="G138" s="24">
        <v>0</v>
      </c>
      <c r="I138" s="24">
        <v>0</v>
      </c>
      <c r="K138" s="24">
        <v>0</v>
      </c>
      <c r="M138" s="24">
        <v>0</v>
      </c>
      <c r="O138" s="24">
        <v>0</v>
      </c>
      <c r="Q138" s="24">
        <v>0</v>
      </c>
      <c r="S138" s="24">
        <v>0</v>
      </c>
      <c r="U138" s="24">
        <v>0</v>
      </c>
      <c r="W138" s="24">
        <v>0</v>
      </c>
      <c r="Y138" s="24">
        <v>0</v>
      </c>
      <c r="AA138" s="24">
        <v>0</v>
      </c>
      <c r="AC138" s="24">
        <v>0</v>
      </c>
      <c r="AE138" s="24">
        <v>0</v>
      </c>
      <c r="AG138" s="24">
        <v>0</v>
      </c>
      <c r="AI138" s="24">
        <f t="shared" si="4"/>
        <v>0</v>
      </c>
      <c r="AJ138" s="24"/>
      <c r="AK138" s="15">
        <f>1275300-12855</f>
        <v>1262445</v>
      </c>
    </row>
    <row r="139" spans="1:42">
      <c r="A139" s="15" t="s">
        <v>518</v>
      </c>
      <c r="C139" s="15" t="s">
        <v>517</v>
      </c>
      <c r="E139" s="24">
        <f>72824+58060</f>
        <v>130884</v>
      </c>
      <c r="G139" s="24">
        <f>408390+124860</f>
        <v>533250</v>
      </c>
      <c r="I139" s="24">
        <f>106215+205215</f>
        <v>311430</v>
      </c>
      <c r="K139" s="24">
        <v>8389</v>
      </c>
      <c r="M139" s="24">
        <f>80741+11891</f>
        <v>92632</v>
      </c>
      <c r="O139" s="24">
        <f>955+15532</f>
        <v>16487</v>
      </c>
      <c r="Q139" s="24">
        <f>20813+1005</f>
        <v>21818</v>
      </c>
      <c r="S139" s="24">
        <f>40724+17449+22847+467</f>
        <v>81487</v>
      </c>
      <c r="U139" s="24">
        <v>0</v>
      </c>
      <c r="W139" s="24">
        <f>195329+8879</f>
        <v>204208</v>
      </c>
      <c r="Y139" s="24">
        <v>0</v>
      </c>
      <c r="AA139" s="24">
        <f>84520+38683+154400</f>
        <v>277603</v>
      </c>
      <c r="AC139" s="24">
        <v>0</v>
      </c>
      <c r="AE139" s="24">
        <v>501</v>
      </c>
      <c r="AG139" s="24">
        <v>0</v>
      </c>
      <c r="AI139" s="24">
        <f t="shared" si="4"/>
        <v>1678689</v>
      </c>
      <c r="AJ139" s="24"/>
      <c r="AK139" s="15">
        <f>SUM(AK137:AK138)</f>
        <v>1979172</v>
      </c>
    </row>
    <row r="140" spans="1:42" hidden="1">
      <c r="A140" s="15" t="s">
        <v>188</v>
      </c>
      <c r="C140" s="15" t="s">
        <v>809</v>
      </c>
      <c r="E140" s="24">
        <v>0</v>
      </c>
      <c r="G140" s="24">
        <v>0</v>
      </c>
      <c r="I140" s="24">
        <v>0</v>
      </c>
      <c r="K140" s="24">
        <v>0</v>
      </c>
      <c r="M140" s="24">
        <v>0</v>
      </c>
      <c r="O140" s="24">
        <v>0</v>
      </c>
      <c r="Q140" s="24">
        <v>0</v>
      </c>
      <c r="S140" s="24">
        <v>0</v>
      </c>
      <c r="U140" s="24">
        <v>0</v>
      </c>
      <c r="W140" s="24">
        <v>0</v>
      </c>
      <c r="Y140" s="24">
        <v>0</v>
      </c>
      <c r="AA140" s="24">
        <v>0</v>
      </c>
      <c r="AC140" s="24">
        <v>0</v>
      </c>
      <c r="AE140" s="24">
        <v>0</v>
      </c>
      <c r="AG140" s="24">
        <v>0</v>
      </c>
      <c r="AI140" s="24">
        <f t="shared" si="4"/>
        <v>0</v>
      </c>
      <c r="AJ140" s="24"/>
    </row>
    <row r="141" spans="1:42" s="31" customFormat="1" ht="12.6" hidden="1" customHeight="1">
      <c r="A141" s="15" t="s">
        <v>307</v>
      </c>
      <c r="B141" s="15"/>
      <c r="C141" s="15" t="s">
        <v>308</v>
      </c>
      <c r="D141" s="15"/>
      <c r="E141" s="24">
        <v>0</v>
      </c>
      <c r="F141" s="24"/>
      <c r="G141" s="24">
        <v>0</v>
      </c>
      <c r="H141" s="24"/>
      <c r="I141" s="24">
        <v>0</v>
      </c>
      <c r="J141" s="24"/>
      <c r="K141" s="24">
        <v>0</v>
      </c>
      <c r="L141" s="24"/>
      <c r="M141" s="24">
        <v>0</v>
      </c>
      <c r="N141" s="24"/>
      <c r="O141" s="24">
        <v>0</v>
      </c>
      <c r="P141" s="24"/>
      <c r="Q141" s="24">
        <v>0</v>
      </c>
      <c r="R141" s="24"/>
      <c r="S141" s="24">
        <v>0</v>
      </c>
      <c r="T141" s="24"/>
      <c r="U141" s="24">
        <v>0</v>
      </c>
      <c r="V141" s="24"/>
      <c r="W141" s="24">
        <v>0</v>
      </c>
      <c r="X141" s="24"/>
      <c r="Y141" s="24">
        <v>0</v>
      </c>
      <c r="Z141" s="24"/>
      <c r="AA141" s="24">
        <v>0</v>
      </c>
      <c r="AB141" s="24"/>
      <c r="AC141" s="24">
        <v>0</v>
      </c>
      <c r="AD141" s="24"/>
      <c r="AE141" s="24">
        <v>0</v>
      </c>
      <c r="AF141" s="24"/>
      <c r="AG141" s="24">
        <v>0</v>
      </c>
      <c r="AH141" s="24"/>
      <c r="AI141" s="24">
        <f t="shared" si="4"/>
        <v>0</v>
      </c>
      <c r="AJ141" s="24"/>
      <c r="AK141" s="32"/>
      <c r="AL141" s="32"/>
      <c r="AM141" s="32"/>
      <c r="AN141" s="32"/>
      <c r="AO141" s="32"/>
      <c r="AP141" s="32"/>
    </row>
    <row r="142" spans="1:42" hidden="1">
      <c r="A142" s="15" t="s">
        <v>202</v>
      </c>
      <c r="C142" s="15" t="s">
        <v>813</v>
      </c>
      <c r="E142" s="24">
        <v>0</v>
      </c>
      <c r="G142" s="24">
        <v>0</v>
      </c>
      <c r="I142" s="24">
        <v>0</v>
      </c>
      <c r="K142" s="24">
        <v>0</v>
      </c>
      <c r="M142" s="24">
        <v>0</v>
      </c>
      <c r="O142" s="24">
        <v>0</v>
      </c>
      <c r="Q142" s="24">
        <v>0</v>
      </c>
      <c r="S142" s="24">
        <v>0</v>
      </c>
      <c r="U142" s="24">
        <v>0</v>
      </c>
      <c r="W142" s="24">
        <v>0</v>
      </c>
      <c r="Y142" s="24">
        <v>0</v>
      </c>
      <c r="AA142" s="24">
        <v>0</v>
      </c>
      <c r="AC142" s="24">
        <v>0</v>
      </c>
      <c r="AE142" s="24">
        <v>0</v>
      </c>
      <c r="AG142" s="24">
        <v>0</v>
      </c>
      <c r="AI142" s="24">
        <f t="shared" si="4"/>
        <v>0</v>
      </c>
      <c r="AJ142" s="24"/>
    </row>
    <row r="143" spans="1:42" hidden="1">
      <c r="A143" s="15" t="s">
        <v>239</v>
      </c>
      <c r="C143" s="15" t="s">
        <v>825</v>
      </c>
      <c r="E143" s="24">
        <v>0</v>
      </c>
      <c r="G143" s="24">
        <v>0</v>
      </c>
      <c r="I143" s="24">
        <v>0</v>
      </c>
      <c r="K143" s="24">
        <v>0</v>
      </c>
      <c r="M143" s="24">
        <v>0</v>
      </c>
      <c r="O143" s="24">
        <v>0</v>
      </c>
      <c r="Q143" s="24">
        <v>0</v>
      </c>
      <c r="S143" s="24">
        <v>0</v>
      </c>
      <c r="U143" s="24">
        <v>0</v>
      </c>
      <c r="W143" s="24">
        <v>0</v>
      </c>
      <c r="Y143" s="24">
        <v>0</v>
      </c>
      <c r="AA143" s="24">
        <v>0</v>
      </c>
      <c r="AC143" s="24">
        <v>0</v>
      </c>
      <c r="AE143" s="24">
        <v>0</v>
      </c>
      <c r="AG143" s="24">
        <v>0</v>
      </c>
      <c r="AI143" s="24">
        <f t="shared" si="4"/>
        <v>0</v>
      </c>
      <c r="AJ143" s="24"/>
    </row>
    <row r="144" spans="1:42" hidden="1">
      <c r="A144" s="15" t="s">
        <v>186</v>
      </c>
      <c r="C144" s="15" t="s">
        <v>433</v>
      </c>
      <c r="E144" s="24">
        <v>0</v>
      </c>
      <c r="G144" s="24">
        <v>0</v>
      </c>
      <c r="I144" s="24">
        <v>0</v>
      </c>
      <c r="K144" s="24">
        <v>0</v>
      </c>
      <c r="M144" s="24">
        <v>0</v>
      </c>
      <c r="O144" s="24">
        <v>0</v>
      </c>
      <c r="Q144" s="24">
        <v>0</v>
      </c>
      <c r="S144" s="24">
        <v>0</v>
      </c>
      <c r="U144" s="24">
        <v>0</v>
      </c>
      <c r="W144" s="24">
        <v>0</v>
      </c>
      <c r="Y144" s="24">
        <v>0</v>
      </c>
      <c r="AA144" s="24">
        <v>0</v>
      </c>
      <c r="AC144" s="24">
        <v>0</v>
      </c>
      <c r="AE144" s="24">
        <v>0</v>
      </c>
      <c r="AG144" s="24">
        <v>0</v>
      </c>
      <c r="AI144" s="24">
        <f t="shared" si="4"/>
        <v>0</v>
      </c>
      <c r="AJ144" s="41"/>
    </row>
    <row r="145" spans="1:36" s="31" customFormat="1">
      <c r="A145" s="15" t="s">
        <v>584</v>
      </c>
      <c r="B145" s="15"/>
      <c r="C145" s="15" t="s">
        <v>586</v>
      </c>
      <c r="D145" s="15"/>
      <c r="E145" s="24">
        <v>17449</v>
      </c>
      <c r="F145" s="24"/>
      <c r="G145" s="24">
        <v>23952</v>
      </c>
      <c r="H145" s="24"/>
      <c r="I145" s="24">
        <f>7575+17927</f>
        <v>25502</v>
      </c>
      <c r="J145" s="24"/>
      <c r="K145" s="24">
        <v>0</v>
      </c>
      <c r="L145" s="24"/>
      <c r="M145" s="24">
        <v>0</v>
      </c>
      <c r="N145" s="24"/>
      <c r="O145" s="24">
        <v>2597</v>
      </c>
      <c r="P145" s="24"/>
      <c r="Q145" s="24">
        <v>3885</v>
      </c>
      <c r="R145" s="24"/>
      <c r="S145" s="24">
        <v>0</v>
      </c>
      <c r="T145" s="24"/>
      <c r="U145" s="24">
        <v>0</v>
      </c>
      <c r="V145" s="24"/>
      <c r="W145" s="24">
        <v>0</v>
      </c>
      <c r="X145" s="24"/>
      <c r="Y145" s="24">
        <v>0</v>
      </c>
      <c r="Z145" s="24"/>
      <c r="AA145" s="24">
        <v>0</v>
      </c>
      <c r="AB145" s="24"/>
      <c r="AC145" s="24">
        <v>0</v>
      </c>
      <c r="AD145" s="24"/>
      <c r="AE145" s="24">
        <v>0</v>
      </c>
      <c r="AF145" s="24"/>
      <c r="AG145" s="24">
        <v>0</v>
      </c>
      <c r="AH145" s="24"/>
      <c r="AI145" s="24">
        <f t="shared" si="4"/>
        <v>73385</v>
      </c>
      <c r="AJ145" s="24"/>
    </row>
    <row r="146" spans="1:36">
      <c r="A146" s="15" t="s">
        <v>908</v>
      </c>
      <c r="C146" s="15" t="s">
        <v>473</v>
      </c>
      <c r="E146" s="24">
        <f>303434+25143</f>
        <v>328577</v>
      </c>
      <c r="G146" s="24">
        <f>169379+723126</f>
        <v>892505</v>
      </c>
      <c r="I146" s="24">
        <f>198960+86073+36460</f>
        <v>321493</v>
      </c>
      <c r="K146" s="24">
        <v>4544</v>
      </c>
      <c r="M146" s="24">
        <v>1052</v>
      </c>
      <c r="O146" s="24">
        <v>22844</v>
      </c>
      <c r="Q146" s="24">
        <v>0</v>
      </c>
      <c r="S146" s="24">
        <f>20049+3365+21242</f>
        <v>44656</v>
      </c>
      <c r="U146" s="24">
        <v>0</v>
      </c>
      <c r="W146" s="24">
        <v>0</v>
      </c>
      <c r="Y146" s="24">
        <v>0</v>
      </c>
      <c r="AA146" s="24">
        <f>600000+80000</f>
        <v>680000</v>
      </c>
      <c r="AC146" s="24">
        <v>0</v>
      </c>
      <c r="AE146" s="24">
        <v>0</v>
      </c>
      <c r="AG146" s="24">
        <v>0</v>
      </c>
      <c r="AI146" s="24">
        <f t="shared" si="4"/>
        <v>2295671</v>
      </c>
      <c r="AJ146" s="24"/>
    </row>
    <row r="147" spans="1:36" hidden="1">
      <c r="A147" s="15" t="s">
        <v>144</v>
      </c>
      <c r="C147" s="15" t="s">
        <v>795</v>
      </c>
      <c r="E147" s="24">
        <v>0</v>
      </c>
      <c r="G147" s="24">
        <v>0</v>
      </c>
      <c r="I147" s="24">
        <v>0</v>
      </c>
      <c r="K147" s="24">
        <v>0</v>
      </c>
      <c r="M147" s="24">
        <v>0</v>
      </c>
      <c r="O147" s="24">
        <v>0</v>
      </c>
      <c r="Q147" s="24">
        <v>0</v>
      </c>
      <c r="S147" s="24">
        <v>0</v>
      </c>
      <c r="U147" s="24">
        <v>0</v>
      </c>
      <c r="W147" s="24">
        <v>0</v>
      </c>
      <c r="Y147" s="24">
        <v>0</v>
      </c>
      <c r="AA147" s="24">
        <v>0</v>
      </c>
      <c r="AC147" s="24">
        <v>0</v>
      </c>
      <c r="AE147" s="24">
        <v>0</v>
      </c>
      <c r="AG147" s="24">
        <v>0</v>
      </c>
      <c r="AI147" s="24">
        <f t="shared" si="4"/>
        <v>0</v>
      </c>
      <c r="AJ147" s="24"/>
    </row>
    <row r="148" spans="1:36" s="31" customFormat="1">
      <c r="A148" s="15" t="s">
        <v>594</v>
      </c>
      <c r="B148" s="15"/>
      <c r="C148" s="15" t="s">
        <v>595</v>
      </c>
      <c r="D148" s="15"/>
      <c r="E148" s="24">
        <f>159177+101083</f>
        <v>260260</v>
      </c>
      <c r="F148" s="24"/>
      <c r="G148" s="24">
        <v>153328</v>
      </c>
      <c r="H148" s="24"/>
      <c r="I148" s="24">
        <f>86266+142406</f>
        <v>228672</v>
      </c>
      <c r="J148" s="24"/>
      <c r="K148" s="24">
        <v>0</v>
      </c>
      <c r="L148" s="24"/>
      <c r="M148" s="24">
        <f>19729+106514</f>
        <v>126243</v>
      </c>
      <c r="N148" s="24"/>
      <c r="O148" s="24">
        <f>8520+184</f>
        <v>8704</v>
      </c>
      <c r="P148" s="24"/>
      <c r="Q148" s="24">
        <v>9964</v>
      </c>
      <c r="R148" s="24"/>
      <c r="S148" s="24">
        <f>22935+14477</f>
        <v>37412</v>
      </c>
      <c r="T148" s="24"/>
      <c r="U148" s="24">
        <v>0</v>
      </c>
      <c r="V148" s="24"/>
      <c r="W148" s="24">
        <v>0</v>
      </c>
      <c r="X148" s="24"/>
      <c r="Y148" s="24">
        <v>0</v>
      </c>
      <c r="Z148" s="24"/>
      <c r="AA148" s="24">
        <f>89303+22709</f>
        <v>112012</v>
      </c>
      <c r="AB148" s="24"/>
      <c r="AC148" s="24">
        <v>0</v>
      </c>
      <c r="AD148" s="24"/>
      <c r="AE148" s="24">
        <v>0</v>
      </c>
      <c r="AF148" s="24"/>
      <c r="AG148" s="24">
        <v>0</v>
      </c>
      <c r="AH148" s="24"/>
      <c r="AI148" s="24">
        <f t="shared" ref="AI148:AI157" si="5">SUM(E148:AG148)</f>
        <v>936595</v>
      </c>
      <c r="AJ148" s="24"/>
    </row>
    <row r="149" spans="1:36" ht="12.6" customHeight="1">
      <c r="A149" s="15" t="s">
        <v>274</v>
      </c>
      <c r="C149" s="15" t="s">
        <v>275</v>
      </c>
      <c r="E149" s="24">
        <f>92915+35601</f>
        <v>128516</v>
      </c>
      <c r="G149" s="24">
        <v>274387</v>
      </c>
      <c r="I149" s="24">
        <f>223226+90032</f>
        <v>313258</v>
      </c>
      <c r="K149" s="24">
        <v>3280</v>
      </c>
      <c r="M149" s="24">
        <v>57360</v>
      </c>
      <c r="O149" s="24">
        <f>24183+2881</f>
        <v>27064</v>
      </c>
      <c r="Q149" s="24">
        <f>17890+1587</f>
        <v>19477</v>
      </c>
      <c r="S149" s="24">
        <v>16453</v>
      </c>
      <c r="U149" s="24">
        <v>0</v>
      </c>
      <c r="W149" s="24">
        <v>0</v>
      </c>
      <c r="Y149" s="24">
        <v>0</v>
      </c>
      <c r="AA149" s="24">
        <f>3828+30000+13764</f>
        <v>47592</v>
      </c>
      <c r="AC149" s="24">
        <v>0</v>
      </c>
      <c r="AE149" s="24">
        <v>0</v>
      </c>
      <c r="AG149" s="24">
        <v>0</v>
      </c>
      <c r="AI149" s="24">
        <f t="shared" si="5"/>
        <v>887387</v>
      </c>
      <c r="AJ149" s="24"/>
    </row>
    <row r="150" spans="1:36" s="29" customFormat="1">
      <c r="A150" s="24" t="s">
        <v>503</v>
      </c>
      <c r="B150" s="24"/>
      <c r="C150" s="24" t="s">
        <v>504</v>
      </c>
      <c r="D150" s="24"/>
      <c r="E150" s="24">
        <f>27989+99558</f>
        <v>127547</v>
      </c>
      <c r="F150" s="24"/>
      <c r="G150" s="24">
        <v>592428</v>
      </c>
      <c r="H150" s="24"/>
      <c r="I150" s="24">
        <f>76677+7494+104700+42182</f>
        <v>231053</v>
      </c>
      <c r="J150" s="24"/>
      <c r="K150" s="24">
        <v>0</v>
      </c>
      <c r="L150" s="24"/>
      <c r="M150" s="24">
        <f>46792+83141+19+87149</f>
        <v>217101</v>
      </c>
      <c r="N150" s="24"/>
      <c r="O150" s="24">
        <f>52551+931</f>
        <v>53482</v>
      </c>
      <c r="P150" s="24"/>
      <c r="Q150" s="24">
        <f>9770+15495+3258+8293</f>
        <v>36816</v>
      </c>
      <c r="R150" s="24"/>
      <c r="S150" s="24">
        <f>393+3451</f>
        <v>3844</v>
      </c>
      <c r="T150" s="24"/>
      <c r="U150" s="24">
        <v>0</v>
      </c>
      <c r="V150" s="24"/>
      <c r="W150" s="24">
        <v>1006342</v>
      </c>
      <c r="X150" s="24"/>
      <c r="Y150" s="24">
        <v>0</v>
      </c>
      <c r="Z150" s="24"/>
      <c r="AA150" s="24">
        <v>0</v>
      </c>
      <c r="AB150" s="24"/>
      <c r="AC150" s="24">
        <v>0</v>
      </c>
      <c r="AD150" s="24"/>
      <c r="AE150" s="24">
        <f>416350+45000+356913</f>
        <v>818263</v>
      </c>
      <c r="AF150" s="24"/>
      <c r="AG150" s="24">
        <v>0</v>
      </c>
      <c r="AH150" s="24"/>
      <c r="AI150" s="24">
        <f t="shared" si="5"/>
        <v>3086876</v>
      </c>
      <c r="AJ150" s="24"/>
    </row>
    <row r="151" spans="1:36" hidden="1">
      <c r="A151" s="15" t="s">
        <v>80</v>
      </c>
      <c r="C151" s="15" t="s">
        <v>775</v>
      </c>
      <c r="E151" s="24">
        <v>0</v>
      </c>
      <c r="G151" s="24">
        <v>0</v>
      </c>
      <c r="I151" s="24">
        <v>0</v>
      </c>
      <c r="K151" s="24">
        <v>0</v>
      </c>
      <c r="M151" s="24">
        <v>0</v>
      </c>
      <c r="O151" s="24">
        <v>0</v>
      </c>
      <c r="Q151" s="24">
        <v>0</v>
      </c>
      <c r="S151" s="24">
        <v>0</v>
      </c>
      <c r="U151" s="24">
        <v>0</v>
      </c>
      <c r="W151" s="24">
        <v>0</v>
      </c>
      <c r="Y151" s="24">
        <v>0</v>
      </c>
      <c r="AA151" s="24">
        <v>0</v>
      </c>
      <c r="AC151" s="24">
        <v>0</v>
      </c>
      <c r="AE151" s="24">
        <v>0</v>
      </c>
      <c r="AG151" s="24">
        <v>0</v>
      </c>
      <c r="AI151" s="24">
        <f t="shared" si="5"/>
        <v>0</v>
      </c>
      <c r="AJ151" s="24"/>
    </row>
    <row r="152" spans="1:36" s="31" customFormat="1" hidden="1">
      <c r="A152" s="15" t="s">
        <v>87</v>
      </c>
      <c r="B152" s="15"/>
      <c r="C152" s="15" t="s">
        <v>777</v>
      </c>
      <c r="D152" s="15"/>
      <c r="E152" s="24">
        <v>0</v>
      </c>
      <c r="F152" s="24"/>
      <c r="G152" s="24">
        <v>0</v>
      </c>
      <c r="H152" s="24"/>
      <c r="I152" s="24">
        <v>0</v>
      </c>
      <c r="J152" s="24"/>
      <c r="K152" s="24">
        <v>0</v>
      </c>
      <c r="L152" s="24"/>
      <c r="M152" s="24">
        <v>0</v>
      </c>
      <c r="N152" s="24"/>
      <c r="O152" s="24">
        <v>0</v>
      </c>
      <c r="P152" s="24"/>
      <c r="Q152" s="24">
        <v>0</v>
      </c>
      <c r="R152" s="24"/>
      <c r="S152" s="24">
        <v>0</v>
      </c>
      <c r="T152" s="24"/>
      <c r="U152" s="24">
        <v>0</v>
      </c>
      <c r="V152" s="24"/>
      <c r="W152" s="24">
        <v>0</v>
      </c>
      <c r="X152" s="24"/>
      <c r="Y152" s="24">
        <v>0</v>
      </c>
      <c r="Z152" s="24"/>
      <c r="AA152" s="24">
        <v>0</v>
      </c>
      <c r="AB152" s="24"/>
      <c r="AC152" s="24">
        <v>0</v>
      </c>
      <c r="AD152" s="24"/>
      <c r="AE152" s="24">
        <v>0</v>
      </c>
      <c r="AF152" s="24"/>
      <c r="AG152" s="24">
        <v>0</v>
      </c>
      <c r="AH152" s="24"/>
      <c r="AI152" s="24">
        <f t="shared" si="5"/>
        <v>0</v>
      </c>
      <c r="AJ152" s="24"/>
    </row>
    <row r="153" spans="1:36" hidden="1">
      <c r="A153" s="15" t="s">
        <v>254</v>
      </c>
      <c r="C153" s="15" t="s">
        <v>830</v>
      </c>
      <c r="E153" s="24">
        <v>0</v>
      </c>
      <c r="G153" s="24">
        <v>0</v>
      </c>
      <c r="I153" s="24">
        <v>0</v>
      </c>
      <c r="K153" s="24">
        <v>0</v>
      </c>
      <c r="M153" s="24">
        <v>0</v>
      </c>
      <c r="O153" s="24">
        <v>0</v>
      </c>
      <c r="Q153" s="24">
        <v>0</v>
      </c>
      <c r="S153" s="24">
        <v>0</v>
      </c>
      <c r="U153" s="24">
        <v>0</v>
      </c>
      <c r="W153" s="24">
        <v>0</v>
      </c>
      <c r="Y153" s="24">
        <v>0</v>
      </c>
      <c r="AA153" s="24">
        <v>0</v>
      </c>
      <c r="AC153" s="24">
        <v>0</v>
      </c>
      <c r="AE153" s="24">
        <v>0</v>
      </c>
      <c r="AG153" s="24">
        <v>0</v>
      </c>
      <c r="AI153" s="24">
        <f t="shared" si="5"/>
        <v>0</v>
      </c>
      <c r="AJ153" s="24"/>
    </row>
    <row r="154" spans="1:36" hidden="1">
      <c r="A154" s="15" t="s">
        <v>848</v>
      </c>
      <c r="C154" s="15" t="s">
        <v>830</v>
      </c>
      <c r="E154" s="24">
        <v>0</v>
      </c>
      <c r="G154" s="24">
        <v>0</v>
      </c>
      <c r="I154" s="24">
        <v>0</v>
      </c>
      <c r="K154" s="24">
        <v>0</v>
      </c>
      <c r="M154" s="24">
        <v>0</v>
      </c>
      <c r="O154" s="24">
        <v>0</v>
      </c>
      <c r="Q154" s="24">
        <v>0</v>
      </c>
      <c r="S154" s="24">
        <v>0</v>
      </c>
      <c r="U154" s="24">
        <v>0</v>
      </c>
      <c r="W154" s="24">
        <v>0</v>
      </c>
      <c r="Y154" s="24">
        <v>0</v>
      </c>
      <c r="AA154" s="24">
        <v>0</v>
      </c>
      <c r="AC154" s="24">
        <v>0</v>
      </c>
      <c r="AE154" s="24">
        <v>0</v>
      </c>
      <c r="AG154" s="24">
        <v>0</v>
      </c>
      <c r="AI154" s="24">
        <f t="shared" si="5"/>
        <v>0</v>
      </c>
      <c r="AJ154" s="24"/>
    </row>
    <row r="155" spans="1:36" s="31" customFormat="1">
      <c r="A155" s="15" t="s">
        <v>596</v>
      </c>
      <c r="B155" s="15"/>
      <c r="C155" s="15" t="s">
        <v>593</v>
      </c>
      <c r="D155" s="15"/>
      <c r="E155" s="24">
        <v>113251</v>
      </c>
      <c r="F155" s="24"/>
      <c r="G155" s="24">
        <v>399064</v>
      </c>
      <c r="H155" s="24"/>
      <c r="I155" s="24">
        <f>147387+107103</f>
        <v>254490</v>
      </c>
      <c r="J155" s="24"/>
      <c r="K155" s="24">
        <v>0</v>
      </c>
      <c r="L155" s="24"/>
      <c r="M155" s="24">
        <f>903+13383</f>
        <v>14286</v>
      </c>
      <c r="N155" s="24"/>
      <c r="O155" s="24">
        <f>48058+1167</f>
        <v>49225</v>
      </c>
      <c r="P155" s="24"/>
      <c r="Q155" s="24">
        <v>5571</v>
      </c>
      <c r="R155" s="24"/>
      <c r="S155" s="24">
        <v>2530</v>
      </c>
      <c r="T155" s="24"/>
      <c r="U155" s="24">
        <v>0</v>
      </c>
      <c r="V155" s="24"/>
      <c r="W155" s="24">
        <v>0</v>
      </c>
      <c r="X155" s="24"/>
      <c r="Y155" s="24">
        <v>0</v>
      </c>
      <c r="Z155" s="24"/>
      <c r="AA155" s="24">
        <v>204904</v>
      </c>
      <c r="AB155" s="24"/>
      <c r="AC155" s="24">
        <v>0</v>
      </c>
      <c r="AD155" s="24"/>
      <c r="AE155" s="24">
        <v>0</v>
      </c>
      <c r="AF155" s="24"/>
      <c r="AG155" s="24">
        <v>0</v>
      </c>
      <c r="AH155" s="24"/>
      <c r="AI155" s="24">
        <f t="shared" si="5"/>
        <v>1043321</v>
      </c>
      <c r="AJ155" s="24"/>
    </row>
    <row r="156" spans="1:36" s="31" customFormat="1" hidden="1">
      <c r="A156" s="15" t="s">
        <v>426</v>
      </c>
      <c r="B156" s="15"/>
      <c r="C156" s="15" t="s">
        <v>427</v>
      </c>
      <c r="D156" s="15"/>
      <c r="E156" s="24">
        <v>0</v>
      </c>
      <c r="F156" s="24"/>
      <c r="G156" s="24">
        <v>0</v>
      </c>
      <c r="H156" s="24"/>
      <c r="I156" s="24">
        <v>0</v>
      </c>
      <c r="J156" s="24"/>
      <c r="K156" s="24">
        <v>0</v>
      </c>
      <c r="L156" s="24"/>
      <c r="M156" s="24">
        <v>0</v>
      </c>
      <c r="N156" s="24"/>
      <c r="O156" s="24">
        <v>0</v>
      </c>
      <c r="P156" s="24"/>
      <c r="Q156" s="24">
        <v>0</v>
      </c>
      <c r="R156" s="24"/>
      <c r="S156" s="24">
        <v>0</v>
      </c>
      <c r="T156" s="24"/>
      <c r="U156" s="24">
        <v>0</v>
      </c>
      <c r="V156" s="24"/>
      <c r="W156" s="24">
        <v>0</v>
      </c>
      <c r="X156" s="24"/>
      <c r="Y156" s="24">
        <v>0</v>
      </c>
      <c r="Z156" s="24"/>
      <c r="AA156" s="24">
        <v>0</v>
      </c>
      <c r="AB156" s="24"/>
      <c r="AC156" s="24">
        <v>0</v>
      </c>
      <c r="AD156" s="24"/>
      <c r="AE156" s="24">
        <v>0</v>
      </c>
      <c r="AF156" s="24"/>
      <c r="AG156" s="24">
        <v>0</v>
      </c>
      <c r="AH156" s="24"/>
      <c r="AI156" s="24">
        <f t="shared" si="5"/>
        <v>0</v>
      </c>
      <c r="AJ156" s="24"/>
    </row>
    <row r="157" spans="1:36" s="31" customFormat="1">
      <c r="A157" s="15" t="s">
        <v>404</v>
      </c>
      <c r="B157" s="15"/>
      <c r="C157" s="15" t="s">
        <v>403</v>
      </c>
      <c r="D157" s="15"/>
      <c r="E157" s="24">
        <v>1389</v>
      </c>
      <c r="F157" s="24"/>
      <c r="G157" s="24">
        <v>0</v>
      </c>
      <c r="H157" s="24"/>
      <c r="I157" s="24">
        <f>12934+4443</f>
        <v>17377</v>
      </c>
      <c r="J157" s="24"/>
      <c r="K157" s="24">
        <v>0</v>
      </c>
      <c r="L157" s="24"/>
      <c r="M157" s="24">
        <v>0</v>
      </c>
      <c r="N157" s="24"/>
      <c r="O157" s="24">
        <v>0</v>
      </c>
      <c r="P157" s="24"/>
      <c r="Q157" s="24">
        <f>1054+132</f>
        <v>1186</v>
      </c>
      <c r="R157" s="24"/>
      <c r="S157" s="24">
        <f>34+4</f>
        <v>38</v>
      </c>
      <c r="T157" s="24"/>
      <c r="U157" s="24">
        <v>0</v>
      </c>
      <c r="V157" s="24"/>
      <c r="W157" s="24">
        <v>0</v>
      </c>
      <c r="X157" s="24"/>
      <c r="Y157" s="24">
        <v>0</v>
      </c>
      <c r="Z157" s="24"/>
      <c r="AA157" s="24">
        <v>0</v>
      </c>
      <c r="AB157" s="24"/>
      <c r="AC157" s="24">
        <v>0</v>
      </c>
      <c r="AD157" s="24"/>
      <c r="AE157" s="24">
        <v>0</v>
      </c>
      <c r="AF157" s="24"/>
      <c r="AG157" s="24">
        <v>0</v>
      </c>
      <c r="AH157" s="24"/>
      <c r="AI157" s="24">
        <f t="shared" si="5"/>
        <v>19990</v>
      </c>
      <c r="AJ157" s="24"/>
    </row>
    <row r="158" spans="1:36" s="84" customFormat="1" hidden="1">
      <c r="A158" s="41" t="s">
        <v>446</v>
      </c>
      <c r="B158" s="41"/>
      <c r="C158" s="41" t="s">
        <v>447</v>
      </c>
      <c r="D158" s="41"/>
      <c r="E158" s="41">
        <v>0</v>
      </c>
      <c r="F158" s="41"/>
      <c r="G158" s="41">
        <v>0</v>
      </c>
      <c r="H158" s="41"/>
      <c r="I158" s="41">
        <v>0</v>
      </c>
      <c r="J158" s="41"/>
      <c r="K158" s="41">
        <v>0</v>
      </c>
      <c r="L158" s="41"/>
      <c r="M158" s="41">
        <v>0</v>
      </c>
      <c r="N158" s="41"/>
      <c r="O158" s="41">
        <v>0</v>
      </c>
      <c r="P158" s="41"/>
      <c r="Q158" s="41">
        <v>0</v>
      </c>
      <c r="R158" s="41"/>
      <c r="S158" s="41">
        <v>0</v>
      </c>
      <c r="T158" s="41"/>
      <c r="U158" s="41">
        <v>0</v>
      </c>
      <c r="V158" s="41"/>
      <c r="W158" s="41">
        <v>0</v>
      </c>
      <c r="X158" s="41"/>
      <c r="Y158" s="41">
        <v>0</v>
      </c>
      <c r="Z158" s="41"/>
      <c r="AA158" s="41">
        <v>0</v>
      </c>
      <c r="AB158" s="41"/>
      <c r="AC158" s="41">
        <v>0</v>
      </c>
      <c r="AD158" s="41"/>
      <c r="AE158" s="41">
        <v>0</v>
      </c>
      <c r="AF158" s="41"/>
      <c r="AG158" s="41">
        <v>0</v>
      </c>
      <c r="AH158" s="41"/>
      <c r="AI158" s="41">
        <f t="shared" ref="AI158:AI189" si="6">SUM(E158:AG158)</f>
        <v>0</v>
      </c>
      <c r="AJ158" s="41"/>
    </row>
    <row r="159" spans="1:36" hidden="1">
      <c r="A159" s="15" t="s">
        <v>28</v>
      </c>
      <c r="C159" s="15" t="s">
        <v>758</v>
      </c>
      <c r="E159" s="24">
        <v>0</v>
      </c>
      <c r="G159" s="24">
        <v>0</v>
      </c>
      <c r="I159" s="24">
        <v>0</v>
      </c>
      <c r="K159" s="24">
        <v>0</v>
      </c>
      <c r="M159" s="24">
        <v>0</v>
      </c>
      <c r="O159" s="24">
        <v>0</v>
      </c>
      <c r="Q159" s="24">
        <v>0</v>
      </c>
      <c r="S159" s="24">
        <v>0</v>
      </c>
      <c r="U159" s="24">
        <v>0</v>
      </c>
      <c r="W159" s="24">
        <v>0</v>
      </c>
      <c r="Y159" s="24">
        <v>0</v>
      </c>
      <c r="AA159" s="24">
        <v>0</v>
      </c>
      <c r="AC159" s="24">
        <v>0</v>
      </c>
      <c r="AE159" s="24">
        <v>0</v>
      </c>
      <c r="AG159" s="24">
        <v>0</v>
      </c>
      <c r="AI159" s="24">
        <f t="shared" si="6"/>
        <v>0</v>
      </c>
      <c r="AJ159" s="24"/>
    </row>
    <row r="160" spans="1:36" s="31" customFormat="1" hidden="1">
      <c r="A160" s="15" t="s">
        <v>359</v>
      </c>
      <c r="B160" s="15"/>
      <c r="C160" s="15" t="s">
        <v>358</v>
      </c>
      <c r="D160" s="15"/>
      <c r="E160" s="24">
        <f>123933+154811</f>
        <v>278744</v>
      </c>
      <c r="F160" s="24"/>
      <c r="G160" s="24">
        <v>34403</v>
      </c>
      <c r="H160" s="24"/>
      <c r="I160" s="24">
        <v>166703</v>
      </c>
      <c r="J160" s="24"/>
      <c r="K160" s="24">
        <v>12535</v>
      </c>
      <c r="L160" s="24"/>
      <c r="M160" s="24">
        <v>184337</v>
      </c>
      <c r="N160" s="24"/>
      <c r="O160" s="24">
        <f>63178+12690</f>
        <v>75868</v>
      </c>
      <c r="P160" s="24"/>
      <c r="Q160" s="24">
        <f>1649+7055+1799</f>
        <v>10503</v>
      </c>
      <c r="R160" s="24"/>
      <c r="S160" s="24">
        <v>60</v>
      </c>
      <c r="T160" s="24"/>
      <c r="U160" s="24">
        <v>0</v>
      </c>
      <c r="V160" s="24"/>
      <c r="W160" s="24">
        <v>0</v>
      </c>
      <c r="X160" s="24"/>
      <c r="Y160" s="24">
        <v>0</v>
      </c>
      <c r="Z160" s="24"/>
      <c r="AA160" s="24">
        <f>122+42371+6159</f>
        <v>48652</v>
      </c>
      <c r="AB160" s="24"/>
      <c r="AC160" s="24">
        <v>0</v>
      </c>
      <c r="AD160" s="24"/>
      <c r="AE160" s="24">
        <v>0</v>
      </c>
      <c r="AF160" s="24"/>
      <c r="AG160" s="24">
        <v>0</v>
      </c>
      <c r="AH160" s="24"/>
      <c r="AI160" s="24">
        <f t="shared" si="6"/>
        <v>811805</v>
      </c>
      <c r="AJ160" s="24"/>
    </row>
    <row r="161" spans="1:36" hidden="1">
      <c r="A161" s="15" t="s">
        <v>232</v>
      </c>
      <c r="C161" s="15" t="s">
        <v>823</v>
      </c>
      <c r="E161" s="24">
        <v>0</v>
      </c>
      <c r="G161" s="24">
        <v>0</v>
      </c>
      <c r="I161" s="24">
        <v>0</v>
      </c>
      <c r="K161" s="24">
        <v>0</v>
      </c>
      <c r="M161" s="24">
        <v>0</v>
      </c>
      <c r="O161" s="24">
        <v>0</v>
      </c>
      <c r="Q161" s="24">
        <v>0</v>
      </c>
      <c r="S161" s="24">
        <v>0</v>
      </c>
      <c r="U161" s="24">
        <v>0</v>
      </c>
      <c r="W161" s="24">
        <v>0</v>
      </c>
      <c r="Y161" s="24">
        <v>0</v>
      </c>
      <c r="AA161" s="24">
        <v>0</v>
      </c>
      <c r="AC161" s="24">
        <v>0</v>
      </c>
      <c r="AE161" s="24">
        <v>0</v>
      </c>
      <c r="AG161" s="24">
        <v>0</v>
      </c>
      <c r="AI161" s="24">
        <f t="shared" si="6"/>
        <v>0</v>
      </c>
      <c r="AJ161" s="24"/>
    </row>
    <row r="162" spans="1:36" hidden="1">
      <c r="A162" s="15" t="s">
        <v>104</v>
      </c>
      <c r="C162" s="15" t="s">
        <v>782</v>
      </c>
      <c r="E162" s="24">
        <v>0</v>
      </c>
      <c r="G162" s="24">
        <v>0</v>
      </c>
      <c r="I162" s="24">
        <v>0</v>
      </c>
      <c r="K162" s="24">
        <v>0</v>
      </c>
      <c r="M162" s="24">
        <v>0</v>
      </c>
      <c r="O162" s="24">
        <v>0</v>
      </c>
      <c r="Q162" s="24">
        <v>0</v>
      </c>
      <c r="S162" s="24">
        <v>0</v>
      </c>
      <c r="U162" s="24">
        <v>0</v>
      </c>
      <c r="W162" s="24">
        <v>0</v>
      </c>
      <c r="Y162" s="24">
        <v>0</v>
      </c>
      <c r="AA162" s="24">
        <v>0</v>
      </c>
      <c r="AC162" s="24">
        <v>0</v>
      </c>
      <c r="AE162" s="24">
        <v>0</v>
      </c>
      <c r="AG162" s="24">
        <v>0</v>
      </c>
      <c r="AI162" s="24">
        <f t="shared" si="6"/>
        <v>0</v>
      </c>
      <c r="AJ162" s="24"/>
    </row>
    <row r="163" spans="1:36">
      <c r="A163" s="15" t="s">
        <v>496</v>
      </c>
      <c r="C163" s="15" t="s">
        <v>494</v>
      </c>
      <c r="E163" s="24">
        <v>2508</v>
      </c>
      <c r="G163" s="24">
        <v>0</v>
      </c>
      <c r="I163" s="24">
        <f>12611+12232+931+1282</f>
        <v>27056</v>
      </c>
      <c r="K163" s="24">
        <v>0</v>
      </c>
      <c r="M163" s="24">
        <v>310</v>
      </c>
      <c r="O163" s="24">
        <v>0</v>
      </c>
      <c r="Q163" s="24">
        <v>42</v>
      </c>
      <c r="S163" s="24">
        <v>10000</v>
      </c>
      <c r="U163" s="24">
        <v>0</v>
      </c>
      <c r="W163" s="24">
        <v>0</v>
      </c>
      <c r="Y163" s="24">
        <v>0</v>
      </c>
      <c r="AA163" s="24">
        <v>0</v>
      </c>
      <c r="AC163" s="24">
        <v>0</v>
      </c>
      <c r="AE163" s="24">
        <v>0</v>
      </c>
      <c r="AG163" s="24">
        <v>0</v>
      </c>
      <c r="AI163" s="24">
        <f t="shared" si="6"/>
        <v>39916</v>
      </c>
      <c r="AJ163" s="24"/>
    </row>
    <row r="164" spans="1:36" s="31" customFormat="1" hidden="1">
      <c r="A164" s="15" t="s">
        <v>116</v>
      </c>
      <c r="B164" s="15"/>
      <c r="C164" s="15" t="s">
        <v>786</v>
      </c>
      <c r="D164" s="15"/>
      <c r="E164" s="24">
        <v>0</v>
      </c>
      <c r="F164" s="24"/>
      <c r="G164" s="24">
        <v>0</v>
      </c>
      <c r="H164" s="24"/>
      <c r="I164" s="24">
        <v>0</v>
      </c>
      <c r="J164" s="24"/>
      <c r="K164" s="24">
        <v>0</v>
      </c>
      <c r="L164" s="24"/>
      <c r="M164" s="24">
        <v>0</v>
      </c>
      <c r="N164" s="24"/>
      <c r="O164" s="24">
        <v>0</v>
      </c>
      <c r="P164" s="24"/>
      <c r="Q164" s="24">
        <v>0</v>
      </c>
      <c r="R164" s="24"/>
      <c r="S164" s="24">
        <v>0</v>
      </c>
      <c r="T164" s="24"/>
      <c r="U164" s="24">
        <v>0</v>
      </c>
      <c r="V164" s="24"/>
      <c r="W164" s="24">
        <v>0</v>
      </c>
      <c r="X164" s="24"/>
      <c r="Y164" s="24">
        <v>0</v>
      </c>
      <c r="Z164" s="24"/>
      <c r="AA164" s="24">
        <v>0</v>
      </c>
      <c r="AB164" s="24"/>
      <c r="AC164" s="24">
        <v>0</v>
      </c>
      <c r="AD164" s="24"/>
      <c r="AE164" s="24">
        <v>0</v>
      </c>
      <c r="AF164" s="24"/>
      <c r="AG164" s="24">
        <v>0</v>
      </c>
      <c r="AH164" s="24"/>
      <c r="AI164" s="24">
        <f t="shared" si="6"/>
        <v>0</v>
      </c>
      <c r="AJ164" s="24"/>
    </row>
    <row r="165" spans="1:36" ht="12.6" hidden="1" customHeight="1">
      <c r="A165" s="15" t="s">
        <v>834</v>
      </c>
      <c r="C165" s="15" t="s">
        <v>292</v>
      </c>
      <c r="E165" s="24">
        <v>0</v>
      </c>
      <c r="G165" s="24">
        <v>0</v>
      </c>
      <c r="I165" s="24">
        <v>0</v>
      </c>
      <c r="K165" s="24">
        <v>0</v>
      </c>
      <c r="M165" s="24">
        <v>0</v>
      </c>
      <c r="O165" s="24">
        <v>0</v>
      </c>
      <c r="Q165" s="24">
        <v>0</v>
      </c>
      <c r="S165" s="24">
        <v>0</v>
      </c>
      <c r="U165" s="24">
        <v>0</v>
      </c>
      <c r="W165" s="24">
        <v>0</v>
      </c>
      <c r="Y165" s="24">
        <v>0</v>
      </c>
      <c r="AA165" s="24">
        <v>0</v>
      </c>
      <c r="AC165" s="24">
        <v>0</v>
      </c>
      <c r="AE165" s="24">
        <v>0</v>
      </c>
      <c r="AG165" s="24">
        <v>0</v>
      </c>
      <c r="AI165" s="24">
        <f t="shared" si="6"/>
        <v>0</v>
      </c>
      <c r="AJ165" s="24"/>
    </row>
    <row r="166" spans="1:36" s="31" customFormat="1" hidden="1">
      <c r="A166" s="15" t="s">
        <v>597</v>
      </c>
      <c r="B166" s="15"/>
      <c r="C166" s="15" t="s">
        <v>593</v>
      </c>
      <c r="D166" s="15"/>
      <c r="E166" s="24">
        <v>0</v>
      </c>
      <c r="F166" s="24"/>
      <c r="G166" s="24">
        <v>0</v>
      </c>
      <c r="H166" s="24"/>
      <c r="I166" s="24">
        <v>0</v>
      </c>
      <c r="J166" s="24"/>
      <c r="K166" s="24">
        <v>0</v>
      </c>
      <c r="L166" s="24"/>
      <c r="M166" s="24">
        <v>0</v>
      </c>
      <c r="N166" s="24"/>
      <c r="O166" s="24">
        <v>0</v>
      </c>
      <c r="P166" s="24"/>
      <c r="Q166" s="24">
        <v>0</v>
      </c>
      <c r="R166" s="24"/>
      <c r="S166" s="24">
        <v>0</v>
      </c>
      <c r="T166" s="24"/>
      <c r="U166" s="24">
        <v>0</v>
      </c>
      <c r="V166" s="24"/>
      <c r="W166" s="24">
        <v>0</v>
      </c>
      <c r="X166" s="24"/>
      <c r="Y166" s="24">
        <v>0</v>
      </c>
      <c r="Z166" s="24"/>
      <c r="AA166" s="24">
        <v>0</v>
      </c>
      <c r="AB166" s="24"/>
      <c r="AC166" s="24">
        <v>0</v>
      </c>
      <c r="AD166" s="24"/>
      <c r="AE166" s="24">
        <v>0</v>
      </c>
      <c r="AF166" s="24"/>
      <c r="AG166" s="24">
        <v>0</v>
      </c>
      <c r="AH166" s="24"/>
      <c r="AI166" s="24">
        <f t="shared" si="6"/>
        <v>0</v>
      </c>
      <c r="AJ166" s="24"/>
    </row>
    <row r="167" spans="1:36" hidden="1">
      <c r="A167" s="15" t="s">
        <v>174</v>
      </c>
      <c r="C167" s="15" t="s">
        <v>805</v>
      </c>
      <c r="E167" s="24">
        <v>0</v>
      </c>
      <c r="G167" s="24">
        <v>0</v>
      </c>
      <c r="I167" s="24">
        <v>0</v>
      </c>
      <c r="K167" s="24">
        <v>0</v>
      </c>
      <c r="M167" s="24">
        <v>0</v>
      </c>
      <c r="O167" s="24">
        <v>0</v>
      </c>
      <c r="Q167" s="24">
        <v>0</v>
      </c>
      <c r="S167" s="24">
        <v>0</v>
      </c>
      <c r="U167" s="24">
        <v>0</v>
      </c>
      <c r="W167" s="24">
        <v>0</v>
      </c>
      <c r="Y167" s="24">
        <v>0</v>
      </c>
      <c r="AA167" s="24">
        <v>0</v>
      </c>
      <c r="AC167" s="24">
        <v>0</v>
      </c>
      <c r="AE167" s="24">
        <v>0</v>
      </c>
      <c r="AG167" s="24">
        <v>0</v>
      </c>
      <c r="AI167" s="24">
        <f t="shared" si="6"/>
        <v>0</v>
      </c>
      <c r="AJ167" s="24"/>
    </row>
    <row r="168" spans="1:36" s="31" customFormat="1" hidden="1">
      <c r="A168" s="15" t="s">
        <v>397</v>
      </c>
      <c r="B168" s="15"/>
      <c r="C168" s="15" t="s">
        <v>396</v>
      </c>
      <c r="D168" s="15"/>
      <c r="E168" s="24">
        <v>0</v>
      </c>
      <c r="F168" s="24"/>
      <c r="G168" s="24">
        <v>0</v>
      </c>
      <c r="H168" s="24"/>
      <c r="I168" s="24">
        <v>0</v>
      </c>
      <c r="J168" s="24"/>
      <c r="K168" s="24">
        <v>0</v>
      </c>
      <c r="L168" s="24"/>
      <c r="M168" s="24">
        <v>0</v>
      </c>
      <c r="N168" s="24"/>
      <c r="O168" s="24">
        <v>0</v>
      </c>
      <c r="P168" s="24"/>
      <c r="Q168" s="24">
        <v>0</v>
      </c>
      <c r="R168" s="24"/>
      <c r="S168" s="24">
        <v>0</v>
      </c>
      <c r="T168" s="24"/>
      <c r="U168" s="24">
        <v>0</v>
      </c>
      <c r="V168" s="24"/>
      <c r="W168" s="24">
        <v>0</v>
      </c>
      <c r="X168" s="24"/>
      <c r="Y168" s="24">
        <v>0</v>
      </c>
      <c r="Z168" s="24"/>
      <c r="AA168" s="24">
        <v>0</v>
      </c>
      <c r="AB168" s="24"/>
      <c r="AC168" s="24">
        <v>0</v>
      </c>
      <c r="AD168" s="24"/>
      <c r="AE168" s="24">
        <v>0</v>
      </c>
      <c r="AF168" s="24"/>
      <c r="AG168" s="24">
        <v>0</v>
      </c>
      <c r="AH168" s="24"/>
      <c r="AI168" s="24">
        <f t="shared" si="6"/>
        <v>0</v>
      </c>
      <c r="AJ168" s="24"/>
    </row>
    <row r="169" spans="1:36" hidden="1">
      <c r="A169" s="15" t="s">
        <v>203</v>
      </c>
      <c r="C169" s="15" t="s">
        <v>813</v>
      </c>
      <c r="E169" s="24">
        <v>0</v>
      </c>
      <c r="G169" s="24">
        <v>0</v>
      </c>
      <c r="I169" s="24">
        <v>0</v>
      </c>
      <c r="K169" s="24">
        <v>0</v>
      </c>
      <c r="M169" s="24">
        <v>0</v>
      </c>
      <c r="O169" s="24">
        <v>0</v>
      </c>
      <c r="Q169" s="24">
        <v>0</v>
      </c>
      <c r="S169" s="24">
        <v>0</v>
      </c>
      <c r="U169" s="24">
        <v>0</v>
      </c>
      <c r="W169" s="24">
        <v>0</v>
      </c>
      <c r="Y169" s="24">
        <v>0</v>
      </c>
      <c r="AA169" s="24">
        <v>0</v>
      </c>
      <c r="AC169" s="24">
        <v>0</v>
      </c>
      <c r="AE169" s="24">
        <v>0</v>
      </c>
      <c r="AG169" s="24">
        <v>0</v>
      </c>
      <c r="AI169" s="24">
        <f t="shared" si="6"/>
        <v>0</v>
      </c>
      <c r="AJ169" s="24"/>
    </row>
    <row r="170" spans="1:36" s="29" customFormat="1" hidden="1">
      <c r="A170" s="24" t="s">
        <v>547</v>
      </c>
      <c r="B170" s="24"/>
      <c r="C170" s="24" t="s">
        <v>545</v>
      </c>
      <c r="D170" s="24"/>
      <c r="E170" s="24">
        <v>0</v>
      </c>
      <c r="F170" s="24"/>
      <c r="G170" s="24">
        <v>0</v>
      </c>
      <c r="H170" s="24"/>
      <c r="I170" s="24">
        <v>0</v>
      </c>
      <c r="J170" s="24"/>
      <c r="K170" s="24">
        <v>0</v>
      </c>
      <c r="L170" s="24"/>
      <c r="M170" s="24">
        <v>0</v>
      </c>
      <c r="N170" s="24"/>
      <c r="O170" s="24">
        <v>0</v>
      </c>
      <c r="P170" s="24"/>
      <c r="Q170" s="24">
        <v>0</v>
      </c>
      <c r="R170" s="24"/>
      <c r="S170" s="24">
        <v>0</v>
      </c>
      <c r="T170" s="24"/>
      <c r="U170" s="24">
        <v>0</v>
      </c>
      <c r="V170" s="24"/>
      <c r="W170" s="24">
        <v>0</v>
      </c>
      <c r="X170" s="24"/>
      <c r="Y170" s="24">
        <v>0</v>
      </c>
      <c r="Z170" s="24"/>
      <c r="AA170" s="24">
        <v>0</v>
      </c>
      <c r="AB170" s="24"/>
      <c r="AC170" s="24">
        <v>0</v>
      </c>
      <c r="AD170" s="24"/>
      <c r="AE170" s="24">
        <v>0</v>
      </c>
      <c r="AF170" s="24"/>
      <c r="AG170" s="24">
        <v>0</v>
      </c>
      <c r="AH170" s="24"/>
      <c r="AI170" s="24">
        <f t="shared" si="6"/>
        <v>0</v>
      </c>
      <c r="AJ170" s="24"/>
    </row>
    <row r="171" spans="1:36" hidden="1">
      <c r="A171" s="15" t="s">
        <v>224</v>
      </c>
      <c r="C171" s="15" t="s">
        <v>820</v>
      </c>
      <c r="E171" s="24">
        <v>0</v>
      </c>
      <c r="G171" s="24">
        <v>0</v>
      </c>
      <c r="I171" s="24">
        <v>0</v>
      </c>
      <c r="K171" s="24">
        <v>0</v>
      </c>
      <c r="M171" s="24">
        <v>0</v>
      </c>
      <c r="O171" s="24">
        <v>0</v>
      </c>
      <c r="Q171" s="24">
        <v>0</v>
      </c>
      <c r="S171" s="24">
        <v>0</v>
      </c>
      <c r="U171" s="24">
        <v>0</v>
      </c>
      <c r="W171" s="24">
        <v>0</v>
      </c>
      <c r="Y171" s="24">
        <v>0</v>
      </c>
      <c r="AA171" s="24">
        <v>0</v>
      </c>
      <c r="AC171" s="24">
        <v>0</v>
      </c>
      <c r="AE171" s="24">
        <v>0</v>
      </c>
      <c r="AG171" s="24">
        <v>0</v>
      </c>
      <c r="AI171" s="24">
        <f t="shared" si="6"/>
        <v>0</v>
      </c>
      <c r="AJ171" s="24"/>
    </row>
    <row r="172" spans="1:36" s="31" customFormat="1" hidden="1">
      <c r="A172" s="15" t="s">
        <v>600</v>
      </c>
      <c r="B172" s="15"/>
      <c r="C172" s="15" t="s">
        <v>601</v>
      </c>
      <c r="D172" s="15"/>
      <c r="E172" s="24">
        <v>0</v>
      </c>
      <c r="F172" s="24"/>
      <c r="G172" s="24">
        <v>0</v>
      </c>
      <c r="H172" s="24"/>
      <c r="I172" s="24">
        <v>0</v>
      </c>
      <c r="J172" s="24"/>
      <c r="K172" s="24">
        <v>0</v>
      </c>
      <c r="L172" s="24"/>
      <c r="M172" s="24">
        <v>0</v>
      </c>
      <c r="N172" s="24"/>
      <c r="O172" s="24">
        <v>0</v>
      </c>
      <c r="P172" s="24"/>
      <c r="Q172" s="24">
        <v>0</v>
      </c>
      <c r="R172" s="24"/>
      <c r="S172" s="24">
        <v>0</v>
      </c>
      <c r="T172" s="24"/>
      <c r="U172" s="24">
        <v>0</v>
      </c>
      <c r="V172" s="24"/>
      <c r="W172" s="24">
        <v>0</v>
      </c>
      <c r="X172" s="24"/>
      <c r="Y172" s="24">
        <v>0</v>
      </c>
      <c r="Z172" s="24"/>
      <c r="AA172" s="24">
        <v>0</v>
      </c>
      <c r="AB172" s="24"/>
      <c r="AC172" s="24">
        <v>0</v>
      </c>
      <c r="AD172" s="24"/>
      <c r="AE172" s="24">
        <v>0</v>
      </c>
      <c r="AF172" s="24"/>
      <c r="AG172" s="24">
        <v>0</v>
      </c>
      <c r="AH172" s="24"/>
      <c r="AI172" s="24">
        <f t="shared" si="6"/>
        <v>0</v>
      </c>
      <c r="AJ172" s="24"/>
    </row>
    <row r="173" spans="1:36" hidden="1">
      <c r="A173" s="15" t="s">
        <v>172</v>
      </c>
      <c r="C173" s="15" t="s">
        <v>804</v>
      </c>
      <c r="E173" s="24">
        <v>0</v>
      </c>
      <c r="G173" s="24">
        <v>0</v>
      </c>
      <c r="I173" s="24">
        <v>0</v>
      </c>
      <c r="K173" s="24">
        <v>0</v>
      </c>
      <c r="M173" s="24">
        <v>0</v>
      </c>
      <c r="O173" s="24">
        <v>0</v>
      </c>
      <c r="Q173" s="24">
        <v>0</v>
      </c>
      <c r="S173" s="24">
        <v>0</v>
      </c>
      <c r="U173" s="24">
        <v>0</v>
      </c>
      <c r="W173" s="24">
        <v>0</v>
      </c>
      <c r="Y173" s="24">
        <v>0</v>
      </c>
      <c r="AA173" s="24">
        <v>0</v>
      </c>
      <c r="AC173" s="24">
        <v>0</v>
      </c>
      <c r="AE173" s="24">
        <v>0</v>
      </c>
      <c r="AG173" s="24">
        <v>0</v>
      </c>
      <c r="AI173" s="24">
        <f t="shared" si="6"/>
        <v>0</v>
      </c>
      <c r="AJ173" s="24"/>
    </row>
    <row r="174" spans="1:36" hidden="1">
      <c r="A174" s="15" t="s">
        <v>253</v>
      </c>
      <c r="C174" s="15" t="s">
        <v>829</v>
      </c>
      <c r="E174" s="24">
        <v>0</v>
      </c>
      <c r="G174" s="24">
        <v>0</v>
      </c>
      <c r="I174" s="24">
        <v>0</v>
      </c>
      <c r="K174" s="24">
        <v>0</v>
      </c>
      <c r="M174" s="24">
        <v>0</v>
      </c>
      <c r="O174" s="24">
        <v>0</v>
      </c>
      <c r="Q174" s="24">
        <v>0</v>
      </c>
      <c r="S174" s="24">
        <v>0</v>
      </c>
      <c r="U174" s="24">
        <v>0</v>
      </c>
      <c r="W174" s="24">
        <v>0</v>
      </c>
      <c r="Y174" s="24">
        <v>0</v>
      </c>
      <c r="AA174" s="24">
        <v>0</v>
      </c>
      <c r="AC174" s="24">
        <v>0</v>
      </c>
      <c r="AE174" s="24">
        <v>0</v>
      </c>
      <c r="AG174" s="24">
        <v>0</v>
      </c>
      <c r="AI174" s="24">
        <f t="shared" si="6"/>
        <v>0</v>
      </c>
      <c r="AJ174" s="24"/>
    </row>
    <row r="175" spans="1:36" hidden="1">
      <c r="A175" s="15" t="s">
        <v>200</v>
      </c>
      <c r="C175" s="15" t="s">
        <v>812</v>
      </c>
      <c r="E175" s="24">
        <v>0</v>
      </c>
      <c r="G175" s="24">
        <v>0</v>
      </c>
      <c r="I175" s="24">
        <v>0</v>
      </c>
      <c r="K175" s="24">
        <v>0</v>
      </c>
      <c r="M175" s="24">
        <v>0</v>
      </c>
      <c r="O175" s="24">
        <v>0</v>
      </c>
      <c r="Q175" s="24">
        <v>0</v>
      </c>
      <c r="S175" s="24">
        <v>0</v>
      </c>
      <c r="U175" s="24">
        <v>0</v>
      </c>
      <c r="W175" s="24">
        <v>0</v>
      </c>
      <c r="Y175" s="24">
        <v>0</v>
      </c>
      <c r="AA175" s="24">
        <v>0</v>
      </c>
      <c r="AC175" s="24">
        <v>0</v>
      </c>
      <c r="AE175" s="24">
        <v>0</v>
      </c>
      <c r="AG175" s="24">
        <v>0</v>
      </c>
      <c r="AI175" s="24">
        <f t="shared" si="6"/>
        <v>0</v>
      </c>
      <c r="AJ175" s="24"/>
    </row>
    <row r="176" spans="1:36" hidden="1">
      <c r="A176" s="15" t="s">
        <v>576</v>
      </c>
      <c r="C176" s="15" t="s">
        <v>577</v>
      </c>
      <c r="E176" s="24">
        <v>1714</v>
      </c>
      <c r="G176" s="24">
        <v>0</v>
      </c>
      <c r="I176" s="24">
        <v>0</v>
      </c>
      <c r="K176" s="24">
        <v>0</v>
      </c>
      <c r="M176" s="24">
        <v>0</v>
      </c>
      <c r="O176" s="24">
        <v>0</v>
      </c>
      <c r="Q176" s="24">
        <v>0</v>
      </c>
      <c r="S176" s="24">
        <f>1452+118+174</f>
        <v>1744</v>
      </c>
      <c r="U176" s="24">
        <v>0</v>
      </c>
      <c r="W176" s="24">
        <v>0</v>
      </c>
      <c r="Y176" s="24">
        <v>0</v>
      </c>
      <c r="AA176" s="24">
        <v>0</v>
      </c>
      <c r="AC176" s="24">
        <v>0</v>
      </c>
      <c r="AE176" s="24">
        <v>0</v>
      </c>
      <c r="AG176" s="24">
        <v>0</v>
      </c>
      <c r="AI176" s="24">
        <f t="shared" si="6"/>
        <v>3458</v>
      </c>
      <c r="AJ176" s="24"/>
    </row>
    <row r="177" spans="1:42" hidden="1">
      <c r="A177" s="15" t="s">
        <v>3</v>
      </c>
      <c r="C177" s="15" t="s">
        <v>751</v>
      </c>
      <c r="E177" s="24">
        <v>0</v>
      </c>
      <c r="G177" s="24">
        <v>0</v>
      </c>
      <c r="I177" s="24">
        <v>0</v>
      </c>
      <c r="K177" s="24">
        <v>0</v>
      </c>
      <c r="M177" s="24">
        <v>0</v>
      </c>
      <c r="O177" s="24">
        <v>0</v>
      </c>
      <c r="Q177" s="24">
        <v>0</v>
      </c>
      <c r="S177" s="24">
        <v>0</v>
      </c>
      <c r="U177" s="24">
        <v>0</v>
      </c>
      <c r="W177" s="24">
        <v>0</v>
      </c>
      <c r="Y177" s="24">
        <v>0</v>
      </c>
      <c r="AA177" s="24">
        <v>0</v>
      </c>
      <c r="AC177" s="24">
        <v>0</v>
      </c>
      <c r="AE177" s="24">
        <v>0</v>
      </c>
      <c r="AG177" s="24">
        <v>0</v>
      </c>
      <c r="AI177" s="24">
        <f t="shared" si="6"/>
        <v>0</v>
      </c>
      <c r="AJ177" s="24"/>
    </row>
    <row r="178" spans="1:42" hidden="1">
      <c r="A178" s="15" t="s">
        <v>180</v>
      </c>
      <c r="C178" s="15" t="s">
        <v>807</v>
      </c>
      <c r="E178" s="24">
        <v>0</v>
      </c>
      <c r="G178" s="24">
        <v>0</v>
      </c>
      <c r="I178" s="24">
        <v>0</v>
      </c>
      <c r="K178" s="24">
        <v>0</v>
      </c>
      <c r="M178" s="24">
        <v>0</v>
      </c>
      <c r="O178" s="24">
        <v>0</v>
      </c>
      <c r="Q178" s="24">
        <v>0</v>
      </c>
      <c r="S178" s="24">
        <v>0</v>
      </c>
      <c r="U178" s="24">
        <v>0</v>
      </c>
      <c r="W178" s="24">
        <v>0</v>
      </c>
      <c r="Y178" s="24">
        <v>0</v>
      </c>
      <c r="AA178" s="24">
        <v>0</v>
      </c>
      <c r="AC178" s="24">
        <v>0</v>
      </c>
      <c r="AE178" s="24">
        <v>0</v>
      </c>
      <c r="AG178" s="24">
        <v>0</v>
      </c>
      <c r="AI178" s="24">
        <f t="shared" si="6"/>
        <v>0</v>
      </c>
      <c r="AJ178" s="24"/>
    </row>
    <row r="179" spans="1:42" s="31" customFormat="1" hidden="1">
      <c r="A179" s="15" t="s">
        <v>92</v>
      </c>
      <c r="B179" s="15"/>
      <c r="C179" s="15" t="s">
        <v>378</v>
      </c>
      <c r="D179" s="15"/>
      <c r="E179" s="24">
        <v>0</v>
      </c>
      <c r="F179" s="24"/>
      <c r="G179" s="24">
        <v>0</v>
      </c>
      <c r="H179" s="24"/>
      <c r="I179" s="24">
        <v>0</v>
      </c>
      <c r="J179" s="24"/>
      <c r="K179" s="24">
        <v>0</v>
      </c>
      <c r="L179" s="24"/>
      <c r="M179" s="24">
        <v>0</v>
      </c>
      <c r="N179" s="24"/>
      <c r="O179" s="24">
        <v>0</v>
      </c>
      <c r="P179" s="24"/>
      <c r="Q179" s="24">
        <v>0</v>
      </c>
      <c r="R179" s="24"/>
      <c r="S179" s="24">
        <v>0</v>
      </c>
      <c r="T179" s="24"/>
      <c r="U179" s="24">
        <v>0</v>
      </c>
      <c r="V179" s="24"/>
      <c r="W179" s="24">
        <v>0</v>
      </c>
      <c r="X179" s="24"/>
      <c r="Y179" s="24">
        <v>0</v>
      </c>
      <c r="Z179" s="24"/>
      <c r="AA179" s="24">
        <v>0</v>
      </c>
      <c r="AB179" s="24"/>
      <c r="AC179" s="24">
        <v>0</v>
      </c>
      <c r="AD179" s="24"/>
      <c r="AE179" s="24">
        <v>0</v>
      </c>
      <c r="AF179" s="24"/>
      <c r="AG179" s="24">
        <v>0</v>
      </c>
      <c r="AH179" s="24"/>
      <c r="AI179" s="24">
        <f t="shared" si="6"/>
        <v>0</v>
      </c>
      <c r="AJ179" s="24"/>
    </row>
    <row r="180" spans="1:42" hidden="1">
      <c r="A180" s="15" t="s">
        <v>117</v>
      </c>
      <c r="C180" s="15" t="s">
        <v>786</v>
      </c>
      <c r="E180" s="24">
        <v>0</v>
      </c>
      <c r="G180" s="24">
        <v>0</v>
      </c>
      <c r="I180" s="24">
        <v>0</v>
      </c>
      <c r="K180" s="24">
        <v>0</v>
      </c>
      <c r="M180" s="24">
        <v>0</v>
      </c>
      <c r="O180" s="24">
        <v>0</v>
      </c>
      <c r="Q180" s="24">
        <v>0</v>
      </c>
      <c r="S180" s="24">
        <v>0</v>
      </c>
      <c r="U180" s="24">
        <v>0</v>
      </c>
      <c r="W180" s="24">
        <v>0</v>
      </c>
      <c r="Y180" s="24">
        <v>0</v>
      </c>
      <c r="AA180" s="24">
        <v>0</v>
      </c>
      <c r="AC180" s="24">
        <v>0</v>
      </c>
      <c r="AE180" s="24">
        <v>0</v>
      </c>
      <c r="AG180" s="24">
        <v>0</v>
      </c>
      <c r="AI180" s="24">
        <f t="shared" si="6"/>
        <v>0</v>
      </c>
      <c r="AJ180" s="24"/>
    </row>
    <row r="181" spans="1:42" ht="12.6" customHeight="1">
      <c r="A181" s="15" t="s">
        <v>291</v>
      </c>
      <c r="C181" s="15" t="s">
        <v>292</v>
      </c>
      <c r="E181" s="24">
        <f>159345+202014</f>
        <v>361359</v>
      </c>
      <c r="G181" s="24">
        <v>0</v>
      </c>
      <c r="I181" s="24">
        <f>54539+187385</f>
        <v>241924</v>
      </c>
      <c r="K181" s="24">
        <v>0</v>
      </c>
      <c r="M181" s="24">
        <v>2014</v>
      </c>
      <c r="O181" s="24">
        <v>33011</v>
      </c>
      <c r="Q181" s="24">
        <f>6234+1697</f>
        <v>7931</v>
      </c>
      <c r="S181" s="24">
        <f>59189+434</f>
        <v>59623</v>
      </c>
      <c r="U181" s="24">
        <v>0</v>
      </c>
      <c r="W181" s="24">
        <v>0</v>
      </c>
      <c r="Y181" s="24">
        <v>0</v>
      </c>
      <c r="AA181" s="24">
        <v>0</v>
      </c>
      <c r="AC181" s="24">
        <v>3785</v>
      </c>
      <c r="AE181" s="24">
        <v>0</v>
      </c>
      <c r="AG181" s="24">
        <v>0</v>
      </c>
      <c r="AI181" s="24">
        <f t="shared" si="6"/>
        <v>709647</v>
      </c>
      <c r="AJ181" s="24"/>
      <c r="AK181" s="30"/>
      <c r="AL181" s="30"/>
      <c r="AM181" s="30"/>
      <c r="AN181" s="30"/>
      <c r="AO181" s="30"/>
      <c r="AP181" s="30"/>
    </row>
    <row r="182" spans="1:42" s="31" customFormat="1">
      <c r="A182" s="15" t="s">
        <v>380</v>
      </c>
      <c r="B182" s="15"/>
      <c r="C182" s="15" t="s">
        <v>378</v>
      </c>
      <c r="D182" s="15"/>
      <c r="E182" s="24">
        <v>0</v>
      </c>
      <c r="F182" s="24"/>
      <c r="G182" s="24">
        <v>11660684</v>
      </c>
      <c r="H182" s="24"/>
      <c r="I182" s="24">
        <f>304321+294155</f>
        <v>598476</v>
      </c>
      <c r="J182" s="24"/>
      <c r="K182" s="24">
        <v>0</v>
      </c>
      <c r="L182" s="24"/>
      <c r="M182" s="24">
        <f>266077+102842</f>
        <v>368919</v>
      </c>
      <c r="N182" s="24"/>
      <c r="O182" s="24">
        <v>176915</v>
      </c>
      <c r="P182" s="24"/>
      <c r="Q182" s="24">
        <f>727617+12</f>
        <v>727629</v>
      </c>
      <c r="R182" s="24"/>
      <c r="S182" s="24">
        <v>0</v>
      </c>
      <c r="T182" s="24"/>
      <c r="U182" s="24">
        <v>0</v>
      </c>
      <c r="V182" s="24"/>
      <c r="W182" s="24">
        <v>4257290</v>
      </c>
      <c r="X182" s="24"/>
      <c r="Y182" s="24">
        <v>5600</v>
      </c>
      <c r="Z182" s="24"/>
      <c r="AA182" s="24">
        <v>1462823</v>
      </c>
      <c r="AB182" s="24"/>
      <c r="AC182" s="24">
        <v>0</v>
      </c>
      <c r="AD182" s="24"/>
      <c r="AE182" s="24">
        <v>253971</v>
      </c>
      <c r="AF182" s="24"/>
      <c r="AG182" s="24">
        <v>0</v>
      </c>
      <c r="AH182" s="24"/>
      <c r="AI182" s="24">
        <f t="shared" si="6"/>
        <v>19512307</v>
      </c>
      <c r="AJ182" s="24"/>
    </row>
    <row r="183" spans="1:42" s="31" customFormat="1" hidden="1">
      <c r="A183" s="15" t="s">
        <v>93</v>
      </c>
      <c r="B183" s="15"/>
      <c r="C183" s="15" t="s">
        <v>778</v>
      </c>
      <c r="D183" s="15"/>
      <c r="E183" s="24">
        <v>0</v>
      </c>
      <c r="F183" s="24"/>
      <c r="G183" s="24">
        <v>0</v>
      </c>
      <c r="H183" s="24"/>
      <c r="I183" s="24">
        <v>0</v>
      </c>
      <c r="J183" s="24"/>
      <c r="K183" s="24">
        <v>0</v>
      </c>
      <c r="L183" s="24"/>
      <c r="M183" s="24">
        <v>0</v>
      </c>
      <c r="N183" s="24"/>
      <c r="O183" s="24">
        <v>0</v>
      </c>
      <c r="P183" s="24"/>
      <c r="Q183" s="24">
        <v>0</v>
      </c>
      <c r="R183" s="24"/>
      <c r="S183" s="24">
        <v>0</v>
      </c>
      <c r="T183" s="24"/>
      <c r="U183" s="24">
        <v>0</v>
      </c>
      <c r="V183" s="24"/>
      <c r="W183" s="24">
        <v>0</v>
      </c>
      <c r="X183" s="24"/>
      <c r="Y183" s="24">
        <v>0</v>
      </c>
      <c r="Z183" s="24"/>
      <c r="AA183" s="24">
        <v>0</v>
      </c>
      <c r="AB183" s="24"/>
      <c r="AC183" s="24">
        <v>0</v>
      </c>
      <c r="AD183" s="24"/>
      <c r="AE183" s="24">
        <v>0</v>
      </c>
      <c r="AF183" s="24"/>
      <c r="AG183" s="24">
        <v>0</v>
      </c>
      <c r="AH183" s="24"/>
      <c r="AI183" s="24">
        <f t="shared" si="6"/>
        <v>0</v>
      </c>
      <c r="AJ183" s="24"/>
    </row>
    <row r="184" spans="1:42" s="31" customFormat="1">
      <c r="A184" s="15" t="s">
        <v>429</v>
      </c>
      <c r="B184" s="15"/>
      <c r="C184" s="15" t="s">
        <v>430</v>
      </c>
      <c r="D184" s="15"/>
      <c r="E184" s="24">
        <f>900188+138880</f>
        <v>1039068</v>
      </c>
      <c r="F184" s="24"/>
      <c r="G184" s="24">
        <v>700247</v>
      </c>
      <c r="H184" s="24"/>
      <c r="I184" s="24">
        <f>103027+145536+361215</f>
        <v>609778</v>
      </c>
      <c r="J184" s="24"/>
      <c r="K184" s="24">
        <f>19503+62008</f>
        <v>81511</v>
      </c>
      <c r="L184" s="24"/>
      <c r="M184" s="24">
        <v>114136</v>
      </c>
      <c r="N184" s="24"/>
      <c r="O184" s="24">
        <f>67007+19358+3587-1</f>
        <v>89951</v>
      </c>
      <c r="P184" s="24"/>
      <c r="Q184" s="24">
        <v>25800</v>
      </c>
      <c r="R184" s="24"/>
      <c r="S184" s="24">
        <f>100275+15498+740+1967</f>
        <v>118480</v>
      </c>
      <c r="T184" s="24"/>
      <c r="U184" s="24">
        <v>0</v>
      </c>
      <c r="V184" s="24"/>
      <c r="W184" s="24">
        <v>0</v>
      </c>
      <c r="X184" s="24"/>
      <c r="Y184" s="24">
        <v>0</v>
      </c>
      <c r="Z184" s="24"/>
      <c r="AA184" s="24">
        <f>157973+181500</f>
        <v>339473</v>
      </c>
      <c r="AB184" s="24"/>
      <c r="AC184" s="24">
        <v>10000</v>
      </c>
      <c r="AD184" s="24"/>
      <c r="AE184" s="24">
        <v>0</v>
      </c>
      <c r="AF184" s="24"/>
      <c r="AG184" s="24">
        <v>0</v>
      </c>
      <c r="AH184" s="24"/>
      <c r="AI184" s="24">
        <f t="shared" si="6"/>
        <v>3128444</v>
      </c>
      <c r="AJ184" s="24"/>
    </row>
    <row r="185" spans="1:42">
      <c r="A185" s="15" t="s">
        <v>909</v>
      </c>
      <c r="C185" s="15" t="s">
        <v>375</v>
      </c>
      <c r="E185" s="24">
        <f>5284+1965</f>
        <v>7249</v>
      </c>
      <c r="G185" s="24">
        <v>0</v>
      </c>
      <c r="I185" s="24">
        <f>7047+7815</f>
        <v>14862</v>
      </c>
      <c r="K185" s="24">
        <v>0</v>
      </c>
      <c r="M185" s="24">
        <v>3884</v>
      </c>
      <c r="O185" s="24">
        <v>0</v>
      </c>
      <c r="Q185" s="24">
        <f>166+612</f>
        <v>778</v>
      </c>
      <c r="S185" s="24">
        <v>5139</v>
      </c>
      <c r="U185" s="24">
        <v>0</v>
      </c>
      <c r="W185" s="24">
        <v>0</v>
      </c>
      <c r="Y185" s="24">
        <v>0</v>
      </c>
      <c r="AA185" s="24">
        <v>0</v>
      </c>
      <c r="AC185" s="24">
        <v>0</v>
      </c>
      <c r="AE185" s="24">
        <v>0</v>
      </c>
      <c r="AG185" s="24">
        <v>0</v>
      </c>
      <c r="AI185" s="24">
        <f t="shared" si="6"/>
        <v>31912</v>
      </c>
      <c r="AJ185" s="24"/>
    </row>
    <row r="186" spans="1:42" hidden="1">
      <c r="A186" s="15" t="s">
        <v>167</v>
      </c>
      <c r="C186" s="15" t="s">
        <v>802</v>
      </c>
      <c r="E186" s="24">
        <v>0</v>
      </c>
      <c r="G186" s="24">
        <v>0</v>
      </c>
      <c r="I186" s="24">
        <v>0</v>
      </c>
      <c r="K186" s="24">
        <v>0</v>
      </c>
      <c r="M186" s="24">
        <v>0</v>
      </c>
      <c r="O186" s="24">
        <v>0</v>
      </c>
      <c r="Q186" s="24">
        <v>0</v>
      </c>
      <c r="S186" s="24">
        <v>0</v>
      </c>
      <c r="U186" s="24">
        <v>0</v>
      </c>
      <c r="W186" s="24">
        <v>0</v>
      </c>
      <c r="Y186" s="24">
        <v>0</v>
      </c>
      <c r="AA186" s="24">
        <v>0</v>
      </c>
      <c r="AC186" s="24">
        <v>0</v>
      </c>
      <c r="AE186" s="24">
        <v>0</v>
      </c>
      <c r="AG186" s="24">
        <v>0</v>
      </c>
      <c r="AI186" s="24">
        <f t="shared" si="6"/>
        <v>0</v>
      </c>
      <c r="AJ186" s="24"/>
    </row>
    <row r="187" spans="1:42" s="31" customFormat="1">
      <c r="A187" s="15" t="s">
        <v>360</v>
      </c>
      <c r="B187" s="15"/>
      <c r="C187" s="15" t="s">
        <v>358</v>
      </c>
      <c r="D187" s="15"/>
      <c r="E187" s="24">
        <f>69370+37742</f>
        <v>107112</v>
      </c>
      <c r="F187" s="24"/>
      <c r="G187" s="24">
        <f>270127+32463</f>
        <v>302590</v>
      </c>
      <c r="H187" s="24"/>
      <c r="I187" s="24">
        <f>72831+54707</f>
        <v>127538</v>
      </c>
      <c r="J187" s="24"/>
      <c r="K187" s="24">
        <v>51733</v>
      </c>
      <c r="L187" s="24"/>
      <c r="M187" s="24">
        <f>1455+28682</f>
        <v>30137</v>
      </c>
      <c r="N187" s="24"/>
      <c r="O187" s="24">
        <f>7241+46</f>
        <v>7287</v>
      </c>
      <c r="P187" s="24"/>
      <c r="Q187" s="24">
        <f>19586+6869</f>
        <v>26455</v>
      </c>
      <c r="R187" s="24"/>
      <c r="S187" s="24">
        <f>15077+22459+1496+2050</f>
        <v>41082</v>
      </c>
      <c r="T187" s="24"/>
      <c r="U187" s="24">
        <v>0</v>
      </c>
      <c r="V187" s="24"/>
      <c r="W187" s="24">
        <v>0</v>
      </c>
      <c r="X187" s="24"/>
      <c r="Y187" s="24">
        <f>15450+790</f>
        <v>16240</v>
      </c>
      <c r="Z187" s="24"/>
      <c r="AA187" s="24">
        <f>2779+20222+1091+10177</f>
        <v>34269</v>
      </c>
      <c r="AB187" s="24"/>
      <c r="AC187" s="24">
        <v>26000</v>
      </c>
      <c r="AD187" s="24"/>
      <c r="AE187" s="24">
        <v>69000</v>
      </c>
      <c r="AF187" s="24"/>
      <c r="AG187" s="24">
        <v>0</v>
      </c>
      <c r="AH187" s="24"/>
      <c r="AI187" s="24">
        <f t="shared" si="6"/>
        <v>839443</v>
      </c>
      <c r="AJ187" s="24"/>
    </row>
    <row r="188" spans="1:42" hidden="1">
      <c r="A188" s="15" t="s">
        <v>21</v>
      </c>
      <c r="C188" s="15" t="s">
        <v>756</v>
      </c>
      <c r="E188" s="24">
        <v>0</v>
      </c>
      <c r="G188" s="24">
        <v>0</v>
      </c>
      <c r="I188" s="24">
        <v>0</v>
      </c>
      <c r="K188" s="24">
        <v>0</v>
      </c>
      <c r="M188" s="24">
        <v>0</v>
      </c>
      <c r="O188" s="24">
        <v>0</v>
      </c>
      <c r="Q188" s="24">
        <v>0</v>
      </c>
      <c r="S188" s="24">
        <v>0</v>
      </c>
      <c r="U188" s="24">
        <v>0</v>
      </c>
      <c r="W188" s="24">
        <v>0</v>
      </c>
      <c r="Y188" s="24">
        <v>0</v>
      </c>
      <c r="AA188" s="24">
        <v>0</v>
      </c>
      <c r="AC188" s="24">
        <v>0</v>
      </c>
      <c r="AE188" s="24">
        <v>0</v>
      </c>
      <c r="AG188" s="24">
        <v>0</v>
      </c>
      <c r="AI188" s="24">
        <f t="shared" si="6"/>
        <v>0</v>
      </c>
      <c r="AJ188" s="41"/>
    </row>
    <row r="189" spans="1:42" ht="12.6" hidden="1" customHeight="1">
      <c r="A189" s="15" t="s">
        <v>297</v>
      </c>
      <c r="C189" s="15" t="s">
        <v>295</v>
      </c>
      <c r="E189" s="24">
        <v>0</v>
      </c>
      <c r="G189" s="24">
        <v>0</v>
      </c>
      <c r="I189" s="24">
        <v>0</v>
      </c>
      <c r="K189" s="24">
        <v>0</v>
      </c>
      <c r="M189" s="24">
        <v>0</v>
      </c>
      <c r="O189" s="24">
        <v>0</v>
      </c>
      <c r="Q189" s="24">
        <v>0</v>
      </c>
      <c r="S189" s="24">
        <v>0</v>
      </c>
      <c r="U189" s="24">
        <v>0</v>
      </c>
      <c r="W189" s="24">
        <v>0</v>
      </c>
      <c r="Y189" s="24">
        <v>0</v>
      </c>
      <c r="AA189" s="24">
        <v>0</v>
      </c>
      <c r="AC189" s="24">
        <v>0</v>
      </c>
      <c r="AE189" s="24">
        <v>0</v>
      </c>
      <c r="AG189" s="24">
        <v>0</v>
      </c>
      <c r="AI189" s="24">
        <f t="shared" si="6"/>
        <v>0</v>
      </c>
      <c r="AJ189" s="24"/>
    </row>
    <row r="190" spans="1:42" s="31" customFormat="1" hidden="1">
      <c r="A190" s="15" t="s">
        <v>105</v>
      </c>
      <c r="B190" s="15"/>
      <c r="C190" s="15" t="s">
        <v>782</v>
      </c>
      <c r="D190" s="15"/>
      <c r="E190" s="24">
        <v>0</v>
      </c>
      <c r="F190" s="24"/>
      <c r="G190" s="24">
        <v>0</v>
      </c>
      <c r="H190" s="24"/>
      <c r="I190" s="24">
        <v>0</v>
      </c>
      <c r="J190" s="24"/>
      <c r="K190" s="24">
        <v>0</v>
      </c>
      <c r="L190" s="24"/>
      <c r="M190" s="24">
        <v>0</v>
      </c>
      <c r="N190" s="24"/>
      <c r="O190" s="24">
        <v>0</v>
      </c>
      <c r="P190" s="24"/>
      <c r="Q190" s="24">
        <v>0</v>
      </c>
      <c r="R190" s="24"/>
      <c r="S190" s="24">
        <v>0</v>
      </c>
      <c r="T190" s="24"/>
      <c r="U190" s="24">
        <v>0</v>
      </c>
      <c r="V190" s="24"/>
      <c r="W190" s="24">
        <v>0</v>
      </c>
      <c r="X190" s="24"/>
      <c r="Y190" s="24">
        <v>0</v>
      </c>
      <c r="Z190" s="24"/>
      <c r="AA190" s="24">
        <v>0</v>
      </c>
      <c r="AB190" s="24"/>
      <c r="AC190" s="24">
        <v>0</v>
      </c>
      <c r="AD190" s="24"/>
      <c r="AE190" s="24">
        <v>0</v>
      </c>
      <c r="AF190" s="24"/>
      <c r="AG190" s="24">
        <v>0</v>
      </c>
      <c r="AH190" s="24"/>
      <c r="AI190" s="24">
        <f t="shared" ref="AI190:AI222" si="7">SUM(E190:AG190)</f>
        <v>0</v>
      </c>
      <c r="AJ190" s="24"/>
    </row>
    <row r="191" spans="1:42">
      <c r="A191" s="15" t="s">
        <v>398</v>
      </c>
      <c r="C191" s="15" t="s">
        <v>396</v>
      </c>
      <c r="E191" s="24">
        <v>29040</v>
      </c>
      <c r="G191" s="24">
        <v>406960</v>
      </c>
      <c r="I191" s="24">
        <f>53835+77675</f>
        <v>131510</v>
      </c>
      <c r="K191" s="24">
        <v>0</v>
      </c>
      <c r="M191" s="24">
        <f>22461+12483</f>
        <v>34944</v>
      </c>
      <c r="O191" s="24">
        <v>5408</v>
      </c>
      <c r="Q191" s="24">
        <f>29244+623</f>
        <v>29867</v>
      </c>
      <c r="S191" s="24">
        <f>49908+100</f>
        <v>50008</v>
      </c>
      <c r="U191" s="24">
        <v>0</v>
      </c>
      <c r="W191" s="24">
        <v>0</v>
      </c>
      <c r="Y191" s="24">
        <v>0</v>
      </c>
      <c r="AA191" s="24">
        <f>79646+26892+7110</f>
        <v>113648</v>
      </c>
      <c r="AC191" s="24">
        <v>0</v>
      </c>
      <c r="AE191" s="24">
        <v>0</v>
      </c>
      <c r="AG191" s="24">
        <v>0</v>
      </c>
      <c r="AI191" s="24">
        <f t="shared" si="7"/>
        <v>801385</v>
      </c>
      <c r="AJ191" s="24"/>
    </row>
    <row r="192" spans="1:42" hidden="1">
      <c r="A192" s="15" t="s">
        <v>204</v>
      </c>
      <c r="C192" s="15" t="s">
        <v>813</v>
      </c>
      <c r="E192" s="24">
        <v>0</v>
      </c>
      <c r="G192" s="24">
        <v>0</v>
      </c>
      <c r="I192" s="24">
        <v>0</v>
      </c>
      <c r="K192" s="24">
        <v>0</v>
      </c>
      <c r="M192" s="24">
        <v>0</v>
      </c>
      <c r="O192" s="24">
        <v>0</v>
      </c>
      <c r="Q192" s="24">
        <v>0</v>
      </c>
      <c r="S192" s="24">
        <v>0</v>
      </c>
      <c r="U192" s="24">
        <v>0</v>
      </c>
      <c r="W192" s="24">
        <v>0</v>
      </c>
      <c r="Y192" s="24">
        <v>0</v>
      </c>
      <c r="AA192" s="24">
        <v>0</v>
      </c>
      <c r="AC192" s="24">
        <v>0</v>
      </c>
      <c r="AE192" s="24">
        <v>0</v>
      </c>
      <c r="AG192" s="24">
        <v>0</v>
      </c>
      <c r="AI192" s="24">
        <f t="shared" si="7"/>
        <v>0</v>
      </c>
      <c r="AJ192" s="24"/>
    </row>
    <row r="193" spans="1:42" hidden="1">
      <c r="A193" s="15" t="s">
        <v>222</v>
      </c>
      <c r="C193" s="15" t="s">
        <v>819</v>
      </c>
      <c r="E193" s="24">
        <v>0</v>
      </c>
      <c r="G193" s="24">
        <v>0</v>
      </c>
      <c r="I193" s="24">
        <v>0</v>
      </c>
      <c r="K193" s="24">
        <v>0</v>
      </c>
      <c r="M193" s="24">
        <v>0</v>
      </c>
      <c r="O193" s="24">
        <v>0</v>
      </c>
      <c r="Q193" s="24">
        <v>0</v>
      </c>
      <c r="S193" s="24">
        <v>0</v>
      </c>
      <c r="U193" s="24">
        <v>0</v>
      </c>
      <c r="W193" s="24">
        <v>0</v>
      </c>
      <c r="Y193" s="24">
        <v>0</v>
      </c>
      <c r="AA193" s="24">
        <v>0</v>
      </c>
      <c r="AC193" s="24">
        <v>0</v>
      </c>
      <c r="AE193" s="24">
        <v>0</v>
      </c>
      <c r="AG193" s="24">
        <v>0</v>
      </c>
      <c r="AI193" s="24">
        <f t="shared" si="7"/>
        <v>0</v>
      </c>
      <c r="AJ193" s="24"/>
    </row>
    <row r="194" spans="1:42">
      <c r="A194" s="15" t="s">
        <v>470</v>
      </c>
      <c r="C194" s="15" t="s">
        <v>469</v>
      </c>
      <c r="E194" s="24">
        <f>147431+148603</f>
        <v>296034</v>
      </c>
      <c r="G194" s="24">
        <v>627744</v>
      </c>
      <c r="I194" s="24">
        <f>88303+85785+44371</f>
        <v>218459</v>
      </c>
      <c r="K194" s="24">
        <v>43459</v>
      </c>
      <c r="M194" s="24">
        <f>4725+22051</f>
        <v>26776</v>
      </c>
      <c r="O194" s="24">
        <v>930</v>
      </c>
      <c r="Q194" s="24">
        <f>15375+946+94</f>
        <v>16415</v>
      </c>
      <c r="S194" s="24">
        <f>9570+23311+150</f>
        <v>33031</v>
      </c>
      <c r="U194" s="24">
        <v>132399</v>
      </c>
      <c r="W194" s="24">
        <v>0</v>
      </c>
      <c r="Y194" s="24">
        <f>3655+9600+44571</f>
        <v>57826</v>
      </c>
      <c r="AA194" s="24">
        <f>172000+75552+51232</f>
        <v>298784</v>
      </c>
      <c r="AC194" s="24">
        <f>21223+13223</f>
        <v>34446</v>
      </c>
      <c r="AE194" s="24">
        <v>800</v>
      </c>
      <c r="AG194" s="24">
        <v>0</v>
      </c>
      <c r="AI194" s="24">
        <f t="shared" si="7"/>
        <v>1787103</v>
      </c>
      <c r="AJ194" s="24"/>
    </row>
    <row r="195" spans="1:42" hidden="1">
      <c r="A195" s="15" t="s">
        <v>212</v>
      </c>
      <c r="C195" s="15" t="s">
        <v>815</v>
      </c>
      <c r="E195" s="24">
        <v>0</v>
      </c>
      <c r="G195" s="24">
        <v>0</v>
      </c>
      <c r="I195" s="24">
        <v>0</v>
      </c>
      <c r="K195" s="24">
        <v>0</v>
      </c>
      <c r="M195" s="24">
        <v>0</v>
      </c>
      <c r="O195" s="24">
        <v>0</v>
      </c>
      <c r="Q195" s="24">
        <v>0</v>
      </c>
      <c r="S195" s="24">
        <v>0</v>
      </c>
      <c r="U195" s="24">
        <v>0</v>
      </c>
      <c r="W195" s="24">
        <v>0</v>
      </c>
      <c r="Y195" s="24">
        <v>0</v>
      </c>
      <c r="AA195" s="24">
        <v>0</v>
      </c>
      <c r="AC195" s="24">
        <v>0</v>
      </c>
      <c r="AE195" s="24">
        <v>0</v>
      </c>
      <c r="AG195" s="24">
        <v>0</v>
      </c>
      <c r="AI195" s="24">
        <f t="shared" si="7"/>
        <v>0</v>
      </c>
      <c r="AJ195" s="24"/>
    </row>
    <row r="196" spans="1:42" hidden="1">
      <c r="A196" s="15" t="s">
        <v>175</v>
      </c>
      <c r="C196" s="15" t="s">
        <v>805</v>
      </c>
      <c r="E196" s="24">
        <v>0</v>
      </c>
      <c r="G196" s="24">
        <v>0</v>
      </c>
      <c r="I196" s="24">
        <v>0</v>
      </c>
      <c r="K196" s="24">
        <v>0</v>
      </c>
      <c r="M196" s="24">
        <v>0</v>
      </c>
      <c r="O196" s="24">
        <v>0</v>
      </c>
      <c r="Q196" s="24">
        <v>0</v>
      </c>
      <c r="S196" s="24">
        <v>0</v>
      </c>
      <c r="U196" s="24">
        <v>0</v>
      </c>
      <c r="W196" s="24">
        <v>0</v>
      </c>
      <c r="Y196" s="24">
        <v>0</v>
      </c>
      <c r="AA196" s="24">
        <v>0</v>
      </c>
      <c r="AC196" s="24">
        <v>0</v>
      </c>
      <c r="AE196" s="24">
        <v>0</v>
      </c>
      <c r="AG196" s="24">
        <v>0</v>
      </c>
      <c r="AI196" s="24">
        <f t="shared" si="7"/>
        <v>0</v>
      </c>
      <c r="AJ196" s="24"/>
    </row>
    <row r="197" spans="1:42">
      <c r="A197" s="15" t="s">
        <v>598</v>
      </c>
      <c r="C197" s="15" t="s">
        <v>593</v>
      </c>
      <c r="E197" s="24">
        <f>26682+27830</f>
        <v>54512</v>
      </c>
      <c r="G197" s="24">
        <v>0</v>
      </c>
      <c r="I197" s="24">
        <f>25922+23211</f>
        <v>49133</v>
      </c>
      <c r="K197" s="24">
        <v>0</v>
      </c>
      <c r="M197" s="24">
        <v>6000</v>
      </c>
      <c r="O197" s="24">
        <v>0</v>
      </c>
      <c r="Q197" s="24">
        <v>0</v>
      </c>
      <c r="S197" s="24">
        <v>6306</v>
      </c>
      <c r="U197" s="24">
        <v>0</v>
      </c>
      <c r="W197" s="24">
        <v>0</v>
      </c>
      <c r="Y197" s="24">
        <v>0</v>
      </c>
      <c r="AA197" s="24">
        <v>0</v>
      </c>
      <c r="AC197" s="24">
        <v>0</v>
      </c>
      <c r="AE197" s="24">
        <v>0</v>
      </c>
      <c r="AG197" s="24">
        <v>0</v>
      </c>
      <c r="AI197" s="24">
        <f t="shared" si="7"/>
        <v>115951</v>
      </c>
      <c r="AJ197" s="24"/>
    </row>
    <row r="198" spans="1:42" s="31" customFormat="1">
      <c r="A198" s="15" t="s">
        <v>428</v>
      </c>
      <c r="B198" s="15"/>
      <c r="C198" s="15" t="s">
        <v>427</v>
      </c>
      <c r="D198" s="15"/>
      <c r="E198" s="24">
        <v>77274</v>
      </c>
      <c r="F198" s="24"/>
      <c r="G198" s="24">
        <v>420367</v>
      </c>
      <c r="H198" s="24"/>
      <c r="I198" s="24">
        <f>120801+144488</f>
        <v>265289</v>
      </c>
      <c r="J198" s="24"/>
      <c r="K198" s="24">
        <v>0</v>
      </c>
      <c r="L198" s="24"/>
      <c r="M198" s="24">
        <v>162</v>
      </c>
      <c r="N198" s="24"/>
      <c r="O198" s="24">
        <v>21519</v>
      </c>
      <c r="P198" s="24"/>
      <c r="Q198" s="24">
        <v>10268</v>
      </c>
      <c r="R198" s="24"/>
      <c r="S198" s="24">
        <v>16495</v>
      </c>
      <c r="T198" s="24"/>
      <c r="U198" s="24">
        <v>0</v>
      </c>
      <c r="V198" s="24"/>
      <c r="W198" s="24">
        <v>0</v>
      </c>
      <c r="X198" s="24"/>
      <c r="Y198" s="24">
        <v>0</v>
      </c>
      <c r="Z198" s="24"/>
      <c r="AA198" s="24">
        <v>0</v>
      </c>
      <c r="AB198" s="24"/>
      <c r="AC198" s="24">
        <v>0</v>
      </c>
      <c r="AD198" s="24"/>
      <c r="AE198" s="24">
        <v>0</v>
      </c>
      <c r="AF198" s="24"/>
      <c r="AG198" s="24">
        <v>0</v>
      </c>
      <c r="AH198" s="24"/>
      <c r="AI198" s="24">
        <f t="shared" si="7"/>
        <v>811374</v>
      </c>
      <c r="AJ198" s="24"/>
    </row>
    <row r="199" spans="1:42">
      <c r="A199" s="15" t="s">
        <v>405</v>
      </c>
      <c r="C199" s="15" t="s">
        <v>403</v>
      </c>
      <c r="E199" s="24">
        <f>57583+14217</f>
        <v>71800</v>
      </c>
      <c r="G199" s="24">
        <v>76540</v>
      </c>
      <c r="I199" s="24">
        <v>17532</v>
      </c>
      <c r="K199" s="24">
        <v>0</v>
      </c>
      <c r="M199" s="24">
        <v>0</v>
      </c>
      <c r="O199" s="24">
        <v>88</v>
      </c>
      <c r="Q199" s="24">
        <f>70+209</f>
        <v>279</v>
      </c>
      <c r="S199" s="24">
        <f>2592+421</f>
        <v>3013</v>
      </c>
      <c r="U199" s="24">
        <v>0</v>
      </c>
      <c r="W199" s="24">
        <v>0</v>
      </c>
      <c r="Y199" s="24">
        <v>0</v>
      </c>
      <c r="AA199" s="24">
        <v>0</v>
      </c>
      <c r="AC199" s="24">
        <v>0</v>
      </c>
      <c r="AE199" s="24">
        <v>0</v>
      </c>
      <c r="AG199" s="24">
        <v>0</v>
      </c>
      <c r="AI199" s="24">
        <f t="shared" si="7"/>
        <v>169252</v>
      </c>
      <c r="AJ199" s="24"/>
    </row>
    <row r="200" spans="1:42" hidden="1">
      <c r="A200" s="15" t="s">
        <v>358</v>
      </c>
      <c r="C200" s="15" t="s">
        <v>243</v>
      </c>
      <c r="E200" s="24">
        <v>0</v>
      </c>
      <c r="G200" s="24">
        <v>0</v>
      </c>
      <c r="I200" s="24">
        <v>0</v>
      </c>
      <c r="K200" s="24">
        <v>0</v>
      </c>
      <c r="M200" s="24">
        <v>0</v>
      </c>
      <c r="O200" s="24">
        <v>0</v>
      </c>
      <c r="Q200" s="24">
        <v>0</v>
      </c>
      <c r="S200" s="24">
        <v>0</v>
      </c>
      <c r="U200" s="24">
        <v>0</v>
      </c>
      <c r="W200" s="24">
        <v>0</v>
      </c>
      <c r="Y200" s="24">
        <v>0</v>
      </c>
      <c r="AA200" s="24">
        <v>0</v>
      </c>
      <c r="AC200" s="24">
        <v>0</v>
      </c>
      <c r="AE200" s="24">
        <v>0</v>
      </c>
      <c r="AG200" s="24">
        <v>0</v>
      </c>
      <c r="AI200" s="24">
        <f t="shared" si="7"/>
        <v>0</v>
      </c>
      <c r="AJ200" s="24"/>
    </row>
    <row r="201" spans="1:42" s="31" customFormat="1" hidden="1">
      <c r="A201" s="15" t="s">
        <v>489</v>
      </c>
      <c r="B201" s="15"/>
      <c r="C201" s="15" t="s">
        <v>488</v>
      </c>
      <c r="D201" s="15"/>
      <c r="E201" s="24">
        <v>0</v>
      </c>
      <c r="F201" s="24"/>
      <c r="G201" s="24">
        <v>0</v>
      </c>
      <c r="H201" s="24"/>
      <c r="I201" s="24">
        <v>0</v>
      </c>
      <c r="J201" s="24"/>
      <c r="K201" s="24">
        <v>0</v>
      </c>
      <c r="L201" s="24"/>
      <c r="M201" s="24">
        <v>0</v>
      </c>
      <c r="N201" s="24"/>
      <c r="O201" s="24">
        <v>0</v>
      </c>
      <c r="P201" s="24"/>
      <c r="Q201" s="24">
        <v>0</v>
      </c>
      <c r="R201" s="24"/>
      <c r="S201" s="24">
        <v>0</v>
      </c>
      <c r="T201" s="24"/>
      <c r="U201" s="24">
        <v>0</v>
      </c>
      <c r="V201" s="24"/>
      <c r="W201" s="24">
        <v>0</v>
      </c>
      <c r="X201" s="24"/>
      <c r="Y201" s="24">
        <v>0</v>
      </c>
      <c r="Z201" s="24"/>
      <c r="AA201" s="24">
        <v>0</v>
      </c>
      <c r="AB201" s="24"/>
      <c r="AC201" s="24">
        <v>0</v>
      </c>
      <c r="AD201" s="24"/>
      <c r="AE201" s="24">
        <v>0</v>
      </c>
      <c r="AF201" s="24"/>
      <c r="AG201" s="24">
        <v>0</v>
      </c>
      <c r="AH201" s="24"/>
      <c r="AI201" s="24">
        <f t="shared" si="7"/>
        <v>0</v>
      </c>
      <c r="AJ201" s="24"/>
    </row>
    <row r="202" spans="1:42" s="31" customFormat="1" hidden="1">
      <c r="A202" s="15" t="s">
        <v>57</v>
      </c>
      <c r="B202" s="15"/>
      <c r="C202" s="15" t="s">
        <v>769</v>
      </c>
      <c r="D202" s="15"/>
      <c r="E202" s="24">
        <v>0</v>
      </c>
      <c r="F202" s="24"/>
      <c r="G202" s="24">
        <v>0</v>
      </c>
      <c r="H202" s="24"/>
      <c r="I202" s="24">
        <v>0</v>
      </c>
      <c r="J202" s="24"/>
      <c r="K202" s="24">
        <v>0</v>
      </c>
      <c r="L202" s="24"/>
      <c r="M202" s="24">
        <v>0</v>
      </c>
      <c r="N202" s="24"/>
      <c r="O202" s="24">
        <v>0</v>
      </c>
      <c r="P202" s="24"/>
      <c r="Q202" s="24">
        <v>0</v>
      </c>
      <c r="R202" s="24"/>
      <c r="S202" s="24">
        <v>0</v>
      </c>
      <c r="T202" s="24"/>
      <c r="U202" s="24">
        <v>0</v>
      </c>
      <c r="V202" s="24"/>
      <c r="W202" s="24">
        <v>0</v>
      </c>
      <c r="X202" s="24"/>
      <c r="Y202" s="24">
        <v>0</v>
      </c>
      <c r="Z202" s="24"/>
      <c r="AA202" s="24">
        <v>0</v>
      </c>
      <c r="AB202" s="24"/>
      <c r="AC202" s="24">
        <v>0</v>
      </c>
      <c r="AD202" s="24"/>
      <c r="AE202" s="24">
        <v>0</v>
      </c>
      <c r="AF202" s="24"/>
      <c r="AG202" s="24">
        <v>0</v>
      </c>
      <c r="AH202" s="24"/>
      <c r="AI202" s="24">
        <f t="shared" si="7"/>
        <v>0</v>
      </c>
      <c r="AJ202" s="24"/>
    </row>
    <row r="203" spans="1:42" s="31" customFormat="1">
      <c r="A203" s="15" t="s">
        <v>363</v>
      </c>
      <c r="B203" s="15"/>
      <c r="C203" s="15" t="s">
        <v>364</v>
      </c>
      <c r="D203" s="15"/>
      <c r="E203" s="24">
        <f>186213+119736+122345</f>
        <v>428294</v>
      </c>
      <c r="F203" s="24"/>
      <c r="G203" s="24">
        <v>1637474</v>
      </c>
      <c r="H203" s="24"/>
      <c r="I203" s="24">
        <f>195552+45291+382412</f>
        <v>623255</v>
      </c>
      <c r="J203" s="24"/>
      <c r="K203" s="24">
        <v>0</v>
      </c>
      <c r="L203" s="24"/>
      <c r="M203" s="24">
        <f>345138+372744</f>
        <v>717882</v>
      </c>
      <c r="N203" s="24"/>
      <c r="O203" s="24">
        <f>434524+132843+176857</f>
        <v>744224</v>
      </c>
      <c r="P203" s="24"/>
      <c r="Q203" s="24">
        <f>134473+324</f>
        <v>134797</v>
      </c>
      <c r="R203" s="24"/>
      <c r="S203" s="24">
        <f>20210+8052+150+8930</f>
        <v>37342</v>
      </c>
      <c r="T203" s="24"/>
      <c r="U203" s="24">
        <v>0</v>
      </c>
      <c r="V203" s="24"/>
      <c r="W203" s="24">
        <v>0</v>
      </c>
      <c r="X203" s="24"/>
      <c r="Y203" s="24">
        <v>0</v>
      </c>
      <c r="Z203" s="24"/>
      <c r="AA203" s="24">
        <v>524577</v>
      </c>
      <c r="AB203" s="24"/>
      <c r="AC203" s="24">
        <f>16364+3837</f>
        <v>20201</v>
      </c>
      <c r="AD203" s="24"/>
      <c r="AE203" s="24">
        <v>0</v>
      </c>
      <c r="AF203" s="24"/>
      <c r="AG203" s="24">
        <v>0</v>
      </c>
      <c r="AH203" s="24"/>
      <c r="AI203" s="24">
        <f t="shared" si="7"/>
        <v>4868046</v>
      </c>
      <c r="AJ203" s="24"/>
    </row>
    <row r="204" spans="1:42">
      <c r="A204" s="15" t="s">
        <v>910</v>
      </c>
      <c r="C204" s="15" t="s">
        <v>787</v>
      </c>
      <c r="E204" s="24">
        <v>0</v>
      </c>
      <c r="G204" s="24">
        <v>724453</v>
      </c>
      <c r="I204" s="24">
        <f>60859+22210</f>
        <v>83069</v>
      </c>
      <c r="K204" s="24">
        <v>0</v>
      </c>
      <c r="M204" s="24">
        <v>12953</v>
      </c>
      <c r="O204" s="24">
        <v>32823</v>
      </c>
      <c r="Q204" s="24">
        <f>5260+23</f>
        <v>5283</v>
      </c>
      <c r="S204" s="24">
        <v>17275</v>
      </c>
      <c r="U204" s="24">
        <v>0</v>
      </c>
      <c r="W204" s="24">
        <v>0</v>
      </c>
      <c r="Y204" s="24">
        <v>1500</v>
      </c>
      <c r="AA204" s="24">
        <v>20000</v>
      </c>
      <c r="AC204" s="24">
        <v>0</v>
      </c>
      <c r="AE204" s="24">
        <v>16033</v>
      </c>
      <c r="AG204" s="24">
        <v>0</v>
      </c>
      <c r="AI204" s="24">
        <f t="shared" si="7"/>
        <v>913389</v>
      </c>
      <c r="AJ204" s="24"/>
    </row>
    <row r="205" spans="1:42" hidden="1">
      <c r="A205" s="15" t="s">
        <v>122</v>
      </c>
      <c r="C205" s="15" t="s">
        <v>787</v>
      </c>
      <c r="E205" s="24">
        <v>0</v>
      </c>
      <c r="G205" s="24">
        <v>0</v>
      </c>
      <c r="I205" s="24">
        <v>0</v>
      </c>
      <c r="K205" s="24">
        <v>0</v>
      </c>
      <c r="M205" s="24">
        <v>0</v>
      </c>
      <c r="O205" s="24">
        <v>0</v>
      </c>
      <c r="Q205" s="24">
        <v>0</v>
      </c>
      <c r="S205" s="24">
        <v>0</v>
      </c>
      <c r="U205" s="24">
        <v>0</v>
      </c>
      <c r="W205" s="24">
        <v>0</v>
      </c>
      <c r="Y205" s="24">
        <v>0</v>
      </c>
      <c r="AA205" s="24">
        <v>0</v>
      </c>
      <c r="AC205" s="24">
        <v>0</v>
      </c>
      <c r="AE205" s="24">
        <v>0</v>
      </c>
      <c r="AG205" s="24">
        <v>0</v>
      </c>
      <c r="AI205" s="24">
        <f t="shared" si="7"/>
        <v>0</v>
      </c>
      <c r="AJ205" s="24"/>
    </row>
    <row r="206" spans="1:42">
      <c r="A206" s="15" t="s">
        <v>511</v>
      </c>
      <c r="C206" s="15" t="s">
        <v>259</v>
      </c>
      <c r="E206" s="24">
        <f>136154+19281+9892</f>
        <v>165327</v>
      </c>
      <c r="G206" s="24">
        <f>781429+197830</f>
        <v>979259</v>
      </c>
      <c r="I206" s="24">
        <f>220171+119738</f>
        <v>339909</v>
      </c>
      <c r="K206" s="24">
        <v>0</v>
      </c>
      <c r="M206" s="24">
        <f>47090+12931</f>
        <v>60021</v>
      </c>
      <c r="O206" s="24">
        <f>4235+22122</f>
        <v>26357</v>
      </c>
      <c r="Q206" s="24">
        <f>9249+1964</f>
        <v>11213</v>
      </c>
      <c r="S206" s="24">
        <v>78411</v>
      </c>
      <c r="U206" s="24">
        <v>0</v>
      </c>
      <c r="W206" s="24">
        <v>0</v>
      </c>
      <c r="Y206" s="24">
        <v>200</v>
      </c>
      <c r="AA206" s="24">
        <f>17917+3613</f>
        <v>21530</v>
      </c>
      <c r="AC206" s="24">
        <v>0</v>
      </c>
      <c r="AE206" s="24">
        <v>0</v>
      </c>
      <c r="AG206" s="24">
        <v>0</v>
      </c>
      <c r="AI206" s="24">
        <f t="shared" si="7"/>
        <v>1682227</v>
      </c>
      <c r="AJ206" s="24"/>
    </row>
    <row r="207" spans="1:42" s="31" customFormat="1">
      <c r="A207" s="15"/>
      <c r="B207" s="15"/>
      <c r="C207" s="15"/>
      <c r="D207" s="15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 t="s">
        <v>869</v>
      </c>
      <c r="AJ207" s="24"/>
    </row>
    <row r="208" spans="1:42" s="84" customFormat="1" ht="12.6" customHeight="1">
      <c r="A208" s="41" t="s">
        <v>320</v>
      </c>
      <c r="B208" s="41"/>
      <c r="C208" s="41" t="s">
        <v>316</v>
      </c>
      <c r="D208" s="41"/>
      <c r="E208" s="41">
        <f>1820306+251602</f>
        <v>2071908</v>
      </c>
      <c r="F208" s="41"/>
      <c r="G208" s="41">
        <v>2091003</v>
      </c>
      <c r="H208" s="41"/>
      <c r="I208" s="41">
        <f>960493+364537+157569</f>
        <v>1482599</v>
      </c>
      <c r="J208" s="41"/>
      <c r="K208" s="41">
        <v>25665</v>
      </c>
      <c r="L208" s="41"/>
      <c r="M208" s="41">
        <f>280055+131091+60047</f>
        <v>471193</v>
      </c>
      <c r="N208" s="41"/>
      <c r="O208" s="41">
        <v>96702</v>
      </c>
      <c r="P208" s="41"/>
      <c r="Q208" s="41">
        <f>98712+3572</f>
        <v>102284</v>
      </c>
      <c r="R208" s="41"/>
      <c r="S208" s="41">
        <v>43380</v>
      </c>
      <c r="T208" s="41"/>
      <c r="U208" s="41">
        <v>0</v>
      </c>
      <c r="V208" s="41"/>
      <c r="W208" s="41">
        <f>2535000+27277</f>
        <v>2562277</v>
      </c>
      <c r="X208" s="41"/>
      <c r="Y208" s="41">
        <v>0</v>
      </c>
      <c r="Z208" s="41"/>
      <c r="AA208" s="41">
        <f>1344793+103650</f>
        <v>1448443</v>
      </c>
      <c r="AB208" s="41"/>
      <c r="AC208" s="41">
        <v>65460</v>
      </c>
      <c r="AD208" s="41"/>
      <c r="AE208" s="41">
        <v>0</v>
      </c>
      <c r="AF208" s="41"/>
      <c r="AG208" s="41">
        <v>0</v>
      </c>
      <c r="AH208" s="41"/>
      <c r="AI208" s="41">
        <f t="shared" si="7"/>
        <v>10460914</v>
      </c>
      <c r="AJ208" s="41"/>
      <c r="AK208" s="95"/>
      <c r="AL208" s="95"/>
      <c r="AM208" s="95"/>
      <c r="AN208" s="95"/>
      <c r="AO208" s="95"/>
      <c r="AP208" s="95"/>
    </row>
    <row r="209" spans="1:42" hidden="1">
      <c r="A209" s="15" t="s">
        <v>269</v>
      </c>
      <c r="C209" s="15" t="s">
        <v>752</v>
      </c>
      <c r="E209" s="24">
        <v>0</v>
      </c>
      <c r="G209" s="24">
        <v>0</v>
      </c>
      <c r="I209" s="24">
        <v>0</v>
      </c>
      <c r="K209" s="24">
        <v>0</v>
      </c>
      <c r="M209" s="24">
        <v>0</v>
      </c>
      <c r="O209" s="24">
        <v>0</v>
      </c>
      <c r="Q209" s="24">
        <v>0</v>
      </c>
      <c r="S209" s="24">
        <v>0</v>
      </c>
      <c r="U209" s="24">
        <v>0</v>
      </c>
      <c r="W209" s="24">
        <v>0</v>
      </c>
      <c r="Y209" s="24">
        <v>0</v>
      </c>
      <c r="AA209" s="24">
        <v>0</v>
      </c>
      <c r="AC209" s="24">
        <v>0</v>
      </c>
      <c r="AE209" s="24">
        <v>0</v>
      </c>
      <c r="AG209" s="24">
        <v>0</v>
      </c>
      <c r="AI209" s="24">
        <f t="shared" si="7"/>
        <v>0</v>
      </c>
      <c r="AJ209" s="24"/>
    </row>
    <row r="210" spans="1:42">
      <c r="A210" s="15" t="s">
        <v>497</v>
      </c>
      <c r="C210" s="15" t="s">
        <v>207</v>
      </c>
      <c r="E210" s="24">
        <f>89614+1001993</f>
        <v>1091607</v>
      </c>
      <c r="G210" s="24">
        <v>0</v>
      </c>
      <c r="I210" s="24">
        <f>203751+129538+124986</f>
        <v>458275</v>
      </c>
      <c r="K210" s="24">
        <v>0</v>
      </c>
      <c r="M210" s="24">
        <v>15836</v>
      </c>
      <c r="O210" s="24">
        <f>9619+2714</f>
        <v>12333</v>
      </c>
      <c r="Q210" s="24">
        <v>0</v>
      </c>
      <c r="S210" s="24">
        <f>98287+8277+650+45</f>
        <v>107259</v>
      </c>
      <c r="U210" s="24">
        <v>0</v>
      </c>
      <c r="W210" s="24">
        <v>0</v>
      </c>
      <c r="Y210" s="24">
        <v>0</v>
      </c>
      <c r="AA210" s="24">
        <f>628257+565300+334791</f>
        <v>1528348</v>
      </c>
      <c r="AC210" s="24">
        <v>0</v>
      </c>
      <c r="AE210" s="24">
        <v>0</v>
      </c>
      <c r="AG210" s="24">
        <v>0</v>
      </c>
      <c r="AI210" s="24">
        <f t="shared" si="7"/>
        <v>3213658</v>
      </c>
      <c r="AJ210" s="24"/>
    </row>
    <row r="211" spans="1:42" hidden="1">
      <c r="A211" s="15" t="s">
        <v>22</v>
      </c>
      <c r="C211" s="15" t="s">
        <v>756</v>
      </c>
      <c r="E211" s="24">
        <v>0</v>
      </c>
      <c r="G211" s="24">
        <v>0</v>
      </c>
      <c r="I211" s="24">
        <v>0</v>
      </c>
      <c r="K211" s="24">
        <v>0</v>
      </c>
      <c r="M211" s="24">
        <v>0</v>
      </c>
      <c r="O211" s="24">
        <v>0</v>
      </c>
      <c r="Q211" s="24">
        <v>0</v>
      </c>
      <c r="S211" s="24">
        <v>0</v>
      </c>
      <c r="U211" s="24">
        <v>0</v>
      </c>
      <c r="W211" s="24">
        <v>0</v>
      </c>
      <c r="Y211" s="24">
        <v>0</v>
      </c>
      <c r="AA211" s="24">
        <v>0</v>
      </c>
      <c r="AC211" s="24">
        <v>0</v>
      </c>
      <c r="AE211" s="24">
        <v>0</v>
      </c>
      <c r="AG211" s="24">
        <v>0</v>
      </c>
      <c r="AI211" s="24">
        <f t="shared" si="7"/>
        <v>0</v>
      </c>
      <c r="AJ211" s="24"/>
    </row>
    <row r="212" spans="1:42" s="31" customFormat="1">
      <c r="A212" s="15" t="s">
        <v>483</v>
      </c>
      <c r="B212" s="15"/>
      <c r="C212" s="15" t="s">
        <v>482</v>
      </c>
      <c r="D212" s="15"/>
      <c r="E212" s="24">
        <f>1366759+275723+6989</f>
        <v>1649471</v>
      </c>
      <c r="F212" s="24"/>
      <c r="G212" s="24">
        <v>0</v>
      </c>
      <c r="H212" s="24"/>
      <c r="I212" s="24">
        <f>252034+753413+266102</f>
        <v>1271549</v>
      </c>
      <c r="J212" s="24"/>
      <c r="K212" s="24">
        <f>102820+10778</f>
        <v>113598</v>
      </c>
      <c r="L212" s="24"/>
      <c r="M212" s="24">
        <f>127637+1250</f>
        <v>128887</v>
      </c>
      <c r="N212" s="24"/>
      <c r="O212" s="24">
        <f>63328+10831</f>
        <v>74159</v>
      </c>
      <c r="P212" s="24"/>
      <c r="Q212" s="24">
        <f>36034+10144+4276+5294+1</f>
        <v>55749</v>
      </c>
      <c r="R212" s="24"/>
      <c r="S212" s="24">
        <f>22819+1550+15510+185077+14258+23+111846</f>
        <v>351083</v>
      </c>
      <c r="T212" s="24"/>
      <c r="U212" s="24">
        <f>751503+171000</f>
        <v>922503</v>
      </c>
      <c r="V212" s="24"/>
      <c r="W212" s="24">
        <v>0</v>
      </c>
      <c r="X212" s="24"/>
      <c r="Y212" s="24">
        <v>0</v>
      </c>
      <c r="Z212" s="24"/>
      <c r="AA212" s="24">
        <f>6829+26320+45131</f>
        <v>78280</v>
      </c>
      <c r="AB212" s="24"/>
      <c r="AC212" s="24">
        <f>264623+81500+103630+30000</f>
        <v>479753</v>
      </c>
      <c r="AD212" s="24"/>
      <c r="AE212" s="24">
        <v>0</v>
      </c>
      <c r="AF212" s="24"/>
      <c r="AG212" s="24">
        <v>0</v>
      </c>
      <c r="AH212" s="24"/>
      <c r="AI212" s="24">
        <f t="shared" si="7"/>
        <v>5125032</v>
      </c>
      <c r="AJ212" s="24"/>
    </row>
    <row r="213" spans="1:42" hidden="1">
      <c r="A213" s="15" t="s">
        <v>52</v>
      </c>
      <c r="C213" s="15" t="s">
        <v>767</v>
      </c>
      <c r="E213" s="24">
        <v>0</v>
      </c>
      <c r="G213" s="24">
        <v>0</v>
      </c>
      <c r="I213" s="24">
        <v>0</v>
      </c>
      <c r="K213" s="24">
        <v>0</v>
      </c>
      <c r="M213" s="24">
        <v>0</v>
      </c>
      <c r="O213" s="24">
        <v>0</v>
      </c>
      <c r="Q213" s="24">
        <v>0</v>
      </c>
      <c r="S213" s="24">
        <v>0</v>
      </c>
      <c r="U213" s="24">
        <v>0</v>
      </c>
      <c r="W213" s="24">
        <v>0</v>
      </c>
      <c r="Y213" s="24">
        <v>0</v>
      </c>
      <c r="AA213" s="24">
        <v>0</v>
      </c>
      <c r="AC213" s="24">
        <v>0</v>
      </c>
      <c r="AE213" s="24">
        <v>0</v>
      </c>
      <c r="AG213" s="24">
        <v>0</v>
      </c>
      <c r="AI213" s="24">
        <f t="shared" si="7"/>
        <v>0</v>
      </c>
      <c r="AJ213" s="24"/>
      <c r="AK213" s="30"/>
      <c r="AL213" s="30"/>
      <c r="AM213" s="30"/>
      <c r="AN213" s="30"/>
      <c r="AO213" s="30"/>
      <c r="AP213" s="30"/>
    </row>
    <row r="214" spans="1:42" hidden="1">
      <c r="A214" s="15" t="s">
        <v>531</v>
      </c>
      <c r="C214" s="15" t="s">
        <v>530</v>
      </c>
      <c r="E214" s="24">
        <v>0</v>
      </c>
      <c r="G214" s="24">
        <v>0</v>
      </c>
      <c r="I214" s="24">
        <v>0</v>
      </c>
      <c r="K214" s="24">
        <v>0</v>
      </c>
      <c r="M214" s="24">
        <v>0</v>
      </c>
      <c r="O214" s="24">
        <v>0</v>
      </c>
      <c r="Q214" s="24">
        <v>0</v>
      </c>
      <c r="S214" s="24">
        <v>0</v>
      </c>
      <c r="U214" s="24">
        <v>0</v>
      </c>
      <c r="W214" s="24">
        <v>0</v>
      </c>
      <c r="Y214" s="24">
        <v>0</v>
      </c>
      <c r="AA214" s="24">
        <v>0</v>
      </c>
      <c r="AC214" s="24">
        <v>0</v>
      </c>
      <c r="AE214" s="24">
        <v>0</v>
      </c>
      <c r="AG214" s="24">
        <v>0</v>
      </c>
      <c r="AI214" s="24">
        <f t="shared" si="7"/>
        <v>0</v>
      </c>
      <c r="AJ214" s="24"/>
    </row>
    <row r="215" spans="1:42" hidden="1">
      <c r="A215" s="15" t="s">
        <v>205</v>
      </c>
      <c r="C215" s="15" t="s">
        <v>813</v>
      </c>
      <c r="E215" s="24">
        <v>0</v>
      </c>
      <c r="G215" s="24">
        <v>0</v>
      </c>
      <c r="I215" s="24">
        <v>0</v>
      </c>
      <c r="K215" s="24">
        <v>0</v>
      </c>
      <c r="M215" s="24">
        <v>0</v>
      </c>
      <c r="O215" s="24">
        <v>0</v>
      </c>
      <c r="Q215" s="24">
        <v>0</v>
      </c>
      <c r="S215" s="24">
        <v>0</v>
      </c>
      <c r="U215" s="24">
        <v>0</v>
      </c>
      <c r="W215" s="24">
        <v>0</v>
      </c>
      <c r="Y215" s="24">
        <v>0</v>
      </c>
      <c r="AA215" s="24">
        <v>0</v>
      </c>
      <c r="AC215" s="24">
        <v>0</v>
      </c>
      <c r="AE215" s="24">
        <v>0</v>
      </c>
      <c r="AG215" s="24">
        <v>0</v>
      </c>
      <c r="AI215" s="24">
        <f t="shared" si="7"/>
        <v>0</v>
      </c>
      <c r="AJ215" s="24"/>
    </row>
    <row r="216" spans="1:42" hidden="1">
      <c r="A216" s="15" t="s">
        <v>519</v>
      </c>
      <c r="C216" s="15" t="s">
        <v>517</v>
      </c>
      <c r="E216" s="24">
        <v>0</v>
      </c>
      <c r="G216" s="24">
        <v>0</v>
      </c>
      <c r="I216" s="24">
        <v>0</v>
      </c>
      <c r="K216" s="24">
        <v>0</v>
      </c>
      <c r="M216" s="24">
        <v>0</v>
      </c>
      <c r="O216" s="24">
        <v>0</v>
      </c>
      <c r="Q216" s="24">
        <v>0</v>
      </c>
      <c r="S216" s="24">
        <v>0</v>
      </c>
      <c r="U216" s="24">
        <v>0</v>
      </c>
      <c r="W216" s="24">
        <v>0</v>
      </c>
      <c r="Y216" s="24">
        <v>0</v>
      </c>
      <c r="AA216" s="24">
        <v>0</v>
      </c>
      <c r="AC216" s="24">
        <v>0</v>
      </c>
      <c r="AE216" s="24">
        <v>0</v>
      </c>
      <c r="AG216" s="24">
        <v>0</v>
      </c>
      <c r="AI216" s="24">
        <f t="shared" si="7"/>
        <v>0</v>
      </c>
      <c r="AJ216" s="24"/>
    </row>
    <row r="217" spans="1:42" hidden="1">
      <c r="A217" s="15" t="s">
        <v>519</v>
      </c>
      <c r="C217" s="15" t="s">
        <v>813</v>
      </c>
      <c r="E217" s="24">
        <v>0</v>
      </c>
      <c r="G217" s="24">
        <v>0</v>
      </c>
      <c r="I217" s="24">
        <v>0</v>
      </c>
      <c r="K217" s="24">
        <v>0</v>
      </c>
      <c r="M217" s="24">
        <v>0</v>
      </c>
      <c r="O217" s="24">
        <v>0</v>
      </c>
      <c r="Q217" s="24">
        <v>0</v>
      </c>
      <c r="S217" s="24">
        <v>0</v>
      </c>
      <c r="U217" s="24">
        <v>0</v>
      </c>
      <c r="W217" s="24">
        <v>0</v>
      </c>
      <c r="Y217" s="24">
        <v>0</v>
      </c>
      <c r="AA217" s="24">
        <v>0</v>
      </c>
      <c r="AC217" s="24">
        <v>0</v>
      </c>
      <c r="AE217" s="24">
        <v>0</v>
      </c>
      <c r="AG217" s="24">
        <v>0</v>
      </c>
      <c r="AI217" s="24">
        <f t="shared" si="7"/>
        <v>0</v>
      </c>
      <c r="AJ217" s="24"/>
    </row>
    <row r="218" spans="1:42" s="24" customFormat="1">
      <c r="A218" s="24" t="s">
        <v>381</v>
      </c>
      <c r="C218" s="24" t="s">
        <v>378</v>
      </c>
      <c r="E218" s="24">
        <f>1832850+29510+53375</f>
        <v>1915735</v>
      </c>
      <c r="G218" s="24">
        <v>0</v>
      </c>
      <c r="I218" s="24">
        <f>547214+149577+9643</f>
        <v>706434</v>
      </c>
      <c r="K218" s="24">
        <v>0</v>
      </c>
      <c r="M218" s="24">
        <f>4085+308984+189682</f>
        <v>502751</v>
      </c>
      <c r="O218" s="24">
        <f>49579+3483</f>
        <v>53062</v>
      </c>
      <c r="Q218" s="24">
        <f>69946+228</f>
        <v>70174</v>
      </c>
      <c r="S218" s="24">
        <f>46617+61006+48519</f>
        <v>156142</v>
      </c>
      <c r="U218" s="24">
        <v>95771</v>
      </c>
      <c r="W218" s="24">
        <v>0</v>
      </c>
      <c r="Y218" s="24">
        <v>0</v>
      </c>
      <c r="AA218" s="24">
        <v>253146</v>
      </c>
      <c r="AC218" s="24">
        <v>0</v>
      </c>
      <c r="AE218" s="24">
        <v>0</v>
      </c>
      <c r="AG218" s="24">
        <v>0</v>
      </c>
      <c r="AI218" s="24">
        <f t="shared" si="7"/>
        <v>3753215</v>
      </c>
    </row>
    <row r="219" spans="1:42" s="31" customFormat="1">
      <c r="A219" s="15" t="s">
        <v>505</v>
      </c>
      <c r="B219" s="15"/>
      <c r="C219" s="15" t="s">
        <v>504</v>
      </c>
      <c r="D219" s="15"/>
      <c r="E219" s="24">
        <f>6956+2138+101</f>
        <v>9195</v>
      </c>
      <c r="F219" s="24"/>
      <c r="G219" s="24">
        <v>0</v>
      </c>
      <c r="H219" s="24"/>
      <c r="I219" s="24">
        <f>8575+7717+642</f>
        <v>16934</v>
      </c>
      <c r="J219" s="24"/>
      <c r="K219" s="24">
        <v>0</v>
      </c>
      <c r="L219" s="24"/>
      <c r="M219" s="24">
        <v>1514</v>
      </c>
      <c r="N219" s="24"/>
      <c r="O219" s="24">
        <v>0</v>
      </c>
      <c r="P219" s="24"/>
      <c r="Q219" s="24">
        <v>7</v>
      </c>
      <c r="R219" s="24"/>
      <c r="S219" s="24">
        <v>176</v>
      </c>
      <c r="T219" s="24"/>
      <c r="U219" s="24">
        <v>0</v>
      </c>
      <c r="V219" s="24"/>
      <c r="W219" s="24">
        <v>0</v>
      </c>
      <c r="X219" s="24"/>
      <c r="Y219" s="24">
        <v>18617</v>
      </c>
      <c r="Z219" s="24"/>
      <c r="AA219" s="24">
        <v>0</v>
      </c>
      <c r="AB219" s="24"/>
      <c r="AC219" s="24">
        <v>0</v>
      </c>
      <c r="AD219" s="24"/>
      <c r="AE219" s="24">
        <v>0</v>
      </c>
      <c r="AF219" s="24"/>
      <c r="AG219" s="24">
        <v>0</v>
      </c>
      <c r="AH219" s="24"/>
      <c r="AI219" s="24">
        <f t="shared" si="7"/>
        <v>46443</v>
      </c>
      <c r="AJ219" s="24"/>
    </row>
    <row r="220" spans="1:42">
      <c r="A220" s="15" t="s">
        <v>870</v>
      </c>
      <c r="C220" s="15" t="s">
        <v>412</v>
      </c>
      <c r="E220" s="24">
        <v>3232</v>
      </c>
      <c r="G220" s="24">
        <v>0</v>
      </c>
      <c r="I220" s="24">
        <f>31245+14394</f>
        <v>45639</v>
      </c>
      <c r="K220" s="24">
        <v>0</v>
      </c>
      <c r="M220" s="24">
        <v>8684</v>
      </c>
      <c r="O220" s="24">
        <v>0</v>
      </c>
      <c r="Q220" s="24">
        <f>4624+1019</f>
        <v>5643</v>
      </c>
      <c r="S220" s="24">
        <v>3139</v>
      </c>
      <c r="U220" s="24">
        <v>0</v>
      </c>
      <c r="W220" s="24">
        <v>0</v>
      </c>
      <c r="Y220" s="24">
        <v>0</v>
      </c>
      <c r="AA220" s="24">
        <v>0</v>
      </c>
      <c r="AC220" s="24">
        <v>0</v>
      </c>
      <c r="AE220" s="24">
        <v>0</v>
      </c>
      <c r="AG220" s="24">
        <v>0</v>
      </c>
      <c r="AI220" s="24">
        <f t="shared" si="7"/>
        <v>66337</v>
      </c>
      <c r="AJ220" s="24"/>
    </row>
    <row r="221" spans="1:42" s="29" customFormat="1" hidden="1">
      <c r="A221" s="24" t="s">
        <v>49</v>
      </c>
      <c r="B221" s="24"/>
      <c r="C221" s="24" t="s">
        <v>766</v>
      </c>
      <c r="D221" s="24"/>
      <c r="E221" s="24">
        <v>0</v>
      </c>
      <c r="F221" s="24"/>
      <c r="G221" s="24">
        <v>0</v>
      </c>
      <c r="H221" s="24"/>
      <c r="I221" s="24">
        <v>0</v>
      </c>
      <c r="J221" s="24"/>
      <c r="K221" s="24">
        <v>0</v>
      </c>
      <c r="L221" s="24"/>
      <c r="M221" s="24">
        <v>0</v>
      </c>
      <c r="N221" s="24"/>
      <c r="O221" s="24">
        <v>0</v>
      </c>
      <c r="P221" s="24"/>
      <c r="Q221" s="24">
        <v>0</v>
      </c>
      <c r="R221" s="24"/>
      <c r="S221" s="24">
        <v>0</v>
      </c>
      <c r="T221" s="24"/>
      <c r="U221" s="24">
        <v>0</v>
      </c>
      <c r="V221" s="24"/>
      <c r="W221" s="24">
        <v>0</v>
      </c>
      <c r="X221" s="24"/>
      <c r="Y221" s="24">
        <v>0</v>
      </c>
      <c r="Z221" s="24"/>
      <c r="AA221" s="24">
        <v>0</v>
      </c>
      <c r="AB221" s="24"/>
      <c r="AC221" s="24">
        <v>0</v>
      </c>
      <c r="AD221" s="24"/>
      <c r="AE221" s="24">
        <v>0</v>
      </c>
      <c r="AF221" s="24"/>
      <c r="AG221" s="24">
        <v>0</v>
      </c>
      <c r="AH221" s="24"/>
      <c r="AI221" s="24">
        <f t="shared" si="7"/>
        <v>0</v>
      </c>
      <c r="AJ221" s="24"/>
    </row>
    <row r="222" spans="1:42" hidden="1">
      <c r="A222" s="15" t="s">
        <v>153</v>
      </c>
      <c r="C222" s="15" t="s">
        <v>797</v>
      </c>
      <c r="E222" s="24">
        <v>0</v>
      </c>
      <c r="G222" s="24">
        <v>0</v>
      </c>
      <c r="I222" s="24">
        <v>0</v>
      </c>
      <c r="K222" s="24">
        <v>0</v>
      </c>
      <c r="M222" s="24">
        <v>0</v>
      </c>
      <c r="O222" s="24">
        <v>0</v>
      </c>
      <c r="Q222" s="24">
        <v>0</v>
      </c>
      <c r="S222" s="24">
        <v>0</v>
      </c>
      <c r="U222" s="24">
        <v>0</v>
      </c>
      <c r="W222" s="24">
        <v>0</v>
      </c>
      <c r="Y222" s="24">
        <v>0</v>
      </c>
      <c r="AA222" s="24">
        <v>0</v>
      </c>
      <c r="AC222" s="24">
        <v>0</v>
      </c>
      <c r="AE222" s="24">
        <v>0</v>
      </c>
      <c r="AG222" s="24">
        <v>0</v>
      </c>
      <c r="AI222" s="24">
        <f t="shared" si="7"/>
        <v>0</v>
      </c>
      <c r="AJ222" s="24"/>
    </row>
    <row r="223" spans="1:42" hidden="1">
      <c r="A223" s="15" t="s">
        <v>10</v>
      </c>
      <c r="C223" s="15" t="s">
        <v>753</v>
      </c>
      <c r="E223" s="24">
        <v>0</v>
      </c>
      <c r="G223" s="24">
        <v>0</v>
      </c>
      <c r="I223" s="24">
        <v>0</v>
      </c>
      <c r="K223" s="24">
        <v>0</v>
      </c>
      <c r="M223" s="24">
        <v>0</v>
      </c>
      <c r="O223" s="24">
        <v>0</v>
      </c>
      <c r="Q223" s="24">
        <v>0</v>
      </c>
      <c r="S223" s="24">
        <v>0</v>
      </c>
      <c r="U223" s="24">
        <v>0</v>
      </c>
      <c r="W223" s="24">
        <v>0</v>
      </c>
      <c r="Y223" s="24">
        <v>0</v>
      </c>
      <c r="AA223" s="24">
        <v>0</v>
      </c>
      <c r="AC223" s="24">
        <v>0</v>
      </c>
      <c r="AE223" s="24">
        <v>0</v>
      </c>
      <c r="AG223" s="24">
        <v>0</v>
      </c>
      <c r="AI223" s="24">
        <f t="shared" ref="AI223:AI231" si="8">SUM(E223:AG223)</f>
        <v>0</v>
      </c>
      <c r="AJ223" s="24"/>
    </row>
    <row r="224" spans="1:42" s="31" customFormat="1">
      <c r="A224" s="15" t="s">
        <v>568</v>
      </c>
      <c r="B224" s="15"/>
      <c r="C224" s="15" t="s">
        <v>565</v>
      </c>
      <c r="D224" s="15"/>
      <c r="E224" s="24">
        <f>83958+19307+161685</f>
        <v>264950</v>
      </c>
      <c r="F224" s="24"/>
      <c r="G224" s="24">
        <v>0</v>
      </c>
      <c r="H224" s="24"/>
      <c r="I224" s="24">
        <f>43429+76159</f>
        <v>119588</v>
      </c>
      <c r="J224" s="24"/>
      <c r="K224" s="24">
        <v>0</v>
      </c>
      <c r="L224" s="24"/>
      <c r="M224" s="24">
        <f>58940+25010</f>
        <v>83950</v>
      </c>
      <c r="N224" s="24"/>
      <c r="O224" s="24">
        <v>2528</v>
      </c>
      <c r="P224" s="24"/>
      <c r="Q224" s="24">
        <v>0</v>
      </c>
      <c r="R224" s="24"/>
      <c r="S224" s="24">
        <f>28675+9033+3834</f>
        <v>41542</v>
      </c>
      <c r="T224" s="24"/>
      <c r="U224" s="24">
        <v>0</v>
      </c>
      <c r="V224" s="24"/>
      <c r="W224" s="24">
        <v>0</v>
      </c>
      <c r="X224" s="24"/>
      <c r="Y224" s="24">
        <v>934</v>
      </c>
      <c r="Z224" s="24"/>
      <c r="AA224" s="24">
        <f>150561+94101+37638</f>
        <v>282300</v>
      </c>
      <c r="AB224" s="24"/>
      <c r="AC224" s="24">
        <v>0</v>
      </c>
      <c r="AD224" s="24"/>
      <c r="AE224" s="24">
        <v>0</v>
      </c>
      <c r="AF224" s="38"/>
      <c r="AG224" s="24">
        <v>0</v>
      </c>
      <c r="AH224" s="38"/>
      <c r="AI224" s="24">
        <f t="shared" si="8"/>
        <v>795792</v>
      </c>
      <c r="AJ224" s="24"/>
    </row>
    <row r="225" spans="1:42" s="31" customFormat="1">
      <c r="A225" s="15" t="s">
        <v>382</v>
      </c>
      <c r="B225" s="15"/>
      <c r="C225" s="15" t="s">
        <v>378</v>
      </c>
      <c r="D225" s="15"/>
      <c r="E225" s="24">
        <f>1031829+1024640</f>
        <v>2056469</v>
      </c>
      <c r="F225" s="24"/>
      <c r="G225" s="24">
        <v>619155</v>
      </c>
      <c r="H225" s="24"/>
      <c r="I225" s="24">
        <f>219102+175583</f>
        <v>394685</v>
      </c>
      <c r="J225" s="24"/>
      <c r="K225" s="24">
        <v>0</v>
      </c>
      <c r="L225" s="24"/>
      <c r="M225" s="24">
        <v>524746</v>
      </c>
      <c r="N225" s="24"/>
      <c r="O225" s="24">
        <v>63308</v>
      </c>
      <c r="P225" s="24"/>
      <c r="Q225" s="24">
        <v>435</v>
      </c>
      <c r="R225" s="24"/>
      <c r="S225" s="24">
        <f>39348+250600</f>
        <v>289948</v>
      </c>
      <c r="T225" s="24"/>
      <c r="U225" s="24">
        <v>0</v>
      </c>
      <c r="V225" s="24"/>
      <c r="W225" s="24">
        <v>0</v>
      </c>
      <c r="X225" s="24"/>
      <c r="Y225" s="24">
        <v>700</v>
      </c>
      <c r="Z225" s="24"/>
      <c r="AA225" s="24">
        <v>610000</v>
      </c>
      <c r="AB225" s="24"/>
      <c r="AC225" s="24">
        <v>0</v>
      </c>
      <c r="AD225" s="24"/>
      <c r="AE225" s="24">
        <v>0</v>
      </c>
      <c r="AF225" s="24"/>
      <c r="AG225" s="24">
        <v>0</v>
      </c>
      <c r="AH225" s="24"/>
      <c r="AI225" s="24">
        <f t="shared" si="8"/>
        <v>4559446</v>
      </c>
      <c r="AJ225" s="24"/>
    </row>
    <row r="226" spans="1:42" s="31" customFormat="1" ht="12.6" hidden="1" customHeight="1">
      <c r="A226" s="15" t="s">
        <v>331</v>
      </c>
      <c r="B226" s="15"/>
      <c r="C226" s="15" t="s">
        <v>329</v>
      </c>
      <c r="D226" s="15"/>
      <c r="E226" s="24">
        <v>0</v>
      </c>
      <c r="F226" s="24"/>
      <c r="G226" s="24">
        <v>0</v>
      </c>
      <c r="H226" s="24"/>
      <c r="I226" s="24">
        <v>0</v>
      </c>
      <c r="J226" s="24"/>
      <c r="K226" s="24">
        <v>0</v>
      </c>
      <c r="L226" s="24"/>
      <c r="M226" s="24">
        <v>0</v>
      </c>
      <c r="N226" s="24"/>
      <c r="O226" s="24">
        <v>0</v>
      </c>
      <c r="P226" s="24"/>
      <c r="Q226" s="24">
        <v>0</v>
      </c>
      <c r="R226" s="24"/>
      <c r="S226" s="24">
        <v>0</v>
      </c>
      <c r="T226" s="24"/>
      <c r="U226" s="24">
        <v>0</v>
      </c>
      <c r="V226" s="24"/>
      <c r="W226" s="24">
        <v>0</v>
      </c>
      <c r="X226" s="24"/>
      <c r="Y226" s="24">
        <v>0</v>
      </c>
      <c r="Z226" s="24"/>
      <c r="AA226" s="24">
        <v>0</v>
      </c>
      <c r="AB226" s="24"/>
      <c r="AC226" s="24">
        <v>0</v>
      </c>
      <c r="AD226" s="24"/>
      <c r="AE226" s="24">
        <v>0</v>
      </c>
      <c r="AF226" s="24"/>
      <c r="AG226" s="24">
        <v>0</v>
      </c>
      <c r="AH226" s="24"/>
      <c r="AI226" s="24">
        <f t="shared" si="8"/>
        <v>0</v>
      </c>
      <c r="AJ226" s="24"/>
      <c r="AK226" s="32"/>
      <c r="AL226" s="32"/>
      <c r="AM226" s="32"/>
      <c r="AN226" s="32"/>
      <c r="AO226" s="32"/>
      <c r="AP226" s="32"/>
    </row>
    <row r="227" spans="1:42">
      <c r="A227" s="15" t="s">
        <v>451</v>
      </c>
      <c r="C227" s="15" t="s">
        <v>452</v>
      </c>
      <c r="E227" s="24">
        <f>283747+18984</f>
        <v>302731</v>
      </c>
      <c r="G227" s="24">
        <f>852929+426400</f>
        <v>1279329</v>
      </c>
      <c r="I227" s="24">
        <f>147538+208175+188137</f>
        <v>543850</v>
      </c>
      <c r="K227" s="24">
        <v>0</v>
      </c>
      <c r="M227" s="24">
        <v>148610</v>
      </c>
      <c r="O227" s="24">
        <f>29615+4059</f>
        <v>33674</v>
      </c>
      <c r="Q227" s="24">
        <v>205610</v>
      </c>
      <c r="S227" s="24">
        <f>146759+1258+106325</f>
        <v>254342</v>
      </c>
      <c r="U227" s="24">
        <v>0</v>
      </c>
      <c r="W227" s="24">
        <v>0</v>
      </c>
      <c r="Y227" s="24">
        <v>0</v>
      </c>
      <c r="AA227" s="24">
        <f>138891+41248+250000</f>
        <v>430139</v>
      </c>
      <c r="AC227" s="24">
        <v>0</v>
      </c>
      <c r="AE227" s="24">
        <v>0</v>
      </c>
      <c r="AG227" s="24">
        <v>0</v>
      </c>
      <c r="AI227" s="24">
        <f t="shared" si="8"/>
        <v>3198285</v>
      </c>
      <c r="AJ227" s="24"/>
    </row>
    <row r="228" spans="1:42" hidden="1">
      <c r="A228" s="15" t="s">
        <v>255</v>
      </c>
      <c r="C228" s="15" t="s">
        <v>830</v>
      </c>
      <c r="E228" s="24">
        <v>0</v>
      </c>
      <c r="G228" s="24">
        <v>0</v>
      </c>
      <c r="I228" s="24">
        <v>0</v>
      </c>
      <c r="K228" s="24">
        <v>0</v>
      </c>
      <c r="M228" s="24">
        <v>0</v>
      </c>
      <c r="O228" s="24">
        <v>0</v>
      </c>
      <c r="Q228" s="24">
        <v>0</v>
      </c>
      <c r="S228" s="24">
        <v>0</v>
      </c>
      <c r="U228" s="24">
        <v>0</v>
      </c>
      <c r="W228" s="24">
        <v>0</v>
      </c>
      <c r="Y228" s="24">
        <v>0</v>
      </c>
      <c r="AA228" s="24">
        <v>0</v>
      </c>
      <c r="AC228" s="24">
        <v>0</v>
      </c>
      <c r="AE228" s="24">
        <v>0</v>
      </c>
      <c r="AG228" s="24">
        <v>0</v>
      </c>
      <c r="AI228" s="24">
        <f t="shared" si="8"/>
        <v>0</v>
      </c>
      <c r="AJ228" s="24"/>
    </row>
    <row r="229" spans="1:42" s="31" customFormat="1">
      <c r="A229" s="15" t="s">
        <v>431</v>
      </c>
      <c r="B229" s="15"/>
      <c r="C229" s="15" t="s">
        <v>430</v>
      </c>
      <c r="D229" s="15"/>
      <c r="E229" s="24">
        <v>98453</v>
      </c>
      <c r="F229" s="24"/>
      <c r="G229" s="24">
        <v>271454</v>
      </c>
      <c r="H229" s="24"/>
      <c r="I229" s="24">
        <f>99948+33017+151219+1</f>
        <v>284185</v>
      </c>
      <c r="J229" s="24"/>
      <c r="K229" s="24">
        <v>0</v>
      </c>
      <c r="L229" s="24"/>
      <c r="M229" s="24">
        <f>14887+400</f>
        <v>15287</v>
      </c>
      <c r="N229" s="24"/>
      <c r="O229" s="24">
        <f>23558+12603+2130+32863</f>
        <v>71154</v>
      </c>
      <c r="P229" s="24"/>
      <c r="Q229" s="24">
        <f>2074+616</f>
        <v>2690</v>
      </c>
      <c r="R229" s="24"/>
      <c r="S229" s="24">
        <v>2242</v>
      </c>
      <c r="T229" s="24"/>
      <c r="U229" s="24">
        <v>0</v>
      </c>
      <c r="V229" s="24"/>
      <c r="W229" s="24">
        <v>0</v>
      </c>
      <c r="X229" s="24"/>
      <c r="Y229" s="24">
        <v>0</v>
      </c>
      <c r="Z229" s="24"/>
      <c r="AA229" s="24">
        <f>327+3123+12</f>
        <v>3462</v>
      </c>
      <c r="AB229" s="24"/>
      <c r="AC229" s="24">
        <f>76794+77843</f>
        <v>154637</v>
      </c>
      <c r="AD229" s="24"/>
      <c r="AE229" s="24">
        <v>500</v>
      </c>
      <c r="AF229" s="24"/>
      <c r="AG229" s="24">
        <v>0</v>
      </c>
      <c r="AH229" s="24"/>
      <c r="AI229" s="24">
        <f t="shared" si="8"/>
        <v>904064</v>
      </c>
      <c r="AJ229" s="24"/>
    </row>
    <row r="230" spans="1:42" s="31" customFormat="1">
      <c r="A230" s="15" t="s">
        <v>438</v>
      </c>
      <c r="B230" s="15"/>
      <c r="C230" s="15" t="s">
        <v>439</v>
      </c>
      <c r="D230" s="15"/>
      <c r="E230" s="24">
        <v>3115002</v>
      </c>
      <c r="F230" s="24"/>
      <c r="G230" s="24">
        <v>0</v>
      </c>
      <c r="H230" s="24"/>
      <c r="I230" s="24">
        <f>448778+156348+69299</f>
        <v>674425</v>
      </c>
      <c r="J230" s="24"/>
      <c r="K230" s="24">
        <v>19404</v>
      </c>
      <c r="L230" s="24"/>
      <c r="M230" s="24">
        <v>500</v>
      </c>
      <c r="N230" s="24"/>
      <c r="O230" s="24">
        <f>170218+2075</f>
        <v>172293</v>
      </c>
      <c r="P230" s="24"/>
      <c r="Q230" s="24">
        <v>88316</v>
      </c>
      <c r="R230" s="24"/>
      <c r="S230" s="24">
        <v>61335</v>
      </c>
      <c r="T230" s="24"/>
      <c r="U230" s="24">
        <v>4000</v>
      </c>
      <c r="V230" s="24"/>
      <c r="W230" s="24">
        <v>0</v>
      </c>
      <c r="X230" s="24"/>
      <c r="Y230" s="24">
        <v>520000</v>
      </c>
      <c r="Z230" s="24"/>
      <c r="AA230" s="24">
        <f>10000+220000+95425</f>
        <v>325425</v>
      </c>
      <c r="AB230" s="24"/>
      <c r="AC230" s="24">
        <v>0</v>
      </c>
      <c r="AD230" s="24"/>
      <c r="AE230" s="24">
        <v>0</v>
      </c>
      <c r="AF230" s="24"/>
      <c r="AG230" s="24">
        <v>0</v>
      </c>
      <c r="AH230" s="24"/>
      <c r="AI230" s="24">
        <f t="shared" si="8"/>
        <v>4980700</v>
      </c>
      <c r="AJ230" s="24"/>
    </row>
    <row r="231" spans="1:42" s="31" customFormat="1">
      <c r="A231" s="15" t="s">
        <v>440</v>
      </c>
      <c r="B231" s="15"/>
      <c r="C231" s="15" t="s">
        <v>439</v>
      </c>
      <c r="D231" s="15"/>
      <c r="E231" s="24">
        <v>0</v>
      </c>
      <c r="F231" s="24"/>
      <c r="G231" s="24">
        <v>0</v>
      </c>
      <c r="H231" s="24"/>
      <c r="I231" s="24">
        <f>25202+14590</f>
        <v>39792</v>
      </c>
      <c r="J231" s="24"/>
      <c r="K231" s="24">
        <v>0</v>
      </c>
      <c r="L231" s="24"/>
      <c r="M231" s="24">
        <v>0</v>
      </c>
      <c r="N231" s="24"/>
      <c r="O231" s="24">
        <v>0</v>
      </c>
      <c r="P231" s="24"/>
      <c r="Q231" s="24">
        <f>429+350</f>
        <v>779</v>
      </c>
      <c r="R231" s="24"/>
      <c r="S231" s="24">
        <v>2375</v>
      </c>
      <c r="T231" s="24"/>
      <c r="U231" s="24">
        <v>0</v>
      </c>
      <c r="V231" s="24"/>
      <c r="W231" s="24">
        <v>0</v>
      </c>
      <c r="X231" s="24"/>
      <c r="Y231" s="24">
        <v>0</v>
      </c>
      <c r="Z231" s="24"/>
      <c r="AA231" s="24">
        <v>0</v>
      </c>
      <c r="AB231" s="24"/>
      <c r="AC231" s="24">
        <v>0</v>
      </c>
      <c r="AD231" s="24"/>
      <c r="AE231" s="24">
        <v>0</v>
      </c>
      <c r="AF231" s="24"/>
      <c r="AG231" s="24">
        <v>0</v>
      </c>
      <c r="AH231" s="24"/>
      <c r="AI231" s="24">
        <f t="shared" si="8"/>
        <v>42946</v>
      </c>
      <c r="AJ231" s="24"/>
    </row>
    <row r="232" spans="1:42" s="31" customFormat="1" hidden="1">
      <c r="A232" s="15"/>
      <c r="B232" s="15"/>
      <c r="C232" s="15"/>
      <c r="D232" s="15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 t="s">
        <v>869</v>
      </c>
      <c r="AJ232" s="24"/>
    </row>
    <row r="233" spans="1:42" s="41" customFormat="1" hidden="1">
      <c r="A233" s="41" t="s">
        <v>201</v>
      </c>
      <c r="C233" s="41" t="s">
        <v>812</v>
      </c>
      <c r="E233" s="41">
        <v>0</v>
      </c>
      <c r="G233" s="41">
        <v>0</v>
      </c>
      <c r="I233" s="41">
        <v>0</v>
      </c>
      <c r="K233" s="41">
        <v>0</v>
      </c>
      <c r="M233" s="41">
        <v>0</v>
      </c>
      <c r="O233" s="41">
        <v>0</v>
      </c>
      <c r="Q233" s="41">
        <v>0</v>
      </c>
      <c r="S233" s="41">
        <v>0</v>
      </c>
      <c r="U233" s="41">
        <v>0</v>
      </c>
      <c r="W233" s="41">
        <v>0</v>
      </c>
      <c r="Y233" s="41">
        <v>0</v>
      </c>
      <c r="AA233" s="41">
        <v>0</v>
      </c>
      <c r="AC233" s="41">
        <v>0</v>
      </c>
      <c r="AE233" s="41">
        <v>0</v>
      </c>
      <c r="AG233" s="41">
        <v>0</v>
      </c>
      <c r="AI233" s="41">
        <f t="shared" ref="AI233:AI264" si="9">SUM(E233:AG233)</f>
        <v>0</v>
      </c>
    </row>
    <row r="234" spans="1:42">
      <c r="A234" s="15" t="s">
        <v>478</v>
      </c>
      <c r="C234" s="15" t="s">
        <v>477</v>
      </c>
      <c r="E234" s="24">
        <v>2195</v>
      </c>
      <c r="G234" s="24">
        <v>0</v>
      </c>
      <c r="I234" s="24">
        <f>5513+3176</f>
        <v>8689</v>
      </c>
      <c r="K234" s="24">
        <v>0</v>
      </c>
      <c r="M234" s="24">
        <v>0</v>
      </c>
      <c r="O234" s="24">
        <v>0</v>
      </c>
      <c r="Q234" s="24">
        <f>7+34</f>
        <v>41</v>
      </c>
      <c r="S234" s="24">
        <v>20</v>
      </c>
      <c r="U234" s="24">
        <v>0</v>
      </c>
      <c r="W234" s="24">
        <v>0</v>
      </c>
      <c r="Y234" s="24">
        <v>0</v>
      </c>
      <c r="AA234" s="24">
        <v>0</v>
      </c>
      <c r="AC234" s="24">
        <v>0</v>
      </c>
      <c r="AE234" s="24">
        <v>0</v>
      </c>
      <c r="AG234" s="24">
        <v>0</v>
      </c>
      <c r="AI234" s="24">
        <f t="shared" si="9"/>
        <v>10945</v>
      </c>
      <c r="AJ234" s="41"/>
    </row>
    <row r="235" spans="1:42" hidden="1">
      <c r="A235" s="15" t="s">
        <v>148</v>
      </c>
      <c r="C235" s="15" t="s">
        <v>796</v>
      </c>
      <c r="E235" s="24">
        <v>0</v>
      </c>
      <c r="G235" s="24">
        <v>0</v>
      </c>
      <c r="I235" s="24">
        <v>0</v>
      </c>
      <c r="K235" s="24">
        <v>0</v>
      </c>
      <c r="M235" s="24">
        <v>0</v>
      </c>
      <c r="O235" s="24">
        <v>0</v>
      </c>
      <c r="Q235" s="24">
        <v>0</v>
      </c>
      <c r="S235" s="24">
        <v>0</v>
      </c>
      <c r="U235" s="24">
        <v>0</v>
      </c>
      <c r="W235" s="24">
        <v>0</v>
      </c>
      <c r="Y235" s="24">
        <v>0</v>
      </c>
      <c r="AA235" s="24">
        <v>0</v>
      </c>
      <c r="AC235" s="24">
        <v>0</v>
      </c>
      <c r="AE235" s="24">
        <v>0</v>
      </c>
      <c r="AG235" s="24">
        <v>0</v>
      </c>
      <c r="AI235" s="24">
        <f t="shared" si="9"/>
        <v>0</v>
      </c>
      <c r="AJ235" s="24"/>
    </row>
    <row r="236" spans="1:42" hidden="1">
      <c r="A236" s="15" t="s">
        <v>219</v>
      </c>
      <c r="C236" s="15" t="s">
        <v>818</v>
      </c>
      <c r="E236" s="24">
        <v>0</v>
      </c>
      <c r="G236" s="24">
        <v>0</v>
      </c>
      <c r="I236" s="24">
        <v>0</v>
      </c>
      <c r="K236" s="24">
        <v>0</v>
      </c>
      <c r="M236" s="24">
        <v>0</v>
      </c>
      <c r="O236" s="24">
        <v>0</v>
      </c>
      <c r="Q236" s="24">
        <v>0</v>
      </c>
      <c r="S236" s="24">
        <v>0</v>
      </c>
      <c r="U236" s="24">
        <v>0</v>
      </c>
      <c r="W236" s="24">
        <v>0</v>
      </c>
      <c r="Y236" s="24">
        <v>0</v>
      </c>
      <c r="AA236" s="24">
        <v>0</v>
      </c>
      <c r="AC236" s="24">
        <v>0</v>
      </c>
      <c r="AE236" s="24">
        <v>0</v>
      </c>
      <c r="AG236" s="24">
        <v>0</v>
      </c>
      <c r="AI236" s="24">
        <f t="shared" si="9"/>
        <v>0</v>
      </c>
      <c r="AJ236" s="24"/>
    </row>
    <row r="237" spans="1:42" hidden="1">
      <c r="A237" s="15" t="s">
        <v>94</v>
      </c>
      <c r="C237" s="15" t="s">
        <v>778</v>
      </c>
      <c r="E237" s="24">
        <v>0</v>
      </c>
      <c r="G237" s="24">
        <v>0</v>
      </c>
      <c r="I237" s="24">
        <v>0</v>
      </c>
      <c r="K237" s="24">
        <v>0</v>
      </c>
      <c r="M237" s="24">
        <v>0</v>
      </c>
      <c r="O237" s="24">
        <v>0</v>
      </c>
      <c r="Q237" s="24">
        <v>0</v>
      </c>
      <c r="S237" s="24">
        <v>0</v>
      </c>
      <c r="U237" s="24">
        <v>0</v>
      </c>
      <c r="W237" s="24">
        <v>0</v>
      </c>
      <c r="Y237" s="24">
        <v>0</v>
      </c>
      <c r="AA237" s="24">
        <v>0</v>
      </c>
      <c r="AC237" s="24">
        <v>0</v>
      </c>
      <c r="AE237" s="24">
        <v>0</v>
      </c>
      <c r="AG237" s="24">
        <v>0</v>
      </c>
      <c r="AI237" s="24">
        <f t="shared" si="9"/>
        <v>0</v>
      </c>
      <c r="AJ237" s="24"/>
    </row>
    <row r="238" spans="1:42" hidden="1">
      <c r="A238" s="15" t="s">
        <v>113</v>
      </c>
      <c r="C238" s="15" t="s">
        <v>785</v>
      </c>
      <c r="E238" s="24">
        <v>0</v>
      </c>
      <c r="G238" s="24">
        <v>0</v>
      </c>
      <c r="I238" s="24">
        <v>0</v>
      </c>
      <c r="K238" s="24">
        <v>0</v>
      </c>
      <c r="M238" s="24">
        <v>0</v>
      </c>
      <c r="O238" s="24">
        <v>0</v>
      </c>
      <c r="Q238" s="24">
        <v>0</v>
      </c>
      <c r="S238" s="24">
        <v>0</v>
      </c>
      <c r="U238" s="24">
        <v>0</v>
      </c>
      <c r="W238" s="24">
        <v>0</v>
      </c>
      <c r="Y238" s="24">
        <v>0</v>
      </c>
      <c r="AA238" s="24">
        <v>0</v>
      </c>
      <c r="AC238" s="24">
        <v>0</v>
      </c>
      <c r="AE238" s="24">
        <v>0</v>
      </c>
      <c r="AG238" s="24">
        <v>0</v>
      </c>
      <c r="AI238" s="24">
        <f t="shared" si="9"/>
        <v>0</v>
      </c>
      <c r="AJ238" s="24"/>
    </row>
    <row r="239" spans="1:42" s="31" customFormat="1">
      <c r="A239" s="15" t="s">
        <v>354</v>
      </c>
      <c r="B239" s="15"/>
      <c r="C239" s="15" t="s">
        <v>353</v>
      </c>
      <c r="D239" s="15"/>
      <c r="E239" s="24">
        <v>289025</v>
      </c>
      <c r="F239" s="24"/>
      <c r="G239" s="24">
        <f>8738249+1929964</f>
        <v>10668213</v>
      </c>
      <c r="H239" s="24"/>
      <c r="I239" s="24">
        <f>319023+749186+689671</f>
        <v>1757880</v>
      </c>
      <c r="J239" s="24"/>
      <c r="K239" s="24">
        <v>0</v>
      </c>
      <c r="L239" s="24"/>
      <c r="M239" s="24">
        <f>2137817+11838</f>
        <v>2149655</v>
      </c>
      <c r="N239" s="24"/>
      <c r="O239" s="24">
        <f>219206+7171</f>
        <v>226377</v>
      </c>
      <c r="P239" s="24"/>
      <c r="Q239" s="24">
        <f>231127+1482</f>
        <v>232609</v>
      </c>
      <c r="R239" s="24"/>
      <c r="S239" s="24">
        <f>114694+7236+5905</f>
        <v>127835</v>
      </c>
      <c r="T239" s="24"/>
      <c r="U239" s="24">
        <v>0</v>
      </c>
      <c r="V239" s="24"/>
      <c r="W239" s="24">
        <f>4600000+40020+19800</f>
        <v>4659820</v>
      </c>
      <c r="X239" s="24"/>
      <c r="Y239" s="24">
        <v>0</v>
      </c>
      <c r="Z239" s="24"/>
      <c r="AA239" s="24">
        <f>300000+324124</f>
        <v>624124</v>
      </c>
      <c r="AB239" s="24"/>
      <c r="AC239" s="24">
        <v>0</v>
      </c>
      <c r="AD239" s="24"/>
      <c r="AE239" s="24">
        <v>0</v>
      </c>
      <c r="AF239" s="24"/>
      <c r="AG239" s="24">
        <v>0</v>
      </c>
      <c r="AH239" s="24"/>
      <c r="AI239" s="24">
        <f t="shared" si="9"/>
        <v>20735538</v>
      </c>
      <c r="AJ239" s="24"/>
      <c r="AK239" s="32"/>
      <c r="AL239" s="32"/>
      <c r="AM239" s="32"/>
      <c r="AN239" s="32"/>
      <c r="AO239" s="32"/>
      <c r="AP239" s="32"/>
    </row>
    <row r="240" spans="1:42">
      <c r="A240" s="15" t="s">
        <v>693</v>
      </c>
      <c r="C240" s="15" t="s">
        <v>500</v>
      </c>
      <c r="E240" s="24">
        <f>15407+8764</f>
        <v>24171</v>
      </c>
      <c r="G240" s="24">
        <v>0</v>
      </c>
      <c r="I240" s="24">
        <f>25121+29613</f>
        <v>54734</v>
      </c>
      <c r="K240" s="24">
        <v>0</v>
      </c>
      <c r="M240" s="24">
        <v>45902</v>
      </c>
      <c r="O240" s="24">
        <v>20</v>
      </c>
      <c r="Q240" s="24">
        <f>5431+120</f>
        <v>5551</v>
      </c>
      <c r="S240" s="24">
        <f>6347+10025</f>
        <v>16372</v>
      </c>
      <c r="U240" s="24">
        <v>0</v>
      </c>
      <c r="W240" s="24">
        <v>0</v>
      </c>
      <c r="Y240" s="24">
        <v>0</v>
      </c>
      <c r="AA240" s="24">
        <v>0</v>
      </c>
      <c r="AC240" s="24">
        <v>0</v>
      </c>
      <c r="AE240" s="24">
        <v>0</v>
      </c>
      <c r="AG240" s="24">
        <v>0</v>
      </c>
      <c r="AI240" s="24">
        <f t="shared" si="9"/>
        <v>146750</v>
      </c>
      <c r="AJ240" s="24"/>
    </row>
    <row r="241" spans="1:42" hidden="1">
      <c r="A241" s="15" t="s">
        <v>365</v>
      </c>
      <c r="C241" s="15" t="s">
        <v>82</v>
      </c>
      <c r="E241" s="24">
        <v>0</v>
      </c>
      <c r="G241" s="24">
        <v>0</v>
      </c>
      <c r="I241" s="24">
        <v>0</v>
      </c>
      <c r="K241" s="24">
        <v>0</v>
      </c>
      <c r="M241" s="24">
        <v>0</v>
      </c>
      <c r="O241" s="24">
        <v>0</v>
      </c>
      <c r="Q241" s="24">
        <v>0</v>
      </c>
      <c r="S241" s="24">
        <v>0</v>
      </c>
      <c r="U241" s="24">
        <v>0</v>
      </c>
      <c r="W241" s="24">
        <v>0</v>
      </c>
      <c r="Y241" s="24">
        <v>0</v>
      </c>
      <c r="AA241" s="24">
        <v>0</v>
      </c>
      <c r="AC241" s="24">
        <v>0</v>
      </c>
      <c r="AE241" s="24">
        <v>0</v>
      </c>
      <c r="AG241" s="24">
        <v>0</v>
      </c>
      <c r="AI241" s="24">
        <f t="shared" si="9"/>
        <v>0</v>
      </c>
      <c r="AJ241" s="24"/>
    </row>
    <row r="242" spans="1:42" hidden="1">
      <c r="A242" s="15" t="s">
        <v>23</v>
      </c>
      <c r="C242" s="15" t="s">
        <v>756</v>
      </c>
      <c r="E242" s="24">
        <v>0</v>
      </c>
      <c r="G242" s="24">
        <v>0</v>
      </c>
      <c r="I242" s="24">
        <v>0</v>
      </c>
      <c r="K242" s="24">
        <v>0</v>
      </c>
      <c r="M242" s="24">
        <v>0</v>
      </c>
      <c r="O242" s="24">
        <v>0</v>
      </c>
      <c r="Q242" s="24">
        <v>0</v>
      </c>
      <c r="S242" s="24">
        <v>0</v>
      </c>
      <c r="U242" s="24">
        <v>0</v>
      </c>
      <c r="W242" s="24">
        <v>0</v>
      </c>
      <c r="Y242" s="24">
        <v>0</v>
      </c>
      <c r="AA242" s="24">
        <v>0</v>
      </c>
      <c r="AC242" s="24">
        <v>0</v>
      </c>
      <c r="AE242" s="24">
        <v>0</v>
      </c>
      <c r="AG242" s="24">
        <v>0</v>
      </c>
      <c r="AI242" s="24">
        <f t="shared" si="9"/>
        <v>0</v>
      </c>
      <c r="AJ242" s="24"/>
    </row>
    <row r="243" spans="1:42" s="31" customFormat="1" hidden="1">
      <c r="A243" s="15" t="s">
        <v>441</v>
      </c>
      <c r="B243" s="15"/>
      <c r="C243" s="15" t="s">
        <v>439</v>
      </c>
      <c r="D243" s="15"/>
      <c r="E243" s="24">
        <v>0</v>
      </c>
      <c r="F243" s="24"/>
      <c r="G243" s="24">
        <v>0</v>
      </c>
      <c r="H243" s="24"/>
      <c r="I243" s="24">
        <v>0</v>
      </c>
      <c r="J243" s="24"/>
      <c r="K243" s="24">
        <v>0</v>
      </c>
      <c r="L243" s="24"/>
      <c r="M243" s="24">
        <v>0</v>
      </c>
      <c r="N243" s="24"/>
      <c r="O243" s="24">
        <v>0</v>
      </c>
      <c r="P243" s="24"/>
      <c r="Q243" s="24">
        <v>0</v>
      </c>
      <c r="R243" s="24"/>
      <c r="S243" s="24">
        <v>0</v>
      </c>
      <c r="T243" s="24"/>
      <c r="U243" s="24">
        <v>0</v>
      </c>
      <c r="V243" s="24"/>
      <c r="W243" s="24">
        <v>0</v>
      </c>
      <c r="X243" s="24"/>
      <c r="Y243" s="24">
        <v>0</v>
      </c>
      <c r="Z243" s="24"/>
      <c r="AA243" s="24">
        <v>0</v>
      </c>
      <c r="AB243" s="24"/>
      <c r="AC243" s="24">
        <v>0</v>
      </c>
      <c r="AD243" s="24"/>
      <c r="AE243" s="24">
        <v>0</v>
      </c>
      <c r="AF243" s="24"/>
      <c r="AG243" s="24">
        <v>0</v>
      </c>
      <c r="AH243" s="24"/>
      <c r="AI243" s="24">
        <f t="shared" si="9"/>
        <v>0</v>
      </c>
      <c r="AJ243" s="24"/>
    </row>
    <row r="244" spans="1:42" hidden="1">
      <c r="A244" s="15" t="s">
        <v>126</v>
      </c>
      <c r="C244" s="15" t="s">
        <v>789</v>
      </c>
      <c r="E244" s="24">
        <v>0</v>
      </c>
      <c r="G244" s="24">
        <v>0</v>
      </c>
      <c r="I244" s="24">
        <v>0</v>
      </c>
      <c r="K244" s="24">
        <v>0</v>
      </c>
      <c r="M244" s="24">
        <v>0</v>
      </c>
      <c r="O244" s="24">
        <v>0</v>
      </c>
      <c r="Q244" s="24">
        <v>0</v>
      </c>
      <c r="S244" s="24">
        <v>0</v>
      </c>
      <c r="U244" s="24">
        <v>0</v>
      </c>
      <c r="W244" s="24">
        <v>0</v>
      </c>
      <c r="Y244" s="24">
        <v>0</v>
      </c>
      <c r="AA244" s="24">
        <v>0</v>
      </c>
      <c r="AC244" s="24">
        <v>0</v>
      </c>
      <c r="AE244" s="24">
        <v>0</v>
      </c>
      <c r="AG244" s="24">
        <v>0</v>
      </c>
      <c r="AI244" s="24">
        <f t="shared" si="9"/>
        <v>0</v>
      </c>
      <c r="AJ244" s="24"/>
    </row>
    <row r="245" spans="1:42" s="31" customFormat="1" hidden="1">
      <c r="A245" s="15" t="s">
        <v>42</v>
      </c>
      <c r="B245" s="15"/>
      <c r="C245" s="15" t="s">
        <v>763</v>
      </c>
      <c r="D245" s="15"/>
      <c r="E245" s="24">
        <v>0</v>
      </c>
      <c r="F245" s="24"/>
      <c r="G245" s="24">
        <v>0</v>
      </c>
      <c r="H245" s="24"/>
      <c r="I245" s="24">
        <v>0</v>
      </c>
      <c r="J245" s="24"/>
      <c r="K245" s="24">
        <v>0</v>
      </c>
      <c r="L245" s="24"/>
      <c r="M245" s="24">
        <v>0</v>
      </c>
      <c r="N245" s="24"/>
      <c r="O245" s="24">
        <v>0</v>
      </c>
      <c r="P245" s="24"/>
      <c r="Q245" s="24">
        <v>0</v>
      </c>
      <c r="R245" s="24"/>
      <c r="S245" s="24">
        <v>0</v>
      </c>
      <c r="T245" s="24"/>
      <c r="U245" s="24">
        <v>0</v>
      </c>
      <c r="V245" s="24"/>
      <c r="W245" s="24">
        <v>0</v>
      </c>
      <c r="X245" s="24"/>
      <c r="Y245" s="24">
        <v>0</v>
      </c>
      <c r="Z245" s="24"/>
      <c r="AA245" s="24">
        <v>0</v>
      </c>
      <c r="AB245" s="24"/>
      <c r="AC245" s="24">
        <v>0</v>
      </c>
      <c r="AD245" s="24"/>
      <c r="AE245" s="24">
        <v>0</v>
      </c>
      <c r="AF245" s="24"/>
      <c r="AG245" s="24">
        <v>0</v>
      </c>
      <c r="AH245" s="24"/>
      <c r="AI245" s="24">
        <f t="shared" si="9"/>
        <v>0</v>
      </c>
      <c r="AJ245" s="24"/>
      <c r="AK245" s="32"/>
      <c r="AL245" s="32"/>
      <c r="AM245" s="32"/>
      <c r="AN245" s="32"/>
      <c r="AO245" s="32"/>
      <c r="AP245" s="32"/>
    </row>
    <row r="246" spans="1:42" s="31" customFormat="1" hidden="1">
      <c r="A246" s="15" t="s">
        <v>140</v>
      </c>
      <c r="B246" s="15"/>
      <c r="C246" s="15" t="s">
        <v>793</v>
      </c>
      <c r="D246" s="15"/>
      <c r="E246" s="24">
        <v>0</v>
      </c>
      <c r="F246" s="24"/>
      <c r="G246" s="24">
        <v>0</v>
      </c>
      <c r="H246" s="24"/>
      <c r="I246" s="24">
        <v>0</v>
      </c>
      <c r="J246" s="24"/>
      <c r="K246" s="24">
        <v>0</v>
      </c>
      <c r="L246" s="24"/>
      <c r="M246" s="24">
        <v>0</v>
      </c>
      <c r="N246" s="24"/>
      <c r="O246" s="24">
        <v>0</v>
      </c>
      <c r="P246" s="24"/>
      <c r="Q246" s="24">
        <v>0</v>
      </c>
      <c r="R246" s="24"/>
      <c r="S246" s="24">
        <v>0</v>
      </c>
      <c r="T246" s="24"/>
      <c r="U246" s="24">
        <v>0</v>
      </c>
      <c r="V246" s="24"/>
      <c r="W246" s="24">
        <v>0</v>
      </c>
      <c r="X246" s="24"/>
      <c r="Y246" s="24">
        <v>0</v>
      </c>
      <c r="Z246" s="24"/>
      <c r="AA246" s="24">
        <v>0</v>
      </c>
      <c r="AB246" s="24"/>
      <c r="AC246" s="24">
        <v>0</v>
      </c>
      <c r="AD246" s="24"/>
      <c r="AE246" s="24">
        <v>0</v>
      </c>
      <c r="AF246" s="24"/>
      <c r="AG246" s="24">
        <v>0</v>
      </c>
      <c r="AH246" s="24"/>
      <c r="AI246" s="24">
        <f t="shared" si="9"/>
        <v>0</v>
      </c>
      <c r="AJ246" s="24"/>
    </row>
    <row r="247" spans="1:42" hidden="1">
      <c r="A247" s="15" t="s">
        <v>264</v>
      </c>
      <c r="C247" s="15" t="s">
        <v>831</v>
      </c>
      <c r="E247" s="24">
        <v>0</v>
      </c>
      <c r="G247" s="24">
        <v>0</v>
      </c>
      <c r="I247" s="24">
        <v>0</v>
      </c>
      <c r="K247" s="24">
        <v>0</v>
      </c>
      <c r="M247" s="24">
        <v>0</v>
      </c>
      <c r="O247" s="24">
        <v>0</v>
      </c>
      <c r="Q247" s="24">
        <v>0</v>
      </c>
      <c r="S247" s="24">
        <v>0</v>
      </c>
      <c r="U247" s="24">
        <v>0</v>
      </c>
      <c r="W247" s="24">
        <v>0</v>
      </c>
      <c r="Y247" s="24">
        <v>0</v>
      </c>
      <c r="AA247" s="24">
        <v>0</v>
      </c>
      <c r="AC247" s="24">
        <v>0</v>
      </c>
      <c r="AE247" s="24">
        <v>0</v>
      </c>
      <c r="AG247" s="24">
        <v>0</v>
      </c>
      <c r="AI247" s="24">
        <f t="shared" si="9"/>
        <v>0</v>
      </c>
      <c r="AJ247" s="24"/>
    </row>
    <row r="248" spans="1:42" s="31" customFormat="1" hidden="1">
      <c r="A248" s="15" t="s">
        <v>850</v>
      </c>
      <c r="B248" s="15"/>
      <c r="C248" s="15" t="s">
        <v>781</v>
      </c>
      <c r="D248" s="15"/>
      <c r="E248" s="24">
        <v>0</v>
      </c>
      <c r="F248" s="24"/>
      <c r="G248" s="24">
        <v>0</v>
      </c>
      <c r="H248" s="24"/>
      <c r="I248" s="24">
        <v>0</v>
      </c>
      <c r="J248" s="24"/>
      <c r="K248" s="24">
        <v>0</v>
      </c>
      <c r="L248" s="24"/>
      <c r="M248" s="24">
        <v>0</v>
      </c>
      <c r="N248" s="24"/>
      <c r="O248" s="24">
        <v>0</v>
      </c>
      <c r="P248" s="24"/>
      <c r="Q248" s="24">
        <v>0</v>
      </c>
      <c r="R248" s="24"/>
      <c r="S248" s="24">
        <v>0</v>
      </c>
      <c r="T248" s="24"/>
      <c r="U248" s="24">
        <v>0</v>
      </c>
      <c r="V248" s="24"/>
      <c r="W248" s="24">
        <v>0</v>
      </c>
      <c r="X248" s="24"/>
      <c r="Y248" s="24">
        <v>0</v>
      </c>
      <c r="Z248" s="24"/>
      <c r="AA248" s="24">
        <v>0</v>
      </c>
      <c r="AB248" s="24"/>
      <c r="AC248" s="24">
        <v>0</v>
      </c>
      <c r="AD248" s="24"/>
      <c r="AE248" s="24">
        <v>0</v>
      </c>
      <c r="AF248" s="24"/>
      <c r="AG248" s="24">
        <v>0</v>
      </c>
      <c r="AH248" s="24"/>
      <c r="AI248" s="24">
        <f t="shared" si="9"/>
        <v>0</v>
      </c>
      <c r="AJ248" s="24"/>
    </row>
    <row r="249" spans="1:42" hidden="1">
      <c r="A249" s="15" t="s">
        <v>4</v>
      </c>
      <c r="C249" s="15" t="s">
        <v>751</v>
      </c>
      <c r="E249" s="24">
        <v>0</v>
      </c>
      <c r="G249" s="24">
        <v>0</v>
      </c>
      <c r="I249" s="24">
        <v>0</v>
      </c>
      <c r="K249" s="24">
        <v>0</v>
      </c>
      <c r="M249" s="24">
        <v>0</v>
      </c>
      <c r="O249" s="24">
        <v>0</v>
      </c>
      <c r="Q249" s="24">
        <v>0</v>
      </c>
      <c r="S249" s="24">
        <v>0</v>
      </c>
      <c r="U249" s="24">
        <v>0</v>
      </c>
      <c r="W249" s="24">
        <v>0</v>
      </c>
      <c r="Y249" s="24">
        <v>0</v>
      </c>
      <c r="AA249" s="24">
        <v>0</v>
      </c>
      <c r="AC249" s="24">
        <v>0</v>
      </c>
      <c r="AE249" s="24">
        <v>0</v>
      </c>
      <c r="AG249" s="24">
        <v>0</v>
      </c>
      <c r="AI249" s="24">
        <f t="shared" si="9"/>
        <v>0</v>
      </c>
      <c r="AJ249" s="24"/>
    </row>
    <row r="250" spans="1:42" s="31" customFormat="1">
      <c r="A250" s="15" t="s">
        <v>442</v>
      </c>
      <c r="B250" s="15"/>
      <c r="C250" s="15" t="s">
        <v>439</v>
      </c>
      <c r="D250" s="15"/>
      <c r="E250" s="24">
        <v>13855</v>
      </c>
      <c r="F250" s="24"/>
      <c r="G250" s="24">
        <v>0</v>
      </c>
      <c r="H250" s="24"/>
      <c r="I250" s="24">
        <f>32301+15208</f>
        <v>47509</v>
      </c>
      <c r="J250" s="24"/>
      <c r="K250" s="24">
        <v>0</v>
      </c>
      <c r="L250" s="24"/>
      <c r="M250" s="24">
        <v>0</v>
      </c>
      <c r="N250" s="24"/>
      <c r="O250" s="24">
        <v>7603</v>
      </c>
      <c r="P250" s="24"/>
      <c r="Q250" s="24">
        <f>320+137</f>
        <v>457</v>
      </c>
      <c r="R250" s="24"/>
      <c r="S250" s="24">
        <v>1845</v>
      </c>
      <c r="T250" s="24"/>
      <c r="U250" s="24">
        <v>0</v>
      </c>
      <c r="V250" s="24"/>
      <c r="W250" s="24">
        <v>0</v>
      </c>
      <c r="X250" s="24"/>
      <c r="Y250" s="24">
        <v>0</v>
      </c>
      <c r="Z250" s="24"/>
      <c r="AA250" s="24">
        <v>0</v>
      </c>
      <c r="AB250" s="24"/>
      <c r="AC250" s="24">
        <v>0</v>
      </c>
      <c r="AD250" s="24"/>
      <c r="AE250" s="24">
        <v>0</v>
      </c>
      <c r="AF250" s="24"/>
      <c r="AG250" s="24">
        <v>0</v>
      </c>
      <c r="AH250" s="24"/>
      <c r="AI250" s="24">
        <f t="shared" si="9"/>
        <v>71269</v>
      </c>
      <c r="AJ250" s="24"/>
    </row>
    <row r="251" spans="1:42">
      <c r="A251" s="15" t="s">
        <v>548</v>
      </c>
      <c r="C251" s="15" t="s">
        <v>545</v>
      </c>
      <c r="E251" s="24">
        <f>268532+346921</f>
        <v>615453</v>
      </c>
      <c r="G251" s="24">
        <v>960290</v>
      </c>
      <c r="I251" s="24">
        <f>196049+144087</f>
        <v>340136</v>
      </c>
      <c r="K251" s="24">
        <v>0</v>
      </c>
      <c r="M251" s="24">
        <v>6074</v>
      </c>
      <c r="O251" s="24">
        <v>19975</v>
      </c>
      <c r="Q251" s="24">
        <f>11597+840</f>
        <v>12437</v>
      </c>
      <c r="S251" s="24">
        <f>35855+18404</f>
        <v>54259</v>
      </c>
      <c r="U251" s="24">
        <v>0</v>
      </c>
      <c r="W251" s="24">
        <v>0</v>
      </c>
      <c r="Y251" s="24">
        <v>0</v>
      </c>
      <c r="AA251" s="24">
        <f>495000+295000</f>
        <v>790000</v>
      </c>
      <c r="AC251" s="24">
        <v>0</v>
      </c>
      <c r="AE251" s="24">
        <v>0</v>
      </c>
      <c r="AG251" s="24">
        <v>0</v>
      </c>
      <c r="AI251" s="24">
        <f t="shared" si="9"/>
        <v>2798624</v>
      </c>
      <c r="AJ251" s="24"/>
    </row>
    <row r="252" spans="1:42" hidden="1">
      <c r="A252" s="15" t="s">
        <v>585</v>
      </c>
      <c r="C252" s="15" t="s">
        <v>586</v>
      </c>
      <c r="E252" s="24">
        <v>0</v>
      </c>
      <c r="G252" s="24">
        <v>0</v>
      </c>
      <c r="I252" s="24">
        <v>0</v>
      </c>
      <c r="K252" s="24">
        <v>0</v>
      </c>
      <c r="M252" s="24">
        <v>0</v>
      </c>
      <c r="O252" s="24">
        <v>0</v>
      </c>
      <c r="Q252" s="24">
        <v>0</v>
      </c>
      <c r="S252" s="24">
        <v>0</v>
      </c>
      <c r="U252" s="24">
        <v>0</v>
      </c>
      <c r="W252" s="24">
        <v>0</v>
      </c>
      <c r="Y252" s="24">
        <v>0</v>
      </c>
      <c r="AA252" s="24">
        <v>0</v>
      </c>
      <c r="AC252" s="24">
        <v>0</v>
      </c>
      <c r="AE252" s="24">
        <v>0</v>
      </c>
      <c r="AG252" s="24">
        <v>0</v>
      </c>
      <c r="AI252" s="24">
        <f t="shared" si="9"/>
        <v>0</v>
      </c>
      <c r="AJ252" s="24"/>
    </row>
    <row r="253" spans="1:42" s="24" customFormat="1" hidden="1">
      <c r="A253" s="24" t="s">
        <v>256</v>
      </c>
      <c r="C253" s="24" t="s">
        <v>830</v>
      </c>
      <c r="E253" s="24">
        <v>0</v>
      </c>
      <c r="G253" s="24">
        <v>0</v>
      </c>
      <c r="I253" s="24">
        <v>0</v>
      </c>
      <c r="K253" s="24">
        <v>0</v>
      </c>
      <c r="M253" s="24">
        <v>0</v>
      </c>
      <c r="O253" s="24">
        <v>0</v>
      </c>
      <c r="Q253" s="24">
        <v>0</v>
      </c>
      <c r="S253" s="24">
        <v>0</v>
      </c>
      <c r="U253" s="24">
        <v>0</v>
      </c>
      <c r="W253" s="24">
        <v>0</v>
      </c>
      <c r="Y253" s="24">
        <v>0</v>
      </c>
      <c r="AA253" s="24">
        <v>0</v>
      </c>
      <c r="AC253" s="24">
        <v>0</v>
      </c>
      <c r="AE253" s="24">
        <v>0</v>
      </c>
      <c r="AG253" s="24">
        <v>0</v>
      </c>
      <c r="AI253" s="24">
        <f t="shared" si="9"/>
        <v>0</v>
      </c>
    </row>
    <row r="254" spans="1:42" hidden="1">
      <c r="A254" s="15" t="s">
        <v>183</v>
      </c>
      <c r="C254" s="15" t="s">
        <v>808</v>
      </c>
      <c r="E254" s="24">
        <v>0</v>
      </c>
      <c r="G254" s="24">
        <v>0</v>
      </c>
      <c r="I254" s="24">
        <v>0</v>
      </c>
      <c r="K254" s="24">
        <v>0</v>
      </c>
      <c r="M254" s="24">
        <v>0</v>
      </c>
      <c r="O254" s="24">
        <v>0</v>
      </c>
      <c r="Q254" s="24">
        <v>0</v>
      </c>
      <c r="S254" s="24">
        <v>0</v>
      </c>
      <c r="U254" s="24">
        <v>0</v>
      </c>
      <c r="W254" s="24">
        <v>0</v>
      </c>
      <c r="Y254" s="24">
        <v>0</v>
      </c>
      <c r="AA254" s="24">
        <v>0</v>
      </c>
      <c r="AC254" s="24">
        <v>0</v>
      </c>
      <c r="AE254" s="24">
        <v>0</v>
      </c>
      <c r="AG254" s="24">
        <v>0</v>
      </c>
      <c r="AI254" s="24">
        <f t="shared" si="9"/>
        <v>0</v>
      </c>
      <c r="AJ254" s="24"/>
    </row>
    <row r="255" spans="1:42" hidden="1">
      <c r="A255" s="15" t="s">
        <v>7</v>
      </c>
      <c r="C255" s="15" t="s">
        <v>672</v>
      </c>
      <c r="E255" s="24">
        <v>0</v>
      </c>
      <c r="G255" s="24">
        <v>0</v>
      </c>
      <c r="I255" s="24">
        <v>0</v>
      </c>
      <c r="K255" s="24">
        <v>0</v>
      </c>
      <c r="M255" s="24">
        <v>0</v>
      </c>
      <c r="O255" s="24">
        <v>0</v>
      </c>
      <c r="Q255" s="24">
        <v>0</v>
      </c>
      <c r="S255" s="24">
        <v>0</v>
      </c>
      <c r="U255" s="24">
        <v>0</v>
      </c>
      <c r="W255" s="24">
        <v>0</v>
      </c>
      <c r="Y255" s="24">
        <v>0</v>
      </c>
      <c r="AA255" s="24">
        <v>0</v>
      </c>
      <c r="AC255" s="24">
        <v>0</v>
      </c>
      <c r="AE255" s="24">
        <v>0</v>
      </c>
      <c r="AG255" s="24">
        <v>0</v>
      </c>
      <c r="AI255" s="24">
        <f t="shared" si="9"/>
        <v>0</v>
      </c>
      <c r="AJ255" s="24"/>
    </row>
    <row r="256" spans="1:42">
      <c r="A256" s="15" t="s">
        <v>443</v>
      </c>
      <c r="C256" s="15" t="s">
        <v>439</v>
      </c>
      <c r="E256" s="24">
        <f>1136291+594647</f>
        <v>1730938</v>
      </c>
      <c r="G256" s="24">
        <v>0</v>
      </c>
      <c r="I256" s="24">
        <f>128940+139855</f>
        <v>268795</v>
      </c>
      <c r="K256" s="24">
        <v>0</v>
      </c>
      <c r="M256" s="24">
        <f>121645+453827</f>
        <v>575472</v>
      </c>
      <c r="O256" s="24">
        <v>24406</v>
      </c>
      <c r="Q256" s="24">
        <f>90765-17499</f>
        <v>73266</v>
      </c>
      <c r="S256" s="24">
        <f>33452+131104-21125</f>
        <v>143431</v>
      </c>
      <c r="U256" s="24">
        <v>0</v>
      </c>
      <c r="W256" s="24">
        <v>0</v>
      </c>
      <c r="Y256" s="24">
        <v>0</v>
      </c>
      <c r="AA256" s="24">
        <f>75305+947793+527594</f>
        <v>1550692</v>
      </c>
      <c r="AC256" s="24">
        <v>0</v>
      </c>
      <c r="AE256" s="24">
        <v>0</v>
      </c>
      <c r="AG256" s="24">
        <v>0</v>
      </c>
      <c r="AI256" s="24">
        <f t="shared" si="9"/>
        <v>4367000</v>
      </c>
      <c r="AJ256" s="24"/>
    </row>
    <row r="257" spans="1:42" hidden="1">
      <c r="A257" s="15" t="s">
        <v>214</v>
      </c>
      <c r="C257" s="15" t="s">
        <v>816</v>
      </c>
      <c r="E257" s="24">
        <v>0</v>
      </c>
      <c r="G257" s="24">
        <v>0</v>
      </c>
      <c r="I257" s="24">
        <v>0</v>
      </c>
      <c r="K257" s="24">
        <v>0</v>
      </c>
      <c r="M257" s="24">
        <v>0</v>
      </c>
      <c r="O257" s="24">
        <v>0</v>
      </c>
      <c r="Q257" s="24">
        <v>0</v>
      </c>
      <c r="S257" s="24">
        <v>0</v>
      </c>
      <c r="U257" s="24">
        <v>0</v>
      </c>
      <c r="W257" s="24">
        <v>0</v>
      </c>
      <c r="Y257" s="24">
        <v>0</v>
      </c>
      <c r="AA257" s="24">
        <v>0</v>
      </c>
      <c r="AC257" s="24">
        <v>0</v>
      </c>
      <c r="AE257" s="24">
        <v>0</v>
      </c>
      <c r="AG257" s="24">
        <v>0</v>
      </c>
      <c r="AI257" s="24">
        <f t="shared" si="9"/>
        <v>0</v>
      </c>
      <c r="AJ257" s="24"/>
    </row>
    <row r="258" spans="1:42" ht="12.6" customHeight="1">
      <c r="A258" s="15" t="s">
        <v>911</v>
      </c>
      <c r="C258" s="15" t="s">
        <v>504</v>
      </c>
      <c r="E258" s="24">
        <v>1480</v>
      </c>
      <c r="G258" s="24">
        <v>0</v>
      </c>
      <c r="I258" s="24">
        <f>7545+7146</f>
        <v>14691</v>
      </c>
      <c r="K258" s="24">
        <v>0</v>
      </c>
      <c r="M258" s="24">
        <v>0</v>
      </c>
      <c r="O258" s="24">
        <v>0</v>
      </c>
      <c r="Q258" s="24">
        <f>189+51</f>
        <v>240</v>
      </c>
      <c r="S258" s="24">
        <v>0</v>
      </c>
      <c r="U258" s="24">
        <v>0</v>
      </c>
      <c r="W258" s="24">
        <v>0</v>
      </c>
      <c r="Y258" s="24">
        <v>0</v>
      </c>
      <c r="AA258" s="24">
        <v>0</v>
      </c>
      <c r="AC258" s="24">
        <v>0</v>
      </c>
      <c r="AE258" s="24">
        <v>0</v>
      </c>
      <c r="AG258" s="24">
        <v>0</v>
      </c>
      <c r="AI258" s="24">
        <f t="shared" si="9"/>
        <v>16411</v>
      </c>
      <c r="AJ258" s="24"/>
      <c r="AK258" s="30"/>
      <c r="AL258" s="30"/>
      <c r="AM258" s="30"/>
      <c r="AN258" s="30"/>
      <c r="AO258" s="30"/>
      <c r="AP258" s="30"/>
    </row>
    <row r="259" spans="1:42" ht="12.6" customHeight="1">
      <c r="A259" s="15" t="s">
        <v>341</v>
      </c>
      <c r="C259" s="15" t="s">
        <v>342</v>
      </c>
      <c r="E259" s="24">
        <f>1134935+170800</f>
        <v>1305735</v>
      </c>
      <c r="G259" s="24">
        <v>0</v>
      </c>
      <c r="I259" s="24">
        <f>199281+232196+89363</f>
        <v>520840</v>
      </c>
      <c r="K259" s="24">
        <v>27591</v>
      </c>
      <c r="M259" s="24">
        <f>94515+38136</f>
        <v>132651</v>
      </c>
      <c r="O259" s="24">
        <f>51091+2254</f>
        <v>53345</v>
      </c>
      <c r="Q259" s="24">
        <f>232773+3211</f>
        <v>235984</v>
      </c>
      <c r="S259" s="24">
        <f>42875+185516+6860</f>
        <v>235251</v>
      </c>
      <c r="U259" s="24">
        <v>0</v>
      </c>
      <c r="W259" s="24">
        <v>0</v>
      </c>
      <c r="Y259" s="24">
        <v>0</v>
      </c>
      <c r="AA259" s="24">
        <v>509553</v>
      </c>
      <c r="AC259" s="24">
        <v>0</v>
      </c>
      <c r="AE259" s="24">
        <v>2080</v>
      </c>
      <c r="AG259" s="24">
        <v>0</v>
      </c>
      <c r="AI259" s="24">
        <f t="shared" si="9"/>
        <v>3023030</v>
      </c>
      <c r="AJ259" s="24"/>
      <c r="AK259" s="30"/>
      <c r="AL259" s="30"/>
      <c r="AM259" s="30"/>
      <c r="AN259" s="30"/>
      <c r="AO259" s="30"/>
      <c r="AP259" s="30"/>
    </row>
    <row r="260" spans="1:42" s="31" customFormat="1">
      <c r="A260" s="15" t="s">
        <v>409</v>
      </c>
      <c r="B260" s="15"/>
      <c r="C260" s="15" t="s">
        <v>409</v>
      </c>
      <c r="D260" s="15"/>
      <c r="E260" s="24">
        <f>32936+2384</f>
        <v>35320</v>
      </c>
      <c r="F260" s="24"/>
      <c r="G260" s="24">
        <v>0</v>
      </c>
      <c r="H260" s="24"/>
      <c r="I260" s="24">
        <f>345+10743</f>
        <v>11088</v>
      </c>
      <c r="J260" s="24"/>
      <c r="K260" s="24">
        <v>0</v>
      </c>
      <c r="L260" s="24"/>
      <c r="M260" s="24">
        <v>0</v>
      </c>
      <c r="N260" s="24"/>
      <c r="O260" s="24">
        <v>0</v>
      </c>
      <c r="P260" s="24"/>
      <c r="Q260" s="24">
        <f>282+185</f>
        <v>467</v>
      </c>
      <c r="R260" s="24"/>
      <c r="S260" s="24">
        <v>3567</v>
      </c>
      <c r="T260" s="24"/>
      <c r="U260" s="24">
        <v>0</v>
      </c>
      <c r="V260" s="24"/>
      <c r="W260" s="24">
        <v>0</v>
      </c>
      <c r="X260" s="24"/>
      <c r="Y260" s="24">
        <v>0</v>
      </c>
      <c r="Z260" s="24"/>
      <c r="AA260" s="24">
        <v>0</v>
      </c>
      <c r="AB260" s="24"/>
      <c r="AC260" s="24">
        <v>0</v>
      </c>
      <c r="AD260" s="24"/>
      <c r="AE260" s="24">
        <v>0</v>
      </c>
      <c r="AF260" s="24"/>
      <c r="AG260" s="24">
        <v>0</v>
      </c>
      <c r="AH260" s="24"/>
      <c r="AI260" s="24">
        <f t="shared" si="9"/>
        <v>50442</v>
      </c>
      <c r="AJ260" s="24"/>
    </row>
    <row r="261" spans="1:42" hidden="1">
      <c r="A261" s="15" t="s">
        <v>225</v>
      </c>
      <c r="C261" s="15" t="s">
        <v>820</v>
      </c>
      <c r="E261" s="24">
        <v>0</v>
      </c>
      <c r="G261" s="24">
        <v>0</v>
      </c>
      <c r="I261" s="24">
        <v>0</v>
      </c>
      <c r="K261" s="24">
        <v>0</v>
      </c>
      <c r="M261" s="24">
        <v>0</v>
      </c>
      <c r="O261" s="24">
        <v>0</v>
      </c>
      <c r="Q261" s="24">
        <v>0</v>
      </c>
      <c r="S261" s="24">
        <v>0</v>
      </c>
      <c r="U261" s="24">
        <v>0</v>
      </c>
      <c r="W261" s="24">
        <v>0</v>
      </c>
      <c r="Y261" s="24">
        <v>0</v>
      </c>
      <c r="AA261" s="24">
        <v>0</v>
      </c>
      <c r="AC261" s="24">
        <v>0</v>
      </c>
      <c r="AE261" s="24">
        <v>0</v>
      </c>
      <c r="AG261" s="24">
        <v>0</v>
      </c>
      <c r="AI261" s="24">
        <f t="shared" si="9"/>
        <v>0</v>
      </c>
      <c r="AJ261" s="24"/>
    </row>
    <row r="262" spans="1:42" hidden="1">
      <c r="A262" s="15" t="s">
        <v>194</v>
      </c>
      <c r="C262" s="15" t="s">
        <v>811</v>
      </c>
      <c r="E262" s="24">
        <v>0</v>
      </c>
      <c r="G262" s="24">
        <v>0</v>
      </c>
      <c r="I262" s="24">
        <v>0</v>
      </c>
      <c r="K262" s="24">
        <v>0</v>
      </c>
      <c r="M262" s="24">
        <v>0</v>
      </c>
      <c r="O262" s="24">
        <v>0</v>
      </c>
      <c r="Q262" s="24">
        <v>0</v>
      </c>
      <c r="S262" s="24">
        <v>0</v>
      </c>
      <c r="U262" s="24">
        <v>0</v>
      </c>
      <c r="W262" s="24">
        <v>0</v>
      </c>
      <c r="Y262" s="24">
        <v>0</v>
      </c>
      <c r="AA262" s="24">
        <v>0</v>
      </c>
      <c r="AC262" s="24">
        <v>0</v>
      </c>
      <c r="AE262" s="24">
        <v>0</v>
      </c>
      <c r="AG262" s="24">
        <v>0</v>
      </c>
      <c r="AI262" s="24">
        <f t="shared" si="9"/>
        <v>0</v>
      </c>
      <c r="AJ262" s="24"/>
    </row>
    <row r="263" spans="1:42">
      <c r="A263" s="15" t="s">
        <v>408</v>
      </c>
      <c r="C263" s="15" t="s">
        <v>407</v>
      </c>
      <c r="E263" s="24">
        <f>26438+24852</f>
        <v>51290</v>
      </c>
      <c r="G263" s="24">
        <f>131040+87360</f>
        <v>218400</v>
      </c>
      <c r="I263" s="24">
        <f>52008+50247</f>
        <v>102255</v>
      </c>
      <c r="K263" s="24">
        <v>0</v>
      </c>
      <c r="M263" s="24">
        <v>5732</v>
      </c>
      <c r="O263" s="24">
        <v>2125</v>
      </c>
      <c r="Q263" s="24">
        <f>20672+374</f>
        <v>21046</v>
      </c>
      <c r="S263" s="24">
        <f>20345+7485</f>
        <v>27830</v>
      </c>
      <c r="U263" s="24">
        <v>0</v>
      </c>
      <c r="W263" s="24">
        <v>0</v>
      </c>
      <c r="Y263" s="24">
        <v>0</v>
      </c>
      <c r="AA263" s="24">
        <v>0</v>
      </c>
      <c r="AC263" s="24">
        <v>0</v>
      </c>
      <c r="AE263" s="24">
        <v>0</v>
      </c>
      <c r="AG263" s="24">
        <v>1052</v>
      </c>
      <c r="AI263" s="24">
        <f t="shared" si="9"/>
        <v>429730</v>
      </c>
      <c r="AJ263" s="24"/>
    </row>
    <row r="264" spans="1:42">
      <c r="A264" s="15" t="s">
        <v>455</v>
      </c>
      <c r="C264" s="15" t="s">
        <v>456</v>
      </c>
      <c r="E264" s="24">
        <v>54551</v>
      </c>
      <c r="G264" s="24">
        <f>1966483+190000+793242-1</f>
        <v>2949724</v>
      </c>
      <c r="I264" s="24">
        <f>204484+95644+686547</f>
        <v>986675</v>
      </c>
      <c r="K264" s="24">
        <f>9472+171564</f>
        <v>181036</v>
      </c>
      <c r="M264" s="24">
        <v>54560</v>
      </c>
      <c r="O264" s="24">
        <f>32427+154</f>
        <v>32581</v>
      </c>
      <c r="Q264" s="24">
        <f>151729+20816+11708+49155</f>
        <v>233408</v>
      </c>
      <c r="S264" s="24">
        <f>152531+5046+9170</f>
        <v>166747</v>
      </c>
      <c r="U264" s="24">
        <v>0</v>
      </c>
      <c r="W264" s="24">
        <v>0</v>
      </c>
      <c r="Y264" s="24">
        <v>0</v>
      </c>
      <c r="AA264" s="24">
        <f>369220+1585755</f>
        <v>1954975</v>
      </c>
      <c r="AC264" s="24">
        <v>0</v>
      </c>
      <c r="AE264" s="24">
        <v>0</v>
      </c>
      <c r="AG264" s="24">
        <v>0</v>
      </c>
      <c r="AI264" s="24">
        <f t="shared" si="9"/>
        <v>6614257</v>
      </c>
      <c r="AJ264" s="24"/>
    </row>
    <row r="265" spans="1:42" s="31" customFormat="1" ht="12.6" customHeight="1">
      <c r="A265" s="15" t="s">
        <v>332</v>
      </c>
      <c r="B265" s="15"/>
      <c r="C265" s="15" t="s">
        <v>329</v>
      </c>
      <c r="D265" s="15"/>
      <c r="E265" s="24">
        <f>20278+9699</f>
        <v>29977</v>
      </c>
      <c r="F265" s="24"/>
      <c r="G265" s="24">
        <v>0</v>
      </c>
      <c r="H265" s="24"/>
      <c r="I265" s="24">
        <f>45366+12478</f>
        <v>57844</v>
      </c>
      <c r="J265" s="24"/>
      <c r="K265" s="24">
        <v>0</v>
      </c>
      <c r="L265" s="24"/>
      <c r="M265" s="24">
        <v>0</v>
      </c>
      <c r="N265" s="24"/>
      <c r="O265" s="24">
        <v>0</v>
      </c>
      <c r="P265" s="24"/>
      <c r="Q265" s="24">
        <f>157+93</f>
        <v>250</v>
      </c>
      <c r="R265" s="24"/>
      <c r="S265" s="24">
        <f>1475+289</f>
        <v>1764</v>
      </c>
      <c r="T265" s="24"/>
      <c r="U265" s="24">
        <v>0</v>
      </c>
      <c r="V265" s="24"/>
      <c r="W265" s="24">
        <v>0</v>
      </c>
      <c r="X265" s="24"/>
      <c r="Y265" s="24">
        <v>0</v>
      </c>
      <c r="Z265" s="24"/>
      <c r="AA265" s="24">
        <v>0</v>
      </c>
      <c r="AB265" s="24"/>
      <c r="AC265" s="24">
        <v>0</v>
      </c>
      <c r="AD265" s="24"/>
      <c r="AE265" s="24">
        <v>0</v>
      </c>
      <c r="AF265" s="24"/>
      <c r="AG265" s="24">
        <v>0</v>
      </c>
      <c r="AH265" s="24"/>
      <c r="AI265" s="24">
        <f t="shared" ref="AI265:AI296" si="10">SUM(E265:AG265)</f>
        <v>89835</v>
      </c>
      <c r="AJ265" s="24"/>
    </row>
    <row r="266" spans="1:42" hidden="1">
      <c r="A266" s="15" t="s">
        <v>17</v>
      </c>
      <c r="C266" s="15" t="s">
        <v>755</v>
      </c>
      <c r="E266" s="24">
        <v>0</v>
      </c>
      <c r="G266" s="24">
        <v>0</v>
      </c>
      <c r="I266" s="24">
        <v>0</v>
      </c>
      <c r="K266" s="24">
        <v>0</v>
      </c>
      <c r="M266" s="24">
        <v>0</v>
      </c>
      <c r="O266" s="24">
        <v>0</v>
      </c>
      <c r="Q266" s="24">
        <v>0</v>
      </c>
      <c r="S266" s="24">
        <v>0</v>
      </c>
      <c r="U266" s="24">
        <v>0</v>
      </c>
      <c r="W266" s="24">
        <v>0</v>
      </c>
      <c r="Y266" s="24">
        <v>0</v>
      </c>
      <c r="AA266" s="24">
        <v>0</v>
      </c>
      <c r="AC266" s="24">
        <v>0</v>
      </c>
      <c r="AE266" s="24">
        <v>0</v>
      </c>
      <c r="AG266" s="24">
        <v>0</v>
      </c>
      <c r="AI266" s="24">
        <f t="shared" si="10"/>
        <v>0</v>
      </c>
      <c r="AJ266" s="24"/>
    </row>
    <row r="267" spans="1:42" s="31" customFormat="1" ht="12.6" hidden="1" customHeight="1">
      <c r="A267" s="15" t="s">
        <v>413</v>
      </c>
      <c r="B267" s="15"/>
      <c r="C267" s="15" t="s">
        <v>412</v>
      </c>
      <c r="D267" s="15"/>
      <c r="E267" s="24">
        <v>0</v>
      </c>
      <c r="F267" s="24"/>
      <c r="G267" s="24">
        <v>0</v>
      </c>
      <c r="H267" s="24"/>
      <c r="I267" s="24">
        <v>0</v>
      </c>
      <c r="J267" s="24"/>
      <c r="K267" s="24">
        <v>0</v>
      </c>
      <c r="L267" s="24"/>
      <c r="M267" s="24">
        <v>0</v>
      </c>
      <c r="N267" s="24"/>
      <c r="O267" s="24">
        <v>0</v>
      </c>
      <c r="P267" s="24"/>
      <c r="Q267" s="24">
        <v>0</v>
      </c>
      <c r="R267" s="24"/>
      <c r="S267" s="24">
        <v>0</v>
      </c>
      <c r="T267" s="24"/>
      <c r="U267" s="24">
        <v>0</v>
      </c>
      <c r="V267" s="24"/>
      <c r="W267" s="24">
        <v>0</v>
      </c>
      <c r="X267" s="24"/>
      <c r="Y267" s="24">
        <v>0</v>
      </c>
      <c r="Z267" s="24"/>
      <c r="AA267" s="24">
        <v>0</v>
      </c>
      <c r="AB267" s="24"/>
      <c r="AC267" s="24">
        <v>0</v>
      </c>
      <c r="AD267" s="24"/>
      <c r="AE267" s="24">
        <v>0</v>
      </c>
      <c r="AF267" s="24"/>
      <c r="AG267" s="24">
        <v>0</v>
      </c>
      <c r="AH267" s="24"/>
      <c r="AI267" s="24">
        <f t="shared" si="10"/>
        <v>0</v>
      </c>
      <c r="AJ267" s="24"/>
    </row>
    <row r="268" spans="1:42" s="31" customFormat="1" hidden="1">
      <c r="A268" s="15" t="s">
        <v>101</v>
      </c>
      <c r="B268" s="15"/>
      <c r="C268" s="15" t="s">
        <v>781</v>
      </c>
      <c r="D268" s="15"/>
      <c r="E268" s="24">
        <v>0</v>
      </c>
      <c r="F268" s="24"/>
      <c r="G268" s="24">
        <v>0</v>
      </c>
      <c r="H268" s="24"/>
      <c r="I268" s="24">
        <v>0</v>
      </c>
      <c r="J268" s="24"/>
      <c r="K268" s="24">
        <v>0</v>
      </c>
      <c r="L268" s="24"/>
      <c r="M268" s="24">
        <v>0</v>
      </c>
      <c r="N268" s="24"/>
      <c r="O268" s="24">
        <v>0</v>
      </c>
      <c r="P268" s="24"/>
      <c r="Q268" s="24">
        <v>0</v>
      </c>
      <c r="R268" s="24"/>
      <c r="S268" s="24">
        <v>0</v>
      </c>
      <c r="T268" s="24"/>
      <c r="U268" s="24">
        <v>0</v>
      </c>
      <c r="V268" s="24"/>
      <c r="W268" s="24">
        <v>0</v>
      </c>
      <c r="X268" s="24"/>
      <c r="Y268" s="24">
        <v>0</v>
      </c>
      <c r="Z268" s="24"/>
      <c r="AA268" s="24">
        <v>0</v>
      </c>
      <c r="AB268" s="24"/>
      <c r="AC268" s="24">
        <v>0</v>
      </c>
      <c r="AD268" s="24"/>
      <c r="AE268" s="24">
        <v>0</v>
      </c>
      <c r="AF268" s="24"/>
      <c r="AG268" s="24">
        <v>0</v>
      </c>
      <c r="AH268" s="24"/>
      <c r="AI268" s="24">
        <f t="shared" si="10"/>
        <v>0</v>
      </c>
      <c r="AJ268" s="24"/>
    </row>
    <row r="269" spans="1:42" hidden="1">
      <c r="A269" s="15" t="s">
        <v>257</v>
      </c>
      <c r="C269" s="15" t="s">
        <v>830</v>
      </c>
      <c r="E269" s="24">
        <v>0</v>
      </c>
      <c r="G269" s="24">
        <v>0</v>
      </c>
      <c r="I269" s="24">
        <v>0</v>
      </c>
      <c r="K269" s="24">
        <v>0</v>
      </c>
      <c r="M269" s="24">
        <v>0</v>
      </c>
      <c r="O269" s="24">
        <v>0</v>
      </c>
      <c r="Q269" s="24">
        <v>0</v>
      </c>
      <c r="S269" s="24">
        <v>0</v>
      </c>
      <c r="U269" s="24">
        <v>0</v>
      </c>
      <c r="W269" s="24">
        <v>0</v>
      </c>
      <c r="Y269" s="24">
        <v>0</v>
      </c>
      <c r="AA269" s="24">
        <v>0</v>
      </c>
      <c r="AC269" s="24">
        <v>0</v>
      </c>
      <c r="AE269" s="24">
        <v>0</v>
      </c>
      <c r="AG269" s="24">
        <v>0</v>
      </c>
      <c r="AI269" s="24">
        <f t="shared" si="10"/>
        <v>0</v>
      </c>
      <c r="AJ269" s="24"/>
    </row>
    <row r="270" spans="1:42" s="31" customFormat="1" ht="12.6" customHeight="1">
      <c r="A270" s="15" t="s">
        <v>321</v>
      </c>
      <c r="B270" s="15"/>
      <c r="C270" s="15" t="s">
        <v>316</v>
      </c>
      <c r="D270" s="15"/>
      <c r="E270" s="24">
        <f>594464+36896</f>
        <v>631360</v>
      </c>
      <c r="F270" s="24"/>
      <c r="G270" s="24">
        <v>0</v>
      </c>
      <c r="H270" s="24"/>
      <c r="I270" s="24">
        <f>3650597+38344</f>
        <v>3688941</v>
      </c>
      <c r="J270" s="24"/>
      <c r="K270" s="24">
        <v>0</v>
      </c>
      <c r="L270" s="24"/>
      <c r="M270" s="24">
        <v>54976</v>
      </c>
      <c r="N270" s="24"/>
      <c r="O270" s="24">
        <v>79069</v>
      </c>
      <c r="P270" s="24"/>
      <c r="Q270" s="24">
        <v>580350</v>
      </c>
      <c r="R270" s="24"/>
      <c r="S270" s="24">
        <v>120473</v>
      </c>
      <c r="T270" s="24"/>
      <c r="U270" s="24">
        <v>0</v>
      </c>
      <c r="V270" s="24"/>
      <c r="W270" s="24">
        <v>4003880</v>
      </c>
      <c r="X270" s="24"/>
      <c r="Y270" s="24">
        <v>0</v>
      </c>
      <c r="Z270" s="24"/>
      <c r="AA270" s="24">
        <v>243000</v>
      </c>
      <c r="AB270" s="24"/>
      <c r="AC270" s="24">
        <v>0</v>
      </c>
      <c r="AD270" s="24"/>
      <c r="AE270" s="24">
        <v>0</v>
      </c>
      <c r="AF270" s="24"/>
      <c r="AG270" s="24">
        <v>0</v>
      </c>
      <c r="AH270" s="24"/>
      <c r="AI270" s="24">
        <f t="shared" si="10"/>
        <v>9402049</v>
      </c>
      <c r="AJ270" s="24"/>
      <c r="AK270" s="32"/>
      <c r="AL270" s="32"/>
      <c r="AM270" s="32"/>
      <c r="AN270" s="32"/>
      <c r="AO270" s="32"/>
      <c r="AP270" s="32"/>
    </row>
    <row r="271" spans="1:42" s="31" customFormat="1" hidden="1">
      <c r="A271" s="15" t="s">
        <v>133</v>
      </c>
      <c r="B271" s="15"/>
      <c r="C271" s="15" t="s">
        <v>791</v>
      </c>
      <c r="D271" s="15"/>
      <c r="E271" s="24">
        <v>0</v>
      </c>
      <c r="F271" s="24"/>
      <c r="G271" s="24">
        <v>0</v>
      </c>
      <c r="H271" s="24"/>
      <c r="I271" s="24">
        <v>0</v>
      </c>
      <c r="J271" s="24"/>
      <c r="K271" s="24">
        <v>0</v>
      </c>
      <c r="L271" s="24"/>
      <c r="M271" s="24">
        <v>0</v>
      </c>
      <c r="N271" s="24"/>
      <c r="O271" s="24">
        <v>0</v>
      </c>
      <c r="P271" s="24"/>
      <c r="Q271" s="24">
        <v>0</v>
      </c>
      <c r="R271" s="24"/>
      <c r="S271" s="24">
        <v>0</v>
      </c>
      <c r="T271" s="24"/>
      <c r="U271" s="24">
        <v>0</v>
      </c>
      <c r="V271" s="24"/>
      <c r="W271" s="24">
        <v>0</v>
      </c>
      <c r="X271" s="24"/>
      <c r="Y271" s="24">
        <v>0</v>
      </c>
      <c r="Z271" s="24"/>
      <c r="AA271" s="24">
        <v>0</v>
      </c>
      <c r="AB271" s="24"/>
      <c r="AC271" s="24">
        <v>0</v>
      </c>
      <c r="AD271" s="24"/>
      <c r="AE271" s="24">
        <v>0</v>
      </c>
      <c r="AF271" s="24"/>
      <c r="AG271" s="24">
        <v>0</v>
      </c>
      <c r="AH271" s="24"/>
      <c r="AI271" s="24">
        <f t="shared" si="10"/>
        <v>0</v>
      </c>
      <c r="AJ271" s="24"/>
    </row>
    <row r="272" spans="1:42" hidden="1">
      <c r="A272" s="15" t="s">
        <v>118</v>
      </c>
      <c r="C272" s="15" t="s">
        <v>786</v>
      </c>
      <c r="E272" s="24">
        <v>0</v>
      </c>
      <c r="G272" s="24">
        <v>0</v>
      </c>
      <c r="I272" s="24">
        <v>0</v>
      </c>
      <c r="K272" s="24">
        <v>0</v>
      </c>
      <c r="M272" s="24">
        <v>0</v>
      </c>
      <c r="O272" s="24">
        <v>0</v>
      </c>
      <c r="Q272" s="24">
        <v>0</v>
      </c>
      <c r="S272" s="24">
        <v>0</v>
      </c>
      <c r="U272" s="24">
        <v>0</v>
      </c>
      <c r="W272" s="24">
        <v>0</v>
      </c>
      <c r="Y272" s="24">
        <v>0</v>
      </c>
      <c r="AA272" s="24">
        <v>0</v>
      </c>
      <c r="AC272" s="24">
        <v>0</v>
      </c>
      <c r="AE272" s="24">
        <v>0</v>
      </c>
      <c r="AG272" s="24">
        <v>0</v>
      </c>
      <c r="AI272" s="24">
        <f t="shared" si="10"/>
        <v>0</v>
      </c>
      <c r="AJ272" s="24"/>
    </row>
    <row r="273" spans="1:42" s="31" customFormat="1" ht="12.6" hidden="1" customHeight="1">
      <c r="A273" s="15" t="s">
        <v>695</v>
      </c>
      <c r="B273" s="15"/>
      <c r="C273" s="15" t="s">
        <v>329</v>
      </c>
      <c r="D273" s="15"/>
      <c r="E273" s="24">
        <f>610+49</f>
        <v>659</v>
      </c>
      <c r="F273" s="24"/>
      <c r="G273" s="24">
        <f>2533+206</f>
        <v>2739</v>
      </c>
      <c r="H273" s="24"/>
      <c r="I273" s="24">
        <f>1280+104</f>
        <v>1384</v>
      </c>
      <c r="J273" s="24"/>
      <c r="K273" s="24">
        <v>0</v>
      </c>
      <c r="L273" s="24"/>
      <c r="M273" s="24">
        <v>0</v>
      </c>
      <c r="N273" s="24"/>
      <c r="O273" s="24">
        <v>0</v>
      </c>
      <c r="P273" s="24"/>
      <c r="Q273" s="24">
        <f>31+11</f>
        <v>42</v>
      </c>
      <c r="R273" s="24"/>
      <c r="S273" s="24">
        <v>0</v>
      </c>
      <c r="T273" s="24"/>
      <c r="U273" s="24">
        <v>0</v>
      </c>
      <c r="V273" s="24"/>
      <c r="W273" s="24">
        <v>0</v>
      </c>
      <c r="X273" s="24"/>
      <c r="Y273" s="24">
        <v>0</v>
      </c>
      <c r="Z273" s="24"/>
      <c r="AA273" s="24">
        <v>0</v>
      </c>
      <c r="AB273" s="24"/>
      <c r="AC273" s="24">
        <v>0</v>
      </c>
      <c r="AD273" s="24"/>
      <c r="AE273" s="24">
        <v>0</v>
      </c>
      <c r="AF273" s="24"/>
      <c r="AG273" s="24">
        <v>0</v>
      </c>
      <c r="AH273" s="24"/>
      <c r="AI273" s="24">
        <f t="shared" si="10"/>
        <v>4824</v>
      </c>
      <c r="AJ273" s="24"/>
      <c r="AK273" s="32"/>
      <c r="AL273" s="32"/>
      <c r="AM273" s="32"/>
      <c r="AN273" s="32"/>
      <c r="AO273" s="32"/>
      <c r="AP273" s="32"/>
    </row>
    <row r="274" spans="1:42" hidden="1">
      <c r="A274" s="15" t="s">
        <v>223</v>
      </c>
      <c r="C274" s="15" t="s">
        <v>819</v>
      </c>
      <c r="E274" s="24">
        <v>0</v>
      </c>
      <c r="G274" s="24">
        <v>0</v>
      </c>
      <c r="I274" s="24">
        <v>0</v>
      </c>
      <c r="K274" s="24">
        <v>0</v>
      </c>
      <c r="M274" s="24">
        <v>0</v>
      </c>
      <c r="O274" s="24">
        <v>0</v>
      </c>
      <c r="Q274" s="24">
        <v>0</v>
      </c>
      <c r="S274" s="24">
        <v>0</v>
      </c>
      <c r="U274" s="24">
        <v>0</v>
      </c>
      <c r="W274" s="24">
        <v>0</v>
      </c>
      <c r="Y274" s="24">
        <v>0</v>
      </c>
      <c r="AA274" s="24">
        <v>0</v>
      </c>
      <c r="AC274" s="24">
        <v>0</v>
      </c>
      <c r="AE274" s="24">
        <v>0</v>
      </c>
      <c r="AG274" s="24">
        <v>0</v>
      </c>
      <c r="AI274" s="24">
        <f t="shared" si="10"/>
        <v>0</v>
      </c>
      <c r="AJ274" s="24"/>
    </row>
    <row r="275" spans="1:42" ht="12.6" hidden="1" customHeight="1">
      <c r="A275" s="15" t="s">
        <v>697</v>
      </c>
      <c r="C275" s="15" t="s">
        <v>696</v>
      </c>
      <c r="E275" s="24">
        <v>527</v>
      </c>
      <c r="G275" s="24">
        <v>0</v>
      </c>
      <c r="I275" s="24">
        <v>2032</v>
      </c>
      <c r="K275" s="24">
        <v>0</v>
      </c>
      <c r="M275" s="24">
        <v>0</v>
      </c>
      <c r="O275" s="24">
        <v>0</v>
      </c>
      <c r="Q275" s="24">
        <v>0</v>
      </c>
      <c r="S275" s="24">
        <v>0</v>
      </c>
      <c r="U275" s="24">
        <v>0</v>
      </c>
      <c r="W275" s="24">
        <v>0</v>
      </c>
      <c r="Y275" s="24">
        <v>0</v>
      </c>
      <c r="AA275" s="24">
        <v>0</v>
      </c>
      <c r="AC275" s="24">
        <v>0</v>
      </c>
      <c r="AE275" s="24">
        <v>0</v>
      </c>
      <c r="AG275" s="24">
        <v>0</v>
      </c>
      <c r="AI275" s="24">
        <f t="shared" si="10"/>
        <v>2559</v>
      </c>
      <c r="AJ275" s="24"/>
      <c r="AK275" s="30"/>
      <c r="AL275" s="30"/>
      <c r="AM275" s="30"/>
      <c r="AN275" s="30"/>
      <c r="AO275" s="30"/>
      <c r="AP275" s="30"/>
    </row>
    <row r="276" spans="1:42" s="31" customFormat="1" hidden="1">
      <c r="A276" s="15" t="s">
        <v>84</v>
      </c>
      <c r="B276" s="15"/>
      <c r="C276" s="15" t="s">
        <v>776</v>
      </c>
      <c r="D276" s="15"/>
      <c r="E276" s="24">
        <v>0</v>
      </c>
      <c r="F276" s="24"/>
      <c r="G276" s="24">
        <v>0</v>
      </c>
      <c r="H276" s="24"/>
      <c r="I276" s="24">
        <v>0</v>
      </c>
      <c r="J276" s="24"/>
      <c r="K276" s="24">
        <v>0</v>
      </c>
      <c r="L276" s="24"/>
      <c r="M276" s="24">
        <v>0</v>
      </c>
      <c r="N276" s="24"/>
      <c r="O276" s="24">
        <v>0</v>
      </c>
      <c r="P276" s="24"/>
      <c r="Q276" s="24">
        <v>0</v>
      </c>
      <c r="R276" s="24"/>
      <c r="S276" s="24">
        <v>0</v>
      </c>
      <c r="T276" s="24"/>
      <c r="U276" s="24">
        <v>0</v>
      </c>
      <c r="V276" s="24"/>
      <c r="W276" s="24">
        <v>0</v>
      </c>
      <c r="X276" s="24"/>
      <c r="Y276" s="24">
        <v>0</v>
      </c>
      <c r="Z276" s="24"/>
      <c r="AA276" s="24">
        <v>0</v>
      </c>
      <c r="AB276" s="24"/>
      <c r="AC276" s="24">
        <v>0</v>
      </c>
      <c r="AD276" s="24"/>
      <c r="AE276" s="24">
        <v>0</v>
      </c>
      <c r="AF276" s="24"/>
      <c r="AG276" s="24">
        <v>0</v>
      </c>
      <c r="AH276" s="24"/>
      <c r="AI276" s="24">
        <f t="shared" si="10"/>
        <v>0</v>
      </c>
      <c r="AJ276" s="24"/>
    </row>
    <row r="277" spans="1:42" ht="12.6" customHeight="1">
      <c r="A277" s="15" t="s">
        <v>698</v>
      </c>
      <c r="C277" s="15" t="s">
        <v>677</v>
      </c>
      <c r="E277" s="24">
        <f>712063+479914+479478+329453</f>
        <v>2000908</v>
      </c>
      <c r="G277" s="24">
        <v>0</v>
      </c>
      <c r="I277" s="24">
        <f>76952+8219+983756</f>
        <v>1068927</v>
      </c>
      <c r="K277" s="24">
        <v>373446</v>
      </c>
      <c r="M277" s="24">
        <f>73+267891</f>
        <v>267964</v>
      </c>
      <c r="O277" s="24">
        <f>34491+1013</f>
        <v>35504</v>
      </c>
      <c r="Q277" s="24">
        <f>15766+587</f>
        <v>16353</v>
      </c>
      <c r="S277" s="24">
        <f>28224+50+54826+30830</f>
        <v>113930</v>
      </c>
      <c r="U277" s="24">
        <v>0</v>
      </c>
      <c r="W277" s="24">
        <v>0</v>
      </c>
      <c r="Y277" s="24">
        <v>0</v>
      </c>
      <c r="AA277" s="24">
        <f>52053+89163</f>
        <v>141216</v>
      </c>
      <c r="AC277" s="24">
        <v>0</v>
      </c>
      <c r="AE277" s="24">
        <v>0</v>
      </c>
      <c r="AG277" s="24">
        <v>0</v>
      </c>
      <c r="AI277" s="24">
        <f t="shared" si="10"/>
        <v>4018248</v>
      </c>
      <c r="AJ277" s="24"/>
      <c r="AK277" s="30"/>
      <c r="AL277" s="30"/>
      <c r="AM277" s="30"/>
      <c r="AN277" s="30"/>
      <c r="AO277" s="30"/>
      <c r="AP277" s="30"/>
    </row>
    <row r="278" spans="1:42" hidden="1">
      <c r="A278" s="15" t="s">
        <v>69</v>
      </c>
      <c r="C278" s="15" t="s">
        <v>772</v>
      </c>
      <c r="E278" s="24">
        <v>0</v>
      </c>
      <c r="G278" s="24">
        <v>0</v>
      </c>
      <c r="I278" s="24">
        <v>0</v>
      </c>
      <c r="K278" s="24">
        <v>0</v>
      </c>
      <c r="M278" s="24">
        <v>0</v>
      </c>
      <c r="O278" s="24">
        <v>0</v>
      </c>
      <c r="Q278" s="24">
        <v>0</v>
      </c>
      <c r="S278" s="24">
        <v>0</v>
      </c>
      <c r="U278" s="24">
        <v>0</v>
      </c>
      <c r="W278" s="24">
        <v>0</v>
      </c>
      <c r="Y278" s="24">
        <v>0</v>
      </c>
      <c r="AA278" s="24">
        <v>0</v>
      </c>
      <c r="AC278" s="24">
        <v>0</v>
      </c>
      <c r="AE278" s="24">
        <v>0</v>
      </c>
      <c r="AG278" s="24">
        <v>0</v>
      </c>
      <c r="AI278" s="24">
        <f t="shared" si="10"/>
        <v>0</v>
      </c>
      <c r="AJ278" s="41"/>
      <c r="AK278" s="30"/>
      <c r="AL278" s="30"/>
      <c r="AM278" s="30"/>
      <c r="AN278" s="30"/>
      <c r="AO278" s="30"/>
      <c r="AP278" s="30"/>
    </row>
    <row r="279" spans="1:42" s="31" customFormat="1" hidden="1">
      <c r="A279" s="15" t="s">
        <v>699</v>
      </c>
      <c r="B279" s="15"/>
      <c r="C279" s="15" t="s">
        <v>388</v>
      </c>
      <c r="D279" s="15"/>
      <c r="E279" s="24">
        <v>0</v>
      </c>
      <c r="F279" s="24"/>
      <c r="G279" s="24">
        <v>0</v>
      </c>
      <c r="H279" s="24"/>
      <c r="I279" s="24">
        <v>0</v>
      </c>
      <c r="J279" s="24"/>
      <c r="K279" s="24">
        <v>0</v>
      </c>
      <c r="L279" s="24"/>
      <c r="M279" s="24">
        <v>0</v>
      </c>
      <c r="N279" s="24"/>
      <c r="O279" s="24">
        <v>0</v>
      </c>
      <c r="P279" s="24"/>
      <c r="Q279" s="24">
        <v>0</v>
      </c>
      <c r="R279" s="24"/>
      <c r="S279" s="24">
        <v>0</v>
      </c>
      <c r="T279" s="24"/>
      <c r="U279" s="24">
        <v>0</v>
      </c>
      <c r="V279" s="24"/>
      <c r="W279" s="24">
        <v>0</v>
      </c>
      <c r="X279" s="24"/>
      <c r="Y279" s="24">
        <v>0</v>
      </c>
      <c r="Z279" s="24"/>
      <c r="AA279" s="24">
        <v>0</v>
      </c>
      <c r="AB279" s="24"/>
      <c r="AC279" s="24">
        <v>0</v>
      </c>
      <c r="AD279" s="24"/>
      <c r="AE279" s="24">
        <v>0</v>
      </c>
      <c r="AF279" s="38"/>
      <c r="AG279" s="24">
        <v>0</v>
      </c>
      <c r="AH279" s="38"/>
      <c r="AI279" s="24">
        <f t="shared" si="10"/>
        <v>0</v>
      </c>
      <c r="AJ279" s="24"/>
    </row>
    <row r="280" spans="1:42">
      <c r="A280" s="15" t="s">
        <v>700</v>
      </c>
      <c r="C280" s="15" t="s">
        <v>672</v>
      </c>
      <c r="E280" s="24">
        <f>31081+2751</f>
        <v>33832</v>
      </c>
      <c r="G280" s="24">
        <v>0</v>
      </c>
      <c r="I280" s="24">
        <f>57518+25769+3272076</f>
        <v>3355363</v>
      </c>
      <c r="K280" s="24">
        <v>0</v>
      </c>
      <c r="M280" s="24">
        <f>660+2955</f>
        <v>3615</v>
      </c>
      <c r="O280" s="24">
        <v>0</v>
      </c>
      <c r="Q280" s="24">
        <f>3648+760</f>
        <v>4408</v>
      </c>
      <c r="S280" s="24">
        <v>11850</v>
      </c>
      <c r="U280" s="24">
        <v>0</v>
      </c>
      <c r="W280" s="24">
        <v>0</v>
      </c>
      <c r="Y280" s="24">
        <v>0</v>
      </c>
      <c r="AA280" s="24">
        <v>0</v>
      </c>
      <c r="AC280" s="24">
        <v>0</v>
      </c>
      <c r="AE280" s="24">
        <v>0</v>
      </c>
      <c r="AG280" s="24">
        <v>0</v>
      </c>
      <c r="AI280" s="24">
        <f t="shared" si="10"/>
        <v>3409068</v>
      </c>
      <c r="AJ280" s="24"/>
      <c r="AK280" s="30"/>
      <c r="AL280" s="30"/>
      <c r="AM280" s="30"/>
      <c r="AN280" s="30"/>
      <c r="AO280" s="30"/>
      <c r="AP280" s="30"/>
    </row>
    <row r="281" spans="1:42" s="31" customFormat="1" hidden="1">
      <c r="A281" s="15" t="s">
        <v>701</v>
      </c>
      <c r="B281" s="15"/>
      <c r="C281" s="15" t="s">
        <v>606</v>
      </c>
      <c r="D281" s="15"/>
      <c r="E281" s="24">
        <v>0</v>
      </c>
      <c r="F281" s="24"/>
      <c r="G281" s="24">
        <v>0</v>
      </c>
      <c r="H281" s="24"/>
      <c r="I281" s="24">
        <v>0</v>
      </c>
      <c r="J281" s="24"/>
      <c r="K281" s="24">
        <v>0</v>
      </c>
      <c r="L281" s="24"/>
      <c r="M281" s="24">
        <v>0</v>
      </c>
      <c r="N281" s="24"/>
      <c r="O281" s="24">
        <v>0</v>
      </c>
      <c r="P281" s="24"/>
      <c r="Q281" s="24">
        <v>0</v>
      </c>
      <c r="R281" s="24"/>
      <c r="S281" s="24">
        <v>0</v>
      </c>
      <c r="T281" s="24"/>
      <c r="U281" s="24">
        <v>0</v>
      </c>
      <c r="V281" s="24"/>
      <c r="W281" s="24">
        <v>0</v>
      </c>
      <c r="X281" s="24"/>
      <c r="Y281" s="24">
        <v>0</v>
      </c>
      <c r="Z281" s="24"/>
      <c r="AA281" s="24">
        <v>0</v>
      </c>
      <c r="AB281" s="24"/>
      <c r="AC281" s="24">
        <v>0</v>
      </c>
      <c r="AD281" s="24"/>
      <c r="AE281" s="24">
        <v>0</v>
      </c>
      <c r="AF281" s="24"/>
      <c r="AG281" s="24">
        <v>0</v>
      </c>
      <c r="AH281" s="24"/>
      <c r="AI281" s="24">
        <f t="shared" si="10"/>
        <v>0</v>
      </c>
      <c r="AJ281" s="24"/>
    </row>
    <row r="282" spans="1:42" hidden="1">
      <c r="A282" s="15" t="s">
        <v>102</v>
      </c>
      <c r="C282" s="15" t="s">
        <v>781</v>
      </c>
      <c r="E282" s="24">
        <v>0</v>
      </c>
      <c r="G282" s="24">
        <v>0</v>
      </c>
      <c r="I282" s="24">
        <v>0</v>
      </c>
      <c r="K282" s="24">
        <v>0</v>
      </c>
      <c r="M282" s="24">
        <v>0</v>
      </c>
      <c r="O282" s="24">
        <v>0</v>
      </c>
      <c r="Q282" s="24">
        <v>0</v>
      </c>
      <c r="S282" s="24">
        <v>0</v>
      </c>
      <c r="U282" s="24">
        <v>0</v>
      </c>
      <c r="W282" s="24">
        <v>0</v>
      </c>
      <c r="Y282" s="24">
        <v>0</v>
      </c>
      <c r="AA282" s="24">
        <v>0</v>
      </c>
      <c r="AC282" s="24">
        <v>0</v>
      </c>
      <c r="AE282" s="24">
        <v>0</v>
      </c>
      <c r="AG282" s="24">
        <v>0</v>
      </c>
      <c r="AI282" s="24">
        <f t="shared" si="10"/>
        <v>0</v>
      </c>
      <c r="AJ282" s="24"/>
    </row>
    <row r="283" spans="1:42" s="31" customFormat="1" hidden="1">
      <c r="A283" s="15" t="s">
        <v>912</v>
      </c>
      <c r="B283" s="15"/>
      <c r="C283" s="15" t="s">
        <v>477</v>
      </c>
      <c r="D283" s="15"/>
      <c r="E283" s="24">
        <v>0</v>
      </c>
      <c r="F283" s="24"/>
      <c r="G283" s="24">
        <v>0</v>
      </c>
      <c r="H283" s="24"/>
      <c r="I283" s="24">
        <v>4365</v>
      </c>
      <c r="J283" s="24"/>
      <c r="K283" s="24">
        <v>0</v>
      </c>
      <c r="L283" s="24"/>
      <c r="M283" s="24">
        <v>0</v>
      </c>
      <c r="N283" s="24"/>
      <c r="O283" s="24">
        <v>0</v>
      </c>
      <c r="P283" s="24"/>
      <c r="Q283" s="24">
        <v>0</v>
      </c>
      <c r="R283" s="24"/>
      <c r="S283" s="24">
        <v>0</v>
      </c>
      <c r="T283" s="24"/>
      <c r="U283" s="24">
        <v>0</v>
      </c>
      <c r="V283" s="24"/>
      <c r="W283" s="24">
        <v>0</v>
      </c>
      <c r="X283" s="24"/>
      <c r="Y283" s="24">
        <v>0</v>
      </c>
      <c r="Z283" s="24"/>
      <c r="AA283" s="24">
        <v>0</v>
      </c>
      <c r="AB283" s="24"/>
      <c r="AC283" s="24">
        <v>0</v>
      </c>
      <c r="AD283" s="24"/>
      <c r="AE283" s="24">
        <v>0</v>
      </c>
      <c r="AF283" s="24"/>
      <c r="AG283" s="24">
        <v>0</v>
      </c>
      <c r="AH283" s="24"/>
      <c r="AI283" s="24">
        <f t="shared" si="10"/>
        <v>4365</v>
      </c>
      <c r="AJ283" s="24"/>
    </row>
    <row r="284" spans="1:42" s="31" customFormat="1">
      <c r="A284" s="15" t="s">
        <v>131</v>
      </c>
      <c r="B284" s="15"/>
      <c r="C284" s="15" t="s">
        <v>790</v>
      </c>
      <c r="D284" s="15"/>
      <c r="E284" s="24">
        <v>225267</v>
      </c>
      <c r="F284" s="24"/>
      <c r="G284" s="24">
        <v>1071073</v>
      </c>
      <c r="H284" s="24"/>
      <c r="I284" s="24">
        <f>250924+287032</f>
        <v>537956</v>
      </c>
      <c r="J284" s="24"/>
      <c r="K284" s="24">
        <v>0</v>
      </c>
      <c r="L284" s="24"/>
      <c r="M284" s="24">
        <v>9775</v>
      </c>
      <c r="N284" s="24"/>
      <c r="O284" s="24">
        <f>209575+4263</f>
        <v>213838</v>
      </c>
      <c r="P284" s="24"/>
      <c r="Q284" s="24">
        <f>41452+63895+2947+1475</f>
        <v>109769</v>
      </c>
      <c r="R284" s="24"/>
      <c r="S284" s="24">
        <v>14039</v>
      </c>
      <c r="T284" s="24"/>
      <c r="U284" s="24">
        <v>29243</v>
      </c>
      <c r="V284" s="24"/>
      <c r="W284" s="24">
        <f>18660+95200</f>
        <v>113860</v>
      </c>
      <c r="X284" s="24"/>
      <c r="Y284" s="24">
        <v>0</v>
      </c>
      <c r="Z284" s="24"/>
      <c r="AA284" s="24">
        <v>233576</v>
      </c>
      <c r="AB284" s="24"/>
      <c r="AC284" s="24">
        <v>0</v>
      </c>
      <c r="AD284" s="24"/>
      <c r="AE284" s="24">
        <v>0</v>
      </c>
      <c r="AF284" s="24"/>
      <c r="AG284" s="24">
        <v>0</v>
      </c>
      <c r="AH284" s="24"/>
      <c r="AI284" s="24">
        <f t="shared" si="10"/>
        <v>2558396</v>
      </c>
      <c r="AJ284" s="24"/>
    </row>
    <row r="285" spans="1:42">
      <c r="A285" s="15" t="s">
        <v>702</v>
      </c>
      <c r="C285" s="15" t="s">
        <v>504</v>
      </c>
      <c r="E285" s="24">
        <f>24080+7579</f>
        <v>31659</v>
      </c>
      <c r="G285" s="24">
        <v>0</v>
      </c>
      <c r="I285" s="24">
        <f>26212+29600</f>
        <v>55812</v>
      </c>
      <c r="K285" s="24">
        <v>0</v>
      </c>
      <c r="M285" s="24">
        <f>250+160833</f>
        <v>161083</v>
      </c>
      <c r="O285" s="24">
        <v>1140</v>
      </c>
      <c r="Q285" s="24">
        <f>14246+1591</f>
        <v>15837</v>
      </c>
      <c r="S285" s="24">
        <f>41014+6516</f>
        <v>47530</v>
      </c>
      <c r="U285" s="24">
        <v>0</v>
      </c>
      <c r="W285" s="24">
        <v>0</v>
      </c>
      <c r="Y285" s="24">
        <v>0</v>
      </c>
      <c r="AA285" s="24">
        <v>0</v>
      </c>
      <c r="AC285" s="24">
        <v>0</v>
      </c>
      <c r="AE285" s="24">
        <v>0</v>
      </c>
      <c r="AG285" s="24">
        <v>0</v>
      </c>
      <c r="AI285" s="24">
        <f t="shared" si="10"/>
        <v>313061</v>
      </c>
      <c r="AJ285" s="24"/>
    </row>
    <row r="286" spans="1:42" hidden="1">
      <c r="A286" s="15" t="s">
        <v>847</v>
      </c>
      <c r="C286" s="15" t="s">
        <v>813</v>
      </c>
      <c r="E286" s="24">
        <v>0</v>
      </c>
      <c r="G286" s="24">
        <v>0</v>
      </c>
      <c r="I286" s="24">
        <v>0</v>
      </c>
      <c r="K286" s="24">
        <v>0</v>
      </c>
      <c r="M286" s="24">
        <v>0</v>
      </c>
      <c r="O286" s="24">
        <v>0</v>
      </c>
      <c r="Q286" s="24">
        <v>0</v>
      </c>
      <c r="S286" s="24">
        <v>0</v>
      </c>
      <c r="U286" s="24">
        <v>0</v>
      </c>
      <c r="W286" s="24">
        <v>0</v>
      </c>
      <c r="Y286" s="24">
        <v>0</v>
      </c>
      <c r="AA286" s="24">
        <v>0</v>
      </c>
      <c r="AC286" s="24">
        <v>0</v>
      </c>
      <c r="AE286" s="24">
        <v>0</v>
      </c>
      <c r="AG286" s="24">
        <v>0</v>
      </c>
      <c r="AI286" s="24">
        <f t="shared" si="10"/>
        <v>0</v>
      </c>
      <c r="AJ286" s="24"/>
    </row>
    <row r="287" spans="1:42" s="31" customFormat="1" ht="12.6" customHeight="1">
      <c r="A287" s="15" t="s">
        <v>703</v>
      </c>
      <c r="B287" s="15"/>
      <c r="C287" s="15" t="s">
        <v>348</v>
      </c>
      <c r="D287" s="15"/>
      <c r="E287" s="24">
        <f>248693+179130</f>
        <v>427823</v>
      </c>
      <c r="F287" s="24"/>
      <c r="G287" s="24">
        <v>0</v>
      </c>
      <c r="H287" s="24"/>
      <c r="I287" s="24">
        <f>251959+89328+446770</f>
        <v>788057</v>
      </c>
      <c r="J287" s="24"/>
      <c r="K287" s="24">
        <v>38752</v>
      </c>
      <c r="L287" s="24"/>
      <c r="M287" s="24">
        <f>1500+3300</f>
        <v>4800</v>
      </c>
      <c r="N287" s="24"/>
      <c r="O287" s="24">
        <f>44255+8206</f>
        <v>52461</v>
      </c>
      <c r="P287" s="24"/>
      <c r="Q287" s="24">
        <f>16880+1834</f>
        <v>18714</v>
      </c>
      <c r="R287" s="24"/>
      <c r="S287" s="24">
        <f>9095+35236</f>
        <v>44331</v>
      </c>
      <c r="T287" s="24"/>
      <c r="U287" s="24">
        <v>0</v>
      </c>
      <c r="V287" s="24"/>
      <c r="W287" s="24">
        <v>0</v>
      </c>
      <c r="X287" s="24"/>
      <c r="Y287" s="24">
        <v>0</v>
      </c>
      <c r="Z287" s="24"/>
      <c r="AA287" s="24">
        <v>1929</v>
      </c>
      <c r="AB287" s="24"/>
      <c r="AC287" s="24">
        <v>0</v>
      </c>
      <c r="AD287" s="24"/>
      <c r="AE287" s="24">
        <v>36</v>
      </c>
      <c r="AF287" s="24"/>
      <c r="AG287" s="24">
        <v>0</v>
      </c>
      <c r="AH287" s="24"/>
      <c r="AI287" s="24">
        <f t="shared" si="10"/>
        <v>1376903</v>
      </c>
      <c r="AJ287" s="24"/>
      <c r="AK287" s="32"/>
      <c r="AL287" s="32"/>
      <c r="AM287" s="32"/>
      <c r="AN287" s="32"/>
      <c r="AO287" s="32"/>
      <c r="AP287" s="32"/>
    </row>
    <row r="288" spans="1:42" s="31" customFormat="1">
      <c r="A288" s="15" t="s">
        <v>704</v>
      </c>
      <c r="B288" s="15"/>
      <c r="C288" s="15" t="s">
        <v>541</v>
      </c>
      <c r="D288" s="15"/>
      <c r="E288" s="24">
        <f>14159+685</f>
        <v>14844</v>
      </c>
      <c r="F288" s="24"/>
      <c r="G288" s="24">
        <v>0</v>
      </c>
      <c r="H288" s="24"/>
      <c r="I288" s="24">
        <f>14517+7326</f>
        <v>21843</v>
      </c>
      <c r="J288" s="24"/>
      <c r="K288" s="24">
        <v>0</v>
      </c>
      <c r="L288" s="24"/>
      <c r="M288" s="24">
        <v>0</v>
      </c>
      <c r="N288" s="24"/>
      <c r="O288" s="24">
        <v>60</v>
      </c>
      <c r="P288" s="24"/>
      <c r="Q288" s="24">
        <v>0</v>
      </c>
      <c r="R288" s="24"/>
      <c r="S288" s="24">
        <f>844+500</f>
        <v>1344</v>
      </c>
      <c r="T288" s="24"/>
      <c r="U288" s="24">
        <v>0</v>
      </c>
      <c r="V288" s="24"/>
      <c r="W288" s="24">
        <v>0</v>
      </c>
      <c r="X288" s="24"/>
      <c r="Y288" s="24">
        <v>0</v>
      </c>
      <c r="Z288" s="24"/>
      <c r="AA288" s="24">
        <v>0</v>
      </c>
      <c r="AB288" s="24"/>
      <c r="AC288" s="24">
        <v>0</v>
      </c>
      <c r="AD288" s="24"/>
      <c r="AE288" s="24">
        <v>0</v>
      </c>
      <c r="AF288" s="38"/>
      <c r="AG288" s="24">
        <v>0</v>
      </c>
      <c r="AH288" s="38"/>
      <c r="AI288" s="24">
        <f t="shared" si="10"/>
        <v>38091</v>
      </c>
      <c r="AJ288" s="24"/>
    </row>
    <row r="289" spans="1:36">
      <c r="A289" s="15" t="s">
        <v>913</v>
      </c>
      <c r="C289" s="15" t="s">
        <v>412</v>
      </c>
      <c r="E289" s="24">
        <v>55291</v>
      </c>
      <c r="G289" s="24">
        <v>0</v>
      </c>
      <c r="I289" s="24">
        <f>31375+32354</f>
        <v>63729</v>
      </c>
      <c r="K289" s="24">
        <v>0</v>
      </c>
      <c r="M289" s="24">
        <v>1835</v>
      </c>
      <c r="O289" s="24">
        <v>0</v>
      </c>
      <c r="Q289" s="24">
        <f>7814+411</f>
        <v>8225</v>
      </c>
      <c r="S289" s="24">
        <v>24428</v>
      </c>
      <c r="U289" s="24">
        <v>0</v>
      </c>
      <c r="W289" s="24">
        <v>0</v>
      </c>
      <c r="Y289" s="24">
        <v>0</v>
      </c>
      <c r="AA289" s="24">
        <v>0</v>
      </c>
      <c r="AC289" s="24">
        <v>0</v>
      </c>
      <c r="AE289" s="24">
        <v>0</v>
      </c>
      <c r="AG289" s="24">
        <v>0</v>
      </c>
      <c r="AI289" s="24">
        <f t="shared" si="10"/>
        <v>153508</v>
      </c>
      <c r="AJ289" s="24"/>
    </row>
    <row r="290" spans="1:36" hidden="1">
      <c r="A290" s="15" t="s">
        <v>213</v>
      </c>
      <c r="C290" s="15" t="s">
        <v>815</v>
      </c>
      <c r="E290" s="24">
        <v>0</v>
      </c>
      <c r="G290" s="24">
        <v>0</v>
      </c>
      <c r="I290" s="24">
        <v>0</v>
      </c>
      <c r="K290" s="24">
        <v>0</v>
      </c>
      <c r="M290" s="24">
        <v>0</v>
      </c>
      <c r="O290" s="24">
        <v>0</v>
      </c>
      <c r="Q290" s="24">
        <v>0</v>
      </c>
      <c r="S290" s="24">
        <v>0</v>
      </c>
      <c r="U290" s="24">
        <v>0</v>
      </c>
      <c r="W290" s="24">
        <v>0</v>
      </c>
      <c r="Y290" s="24">
        <v>0</v>
      </c>
      <c r="AA290" s="24">
        <v>0</v>
      </c>
      <c r="AC290" s="24">
        <v>0</v>
      </c>
      <c r="AE290" s="24">
        <v>0</v>
      </c>
      <c r="AG290" s="24">
        <v>0</v>
      </c>
      <c r="AI290" s="24">
        <f t="shared" si="10"/>
        <v>0</v>
      </c>
      <c r="AJ290" s="24"/>
    </row>
    <row r="291" spans="1:36" s="31" customFormat="1" hidden="1">
      <c r="A291" s="15" t="s">
        <v>136</v>
      </c>
      <c r="B291" s="15"/>
      <c r="C291" s="15" t="s">
        <v>792</v>
      </c>
      <c r="D291" s="15"/>
      <c r="E291" s="24">
        <v>0</v>
      </c>
      <c r="F291" s="24"/>
      <c r="G291" s="24">
        <v>0</v>
      </c>
      <c r="H291" s="24"/>
      <c r="I291" s="24">
        <v>0</v>
      </c>
      <c r="J291" s="24"/>
      <c r="K291" s="24">
        <v>0</v>
      </c>
      <c r="L291" s="24"/>
      <c r="M291" s="24">
        <v>0</v>
      </c>
      <c r="N291" s="24"/>
      <c r="O291" s="24">
        <v>0</v>
      </c>
      <c r="P291" s="24"/>
      <c r="Q291" s="24">
        <v>0</v>
      </c>
      <c r="R291" s="24"/>
      <c r="S291" s="24">
        <v>0</v>
      </c>
      <c r="T291" s="24"/>
      <c r="U291" s="24">
        <v>0</v>
      </c>
      <c r="V291" s="24"/>
      <c r="W291" s="24">
        <v>0</v>
      </c>
      <c r="X291" s="24"/>
      <c r="Y291" s="24">
        <v>0</v>
      </c>
      <c r="Z291" s="24"/>
      <c r="AA291" s="24">
        <v>0</v>
      </c>
      <c r="AB291" s="24"/>
      <c r="AC291" s="24">
        <v>0</v>
      </c>
      <c r="AD291" s="24"/>
      <c r="AE291" s="24">
        <v>0</v>
      </c>
      <c r="AF291" s="24"/>
      <c r="AG291" s="24">
        <v>0</v>
      </c>
      <c r="AH291" s="24"/>
      <c r="AI291" s="24">
        <f t="shared" si="10"/>
        <v>0</v>
      </c>
      <c r="AJ291" s="24"/>
    </row>
    <row r="292" spans="1:36" s="31" customFormat="1" hidden="1">
      <c r="A292" s="15" t="s">
        <v>265</v>
      </c>
      <c r="B292" s="15"/>
      <c r="C292" s="15" t="s">
        <v>831</v>
      </c>
      <c r="D292" s="15"/>
      <c r="E292" s="24">
        <v>0</v>
      </c>
      <c r="F292" s="24"/>
      <c r="G292" s="24">
        <v>0</v>
      </c>
      <c r="H292" s="24"/>
      <c r="I292" s="24">
        <v>0</v>
      </c>
      <c r="J292" s="24"/>
      <c r="K292" s="24">
        <v>0</v>
      </c>
      <c r="L292" s="24"/>
      <c r="M292" s="24">
        <v>0</v>
      </c>
      <c r="N292" s="24"/>
      <c r="O292" s="24">
        <v>0</v>
      </c>
      <c r="P292" s="24"/>
      <c r="Q292" s="24">
        <v>0</v>
      </c>
      <c r="R292" s="24"/>
      <c r="S292" s="24">
        <v>0</v>
      </c>
      <c r="T292" s="24"/>
      <c r="U292" s="24">
        <v>0</v>
      </c>
      <c r="V292" s="24"/>
      <c r="W292" s="24">
        <v>0</v>
      </c>
      <c r="X292" s="24"/>
      <c r="Y292" s="24">
        <v>0</v>
      </c>
      <c r="Z292" s="24"/>
      <c r="AA292" s="24">
        <v>0</v>
      </c>
      <c r="AB292" s="24"/>
      <c r="AC292" s="24">
        <v>0</v>
      </c>
      <c r="AD292" s="24"/>
      <c r="AE292" s="24">
        <v>0</v>
      </c>
      <c r="AF292" s="24"/>
      <c r="AG292" s="24">
        <v>0</v>
      </c>
      <c r="AH292" s="24"/>
      <c r="AI292" s="24">
        <f t="shared" si="10"/>
        <v>0</v>
      </c>
      <c r="AJ292" s="24"/>
    </row>
    <row r="293" spans="1:36" hidden="1">
      <c r="A293" s="15" t="s">
        <v>705</v>
      </c>
      <c r="C293" s="15" t="s">
        <v>439</v>
      </c>
      <c r="E293" s="24">
        <v>0</v>
      </c>
      <c r="G293" s="24">
        <v>0</v>
      </c>
      <c r="I293" s="24">
        <v>0</v>
      </c>
      <c r="K293" s="24">
        <v>0</v>
      </c>
      <c r="M293" s="24">
        <v>0</v>
      </c>
      <c r="O293" s="24">
        <v>0</v>
      </c>
      <c r="Q293" s="24">
        <v>0</v>
      </c>
      <c r="S293" s="24">
        <v>0</v>
      </c>
      <c r="U293" s="24">
        <v>0</v>
      </c>
      <c r="W293" s="24">
        <v>0</v>
      </c>
      <c r="Y293" s="24">
        <v>0</v>
      </c>
      <c r="AA293" s="24">
        <v>0</v>
      </c>
      <c r="AC293" s="24">
        <v>0</v>
      </c>
      <c r="AE293" s="24">
        <v>0</v>
      </c>
      <c r="AG293" s="24">
        <v>0</v>
      </c>
      <c r="AI293" s="24">
        <f t="shared" si="10"/>
        <v>0</v>
      </c>
      <c r="AJ293" s="24"/>
    </row>
    <row r="294" spans="1:36" s="31" customFormat="1">
      <c r="A294" s="15" t="s">
        <v>706</v>
      </c>
      <c r="B294" s="15"/>
      <c r="C294" s="15" t="s">
        <v>430</v>
      </c>
      <c r="D294" s="15"/>
      <c r="E294" s="24">
        <f>800902+13574</f>
        <v>814476</v>
      </c>
      <c r="F294" s="24"/>
      <c r="G294" s="24">
        <v>0</v>
      </c>
      <c r="H294" s="24"/>
      <c r="I294" s="24">
        <f>371506+74715+823274-1</f>
        <v>1269494</v>
      </c>
      <c r="J294" s="24"/>
      <c r="K294" s="24">
        <v>0</v>
      </c>
      <c r="L294" s="24"/>
      <c r="M294" s="24">
        <v>3541</v>
      </c>
      <c r="N294" s="24"/>
      <c r="O294" s="24">
        <f>114218+11965</f>
        <v>126183</v>
      </c>
      <c r="P294" s="24"/>
      <c r="Q294" s="24">
        <v>804745</v>
      </c>
      <c r="R294" s="24"/>
      <c r="S294" s="24">
        <f>16823+8096</f>
        <v>24919</v>
      </c>
      <c r="T294" s="24"/>
      <c r="U294" s="24">
        <v>0</v>
      </c>
      <c r="V294" s="24"/>
      <c r="W294" s="24">
        <v>0</v>
      </c>
      <c r="X294" s="24"/>
      <c r="Y294" s="24">
        <v>0</v>
      </c>
      <c r="Z294" s="24"/>
      <c r="AA294" s="24">
        <v>100000</v>
      </c>
      <c r="AB294" s="24"/>
      <c r="AC294" s="24">
        <v>0</v>
      </c>
      <c r="AD294" s="24"/>
      <c r="AE294" s="24">
        <v>0</v>
      </c>
      <c r="AF294" s="24"/>
      <c r="AG294" s="24">
        <v>0</v>
      </c>
      <c r="AH294" s="24"/>
      <c r="AI294" s="24">
        <f t="shared" si="10"/>
        <v>3143358</v>
      </c>
      <c r="AJ294" s="24"/>
    </row>
    <row r="295" spans="1:36" s="24" customFormat="1" hidden="1">
      <c r="A295" s="24" t="s">
        <v>5</v>
      </c>
      <c r="C295" s="24" t="s">
        <v>751</v>
      </c>
      <c r="E295" s="24">
        <v>0</v>
      </c>
      <c r="G295" s="24">
        <v>0</v>
      </c>
      <c r="I295" s="24">
        <v>0</v>
      </c>
      <c r="K295" s="24">
        <v>0</v>
      </c>
      <c r="M295" s="24">
        <v>0</v>
      </c>
      <c r="O295" s="24">
        <v>0</v>
      </c>
      <c r="Q295" s="24">
        <v>0</v>
      </c>
      <c r="S295" s="24">
        <v>0</v>
      </c>
      <c r="U295" s="24">
        <v>0</v>
      </c>
      <c r="W295" s="24">
        <v>0</v>
      </c>
      <c r="Y295" s="24">
        <v>0</v>
      </c>
      <c r="AA295" s="24">
        <v>0</v>
      </c>
      <c r="AC295" s="24">
        <v>0</v>
      </c>
      <c r="AE295" s="24">
        <v>0</v>
      </c>
      <c r="AG295" s="24">
        <v>0</v>
      </c>
      <c r="AI295" s="24">
        <f t="shared" si="10"/>
        <v>0</v>
      </c>
    </row>
    <row r="296" spans="1:36" hidden="1">
      <c r="A296" s="15" t="s">
        <v>137</v>
      </c>
      <c r="C296" s="15" t="s">
        <v>792</v>
      </c>
      <c r="E296" s="24">
        <v>0</v>
      </c>
      <c r="G296" s="24">
        <v>0</v>
      </c>
      <c r="I296" s="24">
        <v>0</v>
      </c>
      <c r="K296" s="24">
        <v>0</v>
      </c>
      <c r="M296" s="24">
        <v>0</v>
      </c>
      <c r="O296" s="24">
        <v>0</v>
      </c>
      <c r="Q296" s="24">
        <v>0</v>
      </c>
      <c r="S296" s="24">
        <v>0</v>
      </c>
      <c r="U296" s="24">
        <v>0</v>
      </c>
      <c r="W296" s="24">
        <v>0</v>
      </c>
      <c r="Y296" s="24">
        <v>0</v>
      </c>
      <c r="AA296" s="24">
        <v>0</v>
      </c>
      <c r="AC296" s="24">
        <v>0</v>
      </c>
      <c r="AE296" s="24">
        <v>0</v>
      </c>
      <c r="AG296" s="24">
        <v>0</v>
      </c>
      <c r="AI296" s="24">
        <f t="shared" si="10"/>
        <v>0</v>
      </c>
      <c r="AJ296" s="24"/>
    </row>
    <row r="297" spans="1:36" s="31" customFormat="1" hidden="1">
      <c r="A297" s="15" t="s">
        <v>708</v>
      </c>
      <c r="B297" s="15"/>
      <c r="C297" s="15" t="s">
        <v>430</v>
      </c>
      <c r="D297" s="15"/>
      <c r="E297" s="24">
        <v>0</v>
      </c>
      <c r="F297" s="24"/>
      <c r="G297" s="24">
        <v>0</v>
      </c>
      <c r="H297" s="24"/>
      <c r="I297" s="24">
        <v>0</v>
      </c>
      <c r="J297" s="24"/>
      <c r="K297" s="24">
        <v>0</v>
      </c>
      <c r="L297" s="24"/>
      <c r="M297" s="24">
        <v>0</v>
      </c>
      <c r="N297" s="24"/>
      <c r="O297" s="24">
        <v>0</v>
      </c>
      <c r="P297" s="24"/>
      <c r="Q297" s="24">
        <v>0</v>
      </c>
      <c r="R297" s="24"/>
      <c r="S297" s="24">
        <v>0</v>
      </c>
      <c r="T297" s="24"/>
      <c r="U297" s="24">
        <v>0</v>
      </c>
      <c r="V297" s="24"/>
      <c r="W297" s="24">
        <v>0</v>
      </c>
      <c r="X297" s="24"/>
      <c r="Y297" s="24">
        <v>0</v>
      </c>
      <c r="Z297" s="24"/>
      <c r="AA297" s="24">
        <v>0</v>
      </c>
      <c r="AB297" s="24"/>
      <c r="AC297" s="24">
        <v>0</v>
      </c>
      <c r="AD297" s="24"/>
      <c r="AE297" s="24">
        <v>0</v>
      </c>
      <c r="AF297" s="24"/>
      <c r="AG297" s="24">
        <v>0</v>
      </c>
      <c r="AH297" s="24"/>
      <c r="AI297" s="24">
        <f t="shared" ref="AI297:AI306" si="11">SUM(E297:AG297)</f>
        <v>0</v>
      </c>
      <c r="AJ297" s="24"/>
    </row>
    <row r="298" spans="1:36">
      <c r="A298" s="15" t="s">
        <v>835</v>
      </c>
      <c r="C298" s="15" t="s">
        <v>554</v>
      </c>
      <c r="E298" s="24">
        <f>158449+5888</f>
        <v>164337</v>
      </c>
      <c r="G298" s="24">
        <v>745706</v>
      </c>
      <c r="I298" s="24">
        <f>256190+117232</f>
        <v>373422</v>
      </c>
      <c r="K298" s="24">
        <v>0</v>
      </c>
      <c r="M298" s="24">
        <f>17798+146058</f>
        <v>163856</v>
      </c>
      <c r="O298" s="24">
        <v>65317</v>
      </c>
      <c r="Q298" s="24">
        <v>12473</v>
      </c>
      <c r="S298" s="24">
        <f>191687+41937</f>
        <v>233624</v>
      </c>
      <c r="U298" s="24">
        <v>0</v>
      </c>
      <c r="W298" s="24">
        <v>0</v>
      </c>
      <c r="Y298" s="24">
        <v>0</v>
      </c>
      <c r="AA298" s="24">
        <v>0</v>
      </c>
      <c r="AC298" s="24">
        <v>0</v>
      </c>
      <c r="AE298" s="24">
        <v>29802</v>
      </c>
      <c r="AG298" s="24">
        <v>0</v>
      </c>
      <c r="AI298" s="24">
        <f t="shared" si="11"/>
        <v>1788537</v>
      </c>
      <c r="AJ298" s="24"/>
    </row>
    <row r="299" spans="1:36" hidden="1">
      <c r="A299" s="15" t="s">
        <v>707</v>
      </c>
      <c r="C299" s="15" t="s">
        <v>447</v>
      </c>
      <c r="E299" s="24">
        <v>0</v>
      </c>
      <c r="G299" s="24">
        <v>0</v>
      </c>
      <c r="I299" s="24">
        <v>0</v>
      </c>
      <c r="K299" s="24">
        <v>0</v>
      </c>
      <c r="M299" s="24">
        <v>0</v>
      </c>
      <c r="O299" s="24">
        <v>0</v>
      </c>
      <c r="Q299" s="24">
        <v>0</v>
      </c>
      <c r="S299" s="24">
        <v>0</v>
      </c>
      <c r="U299" s="24">
        <v>0</v>
      </c>
      <c r="W299" s="24">
        <v>0</v>
      </c>
      <c r="Y299" s="24">
        <v>0</v>
      </c>
      <c r="AA299" s="24">
        <v>0</v>
      </c>
      <c r="AC299" s="24">
        <v>0</v>
      </c>
      <c r="AE299" s="24">
        <v>0</v>
      </c>
      <c r="AG299" s="24">
        <v>0</v>
      </c>
      <c r="AI299" s="24">
        <f t="shared" si="11"/>
        <v>0</v>
      </c>
      <c r="AJ299" s="24"/>
    </row>
    <row r="300" spans="1:36" s="31" customFormat="1" hidden="1">
      <c r="A300" s="15" t="s">
        <v>709</v>
      </c>
      <c r="B300" s="15"/>
      <c r="C300" s="15" t="s">
        <v>464</v>
      </c>
      <c r="D300" s="15"/>
      <c r="E300" s="24">
        <v>0</v>
      </c>
      <c r="F300" s="24"/>
      <c r="G300" s="24">
        <v>0</v>
      </c>
      <c r="H300" s="24"/>
      <c r="I300" s="24">
        <v>0</v>
      </c>
      <c r="J300" s="24"/>
      <c r="K300" s="24">
        <v>0</v>
      </c>
      <c r="L300" s="24"/>
      <c r="M300" s="24">
        <v>0</v>
      </c>
      <c r="N300" s="24"/>
      <c r="O300" s="24">
        <v>0</v>
      </c>
      <c r="P300" s="24"/>
      <c r="Q300" s="24">
        <v>0</v>
      </c>
      <c r="R300" s="24"/>
      <c r="S300" s="24">
        <v>0</v>
      </c>
      <c r="T300" s="24"/>
      <c r="U300" s="24">
        <v>0</v>
      </c>
      <c r="V300" s="24"/>
      <c r="W300" s="24">
        <v>0</v>
      </c>
      <c r="X300" s="24"/>
      <c r="Y300" s="24">
        <v>0</v>
      </c>
      <c r="Z300" s="24"/>
      <c r="AA300" s="24">
        <v>0</v>
      </c>
      <c r="AB300" s="24"/>
      <c r="AC300" s="24">
        <v>0</v>
      </c>
      <c r="AD300" s="24"/>
      <c r="AE300" s="24">
        <v>0</v>
      </c>
      <c r="AF300" s="24"/>
      <c r="AG300" s="24">
        <v>0</v>
      </c>
      <c r="AH300" s="24"/>
      <c r="AI300" s="24">
        <f t="shared" si="11"/>
        <v>0</v>
      </c>
      <c r="AJ300" s="24"/>
    </row>
    <row r="301" spans="1:36" hidden="1">
      <c r="A301" s="15" t="s">
        <v>184</v>
      </c>
      <c r="C301" s="15" t="s">
        <v>808</v>
      </c>
      <c r="E301" s="24">
        <v>0</v>
      </c>
      <c r="G301" s="24">
        <v>0</v>
      </c>
      <c r="I301" s="24">
        <v>0</v>
      </c>
      <c r="K301" s="24">
        <v>0</v>
      </c>
      <c r="M301" s="24">
        <v>0</v>
      </c>
      <c r="O301" s="24">
        <v>0</v>
      </c>
      <c r="Q301" s="24">
        <v>0</v>
      </c>
      <c r="S301" s="24">
        <v>0</v>
      </c>
      <c r="U301" s="24">
        <v>0</v>
      </c>
      <c r="W301" s="24">
        <v>0</v>
      </c>
      <c r="Y301" s="24">
        <v>0</v>
      </c>
      <c r="AA301" s="24">
        <v>0</v>
      </c>
      <c r="AC301" s="24">
        <v>0</v>
      </c>
      <c r="AE301" s="24">
        <v>0</v>
      </c>
      <c r="AG301" s="24">
        <v>0</v>
      </c>
      <c r="AI301" s="24">
        <f t="shared" si="11"/>
        <v>0</v>
      </c>
      <c r="AJ301" s="24"/>
    </row>
    <row r="302" spans="1:36" hidden="1">
      <c r="A302" s="15" t="s">
        <v>162</v>
      </c>
      <c r="C302" s="15" t="s">
        <v>800</v>
      </c>
      <c r="E302" s="24">
        <v>0</v>
      </c>
      <c r="G302" s="24">
        <v>0</v>
      </c>
      <c r="I302" s="24">
        <v>0</v>
      </c>
      <c r="K302" s="24">
        <v>0</v>
      </c>
      <c r="M302" s="24">
        <v>0</v>
      </c>
      <c r="O302" s="24">
        <v>0</v>
      </c>
      <c r="Q302" s="24">
        <v>0</v>
      </c>
      <c r="S302" s="24">
        <v>0</v>
      </c>
      <c r="U302" s="24">
        <v>0</v>
      </c>
      <c r="W302" s="24">
        <v>0</v>
      </c>
      <c r="Y302" s="24">
        <v>0</v>
      </c>
      <c r="AA302" s="24">
        <v>0</v>
      </c>
      <c r="AC302" s="24">
        <v>0</v>
      </c>
      <c r="AE302" s="24">
        <v>0</v>
      </c>
      <c r="AG302" s="24">
        <v>0</v>
      </c>
      <c r="AI302" s="24">
        <f t="shared" si="11"/>
        <v>0</v>
      </c>
      <c r="AJ302" s="24"/>
    </row>
    <row r="303" spans="1:36" hidden="1">
      <c r="A303" s="15" t="s">
        <v>111</v>
      </c>
      <c r="C303" s="15" t="s">
        <v>784</v>
      </c>
      <c r="E303" s="24">
        <v>0</v>
      </c>
      <c r="G303" s="24">
        <v>0</v>
      </c>
      <c r="I303" s="24">
        <v>0</v>
      </c>
      <c r="K303" s="24">
        <v>0</v>
      </c>
      <c r="M303" s="24">
        <v>0</v>
      </c>
      <c r="O303" s="24">
        <v>0</v>
      </c>
      <c r="Q303" s="24">
        <v>0</v>
      </c>
      <c r="S303" s="24">
        <v>0</v>
      </c>
      <c r="U303" s="24">
        <v>0</v>
      </c>
      <c r="W303" s="24">
        <v>0</v>
      </c>
      <c r="Y303" s="24">
        <v>0</v>
      </c>
      <c r="AA303" s="24">
        <v>0</v>
      </c>
      <c r="AC303" s="24">
        <v>0</v>
      </c>
      <c r="AE303" s="24">
        <v>0</v>
      </c>
      <c r="AG303" s="24">
        <v>0</v>
      </c>
      <c r="AI303" s="24">
        <f t="shared" si="11"/>
        <v>0</v>
      </c>
      <c r="AJ303" s="24"/>
    </row>
    <row r="304" spans="1:36" hidden="1">
      <c r="A304" s="15" t="s">
        <v>29</v>
      </c>
      <c r="C304" s="15" t="s">
        <v>758</v>
      </c>
      <c r="E304" s="24">
        <v>0</v>
      </c>
      <c r="G304" s="24">
        <v>0</v>
      </c>
      <c r="I304" s="24">
        <v>0</v>
      </c>
      <c r="K304" s="24">
        <v>0</v>
      </c>
      <c r="M304" s="24">
        <v>0</v>
      </c>
      <c r="O304" s="24">
        <v>0</v>
      </c>
      <c r="Q304" s="24">
        <v>0</v>
      </c>
      <c r="S304" s="24">
        <v>0</v>
      </c>
      <c r="U304" s="24">
        <v>0</v>
      </c>
      <c r="W304" s="24">
        <v>0</v>
      </c>
      <c r="Y304" s="24">
        <v>0</v>
      </c>
      <c r="AA304" s="24">
        <v>0</v>
      </c>
      <c r="AC304" s="24">
        <v>0</v>
      </c>
      <c r="AE304" s="24">
        <v>0</v>
      </c>
      <c r="AG304" s="24">
        <v>0</v>
      </c>
      <c r="AI304" s="24">
        <f t="shared" si="11"/>
        <v>0</v>
      </c>
      <c r="AJ304" s="24"/>
    </row>
    <row r="305" spans="1:42" hidden="1">
      <c r="A305" s="15" t="s">
        <v>43</v>
      </c>
      <c r="C305" s="15" t="s">
        <v>763</v>
      </c>
      <c r="E305" s="24">
        <v>0</v>
      </c>
      <c r="G305" s="24">
        <v>0</v>
      </c>
      <c r="I305" s="24">
        <v>0</v>
      </c>
      <c r="K305" s="24">
        <v>0</v>
      </c>
      <c r="M305" s="24">
        <v>0</v>
      </c>
      <c r="O305" s="24">
        <v>0</v>
      </c>
      <c r="Q305" s="24">
        <v>0</v>
      </c>
      <c r="S305" s="24">
        <v>0</v>
      </c>
      <c r="U305" s="24">
        <v>0</v>
      </c>
      <c r="W305" s="24">
        <v>0</v>
      </c>
      <c r="Y305" s="24">
        <v>0</v>
      </c>
      <c r="AA305" s="24">
        <v>0</v>
      </c>
      <c r="AC305" s="24">
        <v>0</v>
      </c>
      <c r="AE305" s="24">
        <v>0</v>
      </c>
      <c r="AG305" s="24">
        <v>0</v>
      </c>
      <c r="AI305" s="24">
        <f t="shared" si="11"/>
        <v>0</v>
      </c>
      <c r="AJ305" s="24"/>
      <c r="AK305" s="30"/>
      <c r="AL305" s="30"/>
      <c r="AM305" s="30"/>
      <c r="AN305" s="30"/>
      <c r="AO305" s="30"/>
      <c r="AP305" s="30"/>
    </row>
    <row r="306" spans="1:42">
      <c r="A306" s="15" t="s">
        <v>914</v>
      </c>
      <c r="C306" s="15" t="s">
        <v>517</v>
      </c>
      <c r="E306" s="24">
        <f>186573+77077</f>
        <v>263650</v>
      </c>
      <c r="G306" s="24">
        <v>2494944</v>
      </c>
      <c r="I306" s="24">
        <f>1070989+125081+204042</f>
        <v>1400112</v>
      </c>
      <c r="K306" s="24">
        <v>535260</v>
      </c>
      <c r="M306" s="24">
        <f>28369+95792</f>
        <v>124161</v>
      </c>
      <c r="O306" s="24">
        <f>12730+218</f>
        <v>12948</v>
      </c>
      <c r="Q306" s="24">
        <v>818</v>
      </c>
      <c r="S306" s="24">
        <v>385409</v>
      </c>
      <c r="U306" s="24">
        <v>0</v>
      </c>
      <c r="W306" s="24">
        <v>0</v>
      </c>
      <c r="Y306" s="24">
        <v>79082</v>
      </c>
      <c r="AA306" s="24">
        <f>233000+517045</f>
        <v>750045</v>
      </c>
      <c r="AC306" s="24">
        <v>0</v>
      </c>
      <c r="AE306" s="24">
        <f>11857+7438</f>
        <v>19295</v>
      </c>
      <c r="AG306" s="24">
        <v>0</v>
      </c>
      <c r="AI306" s="24">
        <f t="shared" si="11"/>
        <v>6065724</v>
      </c>
      <c r="AJ306" s="24"/>
    </row>
    <row r="307" spans="1:42" hidden="1">
      <c r="AI307" s="24" t="s">
        <v>869</v>
      </c>
      <c r="AJ307" s="24"/>
    </row>
    <row r="308" spans="1:42" s="24" customFormat="1">
      <c r="A308" s="24" t="s">
        <v>512</v>
      </c>
      <c r="C308" s="24" t="s">
        <v>513</v>
      </c>
      <c r="E308" s="24">
        <f>152329+134941</f>
        <v>287270</v>
      </c>
      <c r="G308" s="24">
        <f>226410+452820</f>
        <v>679230</v>
      </c>
      <c r="I308" s="24">
        <f>111521+159806</f>
        <v>271327</v>
      </c>
      <c r="K308" s="24">
        <v>0</v>
      </c>
      <c r="M308" s="24">
        <f>271909+10000</f>
        <v>281909</v>
      </c>
      <c r="O308" s="24">
        <v>1195</v>
      </c>
      <c r="Q308" s="24">
        <v>18009</v>
      </c>
      <c r="S308" s="24">
        <f>2236+20</f>
        <v>2256</v>
      </c>
      <c r="U308" s="24">
        <v>0</v>
      </c>
      <c r="W308" s="24">
        <f>57574+2948</f>
        <v>60522</v>
      </c>
      <c r="Y308" s="24">
        <v>2000</v>
      </c>
      <c r="AA308" s="24">
        <f>141033+198022</f>
        <v>339055</v>
      </c>
      <c r="AC308" s="24">
        <v>0</v>
      </c>
      <c r="AE308" s="24">
        <f>11072+3241</f>
        <v>14313</v>
      </c>
      <c r="AG308" s="24">
        <v>0</v>
      </c>
      <c r="AI308" s="24">
        <f t="shared" ref="AI308:AI339" si="12">SUM(E308:AG308)</f>
        <v>1957086</v>
      </c>
    </row>
    <row r="309" spans="1:42" hidden="1">
      <c r="A309" s="15" t="s">
        <v>165</v>
      </c>
      <c r="C309" s="15" t="s">
        <v>801</v>
      </c>
      <c r="E309" s="24">
        <v>0</v>
      </c>
      <c r="G309" s="24">
        <v>0</v>
      </c>
      <c r="I309" s="24">
        <v>0</v>
      </c>
      <c r="K309" s="24">
        <v>0</v>
      </c>
      <c r="M309" s="24">
        <v>0</v>
      </c>
      <c r="O309" s="24">
        <v>0</v>
      </c>
      <c r="Q309" s="24">
        <v>0</v>
      </c>
      <c r="S309" s="24">
        <v>0</v>
      </c>
      <c r="U309" s="24">
        <v>0</v>
      </c>
      <c r="W309" s="24">
        <v>0</v>
      </c>
      <c r="Y309" s="24">
        <v>0</v>
      </c>
      <c r="AA309" s="24">
        <v>0</v>
      </c>
      <c r="AC309" s="24">
        <v>0</v>
      </c>
      <c r="AE309" s="24">
        <v>0</v>
      </c>
      <c r="AG309" s="24">
        <v>0</v>
      </c>
      <c r="AI309" s="24">
        <f t="shared" si="12"/>
        <v>0</v>
      </c>
      <c r="AJ309" s="24"/>
    </row>
    <row r="310" spans="1:42" s="31" customFormat="1">
      <c r="A310" s="15" t="s">
        <v>525</v>
      </c>
      <c r="B310" s="15"/>
      <c r="C310" s="15" t="s">
        <v>523</v>
      </c>
      <c r="D310" s="15"/>
      <c r="E310" s="24">
        <f>1788939+517690</f>
        <v>2306629</v>
      </c>
      <c r="F310" s="24"/>
      <c r="G310" s="24">
        <v>0</v>
      </c>
      <c r="H310" s="24"/>
      <c r="I310" s="24">
        <f>11060+1246596</f>
        <v>1257656</v>
      </c>
      <c r="J310" s="24"/>
      <c r="K310" s="24">
        <v>56</v>
      </c>
      <c r="L310" s="24"/>
      <c r="M310" s="24">
        <f>48701+211115+18379</f>
        <v>278195</v>
      </c>
      <c r="N310" s="24"/>
      <c r="O310" s="24">
        <f>63060+808</f>
        <v>63868</v>
      </c>
      <c r="P310" s="24"/>
      <c r="Q310" s="24">
        <f>22447+1670+407</f>
        <v>24524</v>
      </c>
      <c r="R310" s="24"/>
      <c r="S310" s="24">
        <f>15384+6249+46487</f>
        <v>68120</v>
      </c>
      <c r="T310" s="24"/>
      <c r="U310" s="24">
        <v>0</v>
      </c>
      <c r="V310" s="24"/>
      <c r="W310" s="24">
        <v>0</v>
      </c>
      <c r="X310" s="24"/>
      <c r="Y310" s="24">
        <v>0</v>
      </c>
      <c r="Z310" s="24"/>
      <c r="AA310" s="24">
        <v>0</v>
      </c>
      <c r="AB310" s="24"/>
      <c r="AC310" s="24">
        <v>0</v>
      </c>
      <c r="AD310" s="24"/>
      <c r="AE310" s="24">
        <f>86673+260052+62797</f>
        <v>409522</v>
      </c>
      <c r="AF310" s="24"/>
      <c r="AG310" s="24">
        <v>0</v>
      </c>
      <c r="AH310" s="24"/>
      <c r="AI310" s="24">
        <f t="shared" si="12"/>
        <v>4408570</v>
      </c>
      <c r="AJ310" s="24"/>
    </row>
    <row r="311" spans="1:42" s="31" customFormat="1" hidden="1">
      <c r="A311" s="15" t="s">
        <v>106</v>
      </c>
      <c r="B311" s="15"/>
      <c r="C311" s="15" t="s">
        <v>782</v>
      </c>
      <c r="D311" s="15"/>
      <c r="E311" s="24">
        <v>0</v>
      </c>
      <c r="F311" s="24"/>
      <c r="G311" s="24">
        <v>0</v>
      </c>
      <c r="H311" s="24"/>
      <c r="I311" s="24">
        <v>0</v>
      </c>
      <c r="J311" s="24"/>
      <c r="K311" s="24">
        <v>0</v>
      </c>
      <c r="L311" s="24"/>
      <c r="M311" s="24">
        <v>0</v>
      </c>
      <c r="N311" s="24"/>
      <c r="O311" s="24">
        <v>0</v>
      </c>
      <c r="P311" s="24"/>
      <c r="Q311" s="24">
        <v>0</v>
      </c>
      <c r="R311" s="24"/>
      <c r="S311" s="24">
        <v>0</v>
      </c>
      <c r="T311" s="24"/>
      <c r="U311" s="24">
        <v>0</v>
      </c>
      <c r="V311" s="24"/>
      <c r="W311" s="24">
        <v>0</v>
      </c>
      <c r="X311" s="24"/>
      <c r="Y311" s="24">
        <v>0</v>
      </c>
      <c r="Z311" s="24"/>
      <c r="AA311" s="24">
        <v>0</v>
      </c>
      <c r="AB311" s="24"/>
      <c r="AC311" s="24">
        <v>0</v>
      </c>
      <c r="AD311" s="24"/>
      <c r="AE311" s="24">
        <v>0</v>
      </c>
      <c r="AF311" s="24"/>
      <c r="AG311" s="24">
        <v>0</v>
      </c>
      <c r="AH311" s="24"/>
      <c r="AI311" s="24">
        <f t="shared" si="12"/>
        <v>0</v>
      </c>
      <c r="AJ311" s="24"/>
    </row>
    <row r="312" spans="1:42" hidden="1">
      <c r="A312" s="15" t="s">
        <v>226</v>
      </c>
      <c r="C312" s="15" t="s">
        <v>820</v>
      </c>
      <c r="E312" s="24">
        <v>0</v>
      </c>
      <c r="G312" s="24">
        <v>0</v>
      </c>
      <c r="I312" s="24">
        <v>0</v>
      </c>
      <c r="K312" s="24">
        <v>0</v>
      </c>
      <c r="M312" s="24">
        <v>0</v>
      </c>
      <c r="O312" s="24">
        <v>0</v>
      </c>
      <c r="Q312" s="24">
        <v>0</v>
      </c>
      <c r="S312" s="24">
        <v>0</v>
      </c>
      <c r="U312" s="24">
        <v>0</v>
      </c>
      <c r="W312" s="24">
        <v>0</v>
      </c>
      <c r="Y312" s="24">
        <v>0</v>
      </c>
      <c r="AA312" s="24">
        <v>0</v>
      </c>
      <c r="AC312" s="24">
        <v>0</v>
      </c>
      <c r="AE312" s="24">
        <v>0</v>
      </c>
      <c r="AG312" s="24">
        <v>0</v>
      </c>
      <c r="AI312" s="24">
        <f t="shared" si="12"/>
        <v>0</v>
      </c>
      <c r="AJ312" s="24"/>
    </row>
    <row r="313" spans="1:42">
      <c r="A313" s="15" t="s">
        <v>383</v>
      </c>
      <c r="C313" s="15" t="s">
        <v>378</v>
      </c>
      <c r="E313" s="24">
        <f>360156+626612</f>
        <v>986768</v>
      </c>
      <c r="G313" s="24">
        <v>692570</v>
      </c>
      <c r="I313" s="24">
        <f>197330+200744+206806</f>
        <v>604880</v>
      </c>
      <c r="K313" s="24">
        <v>1277</v>
      </c>
      <c r="M313" s="24">
        <v>179475</v>
      </c>
      <c r="O313" s="24">
        <f>97981+3802</f>
        <v>101783</v>
      </c>
      <c r="Q313" s="24">
        <v>6549</v>
      </c>
      <c r="S313" s="24">
        <f>2626+17926</f>
        <v>20552</v>
      </c>
      <c r="U313" s="24">
        <v>0</v>
      </c>
      <c r="W313" s="24">
        <v>0</v>
      </c>
      <c r="Y313" s="24">
        <v>0</v>
      </c>
      <c r="AA313" s="24">
        <f>60000+14000</f>
        <v>74000</v>
      </c>
      <c r="AC313" s="24">
        <v>0</v>
      </c>
      <c r="AE313" s="24">
        <v>0</v>
      </c>
      <c r="AG313" s="24">
        <v>0</v>
      </c>
      <c r="AI313" s="24">
        <f t="shared" si="12"/>
        <v>2667854</v>
      </c>
      <c r="AJ313" s="24"/>
    </row>
    <row r="314" spans="1:42" s="31" customFormat="1" hidden="1">
      <c r="A314" s="15" t="s">
        <v>215</v>
      </c>
      <c r="B314" s="15"/>
      <c r="C314" s="15" t="s">
        <v>816</v>
      </c>
      <c r="D314" s="15"/>
      <c r="E314" s="24">
        <v>0</v>
      </c>
      <c r="F314" s="24"/>
      <c r="G314" s="24">
        <v>0</v>
      </c>
      <c r="H314" s="24"/>
      <c r="I314" s="24">
        <v>0</v>
      </c>
      <c r="J314" s="24"/>
      <c r="K314" s="24">
        <v>0</v>
      </c>
      <c r="L314" s="24"/>
      <c r="M314" s="24">
        <v>0</v>
      </c>
      <c r="N314" s="24"/>
      <c r="O314" s="24">
        <v>0</v>
      </c>
      <c r="P314" s="24"/>
      <c r="Q314" s="24">
        <v>0</v>
      </c>
      <c r="R314" s="24"/>
      <c r="S314" s="24">
        <v>0</v>
      </c>
      <c r="T314" s="24"/>
      <c r="U314" s="24">
        <v>0</v>
      </c>
      <c r="V314" s="24"/>
      <c r="W314" s="24">
        <v>0</v>
      </c>
      <c r="X314" s="24"/>
      <c r="Y314" s="24">
        <v>0</v>
      </c>
      <c r="Z314" s="24"/>
      <c r="AA314" s="24">
        <v>0</v>
      </c>
      <c r="AB314" s="24"/>
      <c r="AC314" s="24">
        <v>0</v>
      </c>
      <c r="AD314" s="24"/>
      <c r="AE314" s="24">
        <v>0</v>
      </c>
      <c r="AF314" s="24"/>
      <c r="AG314" s="24">
        <v>0</v>
      </c>
      <c r="AH314" s="24"/>
      <c r="AI314" s="24">
        <f t="shared" si="12"/>
        <v>0</v>
      </c>
      <c r="AJ314" s="24"/>
    </row>
    <row r="315" spans="1:42" hidden="1">
      <c r="A315" s="15" t="s">
        <v>851</v>
      </c>
      <c r="C315" s="15" t="s">
        <v>766</v>
      </c>
      <c r="E315" s="24">
        <v>0</v>
      </c>
      <c r="G315" s="24">
        <v>0</v>
      </c>
      <c r="I315" s="24">
        <v>0</v>
      </c>
      <c r="K315" s="24">
        <v>0</v>
      </c>
      <c r="M315" s="24">
        <v>0</v>
      </c>
      <c r="O315" s="24">
        <v>0</v>
      </c>
      <c r="Q315" s="24">
        <v>0</v>
      </c>
      <c r="S315" s="24">
        <v>0</v>
      </c>
      <c r="U315" s="24">
        <v>0</v>
      </c>
      <c r="W315" s="24">
        <v>0</v>
      </c>
      <c r="Y315" s="24">
        <v>0</v>
      </c>
      <c r="AA315" s="24">
        <v>0</v>
      </c>
      <c r="AC315" s="24">
        <v>0</v>
      </c>
      <c r="AE315" s="24">
        <v>0</v>
      </c>
      <c r="AG315" s="24">
        <v>0</v>
      </c>
      <c r="AI315" s="24">
        <f t="shared" si="12"/>
        <v>0</v>
      </c>
      <c r="AJ315" s="24"/>
      <c r="AK315" s="30"/>
      <c r="AL315" s="30"/>
      <c r="AM315" s="30"/>
      <c r="AN315" s="30"/>
      <c r="AO315" s="30"/>
      <c r="AP315" s="30"/>
    </row>
    <row r="316" spans="1:42" hidden="1">
      <c r="A316" s="15" t="s">
        <v>44</v>
      </c>
      <c r="C316" s="15" t="s">
        <v>763</v>
      </c>
      <c r="E316" s="24">
        <v>0</v>
      </c>
      <c r="G316" s="24">
        <v>0</v>
      </c>
      <c r="I316" s="24">
        <v>0</v>
      </c>
      <c r="K316" s="24">
        <v>0</v>
      </c>
      <c r="M316" s="24">
        <v>0</v>
      </c>
      <c r="O316" s="24">
        <v>0</v>
      </c>
      <c r="Q316" s="24">
        <v>0</v>
      </c>
      <c r="S316" s="24">
        <v>0</v>
      </c>
      <c r="U316" s="24">
        <v>0</v>
      </c>
      <c r="W316" s="24">
        <v>0</v>
      </c>
      <c r="Y316" s="24">
        <v>0</v>
      </c>
      <c r="AA316" s="24">
        <v>0</v>
      </c>
      <c r="AC316" s="24">
        <v>0</v>
      </c>
      <c r="AE316" s="24">
        <v>0</v>
      </c>
      <c r="AG316" s="24">
        <v>0</v>
      </c>
      <c r="AI316" s="24">
        <f t="shared" si="12"/>
        <v>0</v>
      </c>
      <c r="AJ316" s="24"/>
      <c r="AK316" s="30"/>
      <c r="AL316" s="30"/>
      <c r="AM316" s="30"/>
      <c r="AN316" s="30"/>
      <c r="AO316" s="30"/>
      <c r="AP316" s="30"/>
    </row>
    <row r="317" spans="1:42">
      <c r="A317" s="15" t="s">
        <v>542</v>
      </c>
      <c r="C317" s="15" t="s">
        <v>541</v>
      </c>
      <c r="E317" s="24">
        <f>1985+1524</f>
        <v>3509</v>
      </c>
      <c r="G317" s="24">
        <v>0</v>
      </c>
      <c r="I317" s="24">
        <f>16208+7123</f>
        <v>23331</v>
      </c>
      <c r="K317" s="24">
        <v>0</v>
      </c>
      <c r="M317" s="24">
        <v>0</v>
      </c>
      <c r="O317" s="24">
        <v>675</v>
      </c>
      <c r="Q317" s="24">
        <v>33</v>
      </c>
      <c r="S317" s="24">
        <v>18</v>
      </c>
      <c r="U317" s="24">
        <v>0</v>
      </c>
      <c r="W317" s="24">
        <v>0</v>
      </c>
      <c r="Y317" s="24">
        <v>0</v>
      </c>
      <c r="AA317" s="24">
        <v>1886</v>
      </c>
      <c r="AC317" s="24">
        <v>0</v>
      </c>
      <c r="AE317" s="24">
        <v>0</v>
      </c>
      <c r="AG317" s="24">
        <v>0</v>
      </c>
      <c r="AI317" s="24">
        <f t="shared" si="12"/>
        <v>29452</v>
      </c>
      <c r="AJ317" s="24"/>
    </row>
    <row r="318" spans="1:42" s="31" customFormat="1" hidden="1">
      <c r="A318" s="15" t="s">
        <v>95</v>
      </c>
      <c r="B318" s="15"/>
      <c r="C318" s="15" t="s">
        <v>778</v>
      </c>
      <c r="D318" s="15"/>
      <c r="E318" s="24">
        <v>0</v>
      </c>
      <c r="F318" s="24"/>
      <c r="G318" s="24">
        <v>0</v>
      </c>
      <c r="H318" s="24"/>
      <c r="I318" s="24">
        <v>0</v>
      </c>
      <c r="J318" s="24"/>
      <c r="K318" s="24">
        <v>0</v>
      </c>
      <c r="L318" s="24"/>
      <c r="M318" s="24">
        <v>0</v>
      </c>
      <c r="N318" s="24"/>
      <c r="O318" s="24">
        <v>0</v>
      </c>
      <c r="P318" s="24"/>
      <c r="Q318" s="24">
        <v>0</v>
      </c>
      <c r="R318" s="24"/>
      <c r="S318" s="24">
        <v>0</v>
      </c>
      <c r="T318" s="24"/>
      <c r="U318" s="24">
        <v>0</v>
      </c>
      <c r="V318" s="24"/>
      <c r="W318" s="24">
        <v>0</v>
      </c>
      <c r="X318" s="24"/>
      <c r="Y318" s="24">
        <v>0</v>
      </c>
      <c r="Z318" s="24"/>
      <c r="AA318" s="24">
        <v>0</v>
      </c>
      <c r="AB318" s="24"/>
      <c r="AC318" s="24">
        <v>0</v>
      </c>
      <c r="AD318" s="24"/>
      <c r="AE318" s="24">
        <v>0</v>
      </c>
      <c r="AF318" s="24"/>
      <c r="AG318" s="24">
        <v>0</v>
      </c>
      <c r="AH318" s="24"/>
      <c r="AI318" s="24">
        <f t="shared" si="12"/>
        <v>0</v>
      </c>
      <c r="AJ318" s="24"/>
    </row>
    <row r="319" spans="1:42">
      <c r="A319" s="15" t="s">
        <v>465</v>
      </c>
      <c r="C319" s="15" t="s">
        <v>466</v>
      </c>
      <c r="E319" s="24">
        <v>432310</v>
      </c>
      <c r="G319" s="24">
        <v>0</v>
      </c>
      <c r="I319" s="24">
        <f>187485+149282+117</f>
        <v>336884</v>
      </c>
      <c r="K319" s="24">
        <v>8790</v>
      </c>
      <c r="M319" s="24">
        <f>355798+1000</f>
        <v>356798</v>
      </c>
      <c r="O319" s="24">
        <f>5195+500</f>
        <v>5695</v>
      </c>
      <c r="Q319" s="24">
        <f>128942+12234</f>
        <v>141176</v>
      </c>
      <c r="S319" s="24">
        <v>0</v>
      </c>
      <c r="U319" s="24">
        <v>0</v>
      </c>
      <c r="W319" s="24">
        <v>0</v>
      </c>
      <c r="Y319" s="24">
        <v>0</v>
      </c>
      <c r="AA319" s="24">
        <f>5159+6500</f>
        <v>11659</v>
      </c>
      <c r="AC319" s="24">
        <v>0</v>
      </c>
      <c r="AE319" s="24">
        <f>5222+257</f>
        <v>5479</v>
      </c>
      <c r="AG319" s="24">
        <v>0</v>
      </c>
      <c r="AI319" s="24">
        <f t="shared" si="12"/>
        <v>1298791</v>
      </c>
      <c r="AJ319" s="24"/>
    </row>
    <row r="320" spans="1:42">
      <c r="A320" s="15" t="s">
        <v>560</v>
      </c>
      <c r="C320" s="15" t="s">
        <v>561</v>
      </c>
      <c r="E320" s="24">
        <v>194729</v>
      </c>
      <c r="G320" s="24">
        <v>4856169</v>
      </c>
      <c r="I320" s="24">
        <f>150625+204414+566839</f>
        <v>921878</v>
      </c>
      <c r="K320" s="24">
        <v>1388</v>
      </c>
      <c r="M320" s="24">
        <f>187726+24095</f>
        <v>211821</v>
      </c>
      <c r="O320" s="24">
        <f>49006+2278</f>
        <v>51284</v>
      </c>
      <c r="Q320" s="24">
        <f>90780+21296</f>
        <v>112076</v>
      </c>
      <c r="S320" s="24">
        <f>23182+1152+67091</f>
        <v>91425</v>
      </c>
      <c r="U320" s="24">
        <v>0</v>
      </c>
      <c r="W320" s="24">
        <v>6376562</v>
      </c>
      <c r="Y320" s="24">
        <v>1100</v>
      </c>
      <c r="AA320" s="24">
        <f>2075635+621768+1146251+1066031</f>
        <v>4909685</v>
      </c>
      <c r="AC320" s="24">
        <v>0</v>
      </c>
      <c r="AE320" s="24">
        <v>0</v>
      </c>
      <c r="AG320" s="24">
        <v>0</v>
      </c>
      <c r="AI320" s="24">
        <f t="shared" si="12"/>
        <v>17728117</v>
      </c>
      <c r="AJ320" s="24"/>
      <c r="AL320" s="15">
        <v>5110792.83</v>
      </c>
    </row>
    <row r="321" spans="1:38" s="31" customFormat="1" hidden="1">
      <c r="A321" s="15" t="s">
        <v>88</v>
      </c>
      <c r="B321" s="15"/>
      <c r="C321" s="15" t="s">
        <v>777</v>
      </c>
      <c r="D321" s="15"/>
      <c r="E321" s="24">
        <v>0</v>
      </c>
      <c r="F321" s="24"/>
      <c r="G321" s="24">
        <v>0</v>
      </c>
      <c r="H321" s="24"/>
      <c r="I321" s="24">
        <v>0</v>
      </c>
      <c r="J321" s="24"/>
      <c r="K321" s="24">
        <v>0</v>
      </c>
      <c r="L321" s="24"/>
      <c r="M321" s="24">
        <v>0</v>
      </c>
      <c r="N321" s="24"/>
      <c r="O321" s="24">
        <v>0</v>
      </c>
      <c r="P321" s="24"/>
      <c r="Q321" s="24">
        <v>0</v>
      </c>
      <c r="R321" s="24"/>
      <c r="S321" s="24">
        <v>0</v>
      </c>
      <c r="T321" s="24"/>
      <c r="U321" s="24">
        <v>0</v>
      </c>
      <c r="V321" s="24"/>
      <c r="W321" s="24">
        <v>0</v>
      </c>
      <c r="X321" s="24"/>
      <c r="Y321" s="24">
        <v>0</v>
      </c>
      <c r="Z321" s="24"/>
      <c r="AA321" s="24">
        <v>0</v>
      </c>
      <c r="AB321" s="24"/>
      <c r="AC321" s="24">
        <v>0</v>
      </c>
      <c r="AD321" s="24"/>
      <c r="AE321" s="24">
        <v>0</v>
      </c>
      <c r="AF321" s="24"/>
      <c r="AG321" s="24">
        <v>0</v>
      </c>
      <c r="AH321" s="24"/>
      <c r="AI321" s="24">
        <f t="shared" si="12"/>
        <v>0</v>
      </c>
      <c r="AJ321" s="24"/>
      <c r="AL321" s="31">
        <v>633929.62</v>
      </c>
    </row>
    <row r="322" spans="1:38" hidden="1">
      <c r="A322" s="15" t="s">
        <v>245</v>
      </c>
      <c r="C322" s="15" t="s">
        <v>827</v>
      </c>
      <c r="E322" s="24">
        <v>0</v>
      </c>
      <c r="G322" s="24">
        <v>0</v>
      </c>
      <c r="I322" s="24">
        <v>0</v>
      </c>
      <c r="K322" s="24">
        <v>0</v>
      </c>
      <c r="M322" s="24">
        <v>0</v>
      </c>
      <c r="O322" s="24">
        <v>0</v>
      </c>
      <c r="Q322" s="24">
        <v>0</v>
      </c>
      <c r="S322" s="24">
        <v>0</v>
      </c>
      <c r="U322" s="24">
        <v>0</v>
      </c>
      <c r="W322" s="24">
        <v>0</v>
      </c>
      <c r="Y322" s="24">
        <v>0</v>
      </c>
      <c r="AA322" s="24">
        <v>0</v>
      </c>
      <c r="AC322" s="24">
        <v>0</v>
      </c>
      <c r="AE322" s="24">
        <v>0</v>
      </c>
      <c r="AG322" s="24">
        <v>0</v>
      </c>
      <c r="AI322" s="24">
        <f t="shared" si="12"/>
        <v>0</v>
      </c>
      <c r="AJ322" s="24"/>
      <c r="AL322" s="15">
        <v>621767.96</v>
      </c>
    </row>
    <row r="323" spans="1:38" hidden="1">
      <c r="A323" s="15" t="s">
        <v>858</v>
      </c>
      <c r="C323" s="15" t="s">
        <v>795</v>
      </c>
      <c r="E323" s="24">
        <v>0</v>
      </c>
      <c r="G323" s="24">
        <v>0</v>
      </c>
      <c r="I323" s="24">
        <v>0</v>
      </c>
      <c r="K323" s="24">
        <v>0</v>
      </c>
      <c r="M323" s="24">
        <v>0</v>
      </c>
      <c r="O323" s="24">
        <v>0</v>
      </c>
      <c r="Q323" s="24">
        <v>0</v>
      </c>
      <c r="S323" s="24">
        <v>0</v>
      </c>
      <c r="U323" s="24">
        <v>0</v>
      </c>
      <c r="W323" s="24">
        <v>0</v>
      </c>
      <c r="Y323" s="24">
        <v>0</v>
      </c>
      <c r="AA323" s="24">
        <v>0</v>
      </c>
      <c r="AC323" s="24">
        <v>0</v>
      </c>
      <c r="AE323" s="24">
        <v>0</v>
      </c>
      <c r="AG323" s="24">
        <v>0</v>
      </c>
      <c r="AI323" s="24">
        <f t="shared" si="12"/>
        <v>0</v>
      </c>
      <c r="AJ323" s="24"/>
      <c r="AL323" s="15">
        <v>1146251.1000000001</v>
      </c>
    </row>
    <row r="324" spans="1:38" hidden="1">
      <c r="A324" s="15" t="s">
        <v>246</v>
      </c>
      <c r="C324" s="15" t="s">
        <v>827</v>
      </c>
      <c r="E324" s="24">
        <v>0</v>
      </c>
      <c r="G324" s="24">
        <v>0</v>
      </c>
      <c r="I324" s="24">
        <v>0</v>
      </c>
      <c r="K324" s="24">
        <v>0</v>
      </c>
      <c r="M324" s="24">
        <v>0</v>
      </c>
      <c r="O324" s="24">
        <v>0</v>
      </c>
      <c r="Q324" s="24">
        <v>0</v>
      </c>
      <c r="S324" s="24">
        <v>0</v>
      </c>
      <c r="U324" s="24">
        <v>0</v>
      </c>
      <c r="W324" s="24">
        <v>0</v>
      </c>
      <c r="Y324" s="24">
        <v>0</v>
      </c>
      <c r="AA324" s="24">
        <v>0</v>
      </c>
      <c r="AC324" s="24">
        <v>0</v>
      </c>
      <c r="AE324" s="24">
        <v>0</v>
      </c>
      <c r="AG324" s="24">
        <v>0</v>
      </c>
      <c r="AI324" s="24">
        <f t="shared" si="12"/>
        <v>0</v>
      </c>
      <c r="AJ324" s="41"/>
      <c r="AL324" s="15">
        <v>1066030.96</v>
      </c>
    </row>
    <row r="325" spans="1:38">
      <c r="A325" s="15" t="s">
        <v>456</v>
      </c>
      <c r="C325" s="15" t="s">
        <v>523</v>
      </c>
      <c r="E325" s="24">
        <v>12615</v>
      </c>
      <c r="G325" s="24">
        <v>0</v>
      </c>
      <c r="I325" s="24">
        <f>55760+46177</f>
        <v>101937</v>
      </c>
      <c r="K325" s="24">
        <v>0</v>
      </c>
      <c r="M325" s="24">
        <v>1555</v>
      </c>
      <c r="O325" s="24">
        <v>6174</v>
      </c>
      <c r="Q325" s="24">
        <f>8698+285</f>
        <v>8983</v>
      </c>
      <c r="S325" s="24">
        <f>1160+6777</f>
        <v>7937</v>
      </c>
      <c r="U325" s="24">
        <v>0</v>
      </c>
      <c r="W325" s="24">
        <v>0</v>
      </c>
      <c r="Y325" s="24">
        <v>0</v>
      </c>
      <c r="AA325" s="24">
        <v>24719</v>
      </c>
      <c r="AC325" s="24">
        <v>0</v>
      </c>
      <c r="AE325" s="24">
        <v>0</v>
      </c>
      <c r="AG325" s="24">
        <v>0</v>
      </c>
      <c r="AI325" s="24">
        <f t="shared" si="12"/>
        <v>163920</v>
      </c>
      <c r="AJ325" s="24"/>
      <c r="AL325" s="15">
        <v>1100</v>
      </c>
    </row>
    <row r="326" spans="1:38" hidden="1">
      <c r="A326" s="15" t="s">
        <v>609</v>
      </c>
      <c r="C326" s="15" t="s">
        <v>606</v>
      </c>
      <c r="E326" s="24">
        <v>0</v>
      </c>
      <c r="G326" s="24">
        <v>0</v>
      </c>
      <c r="I326" s="24">
        <v>0</v>
      </c>
      <c r="K326" s="24">
        <v>0</v>
      </c>
      <c r="M326" s="24">
        <v>0</v>
      </c>
      <c r="O326" s="24">
        <v>0</v>
      </c>
      <c r="Q326" s="24">
        <v>0</v>
      </c>
      <c r="S326" s="24">
        <v>0</v>
      </c>
      <c r="U326" s="24">
        <v>0</v>
      </c>
      <c r="W326" s="24">
        <v>0</v>
      </c>
      <c r="Y326" s="24">
        <v>0</v>
      </c>
      <c r="AA326" s="24">
        <v>0</v>
      </c>
      <c r="AC326" s="24">
        <v>0</v>
      </c>
      <c r="AE326" s="24">
        <v>0</v>
      </c>
      <c r="AG326" s="24">
        <v>0</v>
      </c>
      <c r="AI326" s="24">
        <f t="shared" si="12"/>
        <v>0</v>
      </c>
      <c r="AJ326" s="24"/>
      <c r="AL326" s="15">
        <v>6376561.2999999998</v>
      </c>
    </row>
    <row r="327" spans="1:38" s="31" customFormat="1" hidden="1">
      <c r="A327" s="15" t="s">
        <v>110</v>
      </c>
      <c r="B327" s="15"/>
      <c r="C327" s="15" t="s">
        <v>783</v>
      </c>
      <c r="D327" s="15"/>
      <c r="E327" s="24">
        <v>0</v>
      </c>
      <c r="F327" s="24"/>
      <c r="G327" s="24">
        <v>0</v>
      </c>
      <c r="H327" s="24"/>
      <c r="I327" s="24">
        <v>0</v>
      </c>
      <c r="J327" s="24"/>
      <c r="K327" s="24">
        <v>0</v>
      </c>
      <c r="L327" s="24"/>
      <c r="M327" s="24">
        <v>0</v>
      </c>
      <c r="N327" s="24"/>
      <c r="O327" s="24">
        <v>0</v>
      </c>
      <c r="P327" s="24"/>
      <c r="Q327" s="24">
        <v>0</v>
      </c>
      <c r="R327" s="24"/>
      <c r="S327" s="24">
        <v>0</v>
      </c>
      <c r="T327" s="24"/>
      <c r="U327" s="24">
        <v>0</v>
      </c>
      <c r="V327" s="24"/>
      <c r="W327" s="24">
        <v>0</v>
      </c>
      <c r="X327" s="24"/>
      <c r="Y327" s="24">
        <v>0</v>
      </c>
      <c r="Z327" s="24"/>
      <c r="AA327" s="24">
        <v>0</v>
      </c>
      <c r="AB327" s="24"/>
      <c r="AC327" s="24">
        <v>0</v>
      </c>
      <c r="AD327" s="24"/>
      <c r="AE327" s="24">
        <v>0</v>
      </c>
      <c r="AF327" s="24"/>
      <c r="AG327" s="24">
        <v>0</v>
      </c>
      <c r="AH327" s="24"/>
      <c r="AI327" s="24">
        <f t="shared" si="12"/>
        <v>0</v>
      </c>
      <c r="AJ327" s="24"/>
      <c r="AL327" s="31">
        <f>SUM(AL320:AL326)</f>
        <v>14956433.77</v>
      </c>
    </row>
    <row r="328" spans="1:38" s="31" customFormat="1" hidden="1">
      <c r="A328" s="15" t="s">
        <v>78</v>
      </c>
      <c r="B328" s="15"/>
      <c r="C328" s="15" t="s">
        <v>774</v>
      </c>
      <c r="D328" s="15"/>
      <c r="E328" s="24">
        <v>0</v>
      </c>
      <c r="F328" s="24"/>
      <c r="G328" s="24">
        <v>0</v>
      </c>
      <c r="H328" s="24"/>
      <c r="I328" s="24">
        <v>0</v>
      </c>
      <c r="J328" s="24"/>
      <c r="K328" s="24">
        <v>0</v>
      </c>
      <c r="L328" s="24"/>
      <c r="M328" s="24">
        <v>0</v>
      </c>
      <c r="N328" s="24"/>
      <c r="O328" s="24">
        <v>0</v>
      </c>
      <c r="P328" s="24"/>
      <c r="Q328" s="24">
        <v>0</v>
      </c>
      <c r="R328" s="24"/>
      <c r="S328" s="24">
        <v>0</v>
      </c>
      <c r="T328" s="24"/>
      <c r="U328" s="24">
        <v>0</v>
      </c>
      <c r="V328" s="24"/>
      <c r="W328" s="24">
        <v>0</v>
      </c>
      <c r="X328" s="24"/>
      <c r="Y328" s="24">
        <v>0</v>
      </c>
      <c r="Z328" s="24"/>
      <c r="AA328" s="24">
        <v>0</v>
      </c>
      <c r="AB328" s="24"/>
      <c r="AC328" s="24">
        <v>0</v>
      </c>
      <c r="AD328" s="24"/>
      <c r="AE328" s="24">
        <v>0</v>
      </c>
      <c r="AF328" s="24"/>
      <c r="AG328" s="24">
        <v>0</v>
      </c>
      <c r="AH328" s="24"/>
      <c r="AI328" s="24">
        <f t="shared" si="12"/>
        <v>0</v>
      </c>
      <c r="AJ328" s="24"/>
    </row>
    <row r="329" spans="1:38" s="31" customFormat="1" hidden="1">
      <c r="A329" s="15" t="s">
        <v>432</v>
      </c>
      <c r="B329" s="15"/>
      <c r="C329" s="15" t="s">
        <v>430</v>
      </c>
      <c r="D329" s="15"/>
      <c r="E329" s="24">
        <v>0</v>
      </c>
      <c r="F329" s="24"/>
      <c r="G329" s="24">
        <v>0</v>
      </c>
      <c r="H329" s="24"/>
      <c r="I329" s="24">
        <v>0</v>
      </c>
      <c r="J329" s="24"/>
      <c r="K329" s="24">
        <v>0</v>
      </c>
      <c r="L329" s="24"/>
      <c r="M329" s="24">
        <v>0</v>
      </c>
      <c r="N329" s="24"/>
      <c r="O329" s="24">
        <v>0</v>
      </c>
      <c r="P329" s="24"/>
      <c r="Q329" s="24">
        <v>0</v>
      </c>
      <c r="R329" s="24"/>
      <c r="S329" s="24">
        <v>0</v>
      </c>
      <c r="T329" s="24"/>
      <c r="U329" s="24">
        <v>0</v>
      </c>
      <c r="V329" s="24"/>
      <c r="W329" s="24">
        <v>0</v>
      </c>
      <c r="X329" s="24"/>
      <c r="Y329" s="24">
        <v>0</v>
      </c>
      <c r="Z329" s="24"/>
      <c r="AA329" s="24">
        <v>0</v>
      </c>
      <c r="AB329" s="24"/>
      <c r="AC329" s="24">
        <v>0</v>
      </c>
      <c r="AD329" s="24"/>
      <c r="AE329" s="24">
        <v>0</v>
      </c>
      <c r="AF329" s="24"/>
      <c r="AG329" s="24">
        <v>0</v>
      </c>
      <c r="AH329" s="24"/>
      <c r="AI329" s="24">
        <f t="shared" si="12"/>
        <v>0</v>
      </c>
      <c r="AJ329" s="24"/>
    </row>
    <row r="330" spans="1:38" hidden="1">
      <c r="A330" s="15" t="s">
        <v>236</v>
      </c>
      <c r="C330" s="15" t="s">
        <v>824</v>
      </c>
      <c r="E330" s="24">
        <v>0</v>
      </c>
      <c r="G330" s="24">
        <v>0</v>
      </c>
      <c r="I330" s="24">
        <v>0</v>
      </c>
      <c r="K330" s="24">
        <v>0</v>
      </c>
      <c r="M330" s="24">
        <v>0</v>
      </c>
      <c r="O330" s="24">
        <v>0</v>
      </c>
      <c r="Q330" s="24">
        <v>0</v>
      </c>
      <c r="S330" s="24">
        <v>0</v>
      </c>
      <c r="U330" s="24">
        <v>0</v>
      </c>
      <c r="W330" s="24">
        <v>0</v>
      </c>
      <c r="Y330" s="24">
        <v>0</v>
      </c>
      <c r="AA330" s="24">
        <v>0</v>
      </c>
      <c r="AC330" s="24">
        <v>0</v>
      </c>
      <c r="AE330" s="24">
        <v>0</v>
      </c>
      <c r="AG330" s="24">
        <v>0</v>
      </c>
      <c r="AI330" s="24">
        <f t="shared" si="12"/>
        <v>0</v>
      </c>
      <c r="AJ330" s="24"/>
    </row>
    <row r="331" spans="1:38">
      <c r="A331" s="15" t="s">
        <v>549</v>
      </c>
      <c r="C331" s="15" t="s">
        <v>545</v>
      </c>
      <c r="E331" s="24">
        <f>118897+41198+7241</f>
        <v>167336</v>
      </c>
      <c r="G331" s="24">
        <v>0</v>
      </c>
      <c r="I331" s="24">
        <f>57620+42188+12468</f>
        <v>112276</v>
      </c>
      <c r="K331" s="24">
        <v>0</v>
      </c>
      <c r="M331" s="24">
        <f>85139+8675</f>
        <v>93814</v>
      </c>
      <c r="O331" s="24">
        <f>4998+1699</f>
        <v>6697</v>
      </c>
      <c r="Q331" s="24">
        <f>8385+30</f>
        <v>8415</v>
      </c>
      <c r="S331" s="24">
        <f>3765+2240+3992</f>
        <v>9997</v>
      </c>
      <c r="U331" s="24">
        <v>0</v>
      </c>
      <c r="W331" s="24">
        <v>0</v>
      </c>
      <c r="Y331" s="24">
        <v>0</v>
      </c>
      <c r="AA331" s="24">
        <f>4507+1578</f>
        <v>6085</v>
      </c>
      <c r="AC331" s="24">
        <v>1000</v>
      </c>
      <c r="AE331" s="24">
        <v>0</v>
      </c>
      <c r="AG331" s="24">
        <v>0</v>
      </c>
      <c r="AI331" s="24">
        <f t="shared" si="12"/>
        <v>405620</v>
      </c>
      <c r="AJ331" s="24"/>
    </row>
    <row r="332" spans="1:38" hidden="1">
      <c r="A332" s="15" t="s">
        <v>242</v>
      </c>
      <c r="C332" s="15" t="s">
        <v>826</v>
      </c>
      <c r="E332" s="24">
        <v>0</v>
      </c>
      <c r="G332" s="24">
        <v>0</v>
      </c>
      <c r="I332" s="24">
        <v>0</v>
      </c>
      <c r="K332" s="24">
        <v>0</v>
      </c>
      <c r="M332" s="24">
        <v>0</v>
      </c>
      <c r="O332" s="24">
        <v>0</v>
      </c>
      <c r="Q332" s="24">
        <v>0</v>
      </c>
      <c r="S332" s="24">
        <v>0</v>
      </c>
      <c r="U332" s="24">
        <v>0</v>
      </c>
      <c r="W332" s="24">
        <v>0</v>
      </c>
      <c r="Y332" s="24">
        <v>0</v>
      </c>
      <c r="AA332" s="24">
        <v>0</v>
      </c>
      <c r="AC332" s="24">
        <v>0</v>
      </c>
      <c r="AE332" s="24">
        <v>0</v>
      </c>
      <c r="AG332" s="24">
        <v>0</v>
      </c>
      <c r="AI332" s="24">
        <f t="shared" si="12"/>
        <v>0</v>
      </c>
      <c r="AJ332" s="24"/>
    </row>
    <row r="333" spans="1:38" hidden="1">
      <c r="A333" s="15" t="s">
        <v>107</v>
      </c>
      <c r="C333" s="15" t="s">
        <v>782</v>
      </c>
      <c r="E333" s="24">
        <v>0</v>
      </c>
      <c r="G333" s="24">
        <v>0</v>
      </c>
      <c r="I333" s="24">
        <v>0</v>
      </c>
      <c r="K333" s="24">
        <v>0</v>
      </c>
      <c r="M333" s="24">
        <v>0</v>
      </c>
      <c r="O333" s="24">
        <v>0</v>
      </c>
      <c r="Q333" s="24">
        <v>0</v>
      </c>
      <c r="S333" s="24">
        <v>0</v>
      </c>
      <c r="U333" s="24">
        <v>0</v>
      </c>
      <c r="W333" s="24">
        <v>0</v>
      </c>
      <c r="Y333" s="24">
        <v>0</v>
      </c>
      <c r="AA333" s="24">
        <v>0</v>
      </c>
      <c r="AC333" s="24">
        <v>0</v>
      </c>
      <c r="AE333" s="24">
        <v>0</v>
      </c>
      <c r="AG333" s="24">
        <v>0</v>
      </c>
      <c r="AI333" s="24">
        <f t="shared" si="12"/>
        <v>0</v>
      </c>
      <c r="AJ333" s="24"/>
    </row>
    <row r="334" spans="1:38" hidden="1">
      <c r="A334" s="15" t="s">
        <v>30</v>
      </c>
      <c r="C334" s="15" t="s">
        <v>758</v>
      </c>
      <c r="E334" s="24">
        <v>0</v>
      </c>
      <c r="G334" s="24">
        <v>0</v>
      </c>
      <c r="I334" s="24">
        <v>0</v>
      </c>
      <c r="K334" s="24">
        <v>0</v>
      </c>
      <c r="M334" s="24">
        <v>0</v>
      </c>
      <c r="O334" s="24">
        <v>0</v>
      </c>
      <c r="Q334" s="24">
        <v>0</v>
      </c>
      <c r="S334" s="24">
        <v>0</v>
      </c>
      <c r="U334" s="24">
        <v>0</v>
      </c>
      <c r="W334" s="24">
        <v>0</v>
      </c>
      <c r="Y334" s="24">
        <v>0</v>
      </c>
      <c r="AA334" s="24">
        <v>0</v>
      </c>
      <c r="AC334" s="24">
        <v>0</v>
      </c>
      <c r="AE334" s="24">
        <v>0</v>
      </c>
      <c r="AG334" s="24">
        <v>0</v>
      </c>
      <c r="AI334" s="24">
        <f t="shared" si="12"/>
        <v>0</v>
      </c>
      <c r="AJ334" s="24"/>
    </row>
    <row r="335" spans="1:38" s="24" customFormat="1" hidden="1">
      <c r="A335" s="24" t="s">
        <v>195</v>
      </c>
      <c r="C335" s="24" t="s">
        <v>811</v>
      </c>
      <c r="E335" s="24">
        <v>0</v>
      </c>
      <c r="G335" s="24">
        <v>0</v>
      </c>
      <c r="I335" s="24">
        <v>0</v>
      </c>
      <c r="K335" s="24">
        <v>0</v>
      </c>
      <c r="M335" s="24">
        <v>0</v>
      </c>
      <c r="O335" s="24">
        <v>0</v>
      </c>
      <c r="Q335" s="24">
        <v>0</v>
      </c>
      <c r="S335" s="24">
        <v>0</v>
      </c>
      <c r="U335" s="24">
        <v>0</v>
      </c>
      <c r="W335" s="24">
        <v>0</v>
      </c>
      <c r="Y335" s="24">
        <v>0</v>
      </c>
      <c r="AA335" s="24">
        <v>0</v>
      </c>
      <c r="AC335" s="24">
        <v>0</v>
      </c>
      <c r="AE335" s="24">
        <v>0</v>
      </c>
      <c r="AG335" s="24">
        <v>0</v>
      </c>
      <c r="AI335" s="24">
        <f t="shared" si="12"/>
        <v>0</v>
      </c>
    </row>
    <row r="336" spans="1:38" s="31" customFormat="1" hidden="1">
      <c r="A336" s="15" t="s">
        <v>73</v>
      </c>
      <c r="B336" s="15"/>
      <c r="C336" s="15" t="s">
        <v>773</v>
      </c>
      <c r="D336" s="15"/>
      <c r="E336" s="24">
        <v>0</v>
      </c>
      <c r="F336" s="24"/>
      <c r="G336" s="24">
        <v>0</v>
      </c>
      <c r="H336" s="24"/>
      <c r="I336" s="24">
        <v>0</v>
      </c>
      <c r="J336" s="24"/>
      <c r="K336" s="24">
        <v>0</v>
      </c>
      <c r="L336" s="24"/>
      <c r="M336" s="24">
        <v>0</v>
      </c>
      <c r="N336" s="24"/>
      <c r="O336" s="24">
        <v>0</v>
      </c>
      <c r="P336" s="24"/>
      <c r="Q336" s="24">
        <v>0</v>
      </c>
      <c r="R336" s="24"/>
      <c r="S336" s="24">
        <v>0</v>
      </c>
      <c r="T336" s="24"/>
      <c r="U336" s="24">
        <v>0</v>
      </c>
      <c r="V336" s="24"/>
      <c r="W336" s="24">
        <v>0</v>
      </c>
      <c r="X336" s="24"/>
      <c r="Y336" s="24">
        <v>0</v>
      </c>
      <c r="Z336" s="24"/>
      <c r="AA336" s="24">
        <v>0</v>
      </c>
      <c r="AB336" s="24"/>
      <c r="AC336" s="24">
        <v>0</v>
      </c>
      <c r="AD336" s="24"/>
      <c r="AE336" s="24">
        <v>0</v>
      </c>
      <c r="AF336" s="24"/>
      <c r="AG336" s="24">
        <v>0</v>
      </c>
      <c r="AH336" s="24"/>
      <c r="AI336" s="24">
        <f t="shared" si="12"/>
        <v>0</v>
      </c>
      <c r="AJ336" s="24"/>
    </row>
    <row r="337" spans="1:42" hidden="1">
      <c r="A337" s="15" t="s">
        <v>846</v>
      </c>
      <c r="C337" s="15" t="s">
        <v>807</v>
      </c>
      <c r="E337" s="24">
        <v>0</v>
      </c>
      <c r="G337" s="24">
        <v>0</v>
      </c>
      <c r="I337" s="24">
        <v>0</v>
      </c>
      <c r="K337" s="24">
        <v>0</v>
      </c>
      <c r="M337" s="24">
        <v>0</v>
      </c>
      <c r="O337" s="24">
        <v>0</v>
      </c>
      <c r="Q337" s="24">
        <v>0</v>
      </c>
      <c r="S337" s="24">
        <v>0</v>
      </c>
      <c r="U337" s="24">
        <v>0</v>
      </c>
      <c r="W337" s="24">
        <v>0</v>
      </c>
      <c r="Y337" s="24">
        <v>0</v>
      </c>
      <c r="AA337" s="24">
        <v>0</v>
      </c>
      <c r="AC337" s="24">
        <v>0</v>
      </c>
      <c r="AE337" s="24">
        <v>0</v>
      </c>
      <c r="AG337" s="24">
        <v>0</v>
      </c>
      <c r="AI337" s="24">
        <f t="shared" si="12"/>
        <v>0</v>
      </c>
      <c r="AJ337" s="24"/>
    </row>
    <row r="338" spans="1:42" s="31" customFormat="1" hidden="1">
      <c r="A338" s="15" t="s">
        <v>173</v>
      </c>
      <c r="B338" s="15"/>
      <c r="C338" s="15" t="s">
        <v>243</v>
      </c>
      <c r="D338" s="15"/>
      <c r="E338" s="24">
        <v>0</v>
      </c>
      <c r="F338" s="24"/>
      <c r="G338" s="24">
        <v>0</v>
      </c>
      <c r="H338" s="24"/>
      <c r="I338" s="24">
        <v>0</v>
      </c>
      <c r="J338" s="24"/>
      <c r="K338" s="24">
        <v>0</v>
      </c>
      <c r="L338" s="24"/>
      <c r="M338" s="24">
        <v>0</v>
      </c>
      <c r="N338" s="24"/>
      <c r="O338" s="24">
        <v>0</v>
      </c>
      <c r="P338" s="24"/>
      <c r="Q338" s="24">
        <v>0</v>
      </c>
      <c r="R338" s="24"/>
      <c r="S338" s="24">
        <v>0</v>
      </c>
      <c r="T338" s="24"/>
      <c r="U338" s="24">
        <v>0</v>
      </c>
      <c r="V338" s="24"/>
      <c r="W338" s="24">
        <v>0</v>
      </c>
      <c r="X338" s="24"/>
      <c r="Y338" s="24">
        <v>0</v>
      </c>
      <c r="Z338" s="24"/>
      <c r="AA338" s="24">
        <v>0</v>
      </c>
      <c r="AB338" s="24"/>
      <c r="AC338" s="24">
        <v>0</v>
      </c>
      <c r="AD338" s="24"/>
      <c r="AE338" s="24">
        <v>0</v>
      </c>
      <c r="AF338" s="24"/>
      <c r="AG338" s="24">
        <v>0</v>
      </c>
      <c r="AH338" s="24"/>
      <c r="AI338" s="24">
        <f t="shared" si="12"/>
        <v>0</v>
      </c>
      <c r="AJ338" s="24"/>
    </row>
    <row r="339" spans="1:42" s="31" customFormat="1">
      <c r="A339" s="15" t="s">
        <v>384</v>
      </c>
      <c r="B339" s="15"/>
      <c r="C339" s="15" t="s">
        <v>378</v>
      </c>
      <c r="D339" s="15"/>
      <c r="E339" s="24">
        <f>300601+243429+351050+1</f>
        <v>895081</v>
      </c>
      <c r="F339" s="24"/>
      <c r="G339" s="24">
        <v>1817458</v>
      </c>
      <c r="H339" s="24"/>
      <c r="I339" s="24">
        <f>340480+153855+35395</f>
        <v>529730</v>
      </c>
      <c r="J339" s="24"/>
      <c r="K339" s="24">
        <v>0</v>
      </c>
      <c r="L339" s="24"/>
      <c r="M339" s="24">
        <f>235347+63879</f>
        <v>299226</v>
      </c>
      <c r="N339" s="24"/>
      <c r="O339" s="24">
        <f>182872+4665+771</f>
        <v>188308</v>
      </c>
      <c r="P339" s="24"/>
      <c r="Q339" s="24">
        <f>41277+11825</f>
        <v>53102</v>
      </c>
      <c r="R339" s="24"/>
      <c r="S339" s="24">
        <f>77215+15053+72696+638</f>
        <v>165602</v>
      </c>
      <c r="T339" s="24"/>
      <c r="U339" s="24">
        <v>0</v>
      </c>
      <c r="V339" s="24"/>
      <c r="W339" s="24">
        <v>0</v>
      </c>
      <c r="X339" s="24"/>
      <c r="Y339" s="24">
        <v>0</v>
      </c>
      <c r="Z339" s="24"/>
      <c r="AA339" s="24">
        <v>0</v>
      </c>
      <c r="AB339" s="24"/>
      <c r="AC339" s="24">
        <v>0</v>
      </c>
      <c r="AD339" s="24"/>
      <c r="AE339" s="24">
        <v>0</v>
      </c>
      <c r="AF339" s="24"/>
      <c r="AG339" s="24">
        <v>0</v>
      </c>
      <c r="AH339" s="24"/>
      <c r="AI339" s="24">
        <f t="shared" si="12"/>
        <v>3948507</v>
      </c>
      <c r="AJ339" s="24"/>
    </row>
    <row r="340" spans="1:42">
      <c r="A340" s="15" t="s">
        <v>591</v>
      </c>
      <c r="C340" s="15" t="s">
        <v>590</v>
      </c>
      <c r="E340" s="24">
        <v>2984</v>
      </c>
      <c r="G340" s="24">
        <f>36384+50+427</f>
        <v>36861</v>
      </c>
      <c r="I340" s="24">
        <v>24889</v>
      </c>
      <c r="K340" s="24">
        <v>0</v>
      </c>
      <c r="M340" s="24">
        <v>0</v>
      </c>
      <c r="O340" s="24">
        <v>0</v>
      </c>
      <c r="Q340" s="24">
        <v>0</v>
      </c>
      <c r="S340" s="24">
        <v>275</v>
      </c>
      <c r="U340" s="24">
        <v>0</v>
      </c>
      <c r="W340" s="24">
        <v>0</v>
      </c>
      <c r="Y340" s="24">
        <v>0</v>
      </c>
      <c r="AA340" s="24">
        <v>0</v>
      </c>
      <c r="AC340" s="24">
        <v>0</v>
      </c>
      <c r="AE340" s="24">
        <v>0</v>
      </c>
      <c r="AG340" s="24">
        <v>0</v>
      </c>
      <c r="AI340" s="24">
        <f t="shared" ref="AI340:AI371" si="13">SUM(E340:AG340)</f>
        <v>65009</v>
      </c>
      <c r="AJ340" s="24"/>
    </row>
    <row r="341" spans="1:42">
      <c r="A341" s="15" t="s">
        <v>686</v>
      </c>
      <c r="C341" s="15" t="s">
        <v>593</v>
      </c>
      <c r="E341" s="24">
        <v>40110</v>
      </c>
      <c r="G341" s="24">
        <v>55151</v>
      </c>
      <c r="I341" s="24">
        <f>50001+258005</f>
        <v>308006</v>
      </c>
      <c r="K341" s="24">
        <v>0</v>
      </c>
      <c r="M341" s="24">
        <f>4282+56647</f>
        <v>60929</v>
      </c>
      <c r="O341" s="24">
        <v>165</v>
      </c>
      <c r="Q341" s="24">
        <v>3805</v>
      </c>
      <c r="S341" s="24">
        <f>57258+16096</f>
        <v>73354</v>
      </c>
      <c r="U341" s="24">
        <v>0</v>
      </c>
      <c r="W341" s="24">
        <v>0</v>
      </c>
      <c r="Y341" s="24">
        <v>0</v>
      </c>
      <c r="AA341" s="24">
        <v>10000</v>
      </c>
      <c r="AC341" s="24">
        <v>0</v>
      </c>
      <c r="AE341" s="24">
        <v>0</v>
      </c>
      <c r="AG341" s="24">
        <v>0</v>
      </c>
      <c r="AI341" s="24">
        <f t="shared" si="13"/>
        <v>551520</v>
      </c>
      <c r="AJ341" s="24"/>
    </row>
    <row r="342" spans="1:42" hidden="1">
      <c r="A342" s="15" t="s">
        <v>123</v>
      </c>
      <c r="C342" s="15" t="s">
        <v>787</v>
      </c>
      <c r="E342" s="24">
        <v>0</v>
      </c>
      <c r="G342" s="24">
        <v>0</v>
      </c>
      <c r="I342" s="24">
        <v>0</v>
      </c>
      <c r="K342" s="24">
        <v>0</v>
      </c>
      <c r="M342" s="24">
        <v>0</v>
      </c>
      <c r="O342" s="24">
        <v>0</v>
      </c>
      <c r="Q342" s="24">
        <v>0</v>
      </c>
      <c r="S342" s="24">
        <v>0</v>
      </c>
      <c r="U342" s="24">
        <v>0</v>
      </c>
      <c r="W342" s="24">
        <v>0</v>
      </c>
      <c r="Y342" s="24">
        <v>0</v>
      </c>
      <c r="AA342" s="24">
        <v>0</v>
      </c>
      <c r="AC342" s="24">
        <v>0</v>
      </c>
      <c r="AE342" s="24">
        <v>0</v>
      </c>
      <c r="AG342" s="24">
        <v>0</v>
      </c>
      <c r="AI342" s="24">
        <f t="shared" si="13"/>
        <v>0</v>
      </c>
      <c r="AJ342" s="24"/>
    </row>
    <row r="343" spans="1:42" s="31" customFormat="1" ht="12.6" hidden="1" customHeight="1">
      <c r="A343" s="15" t="s">
        <v>301</v>
      </c>
      <c r="B343" s="15"/>
      <c r="C343" s="15" t="s">
        <v>299</v>
      </c>
      <c r="D343" s="15"/>
      <c r="E343" s="24">
        <v>0</v>
      </c>
      <c r="F343" s="24"/>
      <c r="G343" s="24">
        <v>0</v>
      </c>
      <c r="H343" s="24"/>
      <c r="I343" s="24">
        <v>0</v>
      </c>
      <c r="J343" s="24"/>
      <c r="K343" s="24">
        <v>0</v>
      </c>
      <c r="L343" s="24"/>
      <c r="M343" s="24">
        <v>0</v>
      </c>
      <c r="N343" s="24"/>
      <c r="O343" s="24">
        <v>0</v>
      </c>
      <c r="P343" s="24"/>
      <c r="Q343" s="24">
        <v>0</v>
      </c>
      <c r="R343" s="24"/>
      <c r="S343" s="24">
        <v>0</v>
      </c>
      <c r="T343" s="24"/>
      <c r="U343" s="24">
        <v>0</v>
      </c>
      <c r="V343" s="24"/>
      <c r="W343" s="24">
        <v>0</v>
      </c>
      <c r="X343" s="24"/>
      <c r="Y343" s="24">
        <v>0</v>
      </c>
      <c r="Z343" s="24"/>
      <c r="AA343" s="24">
        <v>0</v>
      </c>
      <c r="AB343" s="24"/>
      <c r="AC343" s="24">
        <v>0</v>
      </c>
      <c r="AD343" s="24"/>
      <c r="AE343" s="24">
        <v>0</v>
      </c>
      <c r="AF343" s="24"/>
      <c r="AG343" s="24">
        <v>0</v>
      </c>
      <c r="AH343" s="24"/>
      <c r="AI343" s="24">
        <f t="shared" si="13"/>
        <v>0</v>
      </c>
      <c r="AJ343" s="24"/>
      <c r="AK343" s="32"/>
      <c r="AL343" s="32"/>
      <c r="AM343" s="32"/>
      <c r="AN343" s="32"/>
      <c r="AO343" s="32"/>
      <c r="AP343" s="32"/>
    </row>
    <row r="344" spans="1:42" hidden="1">
      <c r="A344" s="15" t="s">
        <v>247</v>
      </c>
      <c r="C344" s="15" t="s">
        <v>827</v>
      </c>
      <c r="E344" s="24">
        <v>0</v>
      </c>
      <c r="G344" s="24">
        <v>0</v>
      </c>
      <c r="I344" s="24">
        <v>0</v>
      </c>
      <c r="K344" s="24">
        <v>0</v>
      </c>
      <c r="M344" s="24">
        <v>0</v>
      </c>
      <c r="O344" s="24">
        <v>0</v>
      </c>
      <c r="Q344" s="24">
        <v>0</v>
      </c>
      <c r="S344" s="24">
        <v>0</v>
      </c>
      <c r="U344" s="24">
        <v>0</v>
      </c>
      <c r="W344" s="24">
        <v>0</v>
      </c>
      <c r="Y344" s="24">
        <v>0</v>
      </c>
      <c r="AA344" s="24">
        <v>0</v>
      </c>
      <c r="AC344" s="24">
        <v>0</v>
      </c>
      <c r="AE344" s="24">
        <v>0</v>
      </c>
      <c r="AG344" s="24">
        <v>0</v>
      </c>
      <c r="AI344" s="24">
        <f t="shared" si="13"/>
        <v>0</v>
      </c>
      <c r="AJ344" s="24"/>
    </row>
    <row r="345" spans="1:42" s="31" customFormat="1" ht="12.6" hidden="1" customHeight="1">
      <c r="A345" s="15" t="s">
        <v>322</v>
      </c>
      <c r="B345" s="15"/>
      <c r="C345" s="15" t="s">
        <v>316</v>
      </c>
      <c r="D345" s="15"/>
      <c r="E345" s="24">
        <v>0</v>
      </c>
      <c r="F345" s="24"/>
      <c r="G345" s="24">
        <v>0</v>
      </c>
      <c r="H345" s="24"/>
      <c r="I345" s="24">
        <v>0</v>
      </c>
      <c r="J345" s="24"/>
      <c r="K345" s="24">
        <v>0</v>
      </c>
      <c r="L345" s="24"/>
      <c r="M345" s="24">
        <v>0</v>
      </c>
      <c r="N345" s="24"/>
      <c r="O345" s="24">
        <v>0</v>
      </c>
      <c r="P345" s="24"/>
      <c r="Q345" s="24">
        <v>0</v>
      </c>
      <c r="R345" s="24"/>
      <c r="S345" s="24">
        <v>0</v>
      </c>
      <c r="T345" s="24"/>
      <c r="U345" s="24">
        <v>0</v>
      </c>
      <c r="V345" s="24"/>
      <c r="W345" s="24">
        <v>0</v>
      </c>
      <c r="X345" s="24"/>
      <c r="Y345" s="24">
        <v>0</v>
      </c>
      <c r="Z345" s="24"/>
      <c r="AA345" s="24">
        <v>0</v>
      </c>
      <c r="AB345" s="24"/>
      <c r="AC345" s="24">
        <v>0</v>
      </c>
      <c r="AD345" s="24"/>
      <c r="AE345" s="24">
        <v>0</v>
      </c>
      <c r="AF345" s="24"/>
      <c r="AG345" s="24">
        <v>0</v>
      </c>
      <c r="AH345" s="24"/>
      <c r="AI345" s="24">
        <f t="shared" si="13"/>
        <v>0</v>
      </c>
      <c r="AJ345" s="24"/>
      <c r="AK345" s="32"/>
      <c r="AL345" s="32"/>
      <c r="AM345" s="32"/>
      <c r="AN345" s="32"/>
      <c r="AO345" s="32"/>
      <c r="AP345" s="32"/>
    </row>
    <row r="346" spans="1:42">
      <c r="A346" s="15" t="s">
        <v>302</v>
      </c>
      <c r="C346" s="15" t="s">
        <v>82</v>
      </c>
      <c r="E346" s="24">
        <f>72399+182851</f>
        <v>255250</v>
      </c>
      <c r="G346" s="24">
        <v>0</v>
      </c>
      <c r="I346" s="24">
        <f>120465+132941</f>
        <v>253406</v>
      </c>
      <c r="K346" s="24">
        <v>0</v>
      </c>
      <c r="M346" s="24">
        <v>66390</v>
      </c>
      <c r="O346" s="24">
        <f>25299+1791</f>
        <v>27090</v>
      </c>
      <c r="Q346" s="24">
        <f>1805+753</f>
        <v>2558</v>
      </c>
      <c r="S346" s="24">
        <f>3751+10232</f>
        <v>13983</v>
      </c>
      <c r="U346" s="24">
        <v>9273</v>
      </c>
      <c r="W346" s="24">
        <v>0</v>
      </c>
      <c r="Y346" s="24">
        <v>1860</v>
      </c>
      <c r="AA346" s="24">
        <v>0</v>
      </c>
      <c r="AC346" s="24">
        <v>0</v>
      </c>
      <c r="AE346" s="24">
        <f>20049+3245</f>
        <v>23294</v>
      </c>
      <c r="AG346" s="24">
        <v>0</v>
      </c>
      <c r="AI346" s="24">
        <f t="shared" si="13"/>
        <v>653104</v>
      </c>
      <c r="AJ346" s="24"/>
    </row>
    <row r="347" spans="1:42" hidden="1">
      <c r="A347" s="15" t="s">
        <v>108</v>
      </c>
      <c r="C347" s="15" t="s">
        <v>782</v>
      </c>
      <c r="E347" s="24">
        <v>0</v>
      </c>
      <c r="G347" s="24">
        <v>0</v>
      </c>
      <c r="I347" s="24">
        <v>0</v>
      </c>
      <c r="K347" s="24">
        <v>0</v>
      </c>
      <c r="M347" s="24">
        <v>0</v>
      </c>
      <c r="O347" s="24">
        <v>0</v>
      </c>
      <c r="Q347" s="24">
        <v>0</v>
      </c>
      <c r="S347" s="24">
        <v>0</v>
      </c>
      <c r="U347" s="24">
        <v>0</v>
      </c>
      <c r="W347" s="24">
        <v>0</v>
      </c>
      <c r="Y347" s="24">
        <v>0</v>
      </c>
      <c r="AA347" s="24">
        <v>0</v>
      </c>
      <c r="AC347" s="24">
        <v>0</v>
      </c>
      <c r="AE347" s="24">
        <v>0</v>
      </c>
      <c r="AG347" s="24">
        <v>0</v>
      </c>
      <c r="AI347" s="24">
        <f t="shared" si="13"/>
        <v>0</v>
      </c>
      <c r="AJ347" s="24"/>
    </row>
    <row r="348" spans="1:42" s="31" customFormat="1">
      <c r="A348" s="15" t="s">
        <v>389</v>
      </c>
      <c r="B348" s="15"/>
      <c r="C348" s="15" t="s">
        <v>388</v>
      </c>
      <c r="D348" s="15"/>
      <c r="E348" s="24">
        <f>115961+59967</f>
        <v>175928</v>
      </c>
      <c r="F348" s="24"/>
      <c r="G348" s="24">
        <v>654053</v>
      </c>
      <c r="H348" s="24"/>
      <c r="I348" s="24">
        <f>64581+92053+108782</f>
        <v>265416</v>
      </c>
      <c r="J348" s="24"/>
      <c r="K348" s="24">
        <f>37336+99545</f>
        <v>136881</v>
      </c>
      <c r="L348" s="24"/>
      <c r="M348" s="24">
        <v>19153</v>
      </c>
      <c r="N348" s="24"/>
      <c r="O348" s="24">
        <v>8660</v>
      </c>
      <c r="P348" s="24"/>
      <c r="Q348" s="24">
        <f>83623+10787</f>
        <v>94410</v>
      </c>
      <c r="R348" s="24"/>
      <c r="S348" s="24">
        <v>526552</v>
      </c>
      <c r="T348" s="24"/>
      <c r="U348" s="24">
        <v>0</v>
      </c>
      <c r="V348" s="24"/>
      <c r="W348" s="24">
        <v>0</v>
      </c>
      <c r="X348" s="24"/>
      <c r="Y348" s="24">
        <v>0</v>
      </c>
      <c r="Z348" s="24"/>
      <c r="AA348" s="24">
        <v>20104</v>
      </c>
      <c r="AB348" s="24"/>
      <c r="AC348" s="24">
        <v>0</v>
      </c>
      <c r="AD348" s="24"/>
      <c r="AE348" s="24">
        <v>0</v>
      </c>
      <c r="AF348" s="24"/>
      <c r="AG348" s="24">
        <v>0</v>
      </c>
      <c r="AH348" s="24"/>
      <c r="AI348" s="24">
        <f t="shared" si="13"/>
        <v>1901157</v>
      </c>
      <c r="AJ348" s="24"/>
    </row>
    <row r="349" spans="1:42" hidden="1">
      <c r="A349" s="15" t="s">
        <v>168</v>
      </c>
      <c r="C349" s="15" t="s">
        <v>803</v>
      </c>
      <c r="E349" s="24">
        <v>0</v>
      </c>
      <c r="G349" s="24">
        <v>0</v>
      </c>
      <c r="I349" s="24">
        <v>0</v>
      </c>
      <c r="K349" s="24">
        <v>0</v>
      </c>
      <c r="M349" s="24">
        <v>0</v>
      </c>
      <c r="O349" s="24">
        <v>0</v>
      </c>
      <c r="Q349" s="24">
        <v>0</v>
      </c>
      <c r="S349" s="24">
        <v>0</v>
      </c>
      <c r="U349" s="24">
        <v>0</v>
      </c>
      <c r="W349" s="24">
        <v>0</v>
      </c>
      <c r="Y349" s="24">
        <v>0</v>
      </c>
      <c r="AA349" s="24">
        <v>0</v>
      </c>
      <c r="AC349" s="24">
        <v>0</v>
      </c>
      <c r="AE349" s="24">
        <v>0</v>
      </c>
      <c r="AG349" s="24">
        <v>0</v>
      </c>
      <c r="AI349" s="24">
        <f t="shared" si="13"/>
        <v>0</v>
      </c>
      <c r="AJ349" s="24"/>
    </row>
    <row r="350" spans="1:42">
      <c r="A350" s="15" t="s">
        <v>563</v>
      </c>
      <c r="C350" s="15" t="s">
        <v>562</v>
      </c>
      <c r="E350" s="24">
        <f>168935+12294</f>
        <v>181229</v>
      </c>
      <c r="G350" s="24">
        <v>967530</v>
      </c>
      <c r="I350" s="24">
        <f>117645+192846</f>
        <v>310491</v>
      </c>
      <c r="K350" s="24">
        <v>0</v>
      </c>
      <c r="M350" s="24">
        <f>17394+41516</f>
        <v>58910</v>
      </c>
      <c r="O350" s="24">
        <f>39613+19133</f>
        <v>58746</v>
      </c>
      <c r="Q350" s="24">
        <f>66934+6829+2074</f>
        <v>75837</v>
      </c>
      <c r="S350" s="24">
        <f>128662+1901+4300</f>
        <v>134863</v>
      </c>
      <c r="U350" s="24">
        <v>0</v>
      </c>
      <c r="W350" s="24">
        <v>0</v>
      </c>
      <c r="Y350" s="24">
        <v>0</v>
      </c>
      <c r="AA350" s="24">
        <f>475000+50000+75000+200000</f>
        <v>800000</v>
      </c>
      <c r="AC350" s="24">
        <v>0</v>
      </c>
      <c r="AE350" s="24">
        <v>0</v>
      </c>
      <c r="AG350" s="24">
        <v>0</v>
      </c>
      <c r="AI350" s="24">
        <f t="shared" si="13"/>
        <v>2587606</v>
      </c>
      <c r="AJ350" s="24"/>
    </row>
    <row r="351" spans="1:42">
      <c r="A351" s="15" t="s">
        <v>399</v>
      </c>
      <c r="C351" s="15" t="s">
        <v>396</v>
      </c>
      <c r="E351" s="24">
        <v>6561</v>
      </c>
      <c r="G351" s="24">
        <v>44000</v>
      </c>
      <c r="I351" s="24">
        <f>17877+22486</f>
        <v>40363</v>
      </c>
      <c r="K351" s="24">
        <v>4822</v>
      </c>
      <c r="M351" s="24">
        <v>25</v>
      </c>
      <c r="O351" s="24">
        <v>3801</v>
      </c>
      <c r="Q351" s="24">
        <f>5943+1250</f>
        <v>7193</v>
      </c>
      <c r="S351" s="24">
        <f>8652+24</f>
        <v>8676</v>
      </c>
      <c r="U351" s="24">
        <v>0</v>
      </c>
      <c r="W351" s="24">
        <v>0</v>
      </c>
      <c r="Y351" s="24">
        <v>9450</v>
      </c>
      <c r="AA351" s="24">
        <v>0</v>
      </c>
      <c r="AC351" s="24">
        <v>0</v>
      </c>
      <c r="AE351" s="24">
        <v>661</v>
      </c>
      <c r="AG351" s="24">
        <v>0</v>
      </c>
      <c r="AI351" s="24">
        <f t="shared" si="13"/>
        <v>125552</v>
      </c>
      <c r="AJ351" s="24"/>
    </row>
    <row r="352" spans="1:42" ht="12.6" hidden="1" customHeight="1">
      <c r="A352" s="15" t="s">
        <v>286</v>
      </c>
      <c r="C352" s="15" t="s">
        <v>287</v>
      </c>
      <c r="E352" s="24">
        <v>0</v>
      </c>
      <c r="G352" s="24">
        <v>0</v>
      </c>
      <c r="I352" s="24">
        <v>0</v>
      </c>
      <c r="K352" s="24">
        <v>0</v>
      </c>
      <c r="M352" s="24">
        <v>0</v>
      </c>
      <c r="O352" s="24">
        <v>0</v>
      </c>
      <c r="Q352" s="24">
        <v>0</v>
      </c>
      <c r="S352" s="24">
        <v>0</v>
      </c>
      <c r="U352" s="24">
        <v>0</v>
      </c>
      <c r="W352" s="24">
        <v>0</v>
      </c>
      <c r="Y352" s="24">
        <v>0</v>
      </c>
      <c r="AA352" s="24">
        <v>0</v>
      </c>
      <c r="AC352" s="24">
        <v>0</v>
      </c>
      <c r="AE352" s="24">
        <v>0</v>
      </c>
      <c r="AG352" s="24">
        <v>0</v>
      </c>
      <c r="AI352" s="24">
        <f t="shared" si="13"/>
        <v>0</v>
      </c>
      <c r="AJ352" s="24"/>
    </row>
    <row r="353" spans="1:42" hidden="1">
      <c r="A353" s="15" t="s">
        <v>185</v>
      </c>
      <c r="C353" s="15" t="s">
        <v>808</v>
      </c>
      <c r="E353" s="24">
        <v>0</v>
      </c>
      <c r="G353" s="24">
        <v>0</v>
      </c>
      <c r="I353" s="24">
        <v>0</v>
      </c>
      <c r="K353" s="24">
        <v>0</v>
      </c>
      <c r="M353" s="24">
        <v>0</v>
      </c>
      <c r="O353" s="24">
        <v>0</v>
      </c>
      <c r="Q353" s="24">
        <v>0</v>
      </c>
      <c r="S353" s="24">
        <v>0</v>
      </c>
      <c r="U353" s="24">
        <v>0</v>
      </c>
      <c r="W353" s="24">
        <v>0</v>
      </c>
      <c r="Y353" s="24">
        <v>0</v>
      </c>
      <c r="AA353" s="24">
        <v>0</v>
      </c>
      <c r="AC353" s="24">
        <v>0</v>
      </c>
      <c r="AE353" s="24">
        <v>0</v>
      </c>
      <c r="AG353" s="24">
        <v>0</v>
      </c>
      <c r="AI353" s="24">
        <f t="shared" si="13"/>
        <v>0</v>
      </c>
      <c r="AJ353" s="24"/>
    </row>
    <row r="354" spans="1:42" hidden="1">
      <c r="A354" s="15" t="s">
        <v>852</v>
      </c>
      <c r="C354" s="15" t="s">
        <v>799</v>
      </c>
      <c r="E354" s="24">
        <v>0</v>
      </c>
      <c r="G354" s="24">
        <v>0</v>
      </c>
      <c r="I354" s="24">
        <v>0</v>
      </c>
      <c r="K354" s="24">
        <v>0</v>
      </c>
      <c r="M354" s="24">
        <v>0</v>
      </c>
      <c r="O354" s="24">
        <v>0</v>
      </c>
      <c r="Q354" s="24">
        <v>0</v>
      </c>
      <c r="S354" s="24">
        <v>0</v>
      </c>
      <c r="U354" s="24">
        <v>0</v>
      </c>
      <c r="W354" s="24">
        <v>0</v>
      </c>
      <c r="Y354" s="24">
        <v>0</v>
      </c>
      <c r="AA354" s="24">
        <v>0</v>
      </c>
      <c r="AC354" s="24">
        <v>0</v>
      </c>
      <c r="AE354" s="24">
        <v>0</v>
      </c>
      <c r="AG354" s="24">
        <v>0</v>
      </c>
      <c r="AI354" s="24">
        <f t="shared" si="13"/>
        <v>0</v>
      </c>
      <c r="AJ354" s="24"/>
    </row>
    <row r="355" spans="1:42" s="31" customFormat="1">
      <c r="A355" s="15" t="s">
        <v>361</v>
      </c>
      <c r="B355" s="15"/>
      <c r="C355" s="15" t="s">
        <v>358</v>
      </c>
      <c r="D355" s="15"/>
      <c r="E355" s="24">
        <v>44039</v>
      </c>
      <c r="F355" s="24"/>
      <c r="G355" s="24">
        <v>207733</v>
      </c>
      <c r="H355" s="24"/>
      <c r="I355" s="24">
        <f>44683+73763+3200</f>
        <v>121646</v>
      </c>
      <c r="J355" s="24"/>
      <c r="K355" s="24">
        <v>0</v>
      </c>
      <c r="L355" s="24"/>
      <c r="M355" s="24">
        <v>475</v>
      </c>
      <c r="N355" s="24"/>
      <c r="O355" s="24">
        <v>465</v>
      </c>
      <c r="P355" s="24"/>
      <c r="Q355" s="24">
        <f>8029+2450</f>
        <v>10479</v>
      </c>
      <c r="R355" s="24"/>
      <c r="S355" s="24">
        <v>6492</v>
      </c>
      <c r="T355" s="24"/>
      <c r="U355" s="24">
        <v>0</v>
      </c>
      <c r="V355" s="24"/>
      <c r="W355" s="24">
        <v>0</v>
      </c>
      <c r="X355" s="24"/>
      <c r="Y355" s="24">
        <v>0</v>
      </c>
      <c r="Z355" s="24"/>
      <c r="AA355" s="24">
        <v>3643</v>
      </c>
      <c r="AB355" s="24"/>
      <c r="AC355" s="24">
        <v>25000</v>
      </c>
      <c r="AD355" s="24"/>
      <c r="AE355" s="24">
        <v>0</v>
      </c>
      <c r="AF355" s="24"/>
      <c r="AG355" s="24">
        <v>0</v>
      </c>
      <c r="AH355" s="24"/>
      <c r="AI355" s="24">
        <f t="shared" si="13"/>
        <v>419972</v>
      </c>
      <c r="AJ355" s="24"/>
    </row>
    <row r="356" spans="1:42" hidden="1">
      <c r="A356" s="15" t="s">
        <v>227</v>
      </c>
      <c r="C356" s="15" t="s">
        <v>820</v>
      </c>
      <c r="E356" s="24">
        <v>0</v>
      </c>
      <c r="G356" s="24">
        <v>0</v>
      </c>
      <c r="I356" s="24">
        <v>0</v>
      </c>
      <c r="K356" s="24">
        <v>0</v>
      </c>
      <c r="M356" s="24">
        <v>0</v>
      </c>
      <c r="O356" s="24">
        <v>0</v>
      </c>
      <c r="Q356" s="24">
        <v>0</v>
      </c>
      <c r="S356" s="24">
        <v>0</v>
      </c>
      <c r="U356" s="24">
        <v>0</v>
      </c>
      <c r="W356" s="24">
        <v>0</v>
      </c>
      <c r="Y356" s="24">
        <v>0</v>
      </c>
      <c r="AA356" s="24">
        <v>0</v>
      </c>
      <c r="AC356" s="24">
        <v>0</v>
      </c>
      <c r="AE356" s="24">
        <v>0</v>
      </c>
      <c r="AG356" s="24">
        <v>0</v>
      </c>
      <c r="AI356" s="24">
        <f t="shared" si="13"/>
        <v>0</v>
      </c>
      <c r="AJ356" s="24"/>
    </row>
    <row r="357" spans="1:42" s="31" customFormat="1" hidden="1">
      <c r="A357" s="15" t="s">
        <v>367</v>
      </c>
      <c r="B357" s="15"/>
      <c r="C357" s="15" t="s">
        <v>368</v>
      </c>
      <c r="D357" s="15"/>
      <c r="E357" s="24">
        <v>0</v>
      </c>
      <c r="F357" s="24"/>
      <c r="G357" s="24">
        <v>0</v>
      </c>
      <c r="H357" s="24"/>
      <c r="I357" s="24">
        <v>0</v>
      </c>
      <c r="J357" s="24"/>
      <c r="K357" s="24">
        <v>0</v>
      </c>
      <c r="L357" s="24"/>
      <c r="M357" s="24">
        <v>0</v>
      </c>
      <c r="N357" s="24"/>
      <c r="O357" s="24">
        <v>0</v>
      </c>
      <c r="P357" s="24"/>
      <c r="Q357" s="24">
        <v>0</v>
      </c>
      <c r="R357" s="24"/>
      <c r="S357" s="24">
        <v>0</v>
      </c>
      <c r="T357" s="24"/>
      <c r="U357" s="24">
        <v>0</v>
      </c>
      <c r="V357" s="24"/>
      <c r="W357" s="24">
        <v>0</v>
      </c>
      <c r="X357" s="24"/>
      <c r="Y357" s="24">
        <v>0</v>
      </c>
      <c r="Z357" s="24"/>
      <c r="AA357" s="24">
        <v>0</v>
      </c>
      <c r="AB357" s="24"/>
      <c r="AC357" s="24">
        <v>0</v>
      </c>
      <c r="AD357" s="24"/>
      <c r="AE357" s="24">
        <v>0</v>
      </c>
      <c r="AF357" s="24"/>
      <c r="AG357" s="24">
        <v>0</v>
      </c>
      <c r="AH357" s="24"/>
      <c r="AI357" s="24">
        <f t="shared" si="13"/>
        <v>0</v>
      </c>
      <c r="AJ357" s="24"/>
    </row>
    <row r="358" spans="1:42" hidden="1">
      <c r="A358" s="15" t="s">
        <v>156</v>
      </c>
      <c r="C358" s="15" t="s">
        <v>467</v>
      </c>
      <c r="E358" s="24">
        <v>0</v>
      </c>
      <c r="G358" s="24">
        <v>0</v>
      </c>
      <c r="I358" s="24">
        <v>0</v>
      </c>
      <c r="K358" s="24">
        <v>0</v>
      </c>
      <c r="M358" s="24">
        <v>0</v>
      </c>
      <c r="O358" s="24">
        <v>0</v>
      </c>
      <c r="Q358" s="24">
        <v>0</v>
      </c>
      <c r="S358" s="24">
        <v>0</v>
      </c>
      <c r="U358" s="24">
        <v>0</v>
      </c>
      <c r="W358" s="24">
        <v>0</v>
      </c>
      <c r="Y358" s="24">
        <v>0</v>
      </c>
      <c r="AA358" s="24">
        <v>0</v>
      </c>
      <c r="AC358" s="24">
        <v>0</v>
      </c>
      <c r="AE358" s="24">
        <v>0</v>
      </c>
      <c r="AG358" s="24">
        <v>0</v>
      </c>
      <c r="AI358" s="24">
        <f t="shared" si="13"/>
        <v>0</v>
      </c>
      <c r="AJ358" s="24"/>
    </row>
    <row r="359" spans="1:42">
      <c r="A359" s="15" t="s">
        <v>915</v>
      </c>
      <c r="C359" s="15" t="s">
        <v>299</v>
      </c>
      <c r="E359" s="24">
        <f>10165+1894</f>
        <v>12059</v>
      </c>
      <c r="G359" s="24">
        <v>0</v>
      </c>
      <c r="I359" s="24">
        <f>13073+15429</f>
        <v>28502</v>
      </c>
      <c r="K359" s="24">
        <v>0</v>
      </c>
      <c r="M359" s="24">
        <v>600</v>
      </c>
      <c r="O359" s="24">
        <v>300</v>
      </c>
      <c r="Q359" s="24">
        <v>54</v>
      </c>
      <c r="S359" s="24">
        <v>7380</v>
      </c>
      <c r="U359" s="24">
        <v>0</v>
      </c>
      <c r="W359" s="24">
        <v>0</v>
      </c>
      <c r="Y359" s="24">
        <v>0</v>
      </c>
      <c r="AA359" s="24">
        <v>0</v>
      </c>
      <c r="AC359" s="24">
        <v>0</v>
      </c>
      <c r="AE359" s="24">
        <v>0</v>
      </c>
      <c r="AG359" s="24">
        <v>0</v>
      </c>
      <c r="AI359" s="24">
        <f t="shared" si="13"/>
        <v>48895</v>
      </c>
      <c r="AJ359" s="24"/>
    </row>
    <row r="360" spans="1:42" hidden="1">
      <c r="A360" s="15" t="s">
        <v>233</v>
      </c>
      <c r="C360" s="15" t="s">
        <v>823</v>
      </c>
      <c r="E360" s="24">
        <v>0</v>
      </c>
      <c r="G360" s="24">
        <v>0</v>
      </c>
      <c r="I360" s="24">
        <v>0</v>
      </c>
      <c r="K360" s="24">
        <v>0</v>
      </c>
      <c r="M360" s="24">
        <v>0</v>
      </c>
      <c r="O360" s="24">
        <v>0</v>
      </c>
      <c r="Q360" s="24">
        <v>0</v>
      </c>
      <c r="S360" s="24">
        <v>0</v>
      </c>
      <c r="U360" s="24">
        <v>0</v>
      </c>
      <c r="W360" s="24">
        <v>0</v>
      </c>
      <c r="Y360" s="24">
        <v>0</v>
      </c>
      <c r="AA360" s="24">
        <v>0</v>
      </c>
      <c r="AC360" s="24">
        <v>0</v>
      </c>
      <c r="AE360" s="24">
        <v>0</v>
      </c>
      <c r="AG360" s="24">
        <v>0</v>
      </c>
      <c r="AI360" s="24">
        <f t="shared" si="13"/>
        <v>0</v>
      </c>
      <c r="AJ360" s="24"/>
    </row>
    <row r="361" spans="1:42">
      <c r="A361" s="15" t="s">
        <v>460</v>
      </c>
      <c r="C361" s="15" t="s">
        <v>432</v>
      </c>
      <c r="E361" s="24">
        <f>37037+10148</f>
        <v>47185</v>
      </c>
      <c r="G361" s="24">
        <v>0</v>
      </c>
      <c r="I361" s="24">
        <v>0</v>
      </c>
      <c r="K361" s="24">
        <v>0</v>
      </c>
      <c r="M361" s="24">
        <v>0</v>
      </c>
      <c r="O361" s="24">
        <v>0</v>
      </c>
      <c r="Q361" s="24">
        <v>0</v>
      </c>
      <c r="S361" s="24">
        <v>6423</v>
      </c>
      <c r="U361" s="24">
        <v>0</v>
      </c>
      <c r="W361" s="24">
        <v>0</v>
      </c>
      <c r="Y361" s="24">
        <v>0</v>
      </c>
      <c r="AA361" s="24">
        <v>0</v>
      </c>
      <c r="AC361" s="24">
        <v>0</v>
      </c>
      <c r="AE361" s="24">
        <v>0</v>
      </c>
      <c r="AG361" s="24">
        <v>0</v>
      </c>
      <c r="AI361" s="24">
        <f t="shared" si="13"/>
        <v>53608</v>
      </c>
      <c r="AJ361" s="24"/>
    </row>
    <row r="362" spans="1:42" hidden="1">
      <c r="A362" s="15" t="s">
        <v>8</v>
      </c>
      <c r="C362" s="15" t="s">
        <v>672</v>
      </c>
      <c r="E362" s="24">
        <v>0</v>
      </c>
      <c r="G362" s="24">
        <v>0</v>
      </c>
      <c r="I362" s="24">
        <v>0</v>
      </c>
      <c r="K362" s="24">
        <v>0</v>
      </c>
      <c r="M362" s="24">
        <v>0</v>
      </c>
      <c r="O362" s="24">
        <v>0</v>
      </c>
      <c r="Q362" s="24">
        <v>0</v>
      </c>
      <c r="S362" s="24">
        <v>0</v>
      </c>
      <c r="U362" s="24">
        <v>0</v>
      </c>
      <c r="W362" s="24">
        <v>0</v>
      </c>
      <c r="Y362" s="24">
        <v>0</v>
      </c>
      <c r="AA362" s="24">
        <v>0</v>
      </c>
      <c r="AC362" s="24">
        <v>0</v>
      </c>
      <c r="AE362" s="24">
        <v>0</v>
      </c>
      <c r="AG362" s="24">
        <v>0</v>
      </c>
      <c r="AI362" s="24">
        <f t="shared" si="13"/>
        <v>0</v>
      </c>
      <c r="AJ362" s="24"/>
    </row>
    <row r="363" spans="1:42" s="31" customFormat="1" ht="12.6" customHeight="1">
      <c r="A363" s="15" t="s">
        <v>347</v>
      </c>
      <c r="B363" s="15"/>
      <c r="C363" s="15" t="s">
        <v>348</v>
      </c>
      <c r="D363" s="15"/>
      <c r="E363" s="24">
        <f>301352+81131+81396+44664</f>
        <v>508543</v>
      </c>
      <c r="F363" s="24"/>
      <c r="G363" s="24">
        <f>125210+52451+5692</f>
        <v>183353</v>
      </c>
      <c r="H363" s="24"/>
      <c r="I363" s="24">
        <v>6978</v>
      </c>
      <c r="J363" s="24"/>
      <c r="K363" s="24">
        <v>0</v>
      </c>
      <c r="L363" s="24"/>
      <c r="M363" s="24">
        <v>0</v>
      </c>
      <c r="N363" s="24"/>
      <c r="O363" s="24">
        <f>100450+25</f>
        <v>100475</v>
      </c>
      <c r="P363" s="24"/>
      <c r="Q363" s="24">
        <f>64090+2619+2205</f>
        <v>68914</v>
      </c>
      <c r="R363" s="24"/>
      <c r="S363" s="24">
        <v>0</v>
      </c>
      <c r="T363" s="24"/>
      <c r="U363" s="24">
        <v>0</v>
      </c>
      <c r="V363" s="24"/>
      <c r="W363" s="24">
        <v>0</v>
      </c>
      <c r="X363" s="24"/>
      <c r="Y363" s="24">
        <v>0</v>
      </c>
      <c r="Z363" s="24"/>
      <c r="AA363" s="24">
        <v>15375</v>
      </c>
      <c r="AB363" s="24"/>
      <c r="AC363" s="24">
        <v>0</v>
      </c>
      <c r="AD363" s="24"/>
      <c r="AE363" s="24">
        <v>0</v>
      </c>
      <c r="AF363" s="24"/>
      <c r="AG363" s="24">
        <v>0</v>
      </c>
      <c r="AH363" s="24"/>
      <c r="AI363" s="24">
        <f t="shared" si="13"/>
        <v>883638</v>
      </c>
      <c r="AJ363" s="24"/>
      <c r="AK363" s="32"/>
      <c r="AL363" s="32"/>
      <c r="AM363" s="32"/>
      <c r="AN363" s="32"/>
      <c r="AO363" s="32"/>
      <c r="AP363" s="32"/>
    </row>
    <row r="364" spans="1:42" hidden="1">
      <c r="A364" s="15" t="s">
        <v>237</v>
      </c>
      <c r="C364" s="15" t="s">
        <v>824</v>
      </c>
      <c r="E364" s="24">
        <v>0</v>
      </c>
      <c r="G364" s="24">
        <v>0</v>
      </c>
      <c r="I364" s="24">
        <v>0</v>
      </c>
      <c r="K364" s="24">
        <v>0</v>
      </c>
      <c r="M364" s="24">
        <v>0</v>
      </c>
      <c r="O364" s="24">
        <v>0</v>
      </c>
      <c r="Q364" s="24">
        <v>0</v>
      </c>
      <c r="S364" s="24">
        <v>0</v>
      </c>
      <c r="U364" s="24">
        <v>0</v>
      </c>
      <c r="W364" s="24">
        <v>0</v>
      </c>
      <c r="Y364" s="24">
        <v>0</v>
      </c>
      <c r="AA364" s="24">
        <v>0</v>
      </c>
      <c r="AC364" s="24">
        <v>0</v>
      </c>
      <c r="AE364" s="24">
        <v>0</v>
      </c>
      <c r="AG364" s="24">
        <v>0</v>
      </c>
      <c r="AI364" s="24">
        <f t="shared" si="13"/>
        <v>0</v>
      </c>
      <c r="AJ364" s="24"/>
    </row>
    <row r="365" spans="1:42" hidden="1">
      <c r="A365" s="15" t="s">
        <v>258</v>
      </c>
      <c r="C365" s="15" t="s">
        <v>830</v>
      </c>
      <c r="E365" s="24">
        <v>0</v>
      </c>
      <c r="G365" s="24">
        <v>0</v>
      </c>
      <c r="I365" s="24">
        <v>0</v>
      </c>
      <c r="K365" s="24">
        <v>0</v>
      </c>
      <c r="M365" s="24">
        <v>0</v>
      </c>
      <c r="O365" s="24">
        <v>0</v>
      </c>
      <c r="Q365" s="24">
        <v>0</v>
      </c>
      <c r="S365" s="24">
        <v>0</v>
      </c>
      <c r="U365" s="24">
        <v>0</v>
      </c>
      <c r="W365" s="24">
        <v>0</v>
      </c>
      <c r="Y365" s="24">
        <v>0</v>
      </c>
      <c r="AA365" s="24">
        <v>0</v>
      </c>
      <c r="AC365" s="24">
        <v>0</v>
      </c>
      <c r="AE365" s="24">
        <v>0</v>
      </c>
      <c r="AG365" s="24">
        <v>0</v>
      </c>
      <c r="AI365" s="24">
        <f t="shared" si="13"/>
        <v>0</v>
      </c>
      <c r="AJ365" s="24"/>
    </row>
    <row r="366" spans="1:42" hidden="1">
      <c r="A366" s="15" t="s">
        <v>70</v>
      </c>
      <c r="C366" s="15" t="s">
        <v>772</v>
      </c>
      <c r="E366" s="24">
        <v>0</v>
      </c>
      <c r="G366" s="24">
        <v>0</v>
      </c>
      <c r="I366" s="24">
        <v>0</v>
      </c>
      <c r="K366" s="24">
        <v>0</v>
      </c>
      <c r="M366" s="24">
        <v>0</v>
      </c>
      <c r="O366" s="24">
        <v>0</v>
      </c>
      <c r="Q366" s="24">
        <v>0</v>
      </c>
      <c r="S366" s="24">
        <v>0</v>
      </c>
      <c r="U366" s="24">
        <v>0</v>
      </c>
      <c r="W366" s="24">
        <v>0</v>
      </c>
      <c r="Y366" s="24">
        <v>0</v>
      </c>
      <c r="AA366" s="24">
        <v>0</v>
      </c>
      <c r="AC366" s="24">
        <v>0</v>
      </c>
      <c r="AE366" s="24">
        <v>0</v>
      </c>
      <c r="AG366" s="24">
        <v>0</v>
      </c>
      <c r="AI366" s="24">
        <f t="shared" si="13"/>
        <v>0</v>
      </c>
      <c r="AJ366" s="24"/>
      <c r="AK366" s="30"/>
      <c r="AL366" s="30"/>
      <c r="AM366" s="30"/>
      <c r="AN366" s="30"/>
      <c r="AO366" s="30"/>
      <c r="AP366" s="30"/>
    </row>
    <row r="367" spans="1:42" hidden="1">
      <c r="A367" s="15" t="s">
        <v>206</v>
      </c>
      <c r="C367" s="15" t="s">
        <v>813</v>
      </c>
      <c r="E367" s="24">
        <v>0</v>
      </c>
      <c r="G367" s="24">
        <v>0</v>
      </c>
      <c r="I367" s="24">
        <v>0</v>
      </c>
      <c r="K367" s="24">
        <v>0</v>
      </c>
      <c r="M367" s="24">
        <v>0</v>
      </c>
      <c r="O367" s="24">
        <v>0</v>
      </c>
      <c r="Q367" s="24">
        <v>0</v>
      </c>
      <c r="S367" s="24">
        <v>0</v>
      </c>
      <c r="U367" s="24">
        <v>0</v>
      </c>
      <c r="W367" s="24">
        <v>0</v>
      </c>
      <c r="Y367" s="24">
        <v>0</v>
      </c>
      <c r="AA367" s="24">
        <v>0</v>
      </c>
      <c r="AC367" s="24">
        <v>0</v>
      </c>
      <c r="AE367" s="24">
        <v>0</v>
      </c>
      <c r="AG367" s="24">
        <v>0</v>
      </c>
      <c r="AI367" s="24">
        <f t="shared" si="13"/>
        <v>0</v>
      </c>
      <c r="AJ367" s="24"/>
    </row>
    <row r="368" spans="1:42" s="31" customFormat="1" hidden="1">
      <c r="A368" s="15" t="s">
        <v>414</v>
      </c>
      <c r="B368" s="15"/>
      <c r="C368" s="15" t="s">
        <v>412</v>
      </c>
      <c r="D368" s="15"/>
      <c r="E368" s="24">
        <v>0</v>
      </c>
      <c r="F368" s="24"/>
      <c r="G368" s="24">
        <v>0</v>
      </c>
      <c r="H368" s="24"/>
      <c r="I368" s="24">
        <v>0</v>
      </c>
      <c r="J368" s="24"/>
      <c r="K368" s="24">
        <v>0</v>
      </c>
      <c r="L368" s="24"/>
      <c r="M368" s="24">
        <v>0</v>
      </c>
      <c r="N368" s="24"/>
      <c r="O368" s="24">
        <v>0</v>
      </c>
      <c r="P368" s="24"/>
      <c r="Q368" s="24">
        <v>0</v>
      </c>
      <c r="R368" s="24"/>
      <c r="S368" s="24">
        <v>0</v>
      </c>
      <c r="T368" s="24"/>
      <c r="U368" s="24">
        <v>0</v>
      </c>
      <c r="V368" s="24"/>
      <c r="W368" s="24">
        <v>0</v>
      </c>
      <c r="X368" s="24"/>
      <c r="Y368" s="24">
        <v>0</v>
      </c>
      <c r="Z368" s="24"/>
      <c r="AA368" s="24">
        <v>0</v>
      </c>
      <c r="AB368" s="24"/>
      <c r="AC368" s="24">
        <v>0</v>
      </c>
      <c r="AD368" s="24"/>
      <c r="AE368" s="24">
        <v>0</v>
      </c>
      <c r="AF368" s="24"/>
      <c r="AG368" s="24">
        <v>0</v>
      </c>
      <c r="AH368" s="24"/>
      <c r="AI368" s="24">
        <f t="shared" si="13"/>
        <v>0</v>
      </c>
      <c r="AJ368" s="41"/>
    </row>
    <row r="369" spans="1:42" hidden="1">
      <c r="A369" s="15" t="s">
        <v>63</v>
      </c>
      <c r="C369" s="15" t="s">
        <v>771</v>
      </c>
      <c r="E369" s="24">
        <v>0</v>
      </c>
      <c r="G369" s="24">
        <v>0</v>
      </c>
      <c r="I369" s="24">
        <v>0</v>
      </c>
      <c r="K369" s="24">
        <v>0</v>
      </c>
      <c r="M369" s="24">
        <v>0</v>
      </c>
      <c r="O369" s="24">
        <v>0</v>
      </c>
      <c r="Q369" s="24">
        <v>0</v>
      </c>
      <c r="S369" s="24">
        <v>0</v>
      </c>
      <c r="U369" s="24">
        <v>0</v>
      </c>
      <c r="W369" s="24">
        <v>0</v>
      </c>
      <c r="Y369" s="24">
        <v>0</v>
      </c>
      <c r="AA369" s="24">
        <v>0</v>
      </c>
      <c r="AC369" s="24">
        <v>0</v>
      </c>
      <c r="AE369" s="24">
        <v>0</v>
      </c>
      <c r="AG369" s="24">
        <v>0</v>
      </c>
      <c r="AI369" s="24">
        <f t="shared" si="13"/>
        <v>0</v>
      </c>
      <c r="AJ369" s="24"/>
      <c r="AK369" s="30"/>
      <c r="AL369" s="30"/>
      <c r="AM369" s="30"/>
      <c r="AN369" s="30"/>
      <c r="AO369" s="30"/>
      <c r="AP369" s="30"/>
    </row>
    <row r="370" spans="1:42" hidden="1">
      <c r="A370" s="15" t="s">
        <v>26</v>
      </c>
      <c r="C370" s="15" t="s">
        <v>757</v>
      </c>
      <c r="E370" s="24">
        <v>0</v>
      </c>
      <c r="G370" s="24">
        <v>0</v>
      </c>
      <c r="I370" s="24">
        <v>0</v>
      </c>
      <c r="K370" s="24">
        <v>0</v>
      </c>
      <c r="M370" s="24">
        <v>0</v>
      </c>
      <c r="O370" s="24">
        <v>0</v>
      </c>
      <c r="Q370" s="24">
        <v>0</v>
      </c>
      <c r="S370" s="24">
        <v>0</v>
      </c>
      <c r="U370" s="24">
        <v>0</v>
      </c>
      <c r="W370" s="24">
        <v>0</v>
      </c>
      <c r="Y370" s="24">
        <v>0</v>
      </c>
      <c r="AA370" s="24">
        <v>0</v>
      </c>
      <c r="AC370" s="24">
        <v>0</v>
      </c>
      <c r="AE370" s="24">
        <v>0</v>
      </c>
      <c r="AG370" s="24">
        <v>0</v>
      </c>
      <c r="AI370" s="24">
        <f t="shared" si="13"/>
        <v>0</v>
      </c>
      <c r="AJ370" s="24"/>
    </row>
    <row r="371" spans="1:42" s="31" customFormat="1">
      <c r="A371" s="15" t="s">
        <v>687</v>
      </c>
      <c r="B371" s="15"/>
      <c r="C371" s="15" t="s">
        <v>606</v>
      </c>
      <c r="D371" s="15"/>
      <c r="E371" s="24">
        <v>10555</v>
      </c>
      <c r="F371" s="24"/>
      <c r="G371" s="24">
        <v>0</v>
      </c>
      <c r="H371" s="24"/>
      <c r="I371" s="24">
        <f>8865+569907</f>
        <v>578772</v>
      </c>
      <c r="J371" s="24"/>
      <c r="K371" s="24">
        <v>9302</v>
      </c>
      <c r="L371" s="24"/>
      <c r="M371" s="24">
        <v>0</v>
      </c>
      <c r="N371" s="24"/>
      <c r="O371" s="24">
        <v>0</v>
      </c>
      <c r="P371" s="24"/>
      <c r="Q371" s="24">
        <v>983</v>
      </c>
      <c r="R371" s="24"/>
      <c r="S371" s="24">
        <f>1954+78926</f>
        <v>80880</v>
      </c>
      <c r="T371" s="24"/>
      <c r="U371" s="24">
        <v>0</v>
      </c>
      <c r="V371" s="24"/>
      <c r="W371" s="24">
        <v>0</v>
      </c>
      <c r="X371" s="24"/>
      <c r="Y371" s="24">
        <v>0</v>
      </c>
      <c r="Z371" s="24"/>
      <c r="AA371" s="24">
        <f>1500+6086</f>
        <v>7586</v>
      </c>
      <c r="AB371" s="24"/>
      <c r="AC371" s="24">
        <v>0</v>
      </c>
      <c r="AD371" s="24"/>
      <c r="AE371" s="24">
        <v>0</v>
      </c>
      <c r="AF371" s="24"/>
      <c r="AG371" s="24">
        <v>0</v>
      </c>
      <c r="AH371" s="24"/>
      <c r="AI371" s="24">
        <f t="shared" si="13"/>
        <v>688078</v>
      </c>
      <c r="AJ371" s="24"/>
    </row>
    <row r="372" spans="1:42" hidden="1">
      <c r="A372" s="15" t="s">
        <v>465</v>
      </c>
      <c r="C372" s="15" t="s">
        <v>466</v>
      </c>
      <c r="E372" s="24">
        <v>0</v>
      </c>
      <c r="G372" s="24">
        <v>0</v>
      </c>
      <c r="I372" s="24">
        <v>0</v>
      </c>
      <c r="K372" s="24">
        <v>0</v>
      </c>
      <c r="M372" s="24">
        <v>0</v>
      </c>
      <c r="O372" s="24">
        <v>0</v>
      </c>
      <c r="Q372" s="24">
        <v>0</v>
      </c>
      <c r="S372" s="24">
        <v>0</v>
      </c>
      <c r="U372" s="24">
        <v>0</v>
      </c>
      <c r="W372" s="24">
        <v>0</v>
      </c>
      <c r="Y372" s="24">
        <v>0</v>
      </c>
      <c r="AA372" s="24">
        <v>0</v>
      </c>
      <c r="AC372" s="24">
        <v>0</v>
      </c>
      <c r="AE372" s="24">
        <v>0</v>
      </c>
      <c r="AG372" s="24">
        <v>0</v>
      </c>
      <c r="AI372" s="24">
        <f t="shared" ref="AI372:AI380" si="14">SUM(E372:AG372)</f>
        <v>0</v>
      </c>
      <c r="AJ372" s="24"/>
    </row>
    <row r="373" spans="1:42">
      <c r="A373" s="15" t="s">
        <v>479</v>
      </c>
      <c r="C373" s="15" t="s">
        <v>477</v>
      </c>
      <c r="E373" s="24">
        <v>270</v>
      </c>
      <c r="G373" s="24">
        <v>0</v>
      </c>
      <c r="I373" s="24">
        <f>2963+2061</f>
        <v>5024</v>
      </c>
      <c r="K373" s="24">
        <v>0</v>
      </c>
      <c r="M373" s="24">
        <v>0</v>
      </c>
      <c r="O373" s="24">
        <v>0</v>
      </c>
      <c r="Q373" s="24">
        <f>28+15</f>
        <v>43</v>
      </c>
      <c r="S373" s="24">
        <v>5</v>
      </c>
      <c r="U373" s="24">
        <v>0</v>
      </c>
      <c r="W373" s="24">
        <v>0</v>
      </c>
      <c r="Y373" s="24">
        <v>0</v>
      </c>
      <c r="AA373" s="24">
        <v>0</v>
      </c>
      <c r="AC373" s="24">
        <v>0</v>
      </c>
      <c r="AE373" s="24">
        <v>0</v>
      </c>
      <c r="AG373" s="24">
        <v>0</v>
      </c>
      <c r="AI373" s="24">
        <f t="shared" si="14"/>
        <v>5342</v>
      </c>
      <c r="AJ373" s="24"/>
    </row>
    <row r="374" spans="1:42" hidden="1">
      <c r="A374" s="15" t="s">
        <v>234</v>
      </c>
      <c r="C374" s="15" t="s">
        <v>823</v>
      </c>
      <c r="E374" s="24">
        <v>0</v>
      </c>
      <c r="G374" s="24">
        <v>0</v>
      </c>
      <c r="I374" s="24">
        <v>0</v>
      </c>
      <c r="K374" s="24">
        <v>0</v>
      </c>
      <c r="M374" s="24">
        <v>0</v>
      </c>
      <c r="O374" s="24">
        <v>0</v>
      </c>
      <c r="Q374" s="24">
        <v>0</v>
      </c>
      <c r="S374" s="24">
        <v>0</v>
      </c>
      <c r="U374" s="24">
        <v>0</v>
      </c>
      <c r="W374" s="24">
        <v>0</v>
      </c>
      <c r="Y374" s="24">
        <v>0</v>
      </c>
      <c r="AA374" s="24">
        <v>0</v>
      </c>
      <c r="AC374" s="24">
        <v>0</v>
      </c>
      <c r="AE374" s="24">
        <v>0</v>
      </c>
      <c r="AG374" s="24">
        <v>0</v>
      </c>
      <c r="AI374" s="24">
        <f t="shared" si="14"/>
        <v>0</v>
      </c>
      <c r="AJ374" s="24"/>
    </row>
    <row r="375" spans="1:42" s="31" customFormat="1">
      <c r="A375" s="15" t="s">
        <v>550</v>
      </c>
      <c r="B375" s="15"/>
      <c r="C375" s="15" t="s">
        <v>545</v>
      </c>
      <c r="D375" s="15"/>
      <c r="E375" s="24">
        <f>173180+2343260+186678</f>
        <v>2703118</v>
      </c>
      <c r="F375" s="24"/>
      <c r="G375" s="24">
        <v>0</v>
      </c>
      <c r="H375" s="24"/>
      <c r="I375" s="24">
        <f>171531+160557+39812+210333</f>
        <v>582233</v>
      </c>
      <c r="J375" s="24"/>
      <c r="K375" s="24">
        <v>0</v>
      </c>
      <c r="L375" s="24"/>
      <c r="M375" s="24">
        <f>82867+27511</f>
        <v>110378</v>
      </c>
      <c r="N375" s="24"/>
      <c r="O375" s="24">
        <f>40047+3570</f>
        <v>43617</v>
      </c>
      <c r="P375" s="24"/>
      <c r="Q375" s="24">
        <f>128199+9200+10935+7621</f>
        <v>155955</v>
      </c>
      <c r="R375" s="24"/>
      <c r="S375" s="24">
        <f>29117+562+530</f>
        <v>30209</v>
      </c>
      <c r="T375" s="24"/>
      <c r="U375" s="24">
        <v>0</v>
      </c>
      <c r="V375" s="24"/>
      <c r="W375" s="24">
        <v>0</v>
      </c>
      <c r="X375" s="24"/>
      <c r="Y375" s="24">
        <v>0</v>
      </c>
      <c r="Z375" s="24"/>
      <c r="AA375" s="24">
        <v>0</v>
      </c>
      <c r="AB375" s="24"/>
      <c r="AC375" s="24">
        <v>0</v>
      </c>
      <c r="AD375" s="24"/>
      <c r="AE375" s="24">
        <f>1476605+454340+490755+3000</f>
        <v>2424700</v>
      </c>
      <c r="AF375" s="24"/>
      <c r="AG375" s="24">
        <v>0</v>
      </c>
      <c r="AH375" s="24"/>
      <c r="AI375" s="24">
        <f t="shared" si="14"/>
        <v>6050210</v>
      </c>
      <c r="AJ375" s="24"/>
    </row>
    <row r="376" spans="1:42" s="31" customFormat="1" hidden="1">
      <c r="A376" s="15" t="s">
        <v>74</v>
      </c>
      <c r="B376" s="15"/>
      <c r="C376" s="15" t="s">
        <v>773</v>
      </c>
      <c r="D376" s="15"/>
      <c r="E376" s="24">
        <v>0</v>
      </c>
      <c r="F376" s="24"/>
      <c r="G376" s="24">
        <v>0</v>
      </c>
      <c r="H376" s="24"/>
      <c r="I376" s="24">
        <v>0</v>
      </c>
      <c r="J376" s="24"/>
      <c r="K376" s="24">
        <v>0</v>
      </c>
      <c r="L376" s="24"/>
      <c r="M376" s="24">
        <v>0</v>
      </c>
      <c r="N376" s="24"/>
      <c r="O376" s="24">
        <v>0</v>
      </c>
      <c r="P376" s="24"/>
      <c r="Q376" s="24">
        <v>0</v>
      </c>
      <c r="R376" s="24"/>
      <c r="S376" s="24">
        <v>0</v>
      </c>
      <c r="T376" s="24"/>
      <c r="U376" s="24">
        <v>0</v>
      </c>
      <c r="V376" s="24"/>
      <c r="W376" s="24">
        <v>0</v>
      </c>
      <c r="X376" s="24"/>
      <c r="Y376" s="24">
        <v>0</v>
      </c>
      <c r="Z376" s="24"/>
      <c r="AA376" s="24">
        <v>0</v>
      </c>
      <c r="AB376" s="24"/>
      <c r="AC376" s="24">
        <v>0</v>
      </c>
      <c r="AD376" s="24"/>
      <c r="AE376" s="24">
        <v>0</v>
      </c>
      <c r="AF376" s="24"/>
      <c r="AG376" s="24">
        <v>0</v>
      </c>
      <c r="AH376" s="24"/>
      <c r="AI376" s="24">
        <f t="shared" si="14"/>
        <v>0</v>
      </c>
      <c r="AJ376" s="24"/>
    </row>
    <row r="377" spans="1:42" s="31" customFormat="1">
      <c r="A377" s="15" t="s">
        <v>423</v>
      </c>
      <c r="B377" s="15"/>
      <c r="C377" s="15" t="s">
        <v>420</v>
      </c>
      <c r="D377" s="15"/>
      <c r="E377" s="24">
        <f>2003973+929411+655064+42004</f>
        <v>3630452</v>
      </c>
      <c r="F377" s="24"/>
      <c r="G377" s="24">
        <v>0</v>
      </c>
      <c r="H377" s="24"/>
      <c r="I377" s="24">
        <f>304644+761234+3357</f>
        <v>1069235</v>
      </c>
      <c r="J377" s="24"/>
      <c r="K377" s="24">
        <v>0</v>
      </c>
      <c r="L377" s="24"/>
      <c r="M377" s="24">
        <v>230693</v>
      </c>
      <c r="N377" s="24"/>
      <c r="O377" s="24">
        <f>57054+633</f>
        <v>57687</v>
      </c>
      <c r="P377" s="24"/>
      <c r="Q377" s="24">
        <f>31144+7786+4323+12569</f>
        <v>55822</v>
      </c>
      <c r="R377" s="24"/>
      <c r="S377" s="24">
        <f>14988+39299</f>
        <v>54287</v>
      </c>
      <c r="T377" s="24"/>
      <c r="U377" s="24">
        <f>56000+22000+110000</f>
        <v>188000</v>
      </c>
      <c r="V377" s="24"/>
      <c r="W377" s="24">
        <f>3213+1875</f>
        <v>5088</v>
      </c>
      <c r="X377" s="24"/>
      <c r="Y377" s="24">
        <v>14055</v>
      </c>
      <c r="Z377" s="24"/>
      <c r="AA377" s="24">
        <v>412491</v>
      </c>
      <c r="AB377" s="24"/>
      <c r="AC377" s="24">
        <v>0</v>
      </c>
      <c r="AD377" s="24"/>
      <c r="AE377" s="24">
        <v>76131</v>
      </c>
      <c r="AF377" s="24"/>
      <c r="AG377" s="24">
        <v>0</v>
      </c>
      <c r="AH377" s="24"/>
      <c r="AI377" s="24">
        <f t="shared" si="14"/>
        <v>5793941</v>
      </c>
      <c r="AJ377" s="24"/>
    </row>
    <row r="378" spans="1:42" ht="12.6" customHeight="1">
      <c r="A378" s="15" t="s">
        <v>276</v>
      </c>
      <c r="C378" s="15" t="s">
        <v>275</v>
      </c>
      <c r="E378" s="24">
        <v>242756</v>
      </c>
      <c r="G378" s="24">
        <v>2478577</v>
      </c>
      <c r="I378" s="24">
        <f>246241+239234</f>
        <v>485475</v>
      </c>
      <c r="K378" s="24">
        <f>26982+143317</f>
        <v>170299</v>
      </c>
      <c r="M378" s="24">
        <f>664924+1175</f>
        <v>666099</v>
      </c>
      <c r="O378" s="24">
        <f>8918+1010</f>
        <v>9928</v>
      </c>
      <c r="Q378" s="24">
        <f>138115+2590</f>
        <v>140705</v>
      </c>
      <c r="S378" s="24">
        <f>23486+54801+23160</f>
        <v>101447</v>
      </c>
      <c r="U378" s="24">
        <v>0</v>
      </c>
      <c r="W378" s="24">
        <v>0</v>
      </c>
      <c r="Y378" s="24">
        <v>22640</v>
      </c>
      <c r="AA378" s="24">
        <f>661465+2182440</f>
        <v>2843905</v>
      </c>
      <c r="AC378" s="24">
        <v>0</v>
      </c>
      <c r="AE378" s="24">
        <v>0</v>
      </c>
      <c r="AG378" s="24">
        <v>0</v>
      </c>
      <c r="AI378" s="24">
        <f t="shared" si="14"/>
        <v>7161831</v>
      </c>
      <c r="AJ378" s="24"/>
    </row>
    <row r="379" spans="1:42" s="31" customFormat="1">
      <c r="A379" s="15" t="s">
        <v>555</v>
      </c>
      <c r="B379" s="15"/>
      <c r="C379" s="15" t="s">
        <v>554</v>
      </c>
      <c r="D379" s="15"/>
      <c r="E379" s="24">
        <f>212101+31263</f>
        <v>243364</v>
      </c>
      <c r="F379" s="24"/>
      <c r="G379" s="24">
        <v>2082430</v>
      </c>
      <c r="H379" s="24"/>
      <c r="I379" s="24">
        <f>260454+330720+31333+238467</f>
        <v>860974</v>
      </c>
      <c r="J379" s="24"/>
      <c r="K379" s="24">
        <v>0</v>
      </c>
      <c r="L379" s="24"/>
      <c r="M379" s="24">
        <v>104943</v>
      </c>
      <c r="N379" s="24"/>
      <c r="O379" s="24">
        <f>76237+4464</f>
        <v>80701</v>
      </c>
      <c r="P379" s="24"/>
      <c r="Q379" s="24">
        <f>19081+789</f>
        <v>19870</v>
      </c>
      <c r="R379" s="24"/>
      <c r="S379" s="24">
        <f>54203+31691</f>
        <v>85894</v>
      </c>
      <c r="T379" s="24"/>
      <c r="U379" s="24">
        <v>0</v>
      </c>
      <c r="V379" s="24"/>
      <c r="W379" s="24">
        <f>165000+700000</f>
        <v>865000</v>
      </c>
      <c r="X379" s="24"/>
      <c r="Y379" s="24">
        <v>0</v>
      </c>
      <c r="Z379" s="24"/>
      <c r="AA379" s="24">
        <f>1003236+407181+100530+510922</f>
        <v>2021869</v>
      </c>
      <c r="AB379" s="24"/>
      <c r="AC379" s="24">
        <v>0</v>
      </c>
      <c r="AD379" s="24"/>
      <c r="AE379" s="24">
        <v>0</v>
      </c>
      <c r="AF379" s="24"/>
      <c r="AG379" s="24">
        <v>0</v>
      </c>
      <c r="AH379" s="24"/>
      <c r="AI379" s="24">
        <f t="shared" si="14"/>
        <v>6365045</v>
      </c>
      <c r="AJ379" s="24"/>
    </row>
    <row r="380" spans="1:42" s="31" customFormat="1">
      <c r="A380" s="15" t="s">
        <v>415</v>
      </c>
      <c r="B380" s="15"/>
      <c r="C380" s="15" t="s">
        <v>416</v>
      </c>
      <c r="D380" s="15"/>
      <c r="E380" s="24">
        <f>249288+6178</f>
        <v>255466</v>
      </c>
      <c r="F380" s="24"/>
      <c r="G380" s="24">
        <v>468650</v>
      </c>
      <c r="H380" s="24"/>
      <c r="I380" s="24">
        <f>169062+144842</f>
        <v>313904</v>
      </c>
      <c r="J380" s="24"/>
      <c r="K380" s="24">
        <v>0</v>
      </c>
      <c r="L380" s="24"/>
      <c r="M380" s="24">
        <v>14769</v>
      </c>
      <c r="N380" s="24"/>
      <c r="O380" s="24">
        <f>62433+1545</f>
        <v>63978</v>
      </c>
      <c r="P380" s="24"/>
      <c r="Q380" s="24">
        <f>109030+35905+1661</f>
        <v>146596</v>
      </c>
      <c r="R380" s="24"/>
      <c r="S380" s="24">
        <f>16981+9641+1979</f>
        <v>28601</v>
      </c>
      <c r="T380" s="24"/>
      <c r="U380" s="24">
        <v>0</v>
      </c>
      <c r="V380" s="24"/>
      <c r="W380" s="24">
        <v>1229935</v>
      </c>
      <c r="X380" s="24"/>
      <c r="Y380" s="24">
        <v>0</v>
      </c>
      <c r="Z380" s="24"/>
      <c r="AA380" s="24">
        <f>6495+4659+27335+15534</f>
        <v>54023</v>
      </c>
      <c r="AB380" s="24"/>
      <c r="AC380" s="24">
        <v>65128</v>
      </c>
      <c r="AD380" s="24"/>
      <c r="AE380" s="24">
        <v>4028</v>
      </c>
      <c r="AF380" s="24"/>
      <c r="AG380" s="24">
        <v>0</v>
      </c>
      <c r="AH380" s="24"/>
      <c r="AI380" s="24">
        <f t="shared" si="14"/>
        <v>2645078</v>
      </c>
      <c r="AJ380" s="24"/>
    </row>
    <row r="381" spans="1:42" s="41" customFormat="1" hidden="1">
      <c r="A381" s="41" t="s">
        <v>160</v>
      </c>
      <c r="C381" s="41" t="s">
        <v>799</v>
      </c>
      <c r="E381" s="41">
        <v>0</v>
      </c>
      <c r="G381" s="41">
        <v>0</v>
      </c>
      <c r="I381" s="41">
        <v>0</v>
      </c>
      <c r="K381" s="41">
        <v>0</v>
      </c>
      <c r="M381" s="41">
        <v>0</v>
      </c>
      <c r="O381" s="41">
        <v>0</v>
      </c>
      <c r="Q381" s="41">
        <v>0</v>
      </c>
      <c r="S381" s="41">
        <v>0</v>
      </c>
      <c r="U381" s="41">
        <v>0</v>
      </c>
      <c r="W381" s="41">
        <v>0</v>
      </c>
      <c r="Y381" s="41">
        <v>0</v>
      </c>
      <c r="AA381" s="41">
        <v>0</v>
      </c>
      <c r="AC381" s="41">
        <v>0</v>
      </c>
      <c r="AE381" s="41">
        <v>0</v>
      </c>
      <c r="AG381" s="41">
        <v>0</v>
      </c>
      <c r="AI381" s="41">
        <f t="shared" ref="AI381:AI412" si="15">SUM(E381:AG381)</f>
        <v>0</v>
      </c>
    </row>
    <row r="382" spans="1:42">
      <c r="A382" s="15" t="s">
        <v>602</v>
      </c>
      <c r="C382" s="15" t="s">
        <v>601</v>
      </c>
      <c r="E382" s="24">
        <f>464728+26344</f>
        <v>491072</v>
      </c>
      <c r="G382" s="24">
        <f>316540+587859+271320+180880</f>
        <v>1356599</v>
      </c>
      <c r="I382" s="24">
        <f>292719+287367</f>
        <v>580086</v>
      </c>
      <c r="K382" s="24">
        <v>46139</v>
      </c>
      <c r="M382" s="24">
        <f>411287+5938+49129</f>
        <v>466354</v>
      </c>
      <c r="O382" s="24">
        <f>15798+814</f>
        <v>16612</v>
      </c>
      <c r="Q382" s="24">
        <f>204185+1109</f>
        <v>205294</v>
      </c>
      <c r="S382" s="24">
        <f>39266+240+27072</f>
        <v>66578</v>
      </c>
      <c r="U382" s="24">
        <v>0</v>
      </c>
      <c r="W382" s="24">
        <v>875000</v>
      </c>
      <c r="Y382" s="24">
        <v>0</v>
      </c>
      <c r="AA382" s="24">
        <f>49050+153700</f>
        <v>202750</v>
      </c>
      <c r="AC382" s="24">
        <v>0</v>
      </c>
      <c r="AE382" s="24">
        <v>0</v>
      </c>
      <c r="AG382" s="24">
        <v>0</v>
      </c>
      <c r="AI382" s="24">
        <f t="shared" si="15"/>
        <v>4306484</v>
      </c>
      <c r="AJ382" s="24"/>
    </row>
    <row r="383" spans="1:42" s="31" customFormat="1" ht="12.6" customHeight="1">
      <c r="A383" s="15" t="s">
        <v>323</v>
      </c>
      <c r="B383" s="15"/>
      <c r="C383" s="15" t="s">
        <v>316</v>
      </c>
      <c r="D383" s="15"/>
      <c r="E383" s="24">
        <f>882708+661414+155002</f>
        <v>1699124</v>
      </c>
      <c r="F383" s="24"/>
      <c r="G383" s="24">
        <v>3020054</v>
      </c>
      <c r="H383" s="24"/>
      <c r="I383" s="24">
        <f>757508+68375+92157+220016</f>
        <v>1138056</v>
      </c>
      <c r="J383" s="24"/>
      <c r="K383" s="24">
        <f>233126+333651</f>
        <v>566777</v>
      </c>
      <c r="L383" s="24"/>
      <c r="M383" s="24">
        <f>57755+38313</f>
        <v>96068</v>
      </c>
      <c r="N383" s="24"/>
      <c r="O383" s="24">
        <f>49036+19427</f>
        <v>68463</v>
      </c>
      <c r="P383" s="24"/>
      <c r="Q383" s="24">
        <f>241171+57547+11735</f>
        <v>310453</v>
      </c>
      <c r="R383" s="24"/>
      <c r="S383" s="24">
        <f>184650+2799</f>
        <v>187449</v>
      </c>
      <c r="T383" s="24"/>
      <c r="U383" s="24">
        <v>0</v>
      </c>
      <c r="V383" s="24"/>
      <c r="W383" s="24">
        <v>0</v>
      </c>
      <c r="X383" s="24"/>
      <c r="Y383" s="24">
        <v>0</v>
      </c>
      <c r="Z383" s="24"/>
      <c r="AA383" s="24">
        <v>316128</v>
      </c>
      <c r="AB383" s="24"/>
      <c r="AC383" s="24">
        <v>71000</v>
      </c>
      <c r="AD383" s="24"/>
      <c r="AE383" s="24">
        <v>0</v>
      </c>
      <c r="AF383" s="24"/>
      <c r="AG383" s="24">
        <v>0</v>
      </c>
      <c r="AH383" s="24"/>
      <c r="AI383" s="24">
        <f t="shared" si="15"/>
        <v>7473572</v>
      </c>
      <c r="AJ383" s="24"/>
      <c r="AK383" s="32"/>
      <c r="AL383" s="32"/>
      <c r="AM383" s="32"/>
      <c r="AN383" s="32"/>
      <c r="AO383" s="32"/>
      <c r="AP383" s="32"/>
    </row>
    <row r="384" spans="1:42" hidden="1">
      <c r="A384" s="15" t="s">
        <v>18</v>
      </c>
      <c r="C384" s="15" t="s">
        <v>755</v>
      </c>
      <c r="E384" s="24">
        <v>0</v>
      </c>
      <c r="G384" s="24">
        <v>0</v>
      </c>
      <c r="I384" s="24">
        <v>0</v>
      </c>
      <c r="K384" s="24">
        <v>0</v>
      </c>
      <c r="M384" s="24">
        <v>0</v>
      </c>
      <c r="O384" s="24">
        <v>0</v>
      </c>
      <c r="Q384" s="24">
        <v>0</v>
      </c>
      <c r="S384" s="24">
        <v>0</v>
      </c>
      <c r="U384" s="24">
        <v>0</v>
      </c>
      <c r="W384" s="24">
        <v>0</v>
      </c>
      <c r="Y384" s="24">
        <v>0</v>
      </c>
      <c r="AA384" s="24">
        <v>0</v>
      </c>
      <c r="AC384" s="24">
        <v>0</v>
      </c>
      <c r="AE384" s="24">
        <v>0</v>
      </c>
      <c r="AG384" s="24">
        <v>0</v>
      </c>
      <c r="AI384" s="24">
        <f t="shared" si="15"/>
        <v>0</v>
      </c>
      <c r="AJ384" s="24"/>
    </row>
    <row r="385" spans="1:42" hidden="1">
      <c r="A385" s="15" t="s">
        <v>243</v>
      </c>
      <c r="C385" s="15" t="s">
        <v>826</v>
      </c>
      <c r="E385" s="24">
        <v>0</v>
      </c>
      <c r="G385" s="24">
        <v>0</v>
      </c>
      <c r="I385" s="24">
        <v>0</v>
      </c>
      <c r="K385" s="24">
        <v>0</v>
      </c>
      <c r="M385" s="24">
        <v>0</v>
      </c>
      <c r="O385" s="24">
        <v>0</v>
      </c>
      <c r="Q385" s="24">
        <v>0</v>
      </c>
      <c r="S385" s="24">
        <v>0</v>
      </c>
      <c r="U385" s="24">
        <v>0</v>
      </c>
      <c r="W385" s="24">
        <v>0</v>
      </c>
      <c r="Y385" s="24">
        <v>0</v>
      </c>
      <c r="AA385" s="24">
        <v>0</v>
      </c>
      <c r="AC385" s="24">
        <v>0</v>
      </c>
      <c r="AE385" s="24">
        <v>0</v>
      </c>
      <c r="AG385" s="24">
        <v>0</v>
      </c>
      <c r="AI385" s="24">
        <f t="shared" si="15"/>
        <v>0</v>
      </c>
      <c r="AJ385" s="24"/>
    </row>
    <row r="386" spans="1:42" ht="12.6" hidden="1" customHeight="1">
      <c r="A386" s="15" t="s">
        <v>298</v>
      </c>
      <c r="C386" s="15" t="s">
        <v>295</v>
      </c>
      <c r="E386" s="24">
        <v>0</v>
      </c>
      <c r="G386" s="24">
        <v>0</v>
      </c>
      <c r="I386" s="24">
        <v>0</v>
      </c>
      <c r="K386" s="24">
        <v>0</v>
      </c>
      <c r="M386" s="24">
        <v>0</v>
      </c>
      <c r="O386" s="24">
        <v>0</v>
      </c>
      <c r="Q386" s="24">
        <v>0</v>
      </c>
      <c r="S386" s="24">
        <v>0</v>
      </c>
      <c r="U386" s="24">
        <v>0</v>
      </c>
      <c r="W386" s="24">
        <v>0</v>
      </c>
      <c r="Y386" s="24">
        <v>0</v>
      </c>
      <c r="AA386" s="24">
        <v>0</v>
      </c>
      <c r="AC386" s="24">
        <v>0</v>
      </c>
      <c r="AE386" s="24">
        <v>0</v>
      </c>
      <c r="AG386" s="24">
        <v>0</v>
      </c>
      <c r="AI386" s="24">
        <f t="shared" si="15"/>
        <v>0</v>
      </c>
      <c r="AJ386" s="24"/>
    </row>
    <row r="387" spans="1:42" hidden="1">
      <c r="A387" s="15" t="s">
        <v>249</v>
      </c>
      <c r="C387" s="15" t="s">
        <v>828</v>
      </c>
      <c r="E387" s="24">
        <v>0</v>
      </c>
      <c r="G387" s="24">
        <v>0</v>
      </c>
      <c r="I387" s="24">
        <v>0</v>
      </c>
      <c r="K387" s="24">
        <v>0</v>
      </c>
      <c r="M387" s="24">
        <v>0</v>
      </c>
      <c r="O387" s="24">
        <v>0</v>
      </c>
      <c r="Q387" s="24">
        <v>0</v>
      </c>
      <c r="S387" s="24">
        <v>0</v>
      </c>
      <c r="U387" s="24">
        <v>0</v>
      </c>
      <c r="W387" s="24">
        <v>0</v>
      </c>
      <c r="Y387" s="24">
        <v>0</v>
      </c>
      <c r="AA387" s="24">
        <v>0</v>
      </c>
      <c r="AC387" s="24">
        <v>0</v>
      </c>
      <c r="AE387" s="24">
        <v>0</v>
      </c>
      <c r="AG387" s="24">
        <v>0</v>
      </c>
      <c r="AI387" s="24">
        <f t="shared" si="15"/>
        <v>0</v>
      </c>
      <c r="AJ387" s="24"/>
    </row>
    <row r="388" spans="1:42" s="31" customFormat="1" hidden="1">
      <c r="A388" s="15" t="s">
        <v>141</v>
      </c>
      <c r="B388" s="15"/>
      <c r="C388" s="15" t="s">
        <v>794</v>
      </c>
      <c r="D388" s="15"/>
      <c r="E388" s="24">
        <v>0</v>
      </c>
      <c r="F388" s="24"/>
      <c r="G388" s="24">
        <v>0</v>
      </c>
      <c r="H388" s="24"/>
      <c r="I388" s="24">
        <v>0</v>
      </c>
      <c r="J388" s="24"/>
      <c r="K388" s="24">
        <v>0</v>
      </c>
      <c r="L388" s="24"/>
      <c r="M388" s="24">
        <v>0</v>
      </c>
      <c r="N388" s="24"/>
      <c r="O388" s="24">
        <v>0</v>
      </c>
      <c r="P388" s="24"/>
      <c r="Q388" s="24">
        <v>0</v>
      </c>
      <c r="R388" s="24"/>
      <c r="S388" s="24">
        <v>0</v>
      </c>
      <c r="T388" s="24"/>
      <c r="U388" s="24">
        <v>0</v>
      </c>
      <c r="V388" s="24"/>
      <c r="W388" s="24">
        <v>0</v>
      </c>
      <c r="X388" s="24"/>
      <c r="Y388" s="24">
        <v>0</v>
      </c>
      <c r="Z388" s="24"/>
      <c r="AA388" s="24">
        <v>0</v>
      </c>
      <c r="AB388" s="24"/>
      <c r="AC388" s="24">
        <v>0</v>
      </c>
      <c r="AD388" s="24"/>
      <c r="AE388" s="24">
        <v>0</v>
      </c>
      <c r="AF388" s="24"/>
      <c r="AG388" s="24">
        <v>0</v>
      </c>
      <c r="AH388" s="24"/>
      <c r="AI388" s="24">
        <f t="shared" si="15"/>
        <v>0</v>
      </c>
      <c r="AJ388" s="24"/>
    </row>
    <row r="389" spans="1:42" s="31" customFormat="1" hidden="1">
      <c r="A389" s="15" t="s">
        <v>99</v>
      </c>
      <c r="B389" s="15"/>
      <c r="C389" s="15" t="s">
        <v>780</v>
      </c>
      <c r="D389" s="15"/>
      <c r="E389" s="24">
        <v>0</v>
      </c>
      <c r="F389" s="24"/>
      <c r="G389" s="24">
        <v>0</v>
      </c>
      <c r="H389" s="24"/>
      <c r="I389" s="24">
        <v>0</v>
      </c>
      <c r="J389" s="24"/>
      <c r="K389" s="24">
        <v>0</v>
      </c>
      <c r="L389" s="24"/>
      <c r="M389" s="24">
        <v>0</v>
      </c>
      <c r="N389" s="24"/>
      <c r="O389" s="24">
        <v>0</v>
      </c>
      <c r="P389" s="24"/>
      <c r="Q389" s="24">
        <v>0</v>
      </c>
      <c r="R389" s="24"/>
      <c r="S389" s="24">
        <v>0</v>
      </c>
      <c r="T389" s="24"/>
      <c r="U389" s="24">
        <v>0</v>
      </c>
      <c r="V389" s="24"/>
      <c r="W389" s="24">
        <v>0</v>
      </c>
      <c r="X389" s="24"/>
      <c r="Y389" s="24">
        <v>0</v>
      </c>
      <c r="Z389" s="24"/>
      <c r="AA389" s="24">
        <v>0</v>
      </c>
      <c r="AB389" s="24"/>
      <c r="AC389" s="24">
        <v>0</v>
      </c>
      <c r="AD389" s="24"/>
      <c r="AE389" s="24">
        <v>0</v>
      </c>
      <c r="AF389" s="24"/>
      <c r="AG389" s="24">
        <v>0</v>
      </c>
      <c r="AH389" s="24"/>
      <c r="AI389" s="24">
        <f t="shared" si="15"/>
        <v>0</v>
      </c>
      <c r="AJ389" s="24"/>
    </row>
    <row r="390" spans="1:42" hidden="1">
      <c r="A390" s="15" t="s">
        <v>410</v>
      </c>
      <c r="C390" s="15" t="s">
        <v>409</v>
      </c>
      <c r="E390" s="24">
        <v>0</v>
      </c>
      <c r="G390" s="24">
        <v>0</v>
      </c>
      <c r="I390" s="24">
        <v>0</v>
      </c>
      <c r="K390" s="24">
        <v>0</v>
      </c>
      <c r="M390" s="24">
        <v>0</v>
      </c>
      <c r="O390" s="24">
        <v>0</v>
      </c>
      <c r="Q390" s="24">
        <v>0</v>
      </c>
      <c r="S390" s="24">
        <v>0</v>
      </c>
      <c r="U390" s="24">
        <v>0</v>
      </c>
      <c r="W390" s="24">
        <v>0</v>
      </c>
      <c r="Y390" s="24">
        <v>0</v>
      </c>
      <c r="AA390" s="24">
        <v>0</v>
      </c>
      <c r="AC390" s="24">
        <v>0</v>
      </c>
      <c r="AE390" s="24">
        <v>0</v>
      </c>
      <c r="AG390" s="24">
        <v>0</v>
      </c>
      <c r="AI390" s="24">
        <f t="shared" si="15"/>
        <v>0</v>
      </c>
      <c r="AJ390" s="24"/>
    </row>
    <row r="391" spans="1:42" s="31" customFormat="1">
      <c r="A391" s="15" t="s">
        <v>390</v>
      </c>
      <c r="B391" s="15"/>
      <c r="C391" s="15" t="s">
        <v>388</v>
      </c>
      <c r="D391" s="15"/>
      <c r="E391" s="24">
        <v>22459</v>
      </c>
      <c r="F391" s="24"/>
      <c r="G391" s="24">
        <v>0</v>
      </c>
      <c r="H391" s="24"/>
      <c r="I391" s="24">
        <f>46229+29341</f>
        <v>75570</v>
      </c>
      <c r="J391" s="24"/>
      <c r="K391" s="24">
        <v>472</v>
      </c>
      <c r="L391" s="24"/>
      <c r="M391" s="24">
        <v>17533</v>
      </c>
      <c r="N391" s="24"/>
      <c r="O391" s="24">
        <v>0</v>
      </c>
      <c r="P391" s="24"/>
      <c r="Q391" s="24">
        <v>0</v>
      </c>
      <c r="R391" s="24"/>
      <c r="S391" s="24">
        <f>21719+1094</f>
        <v>22813</v>
      </c>
      <c r="T391" s="24"/>
      <c r="U391" s="24">
        <v>0</v>
      </c>
      <c r="V391" s="24"/>
      <c r="W391" s="24">
        <v>0</v>
      </c>
      <c r="X391" s="24"/>
      <c r="Y391" s="24">
        <v>0</v>
      </c>
      <c r="Z391" s="24"/>
      <c r="AA391" s="24">
        <v>33500</v>
      </c>
      <c r="AB391" s="24"/>
      <c r="AC391" s="24">
        <v>0</v>
      </c>
      <c r="AD391" s="24"/>
      <c r="AE391" s="24">
        <v>0</v>
      </c>
      <c r="AF391" s="24"/>
      <c r="AG391" s="24">
        <v>0</v>
      </c>
      <c r="AH391" s="24"/>
      <c r="AI391" s="24">
        <f t="shared" si="15"/>
        <v>172347</v>
      </c>
      <c r="AJ391" s="24"/>
    </row>
    <row r="392" spans="1:42">
      <c r="A392" s="15" t="s">
        <v>391</v>
      </c>
      <c r="C392" s="15" t="s">
        <v>388</v>
      </c>
      <c r="E392" s="24">
        <f>5509+11583</f>
        <v>17092</v>
      </c>
      <c r="G392" s="24">
        <v>78</v>
      </c>
      <c r="I392" s="24">
        <f>45600+939</f>
        <v>46539</v>
      </c>
      <c r="K392" s="24">
        <v>121</v>
      </c>
      <c r="M392" s="24">
        <v>2610</v>
      </c>
      <c r="O392" s="24">
        <v>0</v>
      </c>
      <c r="Q392" s="24">
        <v>1499</v>
      </c>
      <c r="S392" s="24">
        <v>9175</v>
      </c>
      <c r="U392" s="24">
        <v>0</v>
      </c>
      <c r="W392" s="24">
        <v>0</v>
      </c>
      <c r="Y392" s="24">
        <v>0</v>
      </c>
      <c r="AA392" s="24">
        <v>0</v>
      </c>
      <c r="AC392" s="24">
        <v>0</v>
      </c>
      <c r="AE392" s="24">
        <v>0</v>
      </c>
      <c r="AG392" s="24">
        <v>0</v>
      </c>
      <c r="AI392" s="24">
        <f t="shared" si="15"/>
        <v>77114</v>
      </c>
      <c r="AJ392" s="24"/>
    </row>
    <row r="393" spans="1:42">
      <c r="A393" s="15" t="s">
        <v>486</v>
      </c>
      <c r="C393" s="15" t="s">
        <v>243</v>
      </c>
      <c r="E393" s="24">
        <f>160234+94014</f>
        <v>254248</v>
      </c>
      <c r="G393" s="24">
        <f>889776+46831</f>
        <v>936607</v>
      </c>
      <c r="I393" s="24">
        <f>77670+154326</f>
        <v>231996</v>
      </c>
      <c r="K393" s="24">
        <v>0</v>
      </c>
      <c r="M393" s="24">
        <f>17616+156757</f>
        <v>174373</v>
      </c>
      <c r="O393" s="24">
        <v>45154</v>
      </c>
      <c r="Q393" s="24">
        <f>80243+8975+3503</f>
        <v>92721</v>
      </c>
      <c r="S393" s="24">
        <f>34513+94975+348</f>
        <v>129836</v>
      </c>
      <c r="U393" s="24">
        <v>0</v>
      </c>
      <c r="W393" s="24">
        <v>0</v>
      </c>
      <c r="Y393" s="24">
        <v>0</v>
      </c>
      <c r="AA393" s="24">
        <f>467561+515215</f>
        <v>982776</v>
      </c>
      <c r="AC393" s="24">
        <v>0</v>
      </c>
      <c r="AE393" s="24">
        <v>0</v>
      </c>
      <c r="AG393" s="24">
        <v>0</v>
      </c>
      <c r="AI393" s="24">
        <f t="shared" si="15"/>
        <v>2847711</v>
      </c>
      <c r="AJ393" s="24"/>
    </row>
    <row r="394" spans="1:42" hidden="1">
      <c r="A394" s="15" t="s">
        <v>24</v>
      </c>
      <c r="C394" s="15" t="s">
        <v>756</v>
      </c>
      <c r="E394" s="24">
        <v>0</v>
      </c>
      <c r="G394" s="24">
        <v>0</v>
      </c>
      <c r="I394" s="24">
        <v>0</v>
      </c>
      <c r="K394" s="24">
        <v>0</v>
      </c>
      <c r="M394" s="24">
        <v>0</v>
      </c>
      <c r="O394" s="24">
        <v>0</v>
      </c>
      <c r="Q394" s="24">
        <v>0</v>
      </c>
      <c r="S394" s="24">
        <v>0</v>
      </c>
      <c r="U394" s="24">
        <v>0</v>
      </c>
      <c r="W394" s="24">
        <v>0</v>
      </c>
      <c r="Y394" s="24">
        <v>0</v>
      </c>
      <c r="AA394" s="24">
        <v>0</v>
      </c>
      <c r="AC394" s="24">
        <v>0</v>
      </c>
      <c r="AE394" s="24">
        <v>0</v>
      </c>
      <c r="AG394" s="24">
        <v>0</v>
      </c>
      <c r="AI394" s="24">
        <f t="shared" si="15"/>
        <v>0</v>
      </c>
      <c r="AJ394" s="24"/>
    </row>
    <row r="395" spans="1:42" s="31" customFormat="1" hidden="1">
      <c r="A395" s="15" t="s">
        <v>112</v>
      </c>
      <c r="B395" s="15"/>
      <c r="C395" s="15" t="s">
        <v>784</v>
      </c>
      <c r="D395" s="15"/>
      <c r="E395" s="24">
        <v>0</v>
      </c>
      <c r="F395" s="24"/>
      <c r="G395" s="24">
        <v>0</v>
      </c>
      <c r="H395" s="24"/>
      <c r="I395" s="24">
        <v>0</v>
      </c>
      <c r="J395" s="24"/>
      <c r="K395" s="24">
        <v>0</v>
      </c>
      <c r="L395" s="24"/>
      <c r="M395" s="24">
        <v>0</v>
      </c>
      <c r="N395" s="24"/>
      <c r="O395" s="24">
        <v>0</v>
      </c>
      <c r="P395" s="24"/>
      <c r="Q395" s="24">
        <v>0</v>
      </c>
      <c r="R395" s="24"/>
      <c r="S395" s="24">
        <v>0</v>
      </c>
      <c r="T395" s="24"/>
      <c r="U395" s="24">
        <v>0</v>
      </c>
      <c r="V395" s="24"/>
      <c r="W395" s="24">
        <v>0</v>
      </c>
      <c r="X395" s="24"/>
      <c r="Y395" s="24">
        <v>0</v>
      </c>
      <c r="Z395" s="24"/>
      <c r="AA395" s="24">
        <v>0</v>
      </c>
      <c r="AB395" s="24"/>
      <c r="AC395" s="24">
        <v>0</v>
      </c>
      <c r="AD395" s="24"/>
      <c r="AE395" s="24">
        <v>0</v>
      </c>
      <c r="AF395" s="24"/>
      <c r="AG395" s="24">
        <v>0</v>
      </c>
      <c r="AH395" s="24"/>
      <c r="AI395" s="24">
        <f t="shared" si="15"/>
        <v>0</v>
      </c>
      <c r="AJ395" s="24"/>
    </row>
    <row r="396" spans="1:42" ht="12.6" hidden="1" customHeight="1">
      <c r="A396" s="15" t="s">
        <v>288</v>
      </c>
      <c r="C396" s="15" t="s">
        <v>287</v>
      </c>
      <c r="E396" s="24">
        <v>0</v>
      </c>
      <c r="G396" s="24">
        <v>0</v>
      </c>
      <c r="I396" s="24">
        <v>0</v>
      </c>
      <c r="K396" s="24">
        <v>0</v>
      </c>
      <c r="M396" s="24">
        <v>0</v>
      </c>
      <c r="O396" s="24">
        <v>0</v>
      </c>
      <c r="Q396" s="24">
        <v>0</v>
      </c>
      <c r="S396" s="24">
        <v>0</v>
      </c>
      <c r="U396" s="24">
        <v>0</v>
      </c>
      <c r="W396" s="24">
        <v>0</v>
      </c>
      <c r="Y396" s="24">
        <v>0</v>
      </c>
      <c r="AA396" s="24">
        <v>0</v>
      </c>
      <c r="AC396" s="24">
        <v>0</v>
      </c>
      <c r="AE396" s="24">
        <v>0</v>
      </c>
      <c r="AG396" s="24">
        <v>0</v>
      </c>
      <c r="AI396" s="24">
        <f t="shared" si="15"/>
        <v>0</v>
      </c>
      <c r="AJ396" s="24"/>
    </row>
    <row r="397" spans="1:42">
      <c r="A397" s="15" t="s">
        <v>551</v>
      </c>
      <c r="C397" s="15" t="s">
        <v>545</v>
      </c>
      <c r="E397" s="24">
        <f>88998+861655</f>
        <v>950653</v>
      </c>
      <c r="G397" s="24">
        <v>0</v>
      </c>
      <c r="I397" s="24">
        <f>120576+95331</f>
        <v>215907</v>
      </c>
      <c r="K397" s="24">
        <v>0</v>
      </c>
      <c r="M397" s="24">
        <v>15344</v>
      </c>
      <c r="O397" s="24">
        <f>1015+1306</f>
        <v>2321</v>
      </c>
      <c r="Q397" s="24">
        <f>40674+2508</f>
        <v>43182</v>
      </c>
      <c r="S397" s="24">
        <v>15678</v>
      </c>
      <c r="U397" s="24">
        <v>0</v>
      </c>
      <c r="W397" s="24">
        <v>0</v>
      </c>
      <c r="Y397" s="24">
        <v>0</v>
      </c>
      <c r="AA397" s="24">
        <f>458000+239000+299000</f>
        <v>996000</v>
      </c>
      <c r="AC397" s="24">
        <v>0</v>
      </c>
      <c r="AE397" s="24">
        <v>0</v>
      </c>
      <c r="AG397" s="24">
        <v>0</v>
      </c>
      <c r="AI397" s="24">
        <f t="shared" si="15"/>
        <v>2239085</v>
      </c>
      <c r="AJ397" s="24"/>
    </row>
    <row r="398" spans="1:42" s="31" customFormat="1">
      <c r="A398" s="15" t="s">
        <v>309</v>
      </c>
      <c r="B398" s="15"/>
      <c r="C398" s="15" t="s">
        <v>308</v>
      </c>
      <c r="D398" s="15"/>
      <c r="E398" s="24">
        <v>5439</v>
      </c>
      <c r="F398" s="24"/>
      <c r="G398" s="24">
        <v>0</v>
      </c>
      <c r="H398" s="24"/>
      <c r="I398" s="24">
        <f>8850+7503</f>
        <v>16353</v>
      </c>
      <c r="J398" s="24"/>
      <c r="K398" s="24">
        <v>0</v>
      </c>
      <c r="L398" s="24"/>
      <c r="M398" s="24">
        <v>0</v>
      </c>
      <c r="N398" s="24"/>
      <c r="O398" s="24">
        <v>0</v>
      </c>
      <c r="P398" s="24"/>
      <c r="Q398" s="24">
        <v>0</v>
      </c>
      <c r="R398" s="24"/>
      <c r="S398" s="24">
        <f>22+3</f>
        <v>25</v>
      </c>
      <c r="T398" s="24"/>
      <c r="U398" s="24">
        <v>0</v>
      </c>
      <c r="V398" s="24"/>
      <c r="W398" s="24">
        <v>0</v>
      </c>
      <c r="X398" s="24"/>
      <c r="Y398" s="24">
        <v>0</v>
      </c>
      <c r="Z398" s="24"/>
      <c r="AA398" s="24">
        <v>0</v>
      </c>
      <c r="AB398" s="24"/>
      <c r="AC398" s="24">
        <v>0</v>
      </c>
      <c r="AD398" s="24"/>
      <c r="AE398" s="24">
        <v>0</v>
      </c>
      <c r="AF398" s="24"/>
      <c r="AG398" s="24">
        <v>0</v>
      </c>
      <c r="AH398" s="24"/>
      <c r="AI398" s="24">
        <f t="shared" si="15"/>
        <v>21817</v>
      </c>
      <c r="AJ398" s="24"/>
      <c r="AK398" s="32"/>
      <c r="AL398" s="32"/>
      <c r="AM398" s="32"/>
      <c r="AN398" s="32"/>
      <c r="AO398" s="32"/>
      <c r="AP398" s="32"/>
    </row>
    <row r="399" spans="1:42">
      <c r="A399" s="15" t="s">
        <v>615</v>
      </c>
      <c r="C399" s="15" t="s">
        <v>614</v>
      </c>
      <c r="E399" s="24">
        <v>18881</v>
      </c>
      <c r="G399" s="24">
        <v>0</v>
      </c>
      <c r="I399" s="24">
        <f>13406+51033</f>
        <v>64439</v>
      </c>
      <c r="K399" s="24">
        <v>0</v>
      </c>
      <c r="M399" s="24">
        <v>0</v>
      </c>
      <c r="O399" s="24">
        <v>195</v>
      </c>
      <c r="Q399" s="24">
        <v>0</v>
      </c>
      <c r="S399" s="24">
        <f>2799+157</f>
        <v>2956</v>
      </c>
      <c r="U399" s="24">
        <v>0</v>
      </c>
      <c r="W399" s="24">
        <v>0</v>
      </c>
      <c r="Y399" s="24">
        <v>0</v>
      </c>
      <c r="AA399" s="24">
        <v>85320</v>
      </c>
      <c r="AC399" s="24">
        <v>0</v>
      </c>
      <c r="AE399" s="24">
        <v>13148</v>
      </c>
      <c r="AG399" s="24">
        <v>0</v>
      </c>
      <c r="AI399" s="24">
        <f t="shared" si="15"/>
        <v>184939</v>
      </c>
      <c r="AJ399" s="24"/>
    </row>
    <row r="400" spans="1:42" hidden="1">
      <c r="A400" s="15" t="s">
        <v>37</v>
      </c>
      <c r="C400" s="15" t="s">
        <v>761</v>
      </c>
      <c r="E400" s="24">
        <v>0</v>
      </c>
      <c r="G400" s="24">
        <v>0</v>
      </c>
      <c r="I400" s="24">
        <v>0</v>
      </c>
      <c r="K400" s="24">
        <v>0</v>
      </c>
      <c r="M400" s="24">
        <v>0</v>
      </c>
      <c r="O400" s="24">
        <v>0</v>
      </c>
      <c r="Q400" s="24">
        <v>0</v>
      </c>
      <c r="S400" s="24">
        <v>0</v>
      </c>
      <c r="U400" s="24">
        <v>0</v>
      </c>
      <c r="W400" s="24">
        <v>0</v>
      </c>
      <c r="Y400" s="24">
        <v>0</v>
      </c>
      <c r="AA400" s="24">
        <v>0</v>
      </c>
      <c r="AC400" s="24">
        <v>0</v>
      </c>
      <c r="AE400" s="24">
        <v>0</v>
      </c>
      <c r="AG400" s="24">
        <v>0</v>
      </c>
      <c r="AI400" s="24">
        <f t="shared" si="15"/>
        <v>0</v>
      </c>
      <c r="AJ400" s="24"/>
    </row>
    <row r="401" spans="1:42" s="31" customFormat="1">
      <c r="A401" s="15" t="s">
        <v>355</v>
      </c>
      <c r="B401" s="15"/>
      <c r="C401" s="15" t="s">
        <v>353</v>
      </c>
      <c r="D401" s="15"/>
      <c r="E401" s="24">
        <v>964890</v>
      </c>
      <c r="F401" s="24"/>
      <c r="G401" s="24">
        <f>8795372+10528481+1258407</f>
        <v>20582260</v>
      </c>
      <c r="H401" s="24"/>
      <c r="I401" s="24">
        <f>494771+56436+1579431</f>
        <v>2130638</v>
      </c>
      <c r="J401" s="24"/>
      <c r="K401" s="24">
        <v>0</v>
      </c>
      <c r="L401" s="24"/>
      <c r="M401" s="24">
        <f>230989+199179</f>
        <v>430168</v>
      </c>
      <c r="N401" s="24"/>
      <c r="O401" s="24">
        <f>375473+48460+8275</f>
        <v>432208</v>
      </c>
      <c r="P401" s="24"/>
      <c r="Q401" s="24">
        <f>395996+22172+3485+426874</f>
        <v>848527</v>
      </c>
      <c r="R401" s="24"/>
      <c r="S401" s="24">
        <f>170531+990886+25950+65</f>
        <v>1187432</v>
      </c>
      <c r="T401" s="24"/>
      <c r="U401" s="24">
        <v>0</v>
      </c>
      <c r="V401" s="24"/>
      <c r="W401" s="24">
        <v>319615</v>
      </c>
      <c r="X401" s="24"/>
      <c r="Y401" s="24">
        <v>0</v>
      </c>
      <c r="Z401" s="24"/>
      <c r="AA401" s="24">
        <v>3490654</v>
      </c>
      <c r="AB401" s="24"/>
      <c r="AC401" s="24">
        <v>0</v>
      </c>
      <c r="AD401" s="24"/>
      <c r="AE401" s="24">
        <f>283184+478820+2092914</f>
        <v>2854918</v>
      </c>
      <c r="AF401" s="24"/>
      <c r="AG401" s="24">
        <v>0</v>
      </c>
      <c r="AH401" s="24"/>
      <c r="AI401" s="24">
        <f t="shared" si="15"/>
        <v>33241310</v>
      </c>
      <c r="AJ401" s="24"/>
      <c r="AK401" s="32"/>
      <c r="AL401" s="32"/>
      <c r="AM401" s="32"/>
      <c r="AN401" s="32"/>
      <c r="AO401" s="32"/>
      <c r="AP401" s="32"/>
    </row>
    <row r="402" spans="1:42" hidden="1">
      <c r="A402" s="15" t="s">
        <v>103</v>
      </c>
      <c r="C402" s="15" t="s">
        <v>781</v>
      </c>
      <c r="E402" s="24">
        <v>0</v>
      </c>
      <c r="G402" s="24">
        <v>0</v>
      </c>
      <c r="I402" s="24">
        <v>0</v>
      </c>
      <c r="K402" s="24">
        <v>0</v>
      </c>
      <c r="M402" s="24">
        <v>0</v>
      </c>
      <c r="O402" s="24">
        <v>0</v>
      </c>
      <c r="Q402" s="24">
        <v>0</v>
      </c>
      <c r="S402" s="24">
        <v>0</v>
      </c>
      <c r="U402" s="24">
        <v>0</v>
      </c>
      <c r="W402" s="24">
        <v>0</v>
      </c>
      <c r="Y402" s="24">
        <v>0</v>
      </c>
      <c r="AA402" s="24">
        <v>0</v>
      </c>
      <c r="AC402" s="24">
        <v>0</v>
      </c>
      <c r="AE402" s="24">
        <v>0</v>
      </c>
      <c r="AG402" s="24">
        <v>0</v>
      </c>
      <c r="AI402" s="24">
        <f t="shared" si="15"/>
        <v>0</v>
      </c>
      <c r="AJ402" s="24"/>
    </row>
    <row r="403" spans="1:42" s="31" customFormat="1" hidden="1">
      <c r="A403" s="15" t="s">
        <v>109</v>
      </c>
      <c r="B403" s="15"/>
      <c r="C403" s="15" t="s">
        <v>782</v>
      </c>
      <c r="D403" s="15"/>
      <c r="E403" s="24">
        <v>0</v>
      </c>
      <c r="F403" s="24"/>
      <c r="G403" s="24">
        <v>0</v>
      </c>
      <c r="H403" s="24"/>
      <c r="I403" s="24">
        <v>0</v>
      </c>
      <c r="J403" s="24"/>
      <c r="K403" s="24">
        <v>0</v>
      </c>
      <c r="L403" s="24"/>
      <c r="M403" s="24">
        <v>0</v>
      </c>
      <c r="N403" s="24"/>
      <c r="O403" s="24">
        <v>0</v>
      </c>
      <c r="P403" s="24"/>
      <c r="Q403" s="24">
        <v>0</v>
      </c>
      <c r="R403" s="24"/>
      <c r="S403" s="24">
        <v>0</v>
      </c>
      <c r="T403" s="24"/>
      <c r="U403" s="24">
        <v>0</v>
      </c>
      <c r="V403" s="24"/>
      <c r="W403" s="24">
        <v>0</v>
      </c>
      <c r="X403" s="24"/>
      <c r="Y403" s="24">
        <v>0</v>
      </c>
      <c r="Z403" s="24"/>
      <c r="AA403" s="24">
        <v>0</v>
      </c>
      <c r="AB403" s="24"/>
      <c r="AC403" s="24">
        <v>0</v>
      </c>
      <c r="AD403" s="24"/>
      <c r="AE403" s="24">
        <v>0</v>
      </c>
      <c r="AF403" s="24"/>
      <c r="AG403" s="24">
        <v>0</v>
      </c>
      <c r="AH403" s="24"/>
      <c r="AI403" s="24">
        <f t="shared" si="15"/>
        <v>0</v>
      </c>
      <c r="AJ403" s="24"/>
    </row>
    <row r="404" spans="1:42" hidden="1">
      <c r="A404" s="15" t="s">
        <v>149</v>
      </c>
      <c r="C404" s="15" t="s">
        <v>464</v>
      </c>
      <c r="E404" s="24">
        <v>0</v>
      </c>
      <c r="G404" s="24">
        <v>0</v>
      </c>
      <c r="I404" s="24">
        <v>0</v>
      </c>
      <c r="K404" s="24">
        <v>0</v>
      </c>
      <c r="M404" s="24">
        <v>0</v>
      </c>
      <c r="O404" s="24">
        <v>0</v>
      </c>
      <c r="Q404" s="24">
        <v>0</v>
      </c>
      <c r="S404" s="24">
        <v>0</v>
      </c>
      <c r="U404" s="24">
        <v>0</v>
      </c>
      <c r="W404" s="24">
        <v>0</v>
      </c>
      <c r="Y404" s="24">
        <v>0</v>
      </c>
      <c r="AA404" s="24">
        <v>0</v>
      </c>
      <c r="AC404" s="24">
        <v>0</v>
      </c>
      <c r="AE404" s="24">
        <v>0</v>
      </c>
      <c r="AG404" s="24">
        <v>0</v>
      </c>
      <c r="AI404" s="24">
        <f t="shared" si="15"/>
        <v>0</v>
      </c>
      <c r="AJ404" s="24"/>
    </row>
    <row r="405" spans="1:42" hidden="1">
      <c r="A405" s="15" t="s">
        <v>533</v>
      </c>
      <c r="C405" s="15" t="s">
        <v>534</v>
      </c>
      <c r="E405" s="24">
        <v>0</v>
      </c>
      <c r="G405" s="24">
        <v>0</v>
      </c>
      <c r="I405" s="24">
        <v>0</v>
      </c>
      <c r="K405" s="24">
        <v>0</v>
      </c>
      <c r="M405" s="24">
        <v>0</v>
      </c>
      <c r="O405" s="24">
        <v>0</v>
      </c>
      <c r="Q405" s="24">
        <v>0</v>
      </c>
      <c r="S405" s="24">
        <v>0</v>
      </c>
      <c r="U405" s="24">
        <v>0</v>
      </c>
      <c r="W405" s="24">
        <v>0</v>
      </c>
      <c r="Y405" s="24">
        <v>0</v>
      </c>
      <c r="AA405" s="24">
        <v>0</v>
      </c>
      <c r="AC405" s="24">
        <v>0</v>
      </c>
      <c r="AE405" s="24">
        <v>0</v>
      </c>
      <c r="AG405" s="24">
        <v>0</v>
      </c>
      <c r="AI405" s="24">
        <f t="shared" si="15"/>
        <v>0</v>
      </c>
      <c r="AJ405" s="24"/>
    </row>
    <row r="406" spans="1:42" ht="12.6" customHeight="1">
      <c r="A406" s="15" t="s">
        <v>277</v>
      </c>
      <c r="C406" s="15" t="s">
        <v>275</v>
      </c>
      <c r="E406" s="24">
        <f>3022525+8098</f>
        <v>3030623</v>
      </c>
      <c r="G406" s="24">
        <v>0</v>
      </c>
      <c r="I406" s="24">
        <f>184698+304753</f>
        <v>489451</v>
      </c>
      <c r="K406" s="24">
        <v>53844</v>
      </c>
      <c r="M406" s="24">
        <f>88928+30000</f>
        <v>118928</v>
      </c>
      <c r="O406" s="24">
        <f>17465+1783</f>
        <v>19248</v>
      </c>
      <c r="Q406" s="24">
        <f>97356+499</f>
        <v>97855</v>
      </c>
      <c r="S406" s="24">
        <f>49710+20036+4496</f>
        <v>74242</v>
      </c>
      <c r="U406" s="24">
        <v>0</v>
      </c>
      <c r="W406" s="24">
        <v>0</v>
      </c>
      <c r="Y406" s="24">
        <v>0</v>
      </c>
      <c r="AA406" s="24">
        <v>725000</v>
      </c>
      <c r="AC406" s="24">
        <v>0</v>
      </c>
      <c r="AE406" s="24">
        <v>0</v>
      </c>
      <c r="AG406" s="24">
        <v>0</v>
      </c>
      <c r="AI406" s="24">
        <f t="shared" si="15"/>
        <v>4609191</v>
      </c>
      <c r="AJ406" s="24"/>
    </row>
    <row r="407" spans="1:42">
      <c r="A407" s="15" t="s">
        <v>490</v>
      </c>
      <c r="C407" s="15" t="s">
        <v>488</v>
      </c>
      <c r="E407" s="24">
        <f>725156+73484+11080</f>
        <v>809720</v>
      </c>
      <c r="G407" s="24">
        <v>0</v>
      </c>
      <c r="I407" s="24">
        <f>61640+127111</f>
        <v>188751</v>
      </c>
      <c r="K407" s="24">
        <v>18414</v>
      </c>
      <c r="M407" s="24">
        <v>309080</v>
      </c>
      <c r="O407" s="24">
        <v>66475</v>
      </c>
      <c r="Q407" s="24">
        <v>13874</v>
      </c>
      <c r="S407" s="24">
        <f>35917+39271</f>
        <v>75188</v>
      </c>
      <c r="U407" s="24">
        <v>0</v>
      </c>
      <c r="W407" s="24">
        <v>0</v>
      </c>
      <c r="Y407" s="24">
        <v>0</v>
      </c>
      <c r="AA407" s="24">
        <f>8275+197094+36787</f>
        <v>242156</v>
      </c>
      <c r="AC407" s="24">
        <v>0</v>
      </c>
      <c r="AE407" s="24">
        <v>0</v>
      </c>
      <c r="AG407" s="24">
        <v>0</v>
      </c>
      <c r="AI407" s="24">
        <f t="shared" si="15"/>
        <v>1723658</v>
      </c>
      <c r="AJ407" s="24"/>
    </row>
    <row r="408" spans="1:42" hidden="1">
      <c r="A408" s="15" t="s">
        <v>189</v>
      </c>
      <c r="C408" s="15" t="s">
        <v>809</v>
      </c>
      <c r="E408" s="24">
        <v>0</v>
      </c>
      <c r="G408" s="24">
        <v>0</v>
      </c>
      <c r="I408" s="24">
        <v>0</v>
      </c>
      <c r="K408" s="24">
        <v>0</v>
      </c>
      <c r="M408" s="24">
        <v>0</v>
      </c>
      <c r="O408" s="24">
        <v>0</v>
      </c>
      <c r="Q408" s="24">
        <v>0</v>
      </c>
      <c r="S408" s="24">
        <v>0</v>
      </c>
      <c r="U408" s="24">
        <v>0</v>
      </c>
      <c r="W408" s="24">
        <v>0</v>
      </c>
      <c r="Y408" s="24">
        <v>0</v>
      </c>
      <c r="AA408" s="24">
        <v>0</v>
      </c>
      <c r="AC408" s="24">
        <v>0</v>
      </c>
      <c r="AE408" s="24">
        <v>0</v>
      </c>
      <c r="AG408" s="24">
        <v>0</v>
      </c>
      <c r="AI408" s="24">
        <f t="shared" si="15"/>
        <v>0</v>
      </c>
      <c r="AJ408" s="24"/>
    </row>
    <row r="409" spans="1:42" hidden="1">
      <c r="A409" s="15" t="s">
        <v>12</v>
      </c>
      <c r="C409" s="15" t="s">
        <v>754</v>
      </c>
      <c r="E409" s="24">
        <v>0</v>
      </c>
      <c r="G409" s="24">
        <v>0</v>
      </c>
      <c r="I409" s="24">
        <v>0</v>
      </c>
      <c r="K409" s="24">
        <v>0</v>
      </c>
      <c r="M409" s="24">
        <v>0</v>
      </c>
      <c r="O409" s="24">
        <v>0</v>
      </c>
      <c r="Q409" s="24">
        <v>0</v>
      </c>
      <c r="S409" s="24">
        <v>0</v>
      </c>
      <c r="U409" s="24">
        <v>0</v>
      </c>
      <c r="W409" s="24">
        <v>0</v>
      </c>
      <c r="Y409" s="24">
        <v>0</v>
      </c>
      <c r="AA409" s="24">
        <v>0</v>
      </c>
      <c r="AC409" s="24">
        <v>0</v>
      </c>
      <c r="AE409" s="24">
        <v>0</v>
      </c>
      <c r="AG409" s="24">
        <v>0</v>
      </c>
      <c r="AI409" s="24">
        <f t="shared" si="15"/>
        <v>0</v>
      </c>
      <c r="AJ409" s="24"/>
    </row>
    <row r="410" spans="1:42">
      <c r="A410" s="15" t="s">
        <v>484</v>
      </c>
      <c r="C410" s="15" t="s">
        <v>482</v>
      </c>
      <c r="E410" s="24">
        <f>64423+737000</f>
        <v>801423</v>
      </c>
      <c r="G410" s="24">
        <f>486996+768921</f>
        <v>1255917</v>
      </c>
      <c r="I410" s="24">
        <f>174404+269195</f>
        <v>443599</v>
      </c>
      <c r="K410" s="24">
        <v>86707</v>
      </c>
      <c r="M410" s="24">
        <f>3544+186527</f>
        <v>190071</v>
      </c>
      <c r="O410" s="24">
        <f>2556+355</f>
        <v>2911</v>
      </c>
      <c r="Q410" s="24">
        <f>66466+2512</f>
        <v>68978</v>
      </c>
      <c r="S410" s="24">
        <f>56088+45754+140877</f>
        <v>242719</v>
      </c>
      <c r="U410" s="24">
        <v>0</v>
      </c>
      <c r="W410" s="24">
        <f>342500+477500+25000</f>
        <v>845000</v>
      </c>
      <c r="Y410" s="24">
        <v>12937</v>
      </c>
      <c r="AA410" s="24">
        <f>409204+323105</f>
        <v>732309</v>
      </c>
      <c r="AC410" s="24">
        <v>0</v>
      </c>
      <c r="AE410" s="24">
        <f>1227+10820+322959</f>
        <v>335006</v>
      </c>
      <c r="AG410" s="24">
        <v>0</v>
      </c>
      <c r="AI410" s="24">
        <f t="shared" si="15"/>
        <v>5017577</v>
      </c>
      <c r="AJ410" s="24"/>
    </row>
    <row r="411" spans="1:42" s="31" customFormat="1">
      <c r="A411" s="15" t="s">
        <v>417</v>
      </c>
      <c r="B411" s="15"/>
      <c r="C411" s="15" t="s">
        <v>416</v>
      </c>
      <c r="D411" s="15"/>
      <c r="E411" s="24">
        <f>78934+9818</f>
        <v>88752</v>
      </c>
      <c r="F411" s="24"/>
      <c r="G411" s="24">
        <v>294693</v>
      </c>
      <c r="H411" s="24"/>
      <c r="I411" s="24">
        <f>185843+125556+20525</f>
        <v>331924</v>
      </c>
      <c r="J411" s="24"/>
      <c r="K411" s="24">
        <v>0</v>
      </c>
      <c r="L411" s="24"/>
      <c r="M411" s="24">
        <f>24800+13950+39853</f>
        <v>78603</v>
      </c>
      <c r="N411" s="24"/>
      <c r="O411" s="24">
        <f>19606+1014</f>
        <v>20620</v>
      </c>
      <c r="P411" s="24"/>
      <c r="Q411" s="24">
        <f>60798+5850+3106</f>
        <v>69754</v>
      </c>
      <c r="R411" s="24"/>
      <c r="S411" s="24">
        <f>28279+10563+20418</f>
        <v>59260</v>
      </c>
      <c r="T411" s="24"/>
      <c r="U411" s="24">
        <v>0</v>
      </c>
      <c r="V411" s="24"/>
      <c r="W411" s="24">
        <v>0</v>
      </c>
      <c r="X411" s="24"/>
      <c r="Y411" s="24">
        <v>0</v>
      </c>
      <c r="Z411" s="24"/>
      <c r="AA411" s="24">
        <f>251560+38100</f>
        <v>289660</v>
      </c>
      <c r="AB411" s="24"/>
      <c r="AC411" s="24">
        <v>14000</v>
      </c>
      <c r="AD411" s="24"/>
      <c r="AE411" s="24">
        <v>4377</v>
      </c>
      <c r="AF411" s="24"/>
      <c r="AG411" s="24">
        <v>0</v>
      </c>
      <c r="AH411" s="24"/>
      <c r="AI411" s="24">
        <f t="shared" si="15"/>
        <v>1251643</v>
      </c>
      <c r="AJ411" s="24"/>
    </row>
    <row r="412" spans="1:42" hidden="1">
      <c r="A412" s="15" t="s">
        <v>53</v>
      </c>
      <c r="C412" s="15" t="s">
        <v>767</v>
      </c>
      <c r="E412" s="24">
        <v>0</v>
      </c>
      <c r="G412" s="24">
        <v>0</v>
      </c>
      <c r="I412" s="24">
        <v>0</v>
      </c>
      <c r="K412" s="24">
        <v>0</v>
      </c>
      <c r="M412" s="24">
        <v>0</v>
      </c>
      <c r="O412" s="24">
        <v>0</v>
      </c>
      <c r="Q412" s="24">
        <v>0</v>
      </c>
      <c r="S412" s="24">
        <v>0</v>
      </c>
      <c r="U412" s="24">
        <v>0</v>
      </c>
      <c r="W412" s="24">
        <v>0</v>
      </c>
      <c r="Y412" s="24">
        <v>0</v>
      </c>
      <c r="AA412" s="24">
        <v>0</v>
      </c>
      <c r="AC412" s="24">
        <v>0</v>
      </c>
      <c r="AE412" s="24">
        <v>0</v>
      </c>
      <c r="AG412" s="24">
        <v>0</v>
      </c>
      <c r="AI412" s="24">
        <f t="shared" si="15"/>
        <v>0</v>
      </c>
      <c r="AJ412" s="41"/>
      <c r="AK412" s="30"/>
      <c r="AL412" s="30"/>
      <c r="AM412" s="30"/>
      <c r="AN412" s="30"/>
      <c r="AO412" s="30"/>
      <c r="AP412" s="30"/>
    </row>
    <row r="413" spans="1:42" hidden="1">
      <c r="A413" s="15" t="s">
        <v>145</v>
      </c>
      <c r="C413" s="15" t="s">
        <v>795</v>
      </c>
      <c r="E413" s="24">
        <v>0</v>
      </c>
      <c r="G413" s="24">
        <v>0</v>
      </c>
      <c r="I413" s="24">
        <v>0</v>
      </c>
      <c r="K413" s="24">
        <v>0</v>
      </c>
      <c r="M413" s="24">
        <v>0</v>
      </c>
      <c r="O413" s="24">
        <v>0</v>
      </c>
      <c r="Q413" s="24">
        <v>0</v>
      </c>
      <c r="S413" s="24">
        <v>0</v>
      </c>
      <c r="U413" s="24">
        <v>0</v>
      </c>
      <c r="W413" s="24">
        <v>0</v>
      </c>
      <c r="Y413" s="24">
        <v>0</v>
      </c>
      <c r="AA413" s="24">
        <v>0</v>
      </c>
      <c r="AC413" s="24">
        <v>0</v>
      </c>
      <c r="AE413" s="24">
        <v>0</v>
      </c>
      <c r="AG413" s="24">
        <v>0</v>
      </c>
      <c r="AI413" s="24">
        <f t="shared" ref="AI413:AI445" si="16">SUM(E413:AG413)</f>
        <v>0</v>
      </c>
      <c r="AJ413" s="24"/>
    </row>
    <row r="414" spans="1:42" hidden="1">
      <c r="A414" s="15" t="s">
        <v>514</v>
      </c>
      <c r="C414" s="15" t="s">
        <v>513</v>
      </c>
      <c r="E414" s="24">
        <v>0</v>
      </c>
      <c r="G414" s="24">
        <v>0</v>
      </c>
      <c r="I414" s="24">
        <v>0</v>
      </c>
      <c r="K414" s="24">
        <v>0</v>
      </c>
      <c r="M414" s="24">
        <v>0</v>
      </c>
      <c r="O414" s="24">
        <v>0</v>
      </c>
      <c r="Q414" s="24">
        <v>0</v>
      </c>
      <c r="S414" s="24">
        <v>0</v>
      </c>
      <c r="U414" s="24">
        <v>0</v>
      </c>
      <c r="W414" s="24">
        <v>0</v>
      </c>
      <c r="Y414" s="24">
        <v>0</v>
      </c>
      <c r="AA414" s="24">
        <v>0</v>
      </c>
      <c r="AC414" s="24">
        <v>0</v>
      </c>
      <c r="AE414" s="24">
        <v>0</v>
      </c>
      <c r="AG414" s="24">
        <v>0</v>
      </c>
      <c r="AI414" s="24">
        <f t="shared" si="16"/>
        <v>0</v>
      </c>
      <c r="AJ414" s="24"/>
    </row>
    <row r="415" spans="1:42" s="24" customFormat="1" hidden="1">
      <c r="A415" s="24" t="s">
        <v>38</v>
      </c>
      <c r="C415" s="24" t="s">
        <v>761</v>
      </c>
      <c r="E415" s="24">
        <v>0</v>
      </c>
      <c r="G415" s="24">
        <v>0</v>
      </c>
      <c r="I415" s="24">
        <v>0</v>
      </c>
      <c r="K415" s="24">
        <v>0</v>
      </c>
      <c r="M415" s="24">
        <v>0</v>
      </c>
      <c r="O415" s="24">
        <v>0</v>
      </c>
      <c r="Q415" s="24">
        <v>0</v>
      </c>
      <c r="S415" s="24">
        <v>0</v>
      </c>
      <c r="U415" s="24">
        <v>0</v>
      </c>
      <c r="W415" s="24">
        <v>0</v>
      </c>
      <c r="Y415" s="24">
        <v>0</v>
      </c>
      <c r="AA415" s="24">
        <v>0</v>
      </c>
      <c r="AC415" s="24">
        <v>0</v>
      </c>
      <c r="AE415" s="24">
        <v>0</v>
      </c>
      <c r="AG415" s="24">
        <v>0</v>
      </c>
      <c r="AI415" s="24">
        <f t="shared" si="16"/>
        <v>0</v>
      </c>
    </row>
    <row r="416" spans="1:42" s="31" customFormat="1" hidden="1">
      <c r="A416" s="15" t="s">
        <v>220</v>
      </c>
      <c r="B416" s="15"/>
      <c r="C416" s="15" t="s">
        <v>818</v>
      </c>
      <c r="D416" s="15"/>
      <c r="E416" s="24">
        <v>0</v>
      </c>
      <c r="F416" s="24"/>
      <c r="G416" s="24">
        <v>0</v>
      </c>
      <c r="H416" s="24"/>
      <c r="I416" s="24">
        <v>0</v>
      </c>
      <c r="J416" s="24"/>
      <c r="K416" s="24">
        <v>0</v>
      </c>
      <c r="L416" s="24"/>
      <c r="M416" s="24">
        <v>0</v>
      </c>
      <c r="N416" s="24"/>
      <c r="O416" s="24">
        <v>0</v>
      </c>
      <c r="P416" s="24"/>
      <c r="Q416" s="24">
        <v>0</v>
      </c>
      <c r="R416" s="24"/>
      <c r="S416" s="24">
        <v>0</v>
      </c>
      <c r="T416" s="24"/>
      <c r="U416" s="24">
        <v>0</v>
      </c>
      <c r="V416" s="24"/>
      <c r="W416" s="24">
        <v>0</v>
      </c>
      <c r="X416" s="24"/>
      <c r="Y416" s="24">
        <v>0</v>
      </c>
      <c r="Z416" s="24"/>
      <c r="AA416" s="24">
        <v>0</v>
      </c>
      <c r="AB416" s="24"/>
      <c r="AC416" s="24">
        <v>0</v>
      </c>
      <c r="AD416" s="24"/>
      <c r="AE416" s="24">
        <v>0</v>
      </c>
      <c r="AF416" s="24"/>
      <c r="AG416" s="24">
        <v>0</v>
      </c>
      <c r="AH416" s="24"/>
      <c r="AI416" s="24">
        <f t="shared" si="16"/>
        <v>0</v>
      </c>
      <c r="AJ416" s="24"/>
    </row>
    <row r="417" spans="1:42" hidden="1">
      <c r="A417" s="15" t="s">
        <v>712</v>
      </c>
      <c r="C417" s="15" t="s">
        <v>504</v>
      </c>
      <c r="E417" s="24">
        <v>0</v>
      </c>
      <c r="G417" s="24">
        <v>0</v>
      </c>
      <c r="I417" s="24">
        <v>0</v>
      </c>
      <c r="K417" s="24">
        <v>0</v>
      </c>
      <c r="M417" s="24">
        <v>0</v>
      </c>
      <c r="O417" s="24">
        <v>0</v>
      </c>
      <c r="Q417" s="24">
        <v>0</v>
      </c>
      <c r="S417" s="24">
        <v>0</v>
      </c>
      <c r="U417" s="24">
        <v>0</v>
      </c>
      <c r="W417" s="24">
        <v>0</v>
      </c>
      <c r="Y417" s="24">
        <v>0</v>
      </c>
      <c r="AA417" s="24">
        <v>0</v>
      </c>
      <c r="AC417" s="24">
        <v>0</v>
      </c>
      <c r="AE417" s="24">
        <v>0</v>
      </c>
      <c r="AG417" s="24">
        <v>0</v>
      </c>
      <c r="AI417" s="24">
        <f t="shared" si="16"/>
        <v>0</v>
      </c>
      <c r="AJ417" s="24"/>
    </row>
    <row r="418" spans="1:42" hidden="1">
      <c r="A418" s="15" t="s">
        <v>41</v>
      </c>
      <c r="C418" s="15" t="s">
        <v>762</v>
      </c>
      <c r="E418" s="24">
        <v>0</v>
      </c>
      <c r="G418" s="24">
        <v>0</v>
      </c>
      <c r="I418" s="24">
        <v>0</v>
      </c>
      <c r="K418" s="24">
        <v>0</v>
      </c>
      <c r="M418" s="24">
        <v>0</v>
      </c>
      <c r="O418" s="24">
        <v>0</v>
      </c>
      <c r="Q418" s="24">
        <v>0</v>
      </c>
      <c r="S418" s="24">
        <v>0</v>
      </c>
      <c r="U418" s="24">
        <v>0</v>
      </c>
      <c r="W418" s="24">
        <v>0</v>
      </c>
      <c r="Y418" s="24">
        <v>0</v>
      </c>
      <c r="AA418" s="24">
        <v>0</v>
      </c>
      <c r="AC418" s="24">
        <v>0</v>
      </c>
      <c r="AE418" s="24">
        <v>0</v>
      </c>
      <c r="AG418" s="24">
        <v>0</v>
      </c>
      <c r="AI418" s="24">
        <f t="shared" si="16"/>
        <v>0</v>
      </c>
      <c r="AJ418" s="24"/>
      <c r="AK418" s="30"/>
      <c r="AL418" s="30"/>
      <c r="AM418" s="30"/>
      <c r="AN418" s="30"/>
      <c r="AO418" s="30"/>
      <c r="AP418" s="30"/>
    </row>
    <row r="419" spans="1:42" s="31" customFormat="1" ht="12.6" hidden="1" customHeight="1">
      <c r="A419" s="15" t="s">
        <v>313</v>
      </c>
      <c r="B419" s="15"/>
      <c r="C419" s="15" t="s">
        <v>312</v>
      </c>
      <c r="D419" s="15"/>
      <c r="E419" s="24">
        <v>0</v>
      </c>
      <c r="F419" s="24"/>
      <c r="G419" s="24">
        <v>0</v>
      </c>
      <c r="H419" s="24"/>
      <c r="I419" s="24">
        <v>0</v>
      </c>
      <c r="J419" s="24"/>
      <c r="K419" s="24">
        <v>0</v>
      </c>
      <c r="L419" s="24"/>
      <c r="M419" s="24">
        <v>0</v>
      </c>
      <c r="N419" s="24"/>
      <c r="O419" s="24">
        <v>0</v>
      </c>
      <c r="P419" s="24"/>
      <c r="Q419" s="24">
        <v>0</v>
      </c>
      <c r="R419" s="24"/>
      <c r="S419" s="24">
        <v>0</v>
      </c>
      <c r="T419" s="24"/>
      <c r="U419" s="24">
        <v>0</v>
      </c>
      <c r="V419" s="24"/>
      <c r="W419" s="24">
        <v>0</v>
      </c>
      <c r="X419" s="24"/>
      <c r="Y419" s="24">
        <v>0</v>
      </c>
      <c r="Z419" s="24"/>
      <c r="AA419" s="24">
        <v>0</v>
      </c>
      <c r="AB419" s="24"/>
      <c r="AC419" s="24">
        <v>0</v>
      </c>
      <c r="AD419" s="24"/>
      <c r="AE419" s="24">
        <v>0</v>
      </c>
      <c r="AF419" s="24"/>
      <c r="AG419" s="24">
        <v>0</v>
      </c>
      <c r="AH419" s="24"/>
      <c r="AI419" s="24">
        <f t="shared" si="16"/>
        <v>0</v>
      </c>
      <c r="AJ419" s="24"/>
      <c r="AK419" s="32"/>
      <c r="AL419" s="32"/>
      <c r="AM419" s="32"/>
      <c r="AN419" s="32"/>
      <c r="AO419" s="32"/>
      <c r="AP419" s="32"/>
    </row>
    <row r="420" spans="1:42" s="31" customFormat="1" hidden="1">
      <c r="A420" s="15" t="s">
        <v>859</v>
      </c>
      <c r="B420" s="15"/>
      <c r="C420" s="15" t="s">
        <v>763</v>
      </c>
      <c r="D420" s="15"/>
      <c r="E420" s="24">
        <v>0</v>
      </c>
      <c r="F420" s="24"/>
      <c r="G420" s="24">
        <v>0</v>
      </c>
      <c r="H420" s="24"/>
      <c r="I420" s="24">
        <v>0</v>
      </c>
      <c r="J420" s="24"/>
      <c r="K420" s="24">
        <v>0</v>
      </c>
      <c r="L420" s="24"/>
      <c r="M420" s="24">
        <v>0</v>
      </c>
      <c r="N420" s="24"/>
      <c r="O420" s="24">
        <v>0</v>
      </c>
      <c r="P420" s="24"/>
      <c r="Q420" s="24">
        <v>0</v>
      </c>
      <c r="R420" s="24"/>
      <c r="S420" s="24">
        <v>0</v>
      </c>
      <c r="T420" s="24"/>
      <c r="U420" s="24">
        <v>0</v>
      </c>
      <c r="V420" s="24"/>
      <c r="W420" s="24">
        <v>0</v>
      </c>
      <c r="X420" s="24"/>
      <c r="Y420" s="24">
        <v>0</v>
      </c>
      <c r="Z420" s="24"/>
      <c r="AA420" s="24">
        <v>0</v>
      </c>
      <c r="AB420" s="24"/>
      <c r="AC420" s="24">
        <v>0</v>
      </c>
      <c r="AD420" s="24"/>
      <c r="AE420" s="24">
        <v>0</v>
      </c>
      <c r="AF420" s="24"/>
      <c r="AG420" s="24">
        <v>0</v>
      </c>
      <c r="AH420" s="24"/>
      <c r="AI420" s="24">
        <f t="shared" si="16"/>
        <v>0</v>
      </c>
      <c r="AJ420" s="24"/>
      <c r="AK420" s="32"/>
      <c r="AL420" s="32"/>
      <c r="AM420" s="32"/>
      <c r="AN420" s="32"/>
      <c r="AO420" s="32"/>
      <c r="AP420" s="32"/>
    </row>
    <row r="421" spans="1:42" s="31" customFormat="1">
      <c r="A421" s="15"/>
      <c r="B421" s="15"/>
      <c r="C421" s="15"/>
      <c r="D421" s="15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 t="s">
        <v>869</v>
      </c>
      <c r="AJ421" s="24"/>
    </row>
    <row r="422" spans="1:42" s="84" customFormat="1" ht="12.6" customHeight="1">
      <c r="A422" s="41" t="s">
        <v>333</v>
      </c>
      <c r="B422" s="41"/>
      <c r="C422" s="41" t="s">
        <v>329</v>
      </c>
      <c r="D422" s="41"/>
      <c r="E422" s="41">
        <f>5284+3320</f>
        <v>8604</v>
      </c>
      <c r="F422" s="41"/>
      <c r="G422" s="41">
        <v>0</v>
      </c>
      <c r="H422" s="41"/>
      <c r="I422" s="41">
        <f>31240+16424</f>
        <v>47664</v>
      </c>
      <c r="J422" s="41"/>
      <c r="K422" s="41">
        <v>26693</v>
      </c>
      <c r="L422" s="41"/>
      <c r="M422" s="41">
        <v>0</v>
      </c>
      <c r="N422" s="41"/>
      <c r="O422" s="41">
        <v>0</v>
      </c>
      <c r="P422" s="41"/>
      <c r="Q422" s="41">
        <v>0</v>
      </c>
      <c r="R422" s="41"/>
      <c r="S422" s="41">
        <f>14334+213</f>
        <v>14547</v>
      </c>
      <c r="T422" s="41"/>
      <c r="U422" s="41">
        <v>0</v>
      </c>
      <c r="V422" s="41"/>
      <c r="W422" s="41">
        <v>0</v>
      </c>
      <c r="X422" s="41"/>
      <c r="Y422" s="41">
        <v>0</v>
      </c>
      <c r="Z422" s="41"/>
      <c r="AA422" s="41">
        <v>0</v>
      </c>
      <c r="AB422" s="41"/>
      <c r="AC422" s="41">
        <v>0</v>
      </c>
      <c r="AD422" s="41"/>
      <c r="AE422" s="41">
        <v>0</v>
      </c>
      <c r="AF422" s="41"/>
      <c r="AG422" s="41">
        <v>0</v>
      </c>
      <c r="AH422" s="41"/>
      <c r="AI422" s="41">
        <f t="shared" si="16"/>
        <v>97508</v>
      </c>
      <c r="AJ422" s="41"/>
      <c r="AK422" s="95"/>
      <c r="AL422" s="95"/>
      <c r="AM422" s="95"/>
      <c r="AN422" s="95"/>
      <c r="AO422" s="95"/>
      <c r="AP422" s="95"/>
    </row>
    <row r="423" spans="1:42" s="31" customFormat="1" ht="12.6" hidden="1" customHeight="1">
      <c r="A423" s="15" t="s">
        <v>324</v>
      </c>
      <c r="B423" s="15"/>
      <c r="C423" s="15" t="s">
        <v>316</v>
      </c>
      <c r="D423" s="15"/>
      <c r="E423" s="24">
        <v>0</v>
      </c>
      <c r="F423" s="24"/>
      <c r="G423" s="24">
        <v>0</v>
      </c>
      <c r="H423" s="24"/>
      <c r="I423" s="24">
        <v>0</v>
      </c>
      <c r="J423" s="24"/>
      <c r="K423" s="24">
        <v>0</v>
      </c>
      <c r="L423" s="24"/>
      <c r="M423" s="24">
        <v>0</v>
      </c>
      <c r="N423" s="24"/>
      <c r="O423" s="24">
        <v>0</v>
      </c>
      <c r="P423" s="24"/>
      <c r="Q423" s="24">
        <v>0</v>
      </c>
      <c r="R423" s="24"/>
      <c r="S423" s="24">
        <v>0</v>
      </c>
      <c r="T423" s="24"/>
      <c r="U423" s="24">
        <v>0</v>
      </c>
      <c r="V423" s="24"/>
      <c r="W423" s="24">
        <v>0</v>
      </c>
      <c r="X423" s="24"/>
      <c r="Y423" s="24">
        <v>0</v>
      </c>
      <c r="Z423" s="24"/>
      <c r="AA423" s="24">
        <v>0</v>
      </c>
      <c r="AB423" s="24"/>
      <c r="AC423" s="24">
        <v>0</v>
      </c>
      <c r="AD423" s="24"/>
      <c r="AE423" s="24">
        <v>0</v>
      </c>
      <c r="AF423" s="24"/>
      <c r="AG423" s="24">
        <v>0</v>
      </c>
      <c r="AH423" s="24"/>
      <c r="AI423" s="24">
        <f t="shared" si="16"/>
        <v>0</v>
      </c>
      <c r="AJ423" s="24"/>
      <c r="AK423" s="32"/>
      <c r="AL423" s="32"/>
      <c r="AM423" s="32"/>
      <c r="AN423" s="32"/>
      <c r="AO423" s="32"/>
      <c r="AP423" s="32"/>
    </row>
    <row r="424" spans="1:42">
      <c r="A424" s="15" t="s">
        <v>569</v>
      </c>
      <c r="C424" s="15" t="s">
        <v>565</v>
      </c>
      <c r="E424" s="24">
        <f>138705+16104+859</f>
        <v>155668</v>
      </c>
      <c r="G424" s="24">
        <f>768984+389490+10000</f>
        <v>1168474</v>
      </c>
      <c r="I424" s="24">
        <f>871578+188089</f>
        <v>1059667</v>
      </c>
      <c r="K424" s="24">
        <v>0</v>
      </c>
      <c r="M424" s="24">
        <f>562+46849+2520</f>
        <v>49931</v>
      </c>
      <c r="O424" s="24">
        <f>11580+1199</f>
        <v>12779</v>
      </c>
      <c r="Q424" s="24">
        <f>59708+340</f>
        <v>60048</v>
      </c>
      <c r="S424" s="24">
        <f>13783+25263+1104</f>
        <v>40150</v>
      </c>
      <c r="U424" s="24">
        <v>0</v>
      </c>
      <c r="W424" s="24">
        <v>0</v>
      </c>
      <c r="Y424" s="24">
        <v>574</v>
      </c>
      <c r="AA424" s="24">
        <f>160000+14600</f>
        <v>174600</v>
      </c>
      <c r="AC424" s="24">
        <v>0</v>
      </c>
      <c r="AE424" s="24">
        <v>0</v>
      </c>
      <c r="AG424" s="24">
        <v>0</v>
      </c>
      <c r="AI424" s="24">
        <f t="shared" si="16"/>
        <v>2721891</v>
      </c>
      <c r="AJ424" s="24"/>
    </row>
    <row r="425" spans="1:42" ht="12.6" hidden="1" customHeight="1">
      <c r="A425" s="15" t="s">
        <v>691</v>
      </c>
      <c r="C425" s="15" t="s">
        <v>295</v>
      </c>
      <c r="E425" s="24">
        <v>0</v>
      </c>
      <c r="G425" s="24">
        <v>0</v>
      </c>
      <c r="I425" s="24">
        <v>0</v>
      </c>
      <c r="K425" s="24">
        <v>0</v>
      </c>
      <c r="M425" s="24">
        <v>0</v>
      </c>
      <c r="O425" s="24">
        <v>0</v>
      </c>
      <c r="Q425" s="24">
        <v>0</v>
      </c>
      <c r="S425" s="24">
        <v>0</v>
      </c>
      <c r="U425" s="24">
        <v>0</v>
      </c>
      <c r="W425" s="24">
        <v>0</v>
      </c>
      <c r="Y425" s="24">
        <v>0</v>
      </c>
      <c r="AA425" s="24">
        <v>0</v>
      </c>
      <c r="AC425" s="24">
        <v>0</v>
      </c>
      <c r="AE425" s="24">
        <v>0</v>
      </c>
      <c r="AG425" s="24">
        <v>0</v>
      </c>
      <c r="AI425" s="24">
        <f t="shared" si="16"/>
        <v>0</v>
      </c>
      <c r="AJ425" s="24"/>
    </row>
    <row r="426" spans="1:42" s="31" customFormat="1" hidden="1">
      <c r="A426" s="15" t="s">
        <v>96</v>
      </c>
      <c r="B426" s="15"/>
      <c r="C426" s="15" t="s">
        <v>778</v>
      </c>
      <c r="D426" s="15"/>
      <c r="E426" s="24">
        <v>0</v>
      </c>
      <c r="F426" s="24"/>
      <c r="G426" s="24">
        <v>0</v>
      </c>
      <c r="H426" s="24"/>
      <c r="I426" s="24">
        <v>0</v>
      </c>
      <c r="J426" s="24"/>
      <c r="K426" s="24">
        <v>0</v>
      </c>
      <c r="L426" s="24"/>
      <c r="M426" s="24">
        <v>0</v>
      </c>
      <c r="N426" s="24"/>
      <c r="O426" s="24">
        <v>0</v>
      </c>
      <c r="P426" s="24"/>
      <c r="Q426" s="24">
        <v>0</v>
      </c>
      <c r="R426" s="24"/>
      <c r="S426" s="24">
        <v>0</v>
      </c>
      <c r="T426" s="24"/>
      <c r="U426" s="24">
        <v>0</v>
      </c>
      <c r="V426" s="24"/>
      <c r="W426" s="24">
        <v>0</v>
      </c>
      <c r="X426" s="24"/>
      <c r="Y426" s="24">
        <v>0</v>
      </c>
      <c r="Z426" s="24"/>
      <c r="AA426" s="24">
        <v>0</v>
      </c>
      <c r="AB426" s="24"/>
      <c r="AC426" s="24">
        <v>0</v>
      </c>
      <c r="AD426" s="24"/>
      <c r="AE426" s="24">
        <v>0</v>
      </c>
      <c r="AF426" s="24"/>
      <c r="AG426" s="24">
        <v>0</v>
      </c>
      <c r="AH426" s="24"/>
      <c r="AI426" s="24">
        <f t="shared" si="16"/>
        <v>0</v>
      </c>
      <c r="AJ426" s="24"/>
    </row>
    <row r="427" spans="1:42" hidden="1">
      <c r="A427" s="15" t="s">
        <v>55</v>
      </c>
      <c r="C427" s="15" t="s">
        <v>768</v>
      </c>
      <c r="E427" s="24">
        <v>0</v>
      </c>
      <c r="G427" s="24">
        <v>0</v>
      </c>
      <c r="I427" s="24">
        <v>0</v>
      </c>
      <c r="K427" s="24">
        <v>0</v>
      </c>
      <c r="M427" s="24">
        <v>0</v>
      </c>
      <c r="O427" s="24">
        <v>0</v>
      </c>
      <c r="Q427" s="24">
        <v>0</v>
      </c>
      <c r="S427" s="24">
        <v>0</v>
      </c>
      <c r="U427" s="24">
        <v>0</v>
      </c>
      <c r="W427" s="24">
        <v>0</v>
      </c>
      <c r="Y427" s="24">
        <v>0</v>
      </c>
      <c r="AA427" s="24">
        <v>0</v>
      </c>
      <c r="AC427" s="24">
        <v>0</v>
      </c>
      <c r="AE427" s="24">
        <v>0</v>
      </c>
      <c r="AG427" s="24">
        <v>0</v>
      </c>
      <c r="AI427" s="24">
        <f t="shared" si="16"/>
        <v>0</v>
      </c>
      <c r="AJ427" s="24"/>
      <c r="AK427" s="30"/>
      <c r="AL427" s="30"/>
      <c r="AM427" s="30"/>
      <c r="AN427" s="30"/>
      <c r="AO427" s="30"/>
      <c r="AP427" s="30"/>
    </row>
    <row r="428" spans="1:42" hidden="1">
      <c r="A428" s="15" t="s">
        <v>610</v>
      </c>
      <c r="C428" s="15" t="s">
        <v>606</v>
      </c>
      <c r="E428" s="24">
        <v>0</v>
      </c>
      <c r="G428" s="24">
        <v>0</v>
      </c>
      <c r="I428" s="24">
        <v>0</v>
      </c>
      <c r="K428" s="24">
        <v>0</v>
      </c>
      <c r="M428" s="24">
        <v>0</v>
      </c>
      <c r="O428" s="24">
        <v>0</v>
      </c>
      <c r="Q428" s="24">
        <v>0</v>
      </c>
      <c r="S428" s="24">
        <v>0</v>
      </c>
      <c r="U428" s="24">
        <v>0</v>
      </c>
      <c r="W428" s="24">
        <v>0</v>
      </c>
      <c r="Y428" s="24">
        <v>0</v>
      </c>
      <c r="AA428" s="24">
        <v>0</v>
      </c>
      <c r="AC428" s="24">
        <v>0</v>
      </c>
      <c r="AE428" s="24">
        <v>0</v>
      </c>
      <c r="AG428" s="24">
        <v>0</v>
      </c>
      <c r="AI428" s="24">
        <f t="shared" si="16"/>
        <v>0</v>
      </c>
      <c r="AJ428" s="24"/>
    </row>
    <row r="429" spans="1:42" hidden="1">
      <c r="A429" s="15" t="s">
        <v>97</v>
      </c>
      <c r="C429" s="15" t="s">
        <v>778</v>
      </c>
      <c r="E429" s="24">
        <v>0</v>
      </c>
      <c r="G429" s="24">
        <v>0</v>
      </c>
      <c r="I429" s="24">
        <v>0</v>
      </c>
      <c r="K429" s="24">
        <v>0</v>
      </c>
      <c r="M429" s="24">
        <v>0</v>
      </c>
      <c r="O429" s="24">
        <v>0</v>
      </c>
      <c r="Q429" s="24">
        <v>0</v>
      </c>
      <c r="S429" s="24">
        <v>0</v>
      </c>
      <c r="U429" s="24">
        <v>0</v>
      </c>
      <c r="W429" s="24">
        <v>0</v>
      </c>
      <c r="Y429" s="24">
        <v>0</v>
      </c>
      <c r="AA429" s="24">
        <v>0</v>
      </c>
      <c r="AC429" s="24">
        <v>0</v>
      </c>
      <c r="AE429" s="24">
        <v>0</v>
      </c>
      <c r="AG429" s="24">
        <v>0</v>
      </c>
      <c r="AI429" s="24">
        <f t="shared" si="16"/>
        <v>0</v>
      </c>
      <c r="AJ429" s="24"/>
    </row>
    <row r="430" spans="1:42" hidden="1">
      <c r="A430" s="15" t="s">
        <v>418</v>
      </c>
      <c r="C430" s="15" t="s">
        <v>416</v>
      </c>
      <c r="E430" s="24">
        <v>0</v>
      </c>
      <c r="G430" s="24">
        <v>0</v>
      </c>
      <c r="I430" s="24">
        <v>0</v>
      </c>
      <c r="K430" s="24">
        <v>0</v>
      </c>
      <c r="M430" s="24">
        <v>0</v>
      </c>
      <c r="O430" s="24">
        <v>0</v>
      </c>
      <c r="Q430" s="24">
        <v>0</v>
      </c>
      <c r="S430" s="24">
        <v>0</v>
      </c>
      <c r="U430" s="24">
        <v>0</v>
      </c>
      <c r="W430" s="24">
        <v>0</v>
      </c>
      <c r="Y430" s="24">
        <v>0</v>
      </c>
      <c r="AA430" s="24">
        <v>0</v>
      </c>
      <c r="AC430" s="24">
        <v>0</v>
      </c>
      <c r="AE430" s="24">
        <v>0</v>
      </c>
      <c r="AG430" s="24">
        <v>0</v>
      </c>
      <c r="AI430" s="24">
        <f t="shared" si="16"/>
        <v>0</v>
      </c>
      <c r="AJ430" s="24"/>
    </row>
    <row r="431" spans="1:42" ht="12.6" hidden="1" customHeight="1">
      <c r="A431" s="15" t="s">
        <v>293</v>
      </c>
      <c r="C431" s="15" t="s">
        <v>292</v>
      </c>
      <c r="E431" s="24">
        <v>0</v>
      </c>
      <c r="G431" s="24">
        <v>0</v>
      </c>
      <c r="I431" s="24">
        <v>0</v>
      </c>
      <c r="K431" s="24">
        <v>0</v>
      </c>
      <c r="M431" s="24">
        <v>0</v>
      </c>
      <c r="O431" s="24">
        <v>0</v>
      </c>
      <c r="Q431" s="24">
        <v>0</v>
      </c>
      <c r="S431" s="24">
        <v>0</v>
      </c>
      <c r="U431" s="24">
        <v>0</v>
      </c>
      <c r="W431" s="24">
        <v>0</v>
      </c>
      <c r="Y431" s="24">
        <v>0</v>
      </c>
      <c r="AA431" s="24">
        <v>0</v>
      </c>
      <c r="AC431" s="24">
        <v>0</v>
      </c>
      <c r="AE431" s="24">
        <v>0</v>
      </c>
      <c r="AG431" s="24">
        <v>0</v>
      </c>
      <c r="AI431" s="24">
        <f t="shared" si="16"/>
        <v>0</v>
      </c>
      <c r="AJ431" s="24"/>
    </row>
    <row r="432" spans="1:42" ht="12.6" hidden="1" customHeight="1">
      <c r="A432" s="15" t="s">
        <v>692</v>
      </c>
      <c r="C432" s="15" t="s">
        <v>677</v>
      </c>
      <c r="E432" s="24">
        <v>0</v>
      </c>
      <c r="G432" s="24">
        <v>0</v>
      </c>
      <c r="I432" s="24">
        <v>0</v>
      </c>
      <c r="K432" s="24">
        <v>0</v>
      </c>
      <c r="M432" s="24">
        <v>0</v>
      </c>
      <c r="O432" s="24">
        <v>0</v>
      </c>
      <c r="Q432" s="24">
        <v>0</v>
      </c>
      <c r="S432" s="24">
        <v>0</v>
      </c>
      <c r="U432" s="24">
        <v>0</v>
      </c>
      <c r="W432" s="24">
        <v>0</v>
      </c>
      <c r="Y432" s="24">
        <v>0</v>
      </c>
      <c r="AA432" s="24">
        <v>0</v>
      </c>
      <c r="AC432" s="24">
        <v>0</v>
      </c>
      <c r="AE432" s="24">
        <v>0</v>
      </c>
      <c r="AG432" s="24">
        <v>0</v>
      </c>
      <c r="AI432" s="24">
        <f t="shared" si="16"/>
        <v>0</v>
      </c>
      <c r="AJ432" s="24"/>
      <c r="AK432" s="30"/>
      <c r="AL432" s="30"/>
      <c r="AM432" s="30"/>
      <c r="AN432" s="30"/>
      <c r="AO432" s="30"/>
      <c r="AP432" s="30"/>
    </row>
    <row r="433" spans="1:42" ht="12.6" hidden="1" customHeight="1">
      <c r="A433" s="15" t="s">
        <v>289</v>
      </c>
      <c r="C433" s="15" t="s">
        <v>287</v>
      </c>
      <c r="E433" s="24">
        <v>0</v>
      </c>
      <c r="G433" s="24">
        <v>0</v>
      </c>
      <c r="I433" s="24">
        <v>0</v>
      </c>
      <c r="K433" s="24">
        <v>0</v>
      </c>
      <c r="M433" s="24">
        <v>0</v>
      </c>
      <c r="O433" s="24">
        <v>0</v>
      </c>
      <c r="Q433" s="24">
        <v>0</v>
      </c>
      <c r="S433" s="24">
        <v>0</v>
      </c>
      <c r="U433" s="24">
        <v>0</v>
      </c>
      <c r="W433" s="24">
        <v>0</v>
      </c>
      <c r="Y433" s="24">
        <v>0</v>
      </c>
      <c r="AA433" s="24">
        <v>0</v>
      </c>
      <c r="AC433" s="24">
        <v>0</v>
      </c>
      <c r="AE433" s="24">
        <v>0</v>
      </c>
      <c r="AG433" s="24">
        <v>0</v>
      </c>
      <c r="AI433" s="24">
        <f t="shared" si="16"/>
        <v>0</v>
      </c>
      <c r="AJ433" s="24"/>
    </row>
    <row r="434" spans="1:42" s="31" customFormat="1" hidden="1">
      <c r="A434" s="15" t="s">
        <v>124</v>
      </c>
      <c r="B434" s="15"/>
      <c r="C434" s="15" t="s">
        <v>788</v>
      </c>
      <c r="D434" s="15"/>
      <c r="E434" s="24">
        <v>0</v>
      </c>
      <c r="F434" s="24"/>
      <c r="G434" s="24">
        <v>0</v>
      </c>
      <c r="H434" s="24"/>
      <c r="I434" s="24">
        <v>0</v>
      </c>
      <c r="J434" s="24"/>
      <c r="K434" s="24">
        <v>0</v>
      </c>
      <c r="L434" s="24"/>
      <c r="M434" s="24">
        <v>0</v>
      </c>
      <c r="N434" s="24"/>
      <c r="O434" s="24">
        <v>0</v>
      </c>
      <c r="P434" s="24"/>
      <c r="Q434" s="24">
        <v>0</v>
      </c>
      <c r="R434" s="24"/>
      <c r="S434" s="24">
        <v>0</v>
      </c>
      <c r="T434" s="24"/>
      <c r="U434" s="24">
        <v>0</v>
      </c>
      <c r="V434" s="24"/>
      <c r="W434" s="24">
        <v>0</v>
      </c>
      <c r="X434" s="24"/>
      <c r="Y434" s="24">
        <v>0</v>
      </c>
      <c r="Z434" s="24"/>
      <c r="AA434" s="24">
        <v>0</v>
      </c>
      <c r="AB434" s="24"/>
      <c r="AC434" s="24">
        <v>0</v>
      </c>
      <c r="AD434" s="24"/>
      <c r="AE434" s="24">
        <v>0</v>
      </c>
      <c r="AF434" s="24"/>
      <c r="AG434" s="24">
        <v>0</v>
      </c>
      <c r="AH434" s="24"/>
      <c r="AI434" s="24">
        <f t="shared" si="16"/>
        <v>0</v>
      </c>
      <c r="AJ434" s="24"/>
    </row>
    <row r="435" spans="1:42" s="31" customFormat="1" hidden="1">
      <c r="A435" s="15" t="s">
        <v>849</v>
      </c>
      <c r="B435" s="15"/>
      <c r="C435" s="15" t="s">
        <v>766</v>
      </c>
      <c r="D435" s="15"/>
      <c r="E435" s="24">
        <v>0</v>
      </c>
      <c r="F435" s="24"/>
      <c r="G435" s="24">
        <v>0</v>
      </c>
      <c r="H435" s="24"/>
      <c r="I435" s="24">
        <v>0</v>
      </c>
      <c r="J435" s="24"/>
      <c r="K435" s="24">
        <v>0</v>
      </c>
      <c r="L435" s="24"/>
      <c r="M435" s="24">
        <v>0</v>
      </c>
      <c r="N435" s="24"/>
      <c r="O435" s="24">
        <v>0</v>
      </c>
      <c r="P435" s="24"/>
      <c r="Q435" s="24">
        <v>0</v>
      </c>
      <c r="R435" s="24"/>
      <c r="S435" s="24">
        <v>0</v>
      </c>
      <c r="T435" s="24"/>
      <c r="U435" s="24">
        <v>0</v>
      </c>
      <c r="V435" s="24"/>
      <c r="W435" s="24">
        <v>0</v>
      </c>
      <c r="X435" s="24"/>
      <c r="Y435" s="24">
        <v>0</v>
      </c>
      <c r="Z435" s="24"/>
      <c r="AA435" s="24">
        <v>0</v>
      </c>
      <c r="AB435" s="24"/>
      <c r="AC435" s="24">
        <v>0</v>
      </c>
      <c r="AD435" s="24"/>
      <c r="AE435" s="24">
        <v>0</v>
      </c>
      <c r="AF435" s="24"/>
      <c r="AG435" s="24">
        <v>0</v>
      </c>
      <c r="AH435" s="24"/>
      <c r="AI435" s="24">
        <f t="shared" si="16"/>
        <v>0</v>
      </c>
      <c r="AJ435" s="24"/>
      <c r="AK435" s="32"/>
      <c r="AL435" s="32"/>
      <c r="AM435" s="32"/>
      <c r="AN435" s="32"/>
      <c r="AO435" s="32"/>
      <c r="AP435" s="32"/>
    </row>
    <row r="436" spans="1:42" s="31" customFormat="1" ht="12.6" customHeight="1">
      <c r="A436" s="15" t="s">
        <v>314</v>
      </c>
      <c r="B436" s="15"/>
      <c r="C436" s="15" t="s">
        <v>312</v>
      </c>
      <c r="D436" s="15"/>
      <c r="E436" s="24">
        <v>8569</v>
      </c>
      <c r="F436" s="24"/>
      <c r="G436" s="24">
        <v>0</v>
      </c>
      <c r="H436" s="24"/>
      <c r="I436" s="24">
        <v>14033</v>
      </c>
      <c r="J436" s="24"/>
      <c r="K436" s="24">
        <v>10055</v>
      </c>
      <c r="L436" s="24"/>
      <c r="M436" s="24">
        <v>0</v>
      </c>
      <c r="N436" s="24"/>
      <c r="O436" s="24">
        <v>10</v>
      </c>
      <c r="P436" s="24"/>
      <c r="Q436" s="24">
        <f>335+318</f>
        <v>653</v>
      </c>
      <c r="R436" s="24"/>
      <c r="S436" s="24">
        <v>1031</v>
      </c>
      <c r="T436" s="24"/>
      <c r="U436" s="24">
        <v>0</v>
      </c>
      <c r="V436" s="24"/>
      <c r="W436" s="24">
        <v>0</v>
      </c>
      <c r="X436" s="24"/>
      <c r="Y436" s="24">
        <v>0</v>
      </c>
      <c r="Z436" s="24"/>
      <c r="AA436" s="24">
        <v>0</v>
      </c>
      <c r="AB436" s="24"/>
      <c r="AC436" s="24">
        <v>0</v>
      </c>
      <c r="AD436" s="24"/>
      <c r="AE436" s="24">
        <v>0</v>
      </c>
      <c r="AF436" s="24"/>
      <c r="AG436" s="24">
        <v>0</v>
      </c>
      <c r="AH436" s="24"/>
      <c r="AI436" s="24">
        <f t="shared" si="16"/>
        <v>34351</v>
      </c>
      <c r="AJ436" s="24"/>
      <c r="AK436" s="32"/>
      <c r="AL436" s="32"/>
      <c r="AM436" s="32"/>
      <c r="AN436" s="32"/>
      <c r="AO436" s="32"/>
      <c r="AP436" s="32"/>
    </row>
    <row r="437" spans="1:42" ht="12.6" customHeight="1">
      <c r="A437" s="15" t="s">
        <v>334</v>
      </c>
      <c r="C437" s="15" t="s">
        <v>329</v>
      </c>
      <c r="E437" s="24">
        <v>1136</v>
      </c>
      <c r="G437" s="24">
        <v>0</v>
      </c>
      <c r="I437" s="24">
        <v>47351</v>
      </c>
      <c r="K437" s="24">
        <v>63541</v>
      </c>
      <c r="M437" s="24">
        <v>2173</v>
      </c>
      <c r="O437" s="24">
        <v>0</v>
      </c>
      <c r="Q437" s="24">
        <v>1897</v>
      </c>
      <c r="S437" s="24">
        <v>6358</v>
      </c>
      <c r="U437" s="24">
        <v>0</v>
      </c>
      <c r="W437" s="24">
        <v>0</v>
      </c>
      <c r="Y437" s="24">
        <v>0</v>
      </c>
      <c r="AA437" s="24">
        <v>0</v>
      </c>
      <c r="AC437" s="24">
        <v>0</v>
      </c>
      <c r="AE437" s="24">
        <v>0</v>
      </c>
      <c r="AG437" s="24">
        <v>0</v>
      </c>
      <c r="AI437" s="24">
        <f t="shared" si="16"/>
        <v>122456</v>
      </c>
      <c r="AJ437" s="24"/>
      <c r="AK437" s="30"/>
      <c r="AL437" s="30"/>
      <c r="AM437" s="30"/>
      <c r="AN437" s="30"/>
      <c r="AO437" s="30"/>
      <c r="AP437" s="30"/>
    </row>
    <row r="438" spans="1:42" s="24" customFormat="1">
      <c r="A438" s="24" t="s">
        <v>556</v>
      </c>
      <c r="C438" s="24" t="s">
        <v>554</v>
      </c>
      <c r="E438" s="24">
        <f>263940+198688</f>
        <v>462628</v>
      </c>
      <c r="G438" s="24">
        <v>1316765</v>
      </c>
      <c r="I438" s="24">
        <f>308744+223546</f>
        <v>532290</v>
      </c>
      <c r="K438" s="24">
        <v>0</v>
      </c>
      <c r="M438" s="24">
        <v>86001</v>
      </c>
      <c r="O438" s="24">
        <f>251263+17983</f>
        <v>269246</v>
      </c>
      <c r="Q438" s="24">
        <f>14929+2824</f>
        <v>17753</v>
      </c>
      <c r="S438" s="24">
        <f>108442+243</f>
        <v>108685</v>
      </c>
      <c r="U438" s="24">
        <v>0</v>
      </c>
      <c r="W438" s="24">
        <v>502832</v>
      </c>
      <c r="Y438" s="24">
        <v>0</v>
      </c>
      <c r="AA438" s="24">
        <v>0</v>
      </c>
      <c r="AC438" s="24">
        <v>0</v>
      </c>
      <c r="AE438" s="24">
        <v>0</v>
      </c>
      <c r="AG438" s="24">
        <v>0</v>
      </c>
      <c r="AI438" s="24">
        <f t="shared" si="16"/>
        <v>3296200</v>
      </c>
    </row>
    <row r="439" spans="1:42" hidden="1">
      <c r="A439" s="15" t="s">
        <v>176</v>
      </c>
      <c r="C439" s="15" t="s">
        <v>805</v>
      </c>
      <c r="E439" s="24">
        <v>0</v>
      </c>
      <c r="G439" s="24">
        <v>0</v>
      </c>
      <c r="I439" s="24">
        <v>0</v>
      </c>
      <c r="K439" s="24">
        <v>0</v>
      </c>
      <c r="M439" s="24">
        <v>0</v>
      </c>
      <c r="O439" s="24">
        <v>0</v>
      </c>
      <c r="Q439" s="24">
        <v>0</v>
      </c>
      <c r="S439" s="24">
        <v>0</v>
      </c>
      <c r="U439" s="24">
        <v>0</v>
      </c>
      <c r="W439" s="24">
        <v>0</v>
      </c>
      <c r="Y439" s="24">
        <v>0</v>
      </c>
      <c r="AA439" s="24">
        <v>0</v>
      </c>
      <c r="AC439" s="24">
        <v>0</v>
      </c>
      <c r="AE439" s="24">
        <v>0</v>
      </c>
      <c r="AG439" s="24">
        <v>0</v>
      </c>
      <c r="AI439" s="24">
        <f t="shared" si="16"/>
        <v>0</v>
      </c>
      <c r="AJ439" s="24"/>
    </row>
    <row r="440" spans="1:42">
      <c r="A440" s="15" t="s">
        <v>498</v>
      </c>
      <c r="C440" s="15" t="s">
        <v>207</v>
      </c>
      <c r="E440" s="24">
        <f>137238+96941</f>
        <v>234179</v>
      </c>
      <c r="G440" s="24">
        <v>623999</v>
      </c>
      <c r="I440" s="24">
        <f>193255+181896+39700</f>
        <v>414851</v>
      </c>
      <c r="K440" s="24">
        <f>622+4508</f>
        <v>5130</v>
      </c>
      <c r="M440" s="24">
        <f>99086+35602+1800</f>
        <v>136488</v>
      </c>
      <c r="O440" s="24">
        <f>6321+720</f>
        <v>7041</v>
      </c>
      <c r="Q440" s="24">
        <f>192300+2922</f>
        <v>195222</v>
      </c>
      <c r="S440" s="24">
        <f>113255+745</f>
        <v>114000</v>
      </c>
      <c r="U440" s="24">
        <v>0</v>
      </c>
      <c r="W440" s="24">
        <v>0</v>
      </c>
      <c r="Y440" s="24">
        <v>0</v>
      </c>
      <c r="AA440" s="24">
        <v>62000</v>
      </c>
      <c r="AC440" s="24">
        <f>75000+75000</f>
        <v>150000</v>
      </c>
      <c r="AE440" s="24">
        <v>0</v>
      </c>
      <c r="AG440" s="24">
        <v>0</v>
      </c>
      <c r="AI440" s="24">
        <f t="shared" si="16"/>
        <v>1942910</v>
      </c>
      <c r="AJ440" s="24"/>
    </row>
    <row r="441" spans="1:42" hidden="1">
      <c r="A441" s="15" t="s">
        <v>114</v>
      </c>
      <c r="C441" s="15" t="s">
        <v>669</v>
      </c>
      <c r="E441" s="24">
        <v>0</v>
      </c>
      <c r="G441" s="24">
        <v>0</v>
      </c>
      <c r="I441" s="24">
        <v>0</v>
      </c>
      <c r="K441" s="24">
        <v>0</v>
      </c>
      <c r="M441" s="24">
        <v>0</v>
      </c>
      <c r="O441" s="24">
        <v>0</v>
      </c>
      <c r="Q441" s="24">
        <v>0</v>
      </c>
      <c r="S441" s="24">
        <v>0</v>
      </c>
      <c r="U441" s="24">
        <v>0</v>
      </c>
      <c r="W441" s="24">
        <v>0</v>
      </c>
      <c r="Y441" s="24">
        <v>0</v>
      </c>
      <c r="AA441" s="24">
        <v>0</v>
      </c>
      <c r="AC441" s="24">
        <v>0</v>
      </c>
      <c r="AE441" s="24">
        <v>0</v>
      </c>
      <c r="AG441" s="24">
        <v>0</v>
      </c>
      <c r="AI441" s="24">
        <f t="shared" si="16"/>
        <v>0</v>
      </c>
      <c r="AJ441" s="24"/>
    </row>
    <row r="442" spans="1:42" s="29" customFormat="1" ht="12.6" customHeight="1">
      <c r="A442" s="24" t="s">
        <v>325</v>
      </c>
      <c r="B442" s="24"/>
      <c r="C442" s="24" t="s">
        <v>316</v>
      </c>
      <c r="D442" s="24"/>
      <c r="E442" s="24">
        <f>4149282+135055+67794+62498</f>
        <v>4414629</v>
      </c>
      <c r="F442" s="24"/>
      <c r="G442" s="24">
        <v>0</v>
      </c>
      <c r="H442" s="24"/>
      <c r="I442" s="24">
        <f>288020+492563</f>
        <v>780583</v>
      </c>
      <c r="J442" s="24"/>
      <c r="K442" s="24">
        <v>127803</v>
      </c>
      <c r="L442" s="24"/>
      <c r="M442" s="24">
        <f>217649+217493</f>
        <v>435142</v>
      </c>
      <c r="N442" s="24"/>
      <c r="O442" s="24">
        <f>318063+17771</f>
        <v>335834</v>
      </c>
      <c r="P442" s="24"/>
      <c r="Q442" s="24">
        <v>0</v>
      </c>
      <c r="R442" s="24"/>
      <c r="S442" s="24">
        <f>273137+207407</f>
        <v>480544</v>
      </c>
      <c r="T442" s="24"/>
      <c r="U442" s="24">
        <v>0</v>
      </c>
      <c r="V442" s="24"/>
      <c r="W442" s="24">
        <f>421000+1610000+370500+531000</f>
        <v>2932500</v>
      </c>
      <c r="X442" s="24"/>
      <c r="Y442" s="24">
        <v>0</v>
      </c>
      <c r="Z442" s="24"/>
      <c r="AA442" s="24">
        <f>208500+245000</f>
        <v>453500</v>
      </c>
      <c r="AB442" s="24"/>
      <c r="AC442" s="24">
        <v>0</v>
      </c>
      <c r="AD442" s="24"/>
      <c r="AE442" s="24">
        <v>0</v>
      </c>
      <c r="AF442" s="24"/>
      <c r="AG442" s="24">
        <v>0</v>
      </c>
      <c r="AH442" s="24"/>
      <c r="AI442" s="24">
        <f t="shared" si="16"/>
        <v>9960535</v>
      </c>
      <c r="AJ442" s="24"/>
      <c r="AK442" s="88"/>
      <c r="AL442" s="88"/>
      <c r="AM442" s="88"/>
      <c r="AN442" s="88"/>
      <c r="AO442" s="88"/>
      <c r="AP442" s="88"/>
    </row>
    <row r="443" spans="1:42">
      <c r="A443" s="15" t="s">
        <v>325</v>
      </c>
      <c r="C443" s="15" t="s">
        <v>500</v>
      </c>
      <c r="E443" s="24">
        <f>8704+62105</f>
        <v>70809</v>
      </c>
      <c r="G443" s="24">
        <f>74963+43118</f>
        <v>118081</v>
      </c>
      <c r="I443" s="24">
        <f>7669+67637</f>
        <v>75306</v>
      </c>
      <c r="K443" s="24">
        <v>0</v>
      </c>
      <c r="M443" s="24">
        <v>108297</v>
      </c>
      <c r="O443" s="24">
        <f>6012+2252</f>
        <v>8264</v>
      </c>
      <c r="Q443" s="24">
        <v>8220</v>
      </c>
      <c r="S443" s="24">
        <f>5729+115295+217</f>
        <v>121241</v>
      </c>
      <c r="U443" s="24">
        <v>0</v>
      </c>
      <c r="W443" s="24">
        <v>0</v>
      </c>
      <c r="Y443" s="24">
        <v>0</v>
      </c>
      <c r="AA443" s="24">
        <v>35000</v>
      </c>
      <c r="AC443" s="24">
        <v>0</v>
      </c>
      <c r="AE443" s="24">
        <v>0</v>
      </c>
      <c r="AG443" s="24">
        <v>0</v>
      </c>
      <c r="AI443" s="24">
        <f t="shared" si="16"/>
        <v>545218</v>
      </c>
      <c r="AJ443" s="24"/>
    </row>
    <row r="444" spans="1:42" hidden="1">
      <c r="A444" s="15" t="s">
        <v>75</v>
      </c>
      <c r="C444" s="15" t="s">
        <v>773</v>
      </c>
      <c r="E444" s="24">
        <v>0</v>
      </c>
      <c r="G444" s="24">
        <v>0</v>
      </c>
      <c r="I444" s="24">
        <v>0</v>
      </c>
      <c r="K444" s="24">
        <v>0</v>
      </c>
      <c r="M444" s="24">
        <v>0</v>
      </c>
      <c r="O444" s="24">
        <v>0</v>
      </c>
      <c r="Q444" s="24">
        <v>0</v>
      </c>
      <c r="S444" s="24">
        <v>0</v>
      </c>
      <c r="U444" s="24">
        <v>0</v>
      </c>
      <c r="W444" s="24">
        <v>0</v>
      </c>
      <c r="Y444" s="24">
        <v>0</v>
      </c>
      <c r="AA444" s="24">
        <v>0</v>
      </c>
      <c r="AC444" s="24">
        <v>0</v>
      </c>
      <c r="AE444" s="24">
        <v>0</v>
      </c>
      <c r="AG444" s="24">
        <v>0</v>
      </c>
      <c r="AI444" s="24">
        <f t="shared" si="16"/>
        <v>0</v>
      </c>
      <c r="AJ444" s="24"/>
    </row>
    <row r="445" spans="1:42" hidden="1">
      <c r="A445" s="15" t="s">
        <v>71</v>
      </c>
      <c r="C445" s="15" t="s">
        <v>772</v>
      </c>
      <c r="E445" s="24">
        <v>0</v>
      </c>
      <c r="G445" s="24">
        <v>0</v>
      </c>
      <c r="I445" s="24">
        <v>0</v>
      </c>
      <c r="K445" s="24">
        <v>0</v>
      </c>
      <c r="M445" s="24">
        <v>0</v>
      </c>
      <c r="O445" s="24">
        <v>0</v>
      </c>
      <c r="Q445" s="24">
        <v>0</v>
      </c>
      <c r="S445" s="24">
        <v>0</v>
      </c>
      <c r="U445" s="24">
        <v>0</v>
      </c>
      <c r="W445" s="24">
        <v>0</v>
      </c>
      <c r="Y445" s="24">
        <v>0</v>
      </c>
      <c r="AA445" s="24">
        <v>0</v>
      </c>
      <c r="AC445" s="24">
        <v>0</v>
      </c>
      <c r="AE445" s="24">
        <v>0</v>
      </c>
      <c r="AG445" s="24">
        <v>0</v>
      </c>
      <c r="AI445" s="24">
        <f t="shared" si="16"/>
        <v>0</v>
      </c>
      <c r="AJ445" s="24"/>
      <c r="AK445" s="30"/>
      <c r="AL445" s="30"/>
      <c r="AM445" s="30"/>
      <c r="AN445" s="30"/>
      <c r="AO445" s="30"/>
      <c r="AP445" s="30"/>
    </row>
    <row r="446" spans="1:42">
      <c r="A446" s="15" t="s">
        <v>578</v>
      </c>
      <c r="C446" s="15" t="s">
        <v>577</v>
      </c>
      <c r="E446" s="24">
        <f>57067+26350</f>
        <v>83417</v>
      </c>
      <c r="G446" s="24">
        <v>91230</v>
      </c>
      <c r="I446" s="24">
        <f>47949+63414+82354</f>
        <v>193717</v>
      </c>
      <c r="K446" s="24">
        <v>0</v>
      </c>
      <c r="M446" s="24">
        <f>40395+23161</f>
        <v>63556</v>
      </c>
      <c r="O446" s="24">
        <f>475+200</f>
        <v>675</v>
      </c>
      <c r="Q446" s="24">
        <f>12731+375</f>
        <v>13106</v>
      </c>
      <c r="S446" s="24">
        <f>25706+1500+3611</f>
        <v>30817</v>
      </c>
      <c r="U446" s="24">
        <v>0</v>
      </c>
      <c r="W446" s="24">
        <v>0</v>
      </c>
      <c r="Y446" s="24">
        <v>1404</v>
      </c>
      <c r="AA446" s="24">
        <v>49510</v>
      </c>
      <c r="AC446" s="24">
        <v>0</v>
      </c>
      <c r="AE446" s="24">
        <v>7748</v>
      </c>
      <c r="AG446" s="24">
        <v>0</v>
      </c>
      <c r="AI446" s="24">
        <f t="shared" ref="AI446:AI452" si="17">SUM(E446:AG446)</f>
        <v>535180</v>
      </c>
      <c r="AJ446" s="24"/>
    </row>
    <row r="447" spans="1:42" hidden="1">
      <c r="A447" s="15" t="s">
        <v>229</v>
      </c>
      <c r="C447" s="15" t="s">
        <v>822</v>
      </c>
      <c r="E447" s="24">
        <v>0</v>
      </c>
      <c r="G447" s="24">
        <v>0</v>
      </c>
      <c r="I447" s="24">
        <v>0</v>
      </c>
      <c r="K447" s="24">
        <v>0</v>
      </c>
      <c r="M447" s="24">
        <v>0</v>
      </c>
      <c r="O447" s="24">
        <v>0</v>
      </c>
      <c r="Q447" s="24">
        <v>0</v>
      </c>
      <c r="S447" s="24">
        <v>0</v>
      </c>
      <c r="U447" s="24">
        <v>0</v>
      </c>
      <c r="W447" s="24">
        <v>0</v>
      </c>
      <c r="Y447" s="24">
        <v>0</v>
      </c>
      <c r="AA447" s="24">
        <v>0</v>
      </c>
      <c r="AC447" s="24">
        <v>0</v>
      </c>
      <c r="AE447" s="24">
        <v>0</v>
      </c>
      <c r="AG447" s="24">
        <v>0</v>
      </c>
      <c r="AI447" s="24">
        <f t="shared" si="17"/>
        <v>0</v>
      </c>
      <c r="AJ447" s="24"/>
    </row>
    <row r="448" spans="1:42" hidden="1">
      <c r="A448" s="15" t="s">
        <v>190</v>
      </c>
      <c r="C448" s="15" t="s">
        <v>809</v>
      </c>
      <c r="E448" s="24">
        <v>0</v>
      </c>
      <c r="G448" s="24">
        <v>0</v>
      </c>
      <c r="I448" s="24">
        <v>0</v>
      </c>
      <c r="K448" s="24">
        <v>0</v>
      </c>
      <c r="M448" s="24">
        <v>0</v>
      </c>
      <c r="O448" s="24">
        <v>0</v>
      </c>
      <c r="Q448" s="24">
        <v>0</v>
      </c>
      <c r="S448" s="24">
        <v>0</v>
      </c>
      <c r="U448" s="24">
        <v>0</v>
      </c>
      <c r="W448" s="24">
        <v>0</v>
      </c>
      <c r="Y448" s="24">
        <v>0</v>
      </c>
      <c r="AA448" s="24">
        <v>0</v>
      </c>
      <c r="AC448" s="24">
        <v>0</v>
      </c>
      <c r="AE448" s="24">
        <v>0</v>
      </c>
      <c r="AG448" s="24">
        <v>0</v>
      </c>
      <c r="AI448" s="24">
        <f t="shared" si="17"/>
        <v>0</v>
      </c>
      <c r="AJ448" s="24"/>
    </row>
    <row r="449" spans="1:42">
      <c r="A449" s="15" t="s">
        <v>681</v>
      </c>
      <c r="C449" s="15" t="s">
        <v>677</v>
      </c>
      <c r="E449" s="24">
        <f>57171+68381</f>
        <v>125552</v>
      </c>
      <c r="G449" s="24">
        <v>0</v>
      </c>
      <c r="I449" s="24">
        <f>95194+110910+1126</f>
        <v>207230</v>
      </c>
      <c r="K449" s="24">
        <v>0</v>
      </c>
      <c r="M449" s="24">
        <v>47959</v>
      </c>
      <c r="O449" s="24">
        <f>7118+620</f>
        <v>7738</v>
      </c>
      <c r="Q449" s="24">
        <f>18400+1175</f>
        <v>19575</v>
      </c>
      <c r="S449" s="24">
        <v>5425</v>
      </c>
      <c r="U449" s="24">
        <v>0</v>
      </c>
      <c r="W449" s="24">
        <v>0</v>
      </c>
      <c r="Y449" s="24">
        <v>0</v>
      </c>
      <c r="AA449" s="24">
        <f>761946+132844+30000+48955</f>
        <v>973745</v>
      </c>
      <c r="AC449" s="24">
        <v>0</v>
      </c>
      <c r="AE449" s="24">
        <v>0</v>
      </c>
      <c r="AG449" s="24">
        <v>0</v>
      </c>
      <c r="AI449" s="24">
        <f t="shared" si="17"/>
        <v>1387224</v>
      </c>
      <c r="AJ449" s="24"/>
    </row>
    <row r="450" spans="1:42" ht="12.6" customHeight="1">
      <c r="A450" s="15" t="s">
        <v>335</v>
      </c>
      <c r="C450" s="15" t="s">
        <v>329</v>
      </c>
      <c r="E450" s="24">
        <v>8444</v>
      </c>
      <c r="G450" s="24">
        <v>0</v>
      </c>
      <c r="I450" s="24">
        <f>43411+21922</f>
        <v>65333</v>
      </c>
      <c r="K450" s="24">
        <v>207</v>
      </c>
      <c r="M450" s="24">
        <v>0</v>
      </c>
      <c r="O450" s="24">
        <v>0</v>
      </c>
      <c r="Q450" s="24">
        <f>8653+1605</f>
        <v>10258</v>
      </c>
      <c r="S450" s="24">
        <v>3240</v>
      </c>
      <c r="U450" s="24">
        <v>0</v>
      </c>
      <c r="W450" s="24">
        <v>0</v>
      </c>
      <c r="Y450" s="24">
        <v>0</v>
      </c>
      <c r="AA450" s="24">
        <v>0</v>
      </c>
      <c r="AC450" s="24">
        <f>2500+6673+20000</f>
        <v>29173</v>
      </c>
      <c r="AE450" s="24">
        <v>80000</v>
      </c>
      <c r="AG450" s="24">
        <v>0</v>
      </c>
      <c r="AI450" s="24">
        <f t="shared" si="17"/>
        <v>196655</v>
      </c>
      <c r="AJ450" s="24"/>
      <c r="AK450" s="30"/>
      <c r="AL450" s="30"/>
      <c r="AM450" s="30"/>
      <c r="AN450" s="30"/>
      <c r="AO450" s="30"/>
      <c r="AP450" s="30"/>
    </row>
    <row r="451" spans="1:42" s="31" customFormat="1" ht="12.6" customHeight="1">
      <c r="A451" s="15" t="s">
        <v>344</v>
      </c>
      <c r="B451" s="15"/>
      <c r="C451" s="15" t="s">
        <v>343</v>
      </c>
      <c r="D451" s="15"/>
      <c r="E451" s="24">
        <v>15358</v>
      </c>
      <c r="F451" s="24"/>
      <c r="G451" s="24">
        <v>0</v>
      </c>
      <c r="H451" s="24"/>
      <c r="I451" s="24">
        <f>18265+52532+343474</f>
        <v>414271</v>
      </c>
      <c r="J451" s="24"/>
      <c r="K451" s="24">
        <v>1065</v>
      </c>
      <c r="L451" s="24"/>
      <c r="M451" s="24">
        <v>0</v>
      </c>
      <c r="N451" s="24"/>
      <c r="O451" s="24">
        <v>2500</v>
      </c>
      <c r="P451" s="24"/>
      <c r="Q451" s="24">
        <f>2155+60</f>
        <v>2215</v>
      </c>
      <c r="R451" s="24"/>
      <c r="S451" s="24">
        <v>120</v>
      </c>
      <c r="T451" s="24"/>
      <c r="U451" s="24">
        <v>0</v>
      </c>
      <c r="V451" s="24"/>
      <c r="W451" s="24">
        <v>0</v>
      </c>
      <c r="X451" s="24"/>
      <c r="Y451" s="24">
        <v>0</v>
      </c>
      <c r="Z451" s="24"/>
      <c r="AA451" s="24">
        <v>5711</v>
      </c>
      <c r="AB451" s="24"/>
      <c r="AC451" s="24">
        <v>0</v>
      </c>
      <c r="AD451" s="24"/>
      <c r="AE451" s="24">
        <v>0</v>
      </c>
      <c r="AF451" s="24"/>
      <c r="AG451" s="24">
        <v>0</v>
      </c>
      <c r="AH451" s="24"/>
      <c r="AI451" s="24">
        <f t="shared" si="17"/>
        <v>441240</v>
      </c>
      <c r="AJ451" s="24"/>
      <c r="AK451" s="32"/>
      <c r="AL451" s="32"/>
      <c r="AM451" s="32"/>
      <c r="AN451" s="32"/>
      <c r="AO451" s="32"/>
      <c r="AP451" s="32"/>
    </row>
    <row r="452" spans="1:42" s="31" customFormat="1" hidden="1">
      <c r="A452" s="15" t="s">
        <v>207</v>
      </c>
      <c r="B452" s="15"/>
      <c r="C452" s="15" t="s">
        <v>813</v>
      </c>
      <c r="D452" s="15"/>
      <c r="E452" s="24">
        <v>0</v>
      </c>
      <c r="F452" s="24"/>
      <c r="G452" s="24">
        <v>0</v>
      </c>
      <c r="H452" s="24"/>
      <c r="I452" s="24">
        <v>0</v>
      </c>
      <c r="J452" s="24"/>
      <c r="K452" s="24">
        <v>0</v>
      </c>
      <c r="L452" s="24"/>
      <c r="M452" s="24">
        <v>0</v>
      </c>
      <c r="N452" s="24"/>
      <c r="O452" s="24">
        <v>0</v>
      </c>
      <c r="P452" s="24"/>
      <c r="Q452" s="24">
        <v>0</v>
      </c>
      <c r="R452" s="24"/>
      <c r="S452" s="24">
        <v>0</v>
      </c>
      <c r="T452" s="24"/>
      <c r="U452" s="24">
        <v>0</v>
      </c>
      <c r="V452" s="24"/>
      <c r="W452" s="24">
        <v>0</v>
      </c>
      <c r="X452" s="24"/>
      <c r="Y452" s="24">
        <v>0</v>
      </c>
      <c r="Z452" s="24"/>
      <c r="AA452" s="24">
        <v>0</v>
      </c>
      <c r="AB452" s="24"/>
      <c r="AC452" s="24">
        <v>0</v>
      </c>
      <c r="AD452" s="24"/>
      <c r="AE452" s="24">
        <v>0</v>
      </c>
      <c r="AF452" s="24"/>
      <c r="AG452" s="24">
        <v>0</v>
      </c>
      <c r="AH452" s="24"/>
      <c r="AI452" s="24">
        <f t="shared" si="17"/>
        <v>0</v>
      </c>
      <c r="AJ452" s="24"/>
    </row>
    <row r="453" spans="1:42" s="31" customFormat="1" hidden="1">
      <c r="A453" s="15"/>
      <c r="B453" s="15"/>
      <c r="C453" s="15"/>
      <c r="D453" s="15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 t="s">
        <v>869</v>
      </c>
      <c r="AJ453" s="24"/>
    </row>
    <row r="454" spans="1:42" s="24" customFormat="1">
      <c r="A454" s="24" t="s">
        <v>457</v>
      </c>
      <c r="C454" s="24" t="s">
        <v>456</v>
      </c>
      <c r="E454" s="24">
        <f>560059+95910</f>
        <v>655969</v>
      </c>
      <c r="G454" s="24">
        <v>2994807</v>
      </c>
      <c r="I454" s="24">
        <f>1411733+89559+203789</f>
        <v>1705081</v>
      </c>
      <c r="K454" s="24">
        <v>47851</v>
      </c>
      <c r="M454" s="24">
        <v>104989</v>
      </c>
      <c r="O454" s="24">
        <f>58211+4321</f>
        <v>62532</v>
      </c>
      <c r="Q454" s="24">
        <f>451195+18800</f>
        <v>469995</v>
      </c>
      <c r="S454" s="24">
        <f>142107+3426</f>
        <v>145533</v>
      </c>
      <c r="U454" s="24">
        <v>0</v>
      </c>
      <c r="W454" s="24">
        <v>0</v>
      </c>
      <c r="Y454" s="24">
        <v>0</v>
      </c>
      <c r="AA454" s="24">
        <f>1670000+1130000+380000</f>
        <v>3180000</v>
      </c>
      <c r="AC454" s="24">
        <v>0</v>
      </c>
      <c r="AE454" s="24">
        <v>0</v>
      </c>
      <c r="AG454" s="24">
        <v>0</v>
      </c>
      <c r="AI454" s="24">
        <f t="shared" ref="AI454:AI485" si="18">SUM(E454:AG454)</f>
        <v>9366757</v>
      </c>
    </row>
    <row r="455" spans="1:42" hidden="1">
      <c r="A455" s="15" t="s">
        <v>520</v>
      </c>
      <c r="C455" s="15" t="s">
        <v>517</v>
      </c>
      <c r="E455" s="24">
        <v>0</v>
      </c>
      <c r="G455" s="24">
        <v>0</v>
      </c>
      <c r="I455" s="24">
        <v>0</v>
      </c>
      <c r="K455" s="24">
        <v>0</v>
      </c>
      <c r="M455" s="24">
        <v>0</v>
      </c>
      <c r="O455" s="24">
        <v>0</v>
      </c>
      <c r="Q455" s="24">
        <v>0</v>
      </c>
      <c r="S455" s="24">
        <v>0</v>
      </c>
      <c r="U455" s="24">
        <v>0</v>
      </c>
      <c r="W455" s="24">
        <v>0</v>
      </c>
      <c r="Y455" s="24">
        <v>0</v>
      </c>
      <c r="AA455" s="24">
        <v>0</v>
      </c>
      <c r="AC455" s="24">
        <v>0</v>
      </c>
      <c r="AE455" s="24">
        <v>0</v>
      </c>
      <c r="AG455" s="24">
        <v>0</v>
      </c>
      <c r="AI455" s="24">
        <f t="shared" si="18"/>
        <v>0</v>
      </c>
      <c r="AJ455" s="24"/>
    </row>
    <row r="456" spans="1:42" hidden="1">
      <c r="A456" s="15" t="s">
        <v>216</v>
      </c>
      <c r="C456" s="15" t="s">
        <v>817</v>
      </c>
      <c r="E456" s="24">
        <v>0</v>
      </c>
      <c r="G456" s="24">
        <v>0</v>
      </c>
      <c r="I456" s="24">
        <v>0</v>
      </c>
      <c r="K456" s="24">
        <v>0</v>
      </c>
      <c r="M456" s="24">
        <v>0</v>
      </c>
      <c r="O456" s="24">
        <v>0</v>
      </c>
      <c r="Q456" s="24">
        <v>0</v>
      </c>
      <c r="S456" s="24">
        <v>0</v>
      </c>
      <c r="U456" s="24">
        <v>0</v>
      </c>
      <c r="W456" s="24">
        <v>0</v>
      </c>
      <c r="Y456" s="24">
        <v>0</v>
      </c>
      <c r="AA456" s="24">
        <v>0</v>
      </c>
      <c r="AC456" s="24">
        <v>0</v>
      </c>
      <c r="AE456" s="24">
        <v>0</v>
      </c>
      <c r="AG456" s="24">
        <v>0</v>
      </c>
      <c r="AI456" s="24">
        <f t="shared" si="18"/>
        <v>0</v>
      </c>
      <c r="AJ456" s="24"/>
    </row>
    <row r="457" spans="1:42" hidden="1">
      <c r="A457" s="15" t="s">
        <v>39</v>
      </c>
      <c r="C457" s="15" t="s">
        <v>761</v>
      </c>
      <c r="E457" s="24">
        <v>0</v>
      </c>
      <c r="G457" s="24">
        <v>0</v>
      </c>
      <c r="I457" s="24">
        <v>0</v>
      </c>
      <c r="K457" s="24">
        <v>0</v>
      </c>
      <c r="M457" s="24">
        <v>0</v>
      </c>
      <c r="O457" s="24">
        <v>0</v>
      </c>
      <c r="Q457" s="24">
        <v>0</v>
      </c>
      <c r="S457" s="24">
        <v>0</v>
      </c>
      <c r="U457" s="24">
        <v>0</v>
      </c>
      <c r="W457" s="24">
        <v>0</v>
      </c>
      <c r="Y457" s="24">
        <v>0</v>
      </c>
      <c r="AA457" s="24">
        <v>0</v>
      </c>
      <c r="AC457" s="24">
        <v>0</v>
      </c>
      <c r="AE457" s="24">
        <v>0</v>
      </c>
      <c r="AG457" s="24">
        <v>0</v>
      </c>
      <c r="AI457" s="24">
        <f t="shared" si="18"/>
        <v>0</v>
      </c>
      <c r="AJ457" s="41"/>
    </row>
    <row r="458" spans="1:42">
      <c r="A458" s="15" t="s">
        <v>916</v>
      </c>
      <c r="C458" s="15" t="s">
        <v>329</v>
      </c>
      <c r="E458" s="24">
        <v>7756</v>
      </c>
      <c r="G458" s="24">
        <v>0</v>
      </c>
      <c r="I458" s="24">
        <f>28007+11392</f>
        <v>39399</v>
      </c>
      <c r="K458" s="24">
        <v>0</v>
      </c>
      <c r="M458" s="24">
        <v>0</v>
      </c>
      <c r="O458" s="24">
        <v>417</v>
      </c>
      <c r="Q458" s="24">
        <v>0</v>
      </c>
      <c r="S458" s="24">
        <f>9016+12074</f>
        <v>21090</v>
      </c>
      <c r="U458" s="24">
        <v>0</v>
      </c>
      <c r="W458" s="24">
        <v>0</v>
      </c>
      <c r="Y458" s="24">
        <v>0</v>
      </c>
      <c r="AA458" s="24">
        <v>0</v>
      </c>
      <c r="AC458" s="24">
        <v>0</v>
      </c>
      <c r="AE458" s="24">
        <v>0</v>
      </c>
      <c r="AG458" s="24">
        <v>0</v>
      </c>
      <c r="AI458" s="24">
        <f t="shared" si="18"/>
        <v>68662</v>
      </c>
      <c r="AJ458" s="24"/>
    </row>
    <row r="459" spans="1:42">
      <c r="A459" s="15" t="s">
        <v>521</v>
      </c>
      <c r="C459" s="15" t="s">
        <v>517</v>
      </c>
      <c r="E459" s="24">
        <v>35896</v>
      </c>
      <c r="G459" s="24">
        <f>170873+170873</f>
        <v>341746</v>
      </c>
      <c r="I459" s="24">
        <f>108219+56199+4557</f>
        <v>168975</v>
      </c>
      <c r="K459" s="24">
        <v>0</v>
      </c>
      <c r="M459" s="24">
        <f>15091+8777+220</f>
        <v>24088</v>
      </c>
      <c r="O459" s="24">
        <f>6054+223</f>
        <v>6277</v>
      </c>
      <c r="Q459" s="24">
        <f>24109+56</f>
        <v>24165</v>
      </c>
      <c r="S459" s="24">
        <f>7583+3500+2518</f>
        <v>13601</v>
      </c>
      <c r="U459" s="24">
        <v>0</v>
      </c>
      <c r="W459" s="24">
        <v>0</v>
      </c>
      <c r="Y459" s="24">
        <v>0</v>
      </c>
      <c r="AA459" s="24">
        <v>6000</v>
      </c>
      <c r="AC459" s="24">
        <v>0</v>
      </c>
      <c r="AE459" s="24">
        <v>0</v>
      </c>
      <c r="AG459" s="24">
        <v>0</v>
      </c>
      <c r="AI459" s="24">
        <f t="shared" si="18"/>
        <v>620748</v>
      </c>
      <c r="AJ459" s="24"/>
    </row>
    <row r="460" spans="1:42">
      <c r="A460" s="15" t="s">
        <v>570</v>
      </c>
      <c r="C460" s="15" t="s">
        <v>565</v>
      </c>
      <c r="E460" s="24">
        <v>10347</v>
      </c>
      <c r="G460" s="24">
        <v>0</v>
      </c>
      <c r="I460" s="24">
        <f>10007+10174</f>
        <v>20181</v>
      </c>
      <c r="K460" s="24">
        <v>2596</v>
      </c>
      <c r="M460" s="24">
        <v>0</v>
      </c>
      <c r="O460" s="24">
        <v>0</v>
      </c>
      <c r="Q460" s="24">
        <f>1937+1872</f>
        <v>3809</v>
      </c>
      <c r="S460" s="24">
        <v>0</v>
      </c>
      <c r="U460" s="24">
        <v>0</v>
      </c>
      <c r="W460" s="24">
        <v>0</v>
      </c>
      <c r="Y460" s="24">
        <v>0</v>
      </c>
      <c r="AA460" s="24">
        <v>0</v>
      </c>
      <c r="AC460" s="24">
        <v>0</v>
      </c>
      <c r="AE460" s="24">
        <v>0</v>
      </c>
      <c r="AG460" s="24">
        <v>0</v>
      </c>
      <c r="AI460" s="24">
        <f t="shared" si="18"/>
        <v>36933</v>
      </c>
      <c r="AJ460" s="24"/>
    </row>
    <row r="461" spans="1:42" s="31" customFormat="1">
      <c r="A461" s="15" t="s">
        <v>400</v>
      </c>
      <c r="B461" s="15"/>
      <c r="C461" s="15" t="s">
        <v>396</v>
      </c>
      <c r="D461" s="15"/>
      <c r="E461" s="24">
        <v>1314</v>
      </c>
      <c r="F461" s="24"/>
      <c r="G461" s="24">
        <v>0</v>
      </c>
      <c r="H461" s="24"/>
      <c r="I461" s="24">
        <f>4056+2234+182</f>
        <v>6472</v>
      </c>
      <c r="J461" s="24"/>
      <c r="K461" s="24">
        <v>0</v>
      </c>
      <c r="L461" s="24"/>
      <c r="M461" s="24">
        <v>0</v>
      </c>
      <c r="N461" s="24"/>
      <c r="O461" s="24" t="s">
        <v>902</v>
      </c>
      <c r="P461" s="24"/>
      <c r="Q461" s="24">
        <f>33+81+12</f>
        <v>126</v>
      </c>
      <c r="R461" s="24"/>
      <c r="S461" s="24">
        <v>2147</v>
      </c>
      <c r="T461" s="24"/>
      <c r="U461" s="24">
        <v>0</v>
      </c>
      <c r="V461" s="24"/>
      <c r="W461" s="24">
        <v>0</v>
      </c>
      <c r="X461" s="24"/>
      <c r="Y461" s="24">
        <v>0</v>
      </c>
      <c r="Z461" s="24"/>
      <c r="AA461" s="24">
        <v>0</v>
      </c>
      <c r="AB461" s="24"/>
      <c r="AC461" s="24">
        <v>0</v>
      </c>
      <c r="AD461" s="24"/>
      <c r="AE461" s="24">
        <v>0</v>
      </c>
      <c r="AF461" s="24"/>
      <c r="AG461" s="24">
        <v>0</v>
      </c>
      <c r="AH461" s="24"/>
      <c r="AI461" s="24">
        <f t="shared" si="18"/>
        <v>10059</v>
      </c>
      <c r="AJ461" s="24"/>
    </row>
    <row r="462" spans="1:42">
      <c r="A462" s="15" t="s">
        <v>500</v>
      </c>
      <c r="C462" s="15" t="s">
        <v>500</v>
      </c>
      <c r="E462" s="24">
        <f>134498+278739+110413</f>
        <v>523650</v>
      </c>
      <c r="G462" s="24">
        <v>436141</v>
      </c>
      <c r="I462" s="24">
        <f>200485+256357+29058</f>
        <v>485900</v>
      </c>
      <c r="K462" s="24">
        <v>0</v>
      </c>
      <c r="M462" s="24">
        <f>15888+196243</f>
        <v>212131</v>
      </c>
      <c r="O462" s="24">
        <f>22474+2871+5723</f>
        <v>31068</v>
      </c>
      <c r="Q462" s="24">
        <f>56457+20278</f>
        <v>76735</v>
      </c>
      <c r="S462" s="24">
        <f>149779+27047+343091</f>
        <v>519917</v>
      </c>
      <c r="U462" s="24">
        <v>240000</v>
      </c>
      <c r="W462" s="24">
        <v>839850</v>
      </c>
      <c r="Y462" s="24">
        <v>0</v>
      </c>
      <c r="AA462" s="24">
        <v>140000</v>
      </c>
      <c r="AC462" s="24">
        <v>0</v>
      </c>
      <c r="AE462" s="24">
        <v>0</v>
      </c>
      <c r="AG462" s="24">
        <v>0</v>
      </c>
      <c r="AI462" s="24">
        <f t="shared" si="18"/>
        <v>3505392</v>
      </c>
      <c r="AJ462" s="24"/>
    </row>
    <row r="463" spans="1:42" hidden="1">
      <c r="A463" s="15" t="s">
        <v>502</v>
      </c>
      <c r="C463" s="15" t="s">
        <v>500</v>
      </c>
      <c r="E463" s="24">
        <v>0</v>
      </c>
      <c r="G463" s="24">
        <v>0</v>
      </c>
      <c r="I463" s="24">
        <v>0</v>
      </c>
      <c r="K463" s="24">
        <v>0</v>
      </c>
      <c r="M463" s="24">
        <v>0</v>
      </c>
      <c r="O463" s="24">
        <v>0</v>
      </c>
      <c r="Q463" s="24">
        <v>0</v>
      </c>
      <c r="S463" s="24">
        <v>0</v>
      </c>
      <c r="U463" s="24">
        <v>0</v>
      </c>
      <c r="W463" s="24">
        <v>0</v>
      </c>
      <c r="Y463" s="24">
        <v>0</v>
      </c>
      <c r="AA463" s="24">
        <v>0</v>
      </c>
      <c r="AC463" s="24">
        <v>0</v>
      </c>
      <c r="AE463" s="24">
        <v>0</v>
      </c>
      <c r="AG463" s="24">
        <v>0</v>
      </c>
      <c r="AI463" s="24">
        <f t="shared" si="18"/>
        <v>0</v>
      </c>
      <c r="AJ463" s="24"/>
    </row>
    <row r="464" spans="1:42">
      <c r="A464" s="15" t="s">
        <v>682</v>
      </c>
      <c r="C464" s="15" t="s">
        <v>665</v>
      </c>
      <c r="E464" s="24">
        <f>117042+77772</f>
        <v>194814</v>
      </c>
      <c r="G464" s="24">
        <v>0</v>
      </c>
      <c r="I464" s="24">
        <f>56279+77421</f>
        <v>133700</v>
      </c>
      <c r="K464" s="24">
        <v>0</v>
      </c>
      <c r="M464" s="24">
        <f>5159+48100</f>
        <v>53259</v>
      </c>
      <c r="O464" s="24">
        <f>42053+1058</f>
        <v>43111</v>
      </c>
      <c r="Q464" s="24">
        <v>0</v>
      </c>
      <c r="S464" s="24">
        <f>9764+8493</f>
        <v>18257</v>
      </c>
      <c r="U464" s="24">
        <v>0</v>
      </c>
      <c r="W464" s="24">
        <v>0</v>
      </c>
      <c r="Y464" s="24">
        <v>0</v>
      </c>
      <c r="AA464" s="24">
        <v>0</v>
      </c>
      <c r="AC464" s="24">
        <v>0</v>
      </c>
      <c r="AE464" s="24">
        <v>0</v>
      </c>
      <c r="AG464" s="24">
        <v>0</v>
      </c>
      <c r="AI464" s="24">
        <f t="shared" si="18"/>
        <v>443141</v>
      </c>
      <c r="AJ464" s="24"/>
    </row>
    <row r="465" spans="1:42" hidden="1">
      <c r="A465" s="15" t="s">
        <v>611</v>
      </c>
      <c r="C465" s="15" t="s">
        <v>606</v>
      </c>
      <c r="E465" s="24">
        <v>0</v>
      </c>
      <c r="G465" s="24">
        <v>0</v>
      </c>
      <c r="I465" s="24">
        <v>0</v>
      </c>
      <c r="K465" s="24">
        <v>0</v>
      </c>
      <c r="M465" s="24">
        <v>0</v>
      </c>
      <c r="O465" s="24">
        <v>0</v>
      </c>
      <c r="Q465" s="24">
        <v>0</v>
      </c>
      <c r="S465" s="24">
        <v>0</v>
      </c>
      <c r="U465" s="24">
        <v>0</v>
      </c>
      <c r="W465" s="24">
        <v>0</v>
      </c>
      <c r="Y465" s="24">
        <v>0</v>
      </c>
      <c r="AA465" s="24">
        <v>0</v>
      </c>
      <c r="AC465" s="24">
        <v>0</v>
      </c>
      <c r="AE465" s="24">
        <v>0</v>
      </c>
      <c r="AG465" s="24">
        <v>0</v>
      </c>
      <c r="AI465" s="24">
        <f t="shared" si="18"/>
        <v>0</v>
      </c>
      <c r="AJ465" s="24"/>
    </row>
    <row r="466" spans="1:42" hidden="1">
      <c r="A466" s="15" t="s">
        <v>557</v>
      </c>
      <c r="C466" s="15" t="s">
        <v>554</v>
      </c>
      <c r="E466" s="24">
        <v>0</v>
      </c>
      <c r="G466" s="24">
        <v>0</v>
      </c>
      <c r="I466" s="24">
        <v>0</v>
      </c>
      <c r="K466" s="24">
        <v>0</v>
      </c>
      <c r="M466" s="24">
        <v>0</v>
      </c>
      <c r="O466" s="24">
        <v>0</v>
      </c>
      <c r="Q466" s="24">
        <v>0</v>
      </c>
      <c r="S466" s="24">
        <v>0</v>
      </c>
      <c r="U466" s="24">
        <v>0</v>
      </c>
      <c r="W466" s="24">
        <v>0</v>
      </c>
      <c r="Y466" s="24">
        <v>0</v>
      </c>
      <c r="AA466" s="24">
        <v>0</v>
      </c>
      <c r="AC466" s="24">
        <v>0</v>
      </c>
      <c r="AE466" s="24">
        <v>0</v>
      </c>
      <c r="AG466" s="24">
        <v>0</v>
      </c>
      <c r="AI466" s="24">
        <f t="shared" si="18"/>
        <v>0</v>
      </c>
      <c r="AJ466" s="24"/>
    </row>
    <row r="467" spans="1:42" s="31" customFormat="1">
      <c r="A467" s="15" t="s">
        <v>433</v>
      </c>
      <c r="B467" s="15"/>
      <c r="C467" s="15" t="s">
        <v>430</v>
      </c>
      <c r="D467" s="15"/>
      <c r="E467" s="24">
        <f>91570+39187</f>
        <v>130757</v>
      </c>
      <c r="F467" s="24"/>
      <c r="G467" s="24">
        <v>332753</v>
      </c>
      <c r="H467" s="24"/>
      <c r="I467" s="24">
        <f>277523+98147+429270</f>
        <v>804940</v>
      </c>
      <c r="J467" s="24"/>
      <c r="K467" s="24">
        <v>25948</v>
      </c>
      <c r="L467" s="24"/>
      <c r="M467" s="24">
        <v>9484</v>
      </c>
      <c r="N467" s="24"/>
      <c r="O467" s="24">
        <f>19720+1370</f>
        <v>21090</v>
      </c>
      <c r="P467" s="24"/>
      <c r="Q467" s="24">
        <f>61505+5110</f>
        <v>66615</v>
      </c>
      <c r="R467" s="24"/>
      <c r="S467" s="24">
        <f>2970+80261</f>
        <v>83231</v>
      </c>
      <c r="T467" s="24"/>
      <c r="U467" s="24">
        <v>0</v>
      </c>
      <c r="V467" s="24"/>
      <c r="W467" s="24">
        <v>0</v>
      </c>
      <c r="X467" s="24"/>
      <c r="Y467" s="24">
        <v>0</v>
      </c>
      <c r="Z467" s="24"/>
      <c r="AA467" s="24">
        <f>6150+31250+15000</f>
        <v>52400</v>
      </c>
      <c r="AB467" s="24"/>
      <c r="AC467" s="24">
        <v>0</v>
      </c>
      <c r="AD467" s="24"/>
      <c r="AE467" s="24">
        <v>0</v>
      </c>
      <c r="AF467" s="24"/>
      <c r="AG467" s="24">
        <v>0</v>
      </c>
      <c r="AH467" s="24"/>
      <c r="AI467" s="24">
        <f t="shared" si="18"/>
        <v>1527218</v>
      </c>
      <c r="AJ467" s="24"/>
    </row>
    <row r="468" spans="1:42">
      <c r="A468" s="15" t="s">
        <v>683</v>
      </c>
      <c r="C468" s="15" t="s">
        <v>672</v>
      </c>
      <c r="E468" s="24">
        <v>31859</v>
      </c>
      <c r="G468" s="24">
        <v>188309</v>
      </c>
      <c r="I468" s="24">
        <f>53283+31647+2566</f>
        <v>87496</v>
      </c>
      <c r="K468" s="24">
        <v>0</v>
      </c>
      <c r="M468" s="24">
        <v>6075</v>
      </c>
      <c r="O468" s="24">
        <v>842</v>
      </c>
      <c r="Q468" s="24">
        <f>981+240+60</f>
        <v>1281</v>
      </c>
      <c r="S468" s="24">
        <f>8308+8880+1908</f>
        <v>19096</v>
      </c>
      <c r="U468" s="24">
        <v>120500</v>
      </c>
      <c r="W468" s="24">
        <v>0</v>
      </c>
      <c r="Y468" s="24">
        <v>0</v>
      </c>
      <c r="AA468" s="24">
        <v>0</v>
      </c>
      <c r="AC468" s="24">
        <v>0</v>
      </c>
      <c r="AE468" s="24">
        <v>0</v>
      </c>
      <c r="AG468" s="24">
        <v>0</v>
      </c>
      <c r="AI468" s="24">
        <f t="shared" si="18"/>
        <v>455458</v>
      </c>
      <c r="AJ468" s="24"/>
    </row>
    <row r="469" spans="1:42">
      <c r="A469" s="15" t="s">
        <v>485</v>
      </c>
      <c r="C469" s="15" t="s">
        <v>482</v>
      </c>
      <c r="E469" s="24">
        <f>12873+268381</f>
        <v>281254</v>
      </c>
      <c r="G469" s="24">
        <v>91686</v>
      </c>
      <c r="I469" s="24">
        <f>129287+48684+3352</f>
        <v>181323</v>
      </c>
      <c r="K469" s="24">
        <f>683+15381</f>
        <v>16064</v>
      </c>
      <c r="M469" s="24">
        <f>60+104483</f>
        <v>104543</v>
      </c>
      <c r="O469" s="24">
        <f>5458+1290</f>
        <v>6748</v>
      </c>
      <c r="Q469" s="24">
        <f>12361+669</f>
        <v>13030</v>
      </c>
      <c r="S469" s="24">
        <f>5268+50</f>
        <v>5318</v>
      </c>
      <c r="U469" s="24">
        <v>0</v>
      </c>
      <c r="W469" s="24">
        <v>0</v>
      </c>
      <c r="Y469" s="24">
        <v>0</v>
      </c>
      <c r="AA469" s="24">
        <v>24934</v>
      </c>
      <c r="AC469" s="24">
        <v>0</v>
      </c>
      <c r="AE469" s="24">
        <f>710+3755</f>
        <v>4465</v>
      </c>
      <c r="AG469" s="24">
        <v>0</v>
      </c>
      <c r="AI469" s="24">
        <f t="shared" si="18"/>
        <v>729365</v>
      </c>
      <c r="AJ469" s="24"/>
    </row>
    <row r="470" spans="1:42">
      <c r="A470" s="15" t="s">
        <v>491</v>
      </c>
      <c r="C470" s="15" t="s">
        <v>488</v>
      </c>
      <c r="E470" s="24">
        <v>41630</v>
      </c>
      <c r="G470" s="24">
        <v>0</v>
      </c>
      <c r="I470" s="24">
        <f>31118+32982</f>
        <v>64100</v>
      </c>
      <c r="K470" s="24">
        <v>0</v>
      </c>
      <c r="M470" s="24">
        <v>0</v>
      </c>
      <c r="O470" s="24">
        <v>0</v>
      </c>
      <c r="Q470" s="24">
        <v>0</v>
      </c>
      <c r="S470" s="24">
        <v>26909</v>
      </c>
      <c r="U470" s="24">
        <v>0</v>
      </c>
      <c r="W470" s="24">
        <v>0</v>
      </c>
      <c r="Y470" s="24">
        <v>0</v>
      </c>
      <c r="AA470" s="24">
        <v>0</v>
      </c>
      <c r="AC470" s="24">
        <v>0</v>
      </c>
      <c r="AE470" s="24">
        <v>0</v>
      </c>
      <c r="AG470" s="24">
        <v>0</v>
      </c>
      <c r="AI470" s="24">
        <f t="shared" si="18"/>
        <v>132639</v>
      </c>
      <c r="AJ470" s="24"/>
    </row>
    <row r="471" spans="1:42" hidden="1">
      <c r="A471" s="15" t="s">
        <v>509</v>
      </c>
      <c r="C471" s="15" t="s">
        <v>510</v>
      </c>
      <c r="E471" s="24">
        <v>0</v>
      </c>
      <c r="G471" s="24">
        <v>0</v>
      </c>
      <c r="I471" s="24">
        <v>0</v>
      </c>
      <c r="K471" s="24">
        <v>0</v>
      </c>
      <c r="M471" s="24">
        <v>0</v>
      </c>
      <c r="O471" s="24">
        <v>0</v>
      </c>
      <c r="Q471" s="24">
        <v>0</v>
      </c>
      <c r="S471" s="24">
        <v>0</v>
      </c>
      <c r="U471" s="24">
        <v>0</v>
      </c>
      <c r="W471" s="24">
        <v>0</v>
      </c>
      <c r="Y471" s="24">
        <v>0</v>
      </c>
      <c r="AA471" s="24">
        <v>0</v>
      </c>
      <c r="AC471" s="24">
        <v>0</v>
      </c>
      <c r="AE471" s="24">
        <v>0</v>
      </c>
      <c r="AG471" s="24">
        <v>0</v>
      </c>
      <c r="AI471" s="24">
        <f t="shared" si="18"/>
        <v>0</v>
      </c>
      <c r="AJ471" s="24"/>
    </row>
    <row r="472" spans="1:42" s="31" customFormat="1">
      <c r="A472" s="15" t="s">
        <v>917</v>
      </c>
      <c r="B472" s="15"/>
      <c r="C472" s="15" t="s">
        <v>601</v>
      </c>
      <c r="D472" s="15"/>
      <c r="E472" s="24">
        <f>214242+3853</f>
        <v>218095</v>
      </c>
      <c r="F472" s="24"/>
      <c r="G472" s="24">
        <v>401110</v>
      </c>
      <c r="H472" s="24"/>
      <c r="I472" s="24">
        <f>124559+86549</f>
        <v>211108</v>
      </c>
      <c r="J472" s="24"/>
      <c r="K472" s="24">
        <v>10844</v>
      </c>
      <c r="L472" s="24"/>
      <c r="M472" s="24">
        <f>61136+11735</f>
        <v>72871</v>
      </c>
      <c r="N472" s="24"/>
      <c r="O472" s="24">
        <f>8483+9965</f>
        <v>18448</v>
      </c>
      <c r="P472" s="24"/>
      <c r="Q472" s="24">
        <f>59597+6003</f>
        <v>65600</v>
      </c>
      <c r="R472" s="24"/>
      <c r="S472" s="24">
        <f>21933+13789+2209</f>
        <v>37931</v>
      </c>
      <c r="T472" s="24"/>
      <c r="U472" s="24">
        <v>0</v>
      </c>
      <c r="V472" s="24"/>
      <c r="W472" s="24">
        <v>0</v>
      </c>
      <c r="X472" s="24"/>
      <c r="Y472" s="24">
        <v>0</v>
      </c>
      <c r="Z472" s="24"/>
      <c r="AA472" s="24">
        <v>0</v>
      </c>
      <c r="AB472" s="24"/>
      <c r="AC472" s="24">
        <v>0</v>
      </c>
      <c r="AD472" s="24"/>
      <c r="AE472" s="24">
        <v>0</v>
      </c>
      <c r="AF472" s="24"/>
      <c r="AG472" s="24">
        <v>0</v>
      </c>
      <c r="AH472" s="24"/>
      <c r="AI472" s="24">
        <f t="shared" si="18"/>
        <v>1036007</v>
      </c>
      <c r="AJ472" s="24"/>
      <c r="AK472" s="32"/>
      <c r="AL472" s="32"/>
      <c r="AM472" s="32"/>
      <c r="AN472" s="32"/>
      <c r="AO472" s="32"/>
      <c r="AP472" s="32"/>
    </row>
    <row r="473" spans="1:42" s="31" customFormat="1" hidden="1">
      <c r="A473" s="15" t="s">
        <v>54</v>
      </c>
      <c r="B473" s="15"/>
      <c r="C473" s="15" t="s">
        <v>767</v>
      </c>
      <c r="D473" s="15"/>
      <c r="E473" s="24">
        <v>0</v>
      </c>
      <c r="F473" s="24"/>
      <c r="G473" s="24">
        <v>0</v>
      </c>
      <c r="H473" s="24"/>
      <c r="I473" s="24">
        <v>0</v>
      </c>
      <c r="J473" s="24"/>
      <c r="K473" s="24">
        <v>0</v>
      </c>
      <c r="L473" s="24"/>
      <c r="M473" s="24">
        <v>0</v>
      </c>
      <c r="N473" s="24"/>
      <c r="O473" s="24">
        <v>0</v>
      </c>
      <c r="P473" s="24"/>
      <c r="Q473" s="24">
        <v>0</v>
      </c>
      <c r="R473" s="24"/>
      <c r="S473" s="24">
        <v>0</v>
      </c>
      <c r="T473" s="24"/>
      <c r="U473" s="24">
        <v>0</v>
      </c>
      <c r="V473" s="24"/>
      <c r="W473" s="24">
        <v>0</v>
      </c>
      <c r="X473" s="24"/>
      <c r="Y473" s="24">
        <v>0</v>
      </c>
      <c r="Z473" s="24"/>
      <c r="AA473" s="24">
        <v>0</v>
      </c>
      <c r="AB473" s="24"/>
      <c r="AC473" s="24">
        <v>0</v>
      </c>
      <c r="AD473" s="24"/>
      <c r="AE473" s="24">
        <v>0</v>
      </c>
      <c r="AF473" s="24"/>
      <c r="AG473" s="24">
        <v>0</v>
      </c>
      <c r="AH473" s="24"/>
      <c r="AI473" s="24">
        <f t="shared" si="18"/>
        <v>0</v>
      </c>
      <c r="AJ473" s="24"/>
      <c r="AK473" s="32"/>
      <c r="AL473" s="32"/>
      <c r="AM473" s="32"/>
      <c r="AN473" s="32"/>
      <c r="AO473" s="32"/>
      <c r="AP473" s="32"/>
    </row>
    <row r="474" spans="1:42" hidden="1">
      <c r="A474" s="15" t="s">
        <v>461</v>
      </c>
      <c r="C474" s="15" t="s">
        <v>432</v>
      </c>
      <c r="E474" s="24">
        <v>0</v>
      </c>
      <c r="G474" s="24">
        <v>0</v>
      </c>
      <c r="I474" s="24">
        <v>0</v>
      </c>
      <c r="K474" s="24">
        <v>0</v>
      </c>
      <c r="M474" s="24">
        <v>0</v>
      </c>
      <c r="O474" s="24">
        <v>0</v>
      </c>
      <c r="Q474" s="24">
        <v>0</v>
      </c>
      <c r="S474" s="24">
        <v>0</v>
      </c>
      <c r="U474" s="24">
        <v>0</v>
      </c>
      <c r="W474" s="24">
        <v>0</v>
      </c>
      <c r="Y474" s="24">
        <v>0</v>
      </c>
      <c r="AA474" s="24">
        <v>0</v>
      </c>
      <c r="AC474" s="24">
        <v>0</v>
      </c>
      <c r="AE474" s="24">
        <v>0</v>
      </c>
      <c r="AG474" s="24">
        <v>0</v>
      </c>
      <c r="AI474" s="24">
        <f t="shared" si="18"/>
        <v>0</v>
      </c>
      <c r="AJ474" s="24"/>
    </row>
    <row r="475" spans="1:42">
      <c r="A475" s="15" t="s">
        <v>919</v>
      </c>
      <c r="C475" s="15" t="s">
        <v>308</v>
      </c>
      <c r="E475" s="24">
        <v>0</v>
      </c>
      <c r="G475" s="24">
        <v>0</v>
      </c>
      <c r="I475" s="24">
        <f>9362+8194</f>
        <v>17556</v>
      </c>
      <c r="K475" s="24">
        <v>0</v>
      </c>
      <c r="M475" s="24">
        <v>0</v>
      </c>
      <c r="O475" s="24">
        <v>19</v>
      </c>
      <c r="Q475" s="24">
        <f>3226+1646</f>
        <v>4872</v>
      </c>
      <c r="S475" s="24">
        <v>500</v>
      </c>
      <c r="U475" s="24">
        <v>0</v>
      </c>
      <c r="W475" s="24">
        <v>0</v>
      </c>
      <c r="Y475" s="24">
        <v>0</v>
      </c>
      <c r="AA475" s="24">
        <v>0</v>
      </c>
      <c r="AC475" s="24">
        <v>0</v>
      </c>
      <c r="AE475" s="24">
        <v>0</v>
      </c>
      <c r="AG475" s="24">
        <v>0</v>
      </c>
      <c r="AI475" s="24">
        <f t="shared" si="18"/>
        <v>22947</v>
      </c>
      <c r="AJ475" s="24"/>
    </row>
    <row r="476" spans="1:42" hidden="1">
      <c r="A476" s="15" t="s">
        <v>376</v>
      </c>
      <c r="C476" s="15" t="s">
        <v>375</v>
      </c>
      <c r="E476" s="24">
        <v>0</v>
      </c>
      <c r="G476" s="24">
        <v>0</v>
      </c>
      <c r="I476" s="24">
        <v>0</v>
      </c>
      <c r="K476" s="24">
        <v>0</v>
      </c>
      <c r="M476" s="24">
        <v>0</v>
      </c>
      <c r="O476" s="24">
        <v>0</v>
      </c>
      <c r="Q476" s="24">
        <v>0</v>
      </c>
      <c r="S476" s="24">
        <v>0</v>
      </c>
      <c r="U476" s="24">
        <v>0</v>
      </c>
      <c r="W476" s="24">
        <v>0</v>
      </c>
      <c r="Y476" s="24">
        <v>0</v>
      </c>
      <c r="AA476" s="24">
        <v>0</v>
      </c>
      <c r="AC476" s="24">
        <v>0</v>
      </c>
      <c r="AE476" s="24">
        <v>0</v>
      </c>
      <c r="AG476" s="24">
        <v>0</v>
      </c>
      <c r="AI476" s="24">
        <f t="shared" si="18"/>
        <v>0</v>
      </c>
      <c r="AJ476" s="24"/>
    </row>
    <row r="477" spans="1:42" hidden="1">
      <c r="A477" s="15" t="s">
        <v>163</v>
      </c>
      <c r="C477" s="15" t="s">
        <v>800</v>
      </c>
      <c r="E477" s="24">
        <v>0</v>
      </c>
      <c r="G477" s="24">
        <v>0</v>
      </c>
      <c r="I477" s="24">
        <v>0</v>
      </c>
      <c r="K477" s="24">
        <v>0</v>
      </c>
      <c r="M477" s="24">
        <v>0</v>
      </c>
      <c r="O477" s="24">
        <v>0</v>
      </c>
      <c r="Q477" s="24">
        <v>0</v>
      </c>
      <c r="S477" s="24">
        <v>0</v>
      </c>
      <c r="U477" s="24">
        <v>0</v>
      </c>
      <c r="W477" s="24">
        <v>0</v>
      </c>
      <c r="Y477" s="24">
        <v>0</v>
      </c>
      <c r="AA477" s="24">
        <v>0</v>
      </c>
      <c r="AC477" s="24">
        <v>0</v>
      </c>
      <c r="AE477" s="24">
        <v>0</v>
      </c>
      <c r="AG477" s="24">
        <v>0</v>
      </c>
      <c r="AI477" s="24">
        <f t="shared" si="18"/>
        <v>0</v>
      </c>
      <c r="AJ477" s="24"/>
    </row>
    <row r="478" spans="1:42" hidden="1">
      <c r="A478" s="15" t="s">
        <v>244</v>
      </c>
      <c r="C478" s="15" t="s">
        <v>826</v>
      </c>
      <c r="E478" s="24">
        <v>0</v>
      </c>
      <c r="G478" s="24">
        <v>0</v>
      </c>
      <c r="I478" s="24">
        <v>0</v>
      </c>
      <c r="K478" s="24">
        <v>0</v>
      </c>
      <c r="M478" s="24">
        <v>0</v>
      </c>
      <c r="O478" s="24">
        <v>0</v>
      </c>
      <c r="Q478" s="24">
        <v>0</v>
      </c>
      <c r="S478" s="24">
        <v>0</v>
      </c>
      <c r="U478" s="24">
        <v>0</v>
      </c>
      <c r="W478" s="24">
        <v>0</v>
      </c>
      <c r="Y478" s="24">
        <v>0</v>
      </c>
      <c r="AA478" s="24">
        <v>0</v>
      </c>
      <c r="AC478" s="24">
        <v>0</v>
      </c>
      <c r="AE478" s="24">
        <v>0</v>
      </c>
      <c r="AG478" s="24">
        <v>0</v>
      </c>
      <c r="AI478" s="24">
        <f t="shared" si="18"/>
        <v>0</v>
      </c>
      <c r="AJ478" s="24"/>
    </row>
    <row r="479" spans="1:42" s="31" customFormat="1" hidden="1">
      <c r="A479" s="15" t="s">
        <v>64</v>
      </c>
      <c r="B479" s="15"/>
      <c r="C479" s="15" t="s">
        <v>771</v>
      </c>
      <c r="D479" s="15"/>
      <c r="E479" s="24">
        <v>0</v>
      </c>
      <c r="F479" s="24"/>
      <c r="G479" s="24">
        <v>0</v>
      </c>
      <c r="H479" s="24"/>
      <c r="I479" s="24">
        <v>0</v>
      </c>
      <c r="J479" s="24"/>
      <c r="K479" s="24">
        <v>0</v>
      </c>
      <c r="L479" s="24"/>
      <c r="M479" s="24">
        <v>0</v>
      </c>
      <c r="N479" s="24"/>
      <c r="O479" s="24">
        <v>0</v>
      </c>
      <c r="P479" s="24"/>
      <c r="Q479" s="24">
        <v>0</v>
      </c>
      <c r="R479" s="24"/>
      <c r="S479" s="24">
        <v>0</v>
      </c>
      <c r="T479" s="24"/>
      <c r="U479" s="24">
        <v>0</v>
      </c>
      <c r="V479" s="24"/>
      <c r="W479" s="24">
        <v>0</v>
      </c>
      <c r="X479" s="24"/>
      <c r="Y479" s="24">
        <v>0</v>
      </c>
      <c r="Z479" s="24"/>
      <c r="AA479" s="24">
        <v>0</v>
      </c>
      <c r="AB479" s="24"/>
      <c r="AC479" s="24">
        <v>0</v>
      </c>
      <c r="AD479" s="24"/>
      <c r="AE479" s="24">
        <v>0</v>
      </c>
      <c r="AF479" s="24"/>
      <c r="AG479" s="24">
        <v>0</v>
      </c>
      <c r="AH479" s="24"/>
      <c r="AI479" s="24">
        <f t="shared" si="18"/>
        <v>0</v>
      </c>
      <c r="AJ479" s="24"/>
      <c r="AK479" s="32"/>
      <c r="AL479" s="32"/>
      <c r="AM479" s="32"/>
      <c r="AN479" s="32"/>
      <c r="AO479" s="32"/>
      <c r="AP479" s="32"/>
    </row>
    <row r="480" spans="1:42" s="31" customFormat="1" hidden="1">
      <c r="A480" s="15" t="s">
        <v>512</v>
      </c>
      <c r="B480" s="15"/>
      <c r="C480" s="15" t="s">
        <v>513</v>
      </c>
      <c r="D480" s="15"/>
      <c r="E480" s="24">
        <v>0</v>
      </c>
      <c r="F480" s="24"/>
      <c r="G480" s="24">
        <v>0</v>
      </c>
      <c r="H480" s="24"/>
      <c r="I480" s="24">
        <v>0</v>
      </c>
      <c r="J480" s="24"/>
      <c r="K480" s="24">
        <v>0</v>
      </c>
      <c r="L480" s="24"/>
      <c r="M480" s="24">
        <v>0</v>
      </c>
      <c r="N480" s="24"/>
      <c r="O480" s="24">
        <v>0</v>
      </c>
      <c r="P480" s="24"/>
      <c r="Q480" s="24">
        <v>0</v>
      </c>
      <c r="R480" s="24"/>
      <c r="S480" s="24">
        <v>0</v>
      </c>
      <c r="T480" s="24"/>
      <c r="U480" s="24">
        <v>0</v>
      </c>
      <c r="V480" s="24"/>
      <c r="W480" s="24">
        <v>0</v>
      </c>
      <c r="X480" s="24"/>
      <c r="Y480" s="24">
        <v>0</v>
      </c>
      <c r="Z480" s="24"/>
      <c r="AA480" s="24">
        <v>0</v>
      </c>
      <c r="AB480" s="24"/>
      <c r="AC480" s="24">
        <v>0</v>
      </c>
      <c r="AD480" s="24"/>
      <c r="AE480" s="24">
        <v>0</v>
      </c>
      <c r="AF480" s="24"/>
      <c r="AG480" s="24">
        <v>0</v>
      </c>
      <c r="AH480" s="24"/>
      <c r="AI480" s="24">
        <f t="shared" si="18"/>
        <v>0</v>
      </c>
      <c r="AJ480" s="24"/>
    </row>
    <row r="481" spans="1:42" hidden="1">
      <c r="A481" s="15" t="s">
        <v>209</v>
      </c>
      <c r="C481" s="15" t="s">
        <v>814</v>
      </c>
      <c r="E481" s="24">
        <v>0</v>
      </c>
      <c r="G481" s="24">
        <v>0</v>
      </c>
      <c r="I481" s="24">
        <v>0</v>
      </c>
      <c r="K481" s="24">
        <v>0</v>
      </c>
      <c r="M481" s="24">
        <v>0</v>
      </c>
      <c r="O481" s="24">
        <v>0</v>
      </c>
      <c r="Q481" s="24">
        <v>0</v>
      </c>
      <c r="S481" s="24">
        <v>0</v>
      </c>
      <c r="U481" s="24">
        <v>0</v>
      </c>
      <c r="W481" s="24">
        <v>0</v>
      </c>
      <c r="Y481" s="24">
        <v>0</v>
      </c>
      <c r="AA481" s="24">
        <v>0</v>
      </c>
      <c r="AC481" s="24">
        <v>0</v>
      </c>
      <c r="AE481" s="24">
        <v>0</v>
      </c>
      <c r="AG481" s="24">
        <v>0</v>
      </c>
      <c r="AI481" s="24">
        <f t="shared" si="18"/>
        <v>0</v>
      </c>
      <c r="AJ481" s="24"/>
    </row>
    <row r="482" spans="1:42" s="31" customFormat="1" hidden="1">
      <c r="A482" s="15" t="s">
        <v>146</v>
      </c>
      <c r="B482" s="15"/>
      <c r="C482" s="15" t="s">
        <v>795</v>
      </c>
      <c r="D482" s="15"/>
      <c r="E482" s="24">
        <v>0</v>
      </c>
      <c r="F482" s="24"/>
      <c r="G482" s="24">
        <v>0</v>
      </c>
      <c r="H482" s="24"/>
      <c r="I482" s="24">
        <v>0</v>
      </c>
      <c r="J482" s="24"/>
      <c r="K482" s="24">
        <v>0</v>
      </c>
      <c r="L482" s="24"/>
      <c r="M482" s="24">
        <v>0</v>
      </c>
      <c r="N482" s="24"/>
      <c r="O482" s="24">
        <v>0</v>
      </c>
      <c r="P482" s="24"/>
      <c r="Q482" s="24">
        <v>0</v>
      </c>
      <c r="R482" s="24"/>
      <c r="S482" s="24">
        <v>0</v>
      </c>
      <c r="T482" s="24"/>
      <c r="U482" s="24">
        <v>0</v>
      </c>
      <c r="V482" s="24"/>
      <c r="W482" s="24">
        <v>0</v>
      </c>
      <c r="X482" s="24"/>
      <c r="Y482" s="24">
        <v>0</v>
      </c>
      <c r="Z482" s="24"/>
      <c r="AA482" s="24">
        <v>0</v>
      </c>
      <c r="AB482" s="24"/>
      <c r="AC482" s="24">
        <v>0</v>
      </c>
      <c r="AD482" s="24"/>
      <c r="AE482" s="24">
        <v>0</v>
      </c>
      <c r="AF482" s="24"/>
      <c r="AG482" s="24">
        <v>0</v>
      </c>
      <c r="AH482" s="24"/>
      <c r="AI482" s="24">
        <f t="shared" si="18"/>
        <v>0</v>
      </c>
      <c r="AJ482" s="24"/>
    </row>
    <row r="483" spans="1:42" hidden="1">
      <c r="A483" s="15" t="s">
        <v>684</v>
      </c>
      <c r="C483" s="15" t="s">
        <v>672</v>
      </c>
      <c r="E483" s="24">
        <v>0</v>
      </c>
      <c r="G483" s="24">
        <v>0</v>
      </c>
      <c r="I483" s="24">
        <v>0</v>
      </c>
      <c r="K483" s="24">
        <v>0</v>
      </c>
      <c r="M483" s="24">
        <v>0</v>
      </c>
      <c r="O483" s="24">
        <v>0</v>
      </c>
      <c r="Q483" s="24">
        <v>0</v>
      </c>
      <c r="S483" s="24">
        <v>0</v>
      </c>
      <c r="U483" s="24">
        <v>0</v>
      </c>
      <c r="W483" s="24">
        <v>0</v>
      </c>
      <c r="Y483" s="24">
        <v>0</v>
      </c>
      <c r="AA483" s="24">
        <v>0</v>
      </c>
      <c r="AC483" s="24">
        <v>0</v>
      </c>
      <c r="AE483" s="24">
        <v>0</v>
      </c>
      <c r="AG483" s="24">
        <v>0</v>
      </c>
      <c r="AI483" s="24">
        <f t="shared" si="18"/>
        <v>0</v>
      </c>
      <c r="AJ483" s="24"/>
    </row>
    <row r="484" spans="1:42" hidden="1">
      <c r="A484" s="15" t="s">
        <v>157</v>
      </c>
      <c r="C484" s="15" t="s">
        <v>798</v>
      </c>
      <c r="E484" s="24">
        <v>0</v>
      </c>
      <c r="G484" s="24">
        <v>0</v>
      </c>
      <c r="I484" s="24">
        <v>0</v>
      </c>
      <c r="K484" s="24">
        <v>0</v>
      </c>
      <c r="M484" s="24">
        <v>0</v>
      </c>
      <c r="O484" s="24">
        <v>0</v>
      </c>
      <c r="Q484" s="24">
        <v>0</v>
      </c>
      <c r="S484" s="24">
        <v>0</v>
      </c>
      <c r="U484" s="24">
        <v>0</v>
      </c>
      <c r="W484" s="24">
        <v>0</v>
      </c>
      <c r="Y484" s="24">
        <v>0</v>
      </c>
      <c r="AA484" s="24">
        <v>0</v>
      </c>
      <c r="AC484" s="24">
        <v>0</v>
      </c>
      <c r="AE484" s="24">
        <v>0</v>
      </c>
      <c r="AG484" s="24">
        <v>0</v>
      </c>
      <c r="AI484" s="24">
        <f t="shared" si="18"/>
        <v>0</v>
      </c>
      <c r="AJ484" s="24"/>
    </row>
    <row r="485" spans="1:42">
      <c r="A485" s="15" t="s">
        <v>921</v>
      </c>
      <c r="C485" s="15" t="s">
        <v>541</v>
      </c>
      <c r="E485" s="24">
        <v>7968</v>
      </c>
      <c r="G485" s="24">
        <v>0</v>
      </c>
      <c r="I485" s="24">
        <f>25456+15827</f>
        <v>41283</v>
      </c>
      <c r="K485" s="24">
        <v>6792</v>
      </c>
      <c r="M485" s="24">
        <v>5313</v>
      </c>
      <c r="O485" s="24">
        <f>24214+999</f>
        <v>25213</v>
      </c>
      <c r="Q485" s="24">
        <f>3683+1228</f>
        <v>4911</v>
      </c>
      <c r="S485" s="24">
        <f>3375+1820</f>
        <v>5195</v>
      </c>
      <c r="U485" s="24">
        <v>0</v>
      </c>
      <c r="W485" s="24">
        <v>0</v>
      </c>
      <c r="Y485" s="24">
        <v>0</v>
      </c>
      <c r="AA485" s="24">
        <v>0</v>
      </c>
      <c r="AC485" s="24">
        <v>0</v>
      </c>
      <c r="AE485" s="24">
        <v>0</v>
      </c>
      <c r="AG485" s="24">
        <v>0</v>
      </c>
      <c r="AI485" s="24">
        <f t="shared" si="18"/>
        <v>96675</v>
      </c>
      <c r="AJ485" s="24"/>
    </row>
    <row r="486" spans="1:42">
      <c r="A486" s="15" t="s">
        <v>685</v>
      </c>
      <c r="C486" s="15" t="s">
        <v>565</v>
      </c>
      <c r="E486" s="24">
        <f>24225+3949</f>
        <v>28174</v>
      </c>
      <c r="G486" s="24">
        <f>46465+10710</f>
        <v>57175</v>
      </c>
      <c r="I486" s="24">
        <f>21296+23275+1885+5604+188</f>
        <v>52248</v>
      </c>
      <c r="K486" s="24">
        <v>0</v>
      </c>
      <c r="M486" s="24">
        <v>300</v>
      </c>
      <c r="O486" s="24">
        <v>9355</v>
      </c>
      <c r="Q486" s="24">
        <v>522</v>
      </c>
      <c r="S486" s="24">
        <v>439</v>
      </c>
      <c r="U486" s="24">
        <v>0</v>
      </c>
      <c r="W486" s="24">
        <v>0</v>
      </c>
      <c r="Y486" s="24">
        <v>0</v>
      </c>
      <c r="AA486" s="24">
        <v>0</v>
      </c>
      <c r="AC486" s="24">
        <v>0</v>
      </c>
      <c r="AE486" s="24">
        <v>0</v>
      </c>
      <c r="AG486" s="24">
        <v>0</v>
      </c>
      <c r="AI486" s="24">
        <f t="shared" ref="AI486:AI517" si="19">SUM(E486:AG486)</f>
        <v>148213</v>
      </c>
      <c r="AJ486" s="24"/>
    </row>
    <row r="487" spans="1:42" s="31" customFormat="1" ht="12.6" hidden="1" customHeight="1">
      <c r="A487" s="15" t="s">
        <v>303</v>
      </c>
      <c r="B487" s="15"/>
      <c r="C487" s="15" t="s">
        <v>299</v>
      </c>
      <c r="D487" s="15"/>
      <c r="E487" s="24">
        <v>0</v>
      </c>
      <c r="F487" s="24"/>
      <c r="G487" s="24">
        <v>0</v>
      </c>
      <c r="H487" s="24"/>
      <c r="I487" s="24">
        <v>0</v>
      </c>
      <c r="J487" s="24"/>
      <c r="K487" s="24">
        <v>0</v>
      </c>
      <c r="L487" s="24"/>
      <c r="M487" s="24">
        <v>0</v>
      </c>
      <c r="N487" s="24"/>
      <c r="O487" s="24">
        <v>0</v>
      </c>
      <c r="P487" s="24"/>
      <c r="Q487" s="24">
        <v>0</v>
      </c>
      <c r="R487" s="24"/>
      <c r="S487" s="24">
        <v>0</v>
      </c>
      <c r="T487" s="24"/>
      <c r="U487" s="24">
        <v>0</v>
      </c>
      <c r="V487" s="24"/>
      <c r="W487" s="24">
        <v>0</v>
      </c>
      <c r="X487" s="24"/>
      <c r="Y487" s="24">
        <v>0</v>
      </c>
      <c r="Z487" s="24"/>
      <c r="AA487" s="24">
        <v>0</v>
      </c>
      <c r="AB487" s="24"/>
      <c r="AC487" s="24">
        <v>0</v>
      </c>
      <c r="AD487" s="24"/>
      <c r="AE487" s="24">
        <v>0</v>
      </c>
      <c r="AF487" s="24"/>
      <c r="AG487" s="24">
        <v>0</v>
      </c>
      <c r="AH487" s="24"/>
      <c r="AI487" s="24">
        <f t="shared" si="19"/>
        <v>0</v>
      </c>
      <c r="AJ487" s="24"/>
      <c r="AK487" s="32"/>
      <c r="AL487" s="32"/>
      <c r="AM487" s="32"/>
      <c r="AN487" s="32"/>
      <c r="AO487" s="32"/>
      <c r="AP487" s="32"/>
    </row>
    <row r="488" spans="1:42" hidden="1">
      <c r="A488" s="15" t="s">
        <v>259</v>
      </c>
      <c r="C488" s="15" t="s">
        <v>830</v>
      </c>
      <c r="E488" s="24">
        <v>0</v>
      </c>
      <c r="G488" s="24">
        <v>0</v>
      </c>
      <c r="I488" s="24">
        <v>0</v>
      </c>
      <c r="K488" s="24">
        <v>0</v>
      </c>
      <c r="M488" s="24">
        <v>0</v>
      </c>
      <c r="O488" s="24">
        <v>0</v>
      </c>
      <c r="Q488" s="24">
        <v>0</v>
      </c>
      <c r="S488" s="24">
        <v>0</v>
      </c>
      <c r="U488" s="24">
        <v>0</v>
      </c>
      <c r="W488" s="24">
        <v>0</v>
      </c>
      <c r="Y488" s="24">
        <v>0</v>
      </c>
      <c r="AA488" s="24">
        <v>0</v>
      </c>
      <c r="AC488" s="24">
        <v>0</v>
      </c>
      <c r="AE488" s="24">
        <v>0</v>
      </c>
      <c r="AG488" s="24">
        <v>0</v>
      </c>
      <c r="AI488" s="24">
        <f t="shared" si="19"/>
        <v>0</v>
      </c>
      <c r="AJ488" s="24"/>
    </row>
    <row r="489" spans="1:42" hidden="1">
      <c r="A489" s="15" t="s">
        <v>474</v>
      </c>
      <c r="C489" s="15" t="s">
        <v>473</v>
      </c>
      <c r="E489" s="24">
        <v>0</v>
      </c>
      <c r="G489" s="24">
        <v>0</v>
      </c>
      <c r="I489" s="24">
        <v>0</v>
      </c>
      <c r="K489" s="24">
        <v>0</v>
      </c>
      <c r="M489" s="24">
        <v>0</v>
      </c>
      <c r="O489" s="24">
        <v>0</v>
      </c>
      <c r="Q489" s="24">
        <v>0</v>
      </c>
      <c r="S489" s="24">
        <v>0</v>
      </c>
      <c r="U489" s="24">
        <v>0</v>
      </c>
      <c r="W489" s="24">
        <v>0</v>
      </c>
      <c r="Y489" s="24">
        <v>0</v>
      </c>
      <c r="AA489" s="24">
        <v>0</v>
      </c>
      <c r="AC489" s="24">
        <v>0</v>
      </c>
      <c r="AE489" s="24">
        <v>0</v>
      </c>
      <c r="AG489" s="24">
        <v>0</v>
      </c>
      <c r="AI489" s="24">
        <f t="shared" si="19"/>
        <v>0</v>
      </c>
      <c r="AJ489" s="24"/>
    </row>
    <row r="490" spans="1:42" hidden="1">
      <c r="A490" s="15" t="s">
        <v>19</v>
      </c>
      <c r="C490" s="15" t="s">
        <v>755</v>
      </c>
      <c r="E490" s="24">
        <v>0</v>
      </c>
      <c r="G490" s="24">
        <v>0</v>
      </c>
      <c r="I490" s="24">
        <v>0</v>
      </c>
      <c r="K490" s="24">
        <v>0</v>
      </c>
      <c r="M490" s="24">
        <v>0</v>
      </c>
      <c r="O490" s="24">
        <v>0</v>
      </c>
      <c r="Q490" s="24">
        <v>0</v>
      </c>
      <c r="S490" s="24">
        <v>0</v>
      </c>
      <c r="U490" s="24">
        <v>0</v>
      </c>
      <c r="W490" s="24">
        <v>0</v>
      </c>
      <c r="Y490" s="24">
        <v>0</v>
      </c>
      <c r="AA490" s="24">
        <v>0</v>
      </c>
      <c r="AC490" s="24">
        <v>0</v>
      </c>
      <c r="AE490" s="24">
        <v>0</v>
      </c>
      <c r="AG490" s="24">
        <v>0</v>
      </c>
      <c r="AI490" s="24">
        <f t="shared" si="19"/>
        <v>0</v>
      </c>
      <c r="AJ490" s="24"/>
    </row>
    <row r="491" spans="1:42" hidden="1">
      <c r="A491" s="15" t="s">
        <v>127</v>
      </c>
      <c r="C491" s="15" t="s">
        <v>437</v>
      </c>
      <c r="E491" s="24">
        <v>0</v>
      </c>
      <c r="G491" s="24">
        <v>0</v>
      </c>
      <c r="I491" s="24">
        <v>0</v>
      </c>
      <c r="K491" s="24">
        <v>0</v>
      </c>
      <c r="M491" s="24">
        <v>0</v>
      </c>
      <c r="O491" s="24">
        <v>0</v>
      </c>
      <c r="Q491" s="24">
        <v>0</v>
      </c>
      <c r="S491" s="24">
        <v>0</v>
      </c>
      <c r="U491" s="24">
        <v>0</v>
      </c>
      <c r="W491" s="24">
        <v>0</v>
      </c>
      <c r="Y491" s="24">
        <v>0</v>
      </c>
      <c r="AA491" s="24">
        <v>0</v>
      </c>
      <c r="AC491" s="24">
        <v>0</v>
      </c>
      <c r="AE491" s="24">
        <v>0</v>
      </c>
      <c r="AG491" s="24">
        <v>0</v>
      </c>
      <c r="AI491" s="24">
        <f t="shared" si="19"/>
        <v>0</v>
      </c>
      <c r="AJ491" s="24"/>
    </row>
    <row r="492" spans="1:42" hidden="1">
      <c r="A492" s="15" t="s">
        <v>150</v>
      </c>
      <c r="C492" s="15" t="s">
        <v>796</v>
      </c>
      <c r="E492" s="24">
        <v>0</v>
      </c>
      <c r="G492" s="24">
        <v>0</v>
      </c>
      <c r="I492" s="24">
        <v>0</v>
      </c>
      <c r="K492" s="24">
        <v>0</v>
      </c>
      <c r="M492" s="24">
        <v>0</v>
      </c>
      <c r="O492" s="24">
        <v>0</v>
      </c>
      <c r="Q492" s="24">
        <v>0</v>
      </c>
      <c r="S492" s="24">
        <v>0</v>
      </c>
      <c r="U492" s="24">
        <v>0</v>
      </c>
      <c r="W492" s="24">
        <v>0</v>
      </c>
      <c r="Y492" s="24">
        <v>0</v>
      </c>
      <c r="AA492" s="24">
        <v>0</v>
      </c>
      <c r="AC492" s="24">
        <v>0</v>
      </c>
      <c r="AE492" s="24">
        <v>0</v>
      </c>
      <c r="AG492" s="24">
        <v>0</v>
      </c>
      <c r="AI492" s="24">
        <f t="shared" si="19"/>
        <v>0</v>
      </c>
      <c r="AJ492" s="24"/>
    </row>
    <row r="493" spans="1:42" hidden="1">
      <c r="A493" s="15" t="s">
        <v>181</v>
      </c>
      <c r="C493" s="15" t="s">
        <v>807</v>
      </c>
      <c r="E493" s="24">
        <v>0</v>
      </c>
      <c r="G493" s="24">
        <v>0</v>
      </c>
      <c r="I493" s="24">
        <v>0</v>
      </c>
      <c r="K493" s="24">
        <v>0</v>
      </c>
      <c r="M493" s="24">
        <v>0</v>
      </c>
      <c r="O493" s="24">
        <v>0</v>
      </c>
      <c r="Q493" s="24">
        <v>0</v>
      </c>
      <c r="S493" s="24">
        <v>0</v>
      </c>
      <c r="U493" s="24">
        <v>0</v>
      </c>
      <c r="W493" s="24">
        <v>0</v>
      </c>
      <c r="Y493" s="24">
        <v>0</v>
      </c>
      <c r="AA493" s="24">
        <v>0</v>
      </c>
      <c r="AC493" s="24">
        <v>0</v>
      </c>
      <c r="AE493" s="24">
        <v>0</v>
      </c>
      <c r="AG493" s="24">
        <v>0</v>
      </c>
      <c r="AI493" s="24">
        <f t="shared" si="19"/>
        <v>0</v>
      </c>
      <c r="AJ493" s="24"/>
    </row>
    <row r="494" spans="1:42" hidden="1">
      <c r="A494" s="15" t="s">
        <v>89</v>
      </c>
      <c r="C494" s="15" t="s">
        <v>777</v>
      </c>
      <c r="E494" s="24">
        <v>0</v>
      </c>
      <c r="G494" s="24">
        <v>0</v>
      </c>
      <c r="I494" s="24">
        <v>0</v>
      </c>
      <c r="K494" s="24">
        <v>0</v>
      </c>
      <c r="M494" s="24">
        <v>0</v>
      </c>
      <c r="O494" s="24">
        <v>0</v>
      </c>
      <c r="Q494" s="24">
        <v>0</v>
      </c>
      <c r="S494" s="24">
        <v>0</v>
      </c>
      <c r="U494" s="24">
        <v>0</v>
      </c>
      <c r="W494" s="24">
        <v>0</v>
      </c>
      <c r="Y494" s="24">
        <v>0</v>
      </c>
      <c r="AA494" s="24">
        <v>0</v>
      </c>
      <c r="AC494" s="24">
        <v>0</v>
      </c>
      <c r="AE494" s="24">
        <v>0</v>
      </c>
      <c r="AG494" s="24">
        <v>0</v>
      </c>
      <c r="AI494" s="24">
        <f t="shared" si="19"/>
        <v>0</v>
      </c>
      <c r="AJ494" s="24"/>
    </row>
    <row r="495" spans="1:42" s="31" customFormat="1" hidden="1">
      <c r="A495" s="15" t="s">
        <v>134</v>
      </c>
      <c r="B495" s="15"/>
      <c r="C495" s="15" t="s">
        <v>791</v>
      </c>
      <c r="D495" s="15"/>
      <c r="E495" s="24">
        <v>0</v>
      </c>
      <c r="F495" s="24"/>
      <c r="G495" s="24">
        <v>0</v>
      </c>
      <c r="H495" s="24"/>
      <c r="I495" s="24">
        <v>0</v>
      </c>
      <c r="J495" s="24"/>
      <c r="K495" s="24">
        <v>0</v>
      </c>
      <c r="L495" s="24"/>
      <c r="M495" s="24">
        <v>0</v>
      </c>
      <c r="N495" s="24"/>
      <c r="O495" s="24">
        <v>0</v>
      </c>
      <c r="P495" s="24"/>
      <c r="Q495" s="24">
        <v>0</v>
      </c>
      <c r="R495" s="24"/>
      <c r="S495" s="24">
        <v>0</v>
      </c>
      <c r="T495" s="24"/>
      <c r="U495" s="24">
        <v>0</v>
      </c>
      <c r="V495" s="24"/>
      <c r="W495" s="24">
        <v>0</v>
      </c>
      <c r="X495" s="24"/>
      <c r="Y495" s="24">
        <v>0</v>
      </c>
      <c r="Z495" s="24"/>
      <c r="AA495" s="24">
        <v>0</v>
      </c>
      <c r="AB495" s="24"/>
      <c r="AC495" s="24">
        <v>0</v>
      </c>
      <c r="AD495" s="24"/>
      <c r="AE495" s="24">
        <v>0</v>
      </c>
      <c r="AF495" s="24"/>
      <c r="AG495" s="24">
        <v>0</v>
      </c>
      <c r="AH495" s="24"/>
      <c r="AI495" s="24">
        <f t="shared" si="19"/>
        <v>0</v>
      </c>
      <c r="AJ495" s="24"/>
    </row>
    <row r="496" spans="1:42" hidden="1">
      <c r="A496" s="15" t="s">
        <v>158</v>
      </c>
      <c r="C496" s="15" t="s">
        <v>798</v>
      </c>
      <c r="E496" s="24">
        <v>0</v>
      </c>
      <c r="G496" s="24">
        <v>0</v>
      </c>
      <c r="I496" s="24">
        <v>0</v>
      </c>
      <c r="K496" s="24">
        <v>0</v>
      </c>
      <c r="M496" s="24">
        <v>0</v>
      </c>
      <c r="O496" s="24">
        <v>0</v>
      </c>
      <c r="Q496" s="24">
        <v>0</v>
      </c>
      <c r="S496" s="24">
        <v>0</v>
      </c>
      <c r="U496" s="24">
        <v>0</v>
      </c>
      <c r="W496" s="24">
        <v>0</v>
      </c>
      <c r="Y496" s="24">
        <v>0</v>
      </c>
      <c r="AA496" s="24">
        <v>0</v>
      </c>
      <c r="AC496" s="24">
        <v>0</v>
      </c>
      <c r="AE496" s="24">
        <v>0</v>
      </c>
      <c r="AG496" s="24">
        <v>0</v>
      </c>
      <c r="AI496" s="24">
        <f t="shared" si="19"/>
        <v>0</v>
      </c>
      <c r="AJ496" s="24"/>
    </row>
    <row r="497" spans="1:42">
      <c r="A497" s="15" t="s">
        <v>535</v>
      </c>
      <c r="C497" s="15" t="s">
        <v>534</v>
      </c>
      <c r="E497" s="24">
        <f>1562+17803</f>
        <v>19365</v>
      </c>
      <c r="G497" s="24">
        <v>0</v>
      </c>
      <c r="I497" s="24">
        <f>2391+7245</f>
        <v>9636</v>
      </c>
      <c r="K497" s="24">
        <v>0</v>
      </c>
      <c r="M497" s="24">
        <f>10200+64098</f>
        <v>74298</v>
      </c>
      <c r="O497" s="24">
        <v>1695</v>
      </c>
      <c r="Q497" s="24">
        <v>0</v>
      </c>
      <c r="S497" s="24">
        <f>12170+2000+3435</f>
        <v>17605</v>
      </c>
      <c r="U497" s="24">
        <v>0</v>
      </c>
      <c r="W497" s="24">
        <v>0</v>
      </c>
      <c r="Y497" s="24">
        <v>0</v>
      </c>
      <c r="AA497" s="24">
        <v>0</v>
      </c>
      <c r="AC497" s="24">
        <v>0</v>
      </c>
      <c r="AE497" s="24">
        <v>0</v>
      </c>
      <c r="AG497" s="24">
        <v>0</v>
      </c>
      <c r="AI497" s="24">
        <f t="shared" si="19"/>
        <v>122599</v>
      </c>
      <c r="AJ497" s="24"/>
    </row>
    <row r="498" spans="1:42" s="31" customFormat="1" hidden="1">
      <c r="A498" s="15" t="s">
        <v>392</v>
      </c>
      <c r="B498" s="15"/>
      <c r="C498" s="15" t="s">
        <v>388</v>
      </c>
      <c r="D498" s="15"/>
      <c r="E498" s="24">
        <v>0</v>
      </c>
      <c r="F498" s="24"/>
      <c r="G498" s="24">
        <v>0</v>
      </c>
      <c r="H498" s="24"/>
      <c r="I498" s="24">
        <v>0</v>
      </c>
      <c r="J498" s="24"/>
      <c r="K498" s="24">
        <v>0</v>
      </c>
      <c r="L498" s="24"/>
      <c r="M498" s="24">
        <v>0</v>
      </c>
      <c r="N498" s="24"/>
      <c r="O498" s="24">
        <v>0</v>
      </c>
      <c r="P498" s="24"/>
      <c r="Q498" s="24">
        <v>0</v>
      </c>
      <c r="R498" s="24"/>
      <c r="S498" s="24">
        <v>0</v>
      </c>
      <c r="T498" s="24"/>
      <c r="U498" s="24">
        <v>0</v>
      </c>
      <c r="V498" s="24"/>
      <c r="W498" s="24">
        <v>0</v>
      </c>
      <c r="X498" s="24"/>
      <c r="Y498" s="24">
        <v>0</v>
      </c>
      <c r="Z498" s="24"/>
      <c r="AA498" s="24">
        <v>0</v>
      </c>
      <c r="AB498" s="24"/>
      <c r="AC498" s="24">
        <v>0</v>
      </c>
      <c r="AD498" s="24"/>
      <c r="AE498" s="24">
        <v>0</v>
      </c>
      <c r="AF498" s="24"/>
      <c r="AG498" s="24">
        <v>0</v>
      </c>
      <c r="AH498" s="24"/>
      <c r="AI498" s="24">
        <f t="shared" si="19"/>
        <v>0</v>
      </c>
      <c r="AJ498" s="24"/>
    </row>
    <row r="499" spans="1:42" s="24" customFormat="1" hidden="1">
      <c r="A499" s="24" t="s">
        <v>228</v>
      </c>
      <c r="C499" s="24" t="s">
        <v>554</v>
      </c>
      <c r="E499" s="24">
        <v>0</v>
      </c>
      <c r="G499" s="24">
        <v>0</v>
      </c>
      <c r="I499" s="24">
        <v>0</v>
      </c>
      <c r="K499" s="24">
        <v>0</v>
      </c>
      <c r="M499" s="24">
        <v>0</v>
      </c>
      <c r="O499" s="24">
        <v>0</v>
      </c>
      <c r="Q499" s="24">
        <v>0</v>
      </c>
      <c r="S499" s="24">
        <v>0</v>
      </c>
      <c r="U499" s="24">
        <v>0</v>
      </c>
      <c r="W499" s="24">
        <v>0</v>
      </c>
      <c r="Y499" s="24">
        <v>0</v>
      </c>
      <c r="AA499" s="24">
        <v>0</v>
      </c>
      <c r="AC499" s="24">
        <v>0</v>
      </c>
      <c r="AE499" s="24">
        <v>0</v>
      </c>
      <c r="AG499" s="24">
        <v>0</v>
      </c>
      <c r="AI499" s="24">
        <f t="shared" si="19"/>
        <v>0</v>
      </c>
    </row>
    <row r="500" spans="1:42" hidden="1">
      <c r="A500" s="15" t="s">
        <v>228</v>
      </c>
      <c r="C500" s="15" t="s">
        <v>821</v>
      </c>
      <c r="E500" s="24">
        <v>0</v>
      </c>
      <c r="G500" s="24">
        <v>0</v>
      </c>
      <c r="I500" s="24">
        <v>0</v>
      </c>
      <c r="K500" s="24">
        <v>0</v>
      </c>
      <c r="M500" s="24">
        <v>0</v>
      </c>
      <c r="O500" s="24">
        <v>0</v>
      </c>
      <c r="Q500" s="24">
        <v>0</v>
      </c>
      <c r="S500" s="24">
        <v>0</v>
      </c>
      <c r="U500" s="24">
        <v>0</v>
      </c>
      <c r="W500" s="24">
        <v>0</v>
      </c>
      <c r="Y500" s="24">
        <v>0</v>
      </c>
      <c r="AA500" s="24">
        <v>0</v>
      </c>
      <c r="AC500" s="24">
        <v>0</v>
      </c>
      <c r="AE500" s="24">
        <v>0</v>
      </c>
      <c r="AG500" s="24">
        <v>0</v>
      </c>
      <c r="AI500" s="24">
        <f t="shared" si="19"/>
        <v>0</v>
      </c>
      <c r="AJ500" s="24"/>
    </row>
    <row r="501" spans="1:42" hidden="1">
      <c r="A501" s="15" t="s">
        <v>539</v>
      </c>
      <c r="C501" s="15" t="s">
        <v>537</v>
      </c>
      <c r="E501" s="24">
        <v>0</v>
      </c>
      <c r="G501" s="24">
        <v>0</v>
      </c>
      <c r="I501" s="24">
        <v>0</v>
      </c>
      <c r="K501" s="24">
        <v>0</v>
      </c>
      <c r="M501" s="24">
        <v>0</v>
      </c>
      <c r="O501" s="24">
        <v>0</v>
      </c>
      <c r="Q501" s="24">
        <v>0</v>
      </c>
      <c r="S501" s="24">
        <v>0</v>
      </c>
      <c r="U501" s="24">
        <v>0</v>
      </c>
      <c r="W501" s="24">
        <v>0</v>
      </c>
      <c r="Y501" s="24">
        <v>0</v>
      </c>
      <c r="AA501" s="24">
        <v>0</v>
      </c>
      <c r="AC501" s="24">
        <v>0</v>
      </c>
      <c r="AE501" s="24">
        <v>0</v>
      </c>
      <c r="AG501" s="24">
        <v>0</v>
      </c>
      <c r="AI501" s="24">
        <f t="shared" si="19"/>
        <v>0</v>
      </c>
      <c r="AJ501" s="24"/>
    </row>
    <row r="502" spans="1:42" hidden="1">
      <c r="A502" s="15" t="s">
        <v>558</v>
      </c>
      <c r="C502" s="15" t="s">
        <v>554</v>
      </c>
      <c r="E502" s="24">
        <v>0</v>
      </c>
      <c r="G502" s="24">
        <v>0</v>
      </c>
      <c r="I502" s="24">
        <v>0</v>
      </c>
      <c r="K502" s="24">
        <v>0</v>
      </c>
      <c r="M502" s="24">
        <v>0</v>
      </c>
      <c r="O502" s="24">
        <v>0</v>
      </c>
      <c r="Q502" s="24">
        <v>0</v>
      </c>
      <c r="S502" s="24">
        <v>0</v>
      </c>
      <c r="U502" s="24">
        <v>0</v>
      </c>
      <c r="W502" s="24">
        <v>0</v>
      </c>
      <c r="Y502" s="24">
        <v>0</v>
      </c>
      <c r="AA502" s="24">
        <v>0</v>
      </c>
      <c r="AC502" s="24">
        <v>0</v>
      </c>
      <c r="AE502" s="24">
        <v>0</v>
      </c>
      <c r="AG502" s="24">
        <v>0</v>
      </c>
      <c r="AI502" s="24">
        <f t="shared" si="19"/>
        <v>0</v>
      </c>
      <c r="AJ502" s="24"/>
    </row>
    <row r="503" spans="1:42" s="31" customFormat="1" hidden="1">
      <c r="A503" s="15" t="s">
        <v>119</v>
      </c>
      <c r="B503" s="15"/>
      <c r="C503" s="15" t="s">
        <v>786</v>
      </c>
      <c r="D503" s="15"/>
      <c r="E503" s="24">
        <v>0</v>
      </c>
      <c r="F503" s="24"/>
      <c r="G503" s="24">
        <v>0</v>
      </c>
      <c r="H503" s="24"/>
      <c r="I503" s="24">
        <v>0</v>
      </c>
      <c r="J503" s="24"/>
      <c r="K503" s="24">
        <v>0</v>
      </c>
      <c r="L503" s="24"/>
      <c r="M503" s="24">
        <v>0</v>
      </c>
      <c r="N503" s="24"/>
      <c r="O503" s="24">
        <v>0</v>
      </c>
      <c r="P503" s="24"/>
      <c r="Q503" s="24">
        <v>0</v>
      </c>
      <c r="R503" s="24"/>
      <c r="S503" s="24">
        <v>0</v>
      </c>
      <c r="T503" s="24"/>
      <c r="U503" s="24">
        <v>0</v>
      </c>
      <c r="V503" s="24"/>
      <c r="W503" s="24">
        <v>0</v>
      </c>
      <c r="X503" s="24"/>
      <c r="Y503" s="24">
        <v>0</v>
      </c>
      <c r="Z503" s="24"/>
      <c r="AA503" s="24">
        <v>0</v>
      </c>
      <c r="AB503" s="24"/>
      <c r="AC503" s="24">
        <v>0</v>
      </c>
      <c r="AD503" s="24"/>
      <c r="AE503" s="24">
        <v>0</v>
      </c>
      <c r="AF503" s="24"/>
      <c r="AG503" s="24">
        <v>0</v>
      </c>
      <c r="AH503" s="24"/>
      <c r="AI503" s="24">
        <f t="shared" si="19"/>
        <v>0</v>
      </c>
      <c r="AJ503" s="24"/>
    </row>
    <row r="504" spans="1:42" s="31" customFormat="1" hidden="1">
      <c r="A504" s="15" t="s">
        <v>238</v>
      </c>
      <c r="B504" s="15"/>
      <c r="C504" s="15" t="s">
        <v>824</v>
      </c>
      <c r="D504" s="15"/>
      <c r="E504" s="24">
        <v>0</v>
      </c>
      <c r="F504" s="24"/>
      <c r="G504" s="24">
        <v>0</v>
      </c>
      <c r="H504" s="24"/>
      <c r="I504" s="24">
        <v>0</v>
      </c>
      <c r="J504" s="24"/>
      <c r="K504" s="24">
        <v>0</v>
      </c>
      <c r="L504" s="24"/>
      <c r="M504" s="24">
        <v>0</v>
      </c>
      <c r="N504" s="24"/>
      <c r="O504" s="24">
        <v>0</v>
      </c>
      <c r="P504" s="24"/>
      <c r="Q504" s="24">
        <v>0</v>
      </c>
      <c r="R504" s="24"/>
      <c r="S504" s="24">
        <v>0</v>
      </c>
      <c r="T504" s="24"/>
      <c r="U504" s="24">
        <v>0</v>
      </c>
      <c r="V504" s="24"/>
      <c r="W504" s="24">
        <v>0</v>
      </c>
      <c r="X504" s="24"/>
      <c r="Y504" s="24">
        <v>0</v>
      </c>
      <c r="Z504" s="24"/>
      <c r="AA504" s="24">
        <v>0</v>
      </c>
      <c r="AB504" s="24"/>
      <c r="AC504" s="24">
        <v>0</v>
      </c>
      <c r="AD504" s="24"/>
      <c r="AE504" s="24">
        <v>0</v>
      </c>
      <c r="AF504" s="24"/>
      <c r="AG504" s="24">
        <v>0</v>
      </c>
      <c r="AH504" s="24"/>
      <c r="AI504" s="24">
        <f t="shared" si="19"/>
        <v>0</v>
      </c>
      <c r="AJ504" s="24"/>
    </row>
    <row r="505" spans="1:42" s="31" customFormat="1" hidden="1">
      <c r="A505" s="15" t="s">
        <v>401</v>
      </c>
      <c r="B505" s="15"/>
      <c r="C505" s="15" t="s">
        <v>396</v>
      </c>
      <c r="D505" s="15"/>
      <c r="E505" s="24">
        <v>0</v>
      </c>
      <c r="F505" s="24"/>
      <c r="G505" s="24">
        <v>0</v>
      </c>
      <c r="H505" s="24"/>
      <c r="I505" s="24">
        <v>0</v>
      </c>
      <c r="J505" s="24"/>
      <c r="K505" s="24">
        <v>0</v>
      </c>
      <c r="L505" s="24"/>
      <c r="M505" s="24">
        <v>0</v>
      </c>
      <c r="N505" s="24"/>
      <c r="O505" s="24">
        <v>0</v>
      </c>
      <c r="P505" s="24"/>
      <c r="Q505" s="24">
        <v>0</v>
      </c>
      <c r="R505" s="24"/>
      <c r="S505" s="24">
        <v>0</v>
      </c>
      <c r="T505" s="24"/>
      <c r="U505" s="24">
        <v>0</v>
      </c>
      <c r="V505" s="24"/>
      <c r="W505" s="24">
        <v>0</v>
      </c>
      <c r="X505" s="24"/>
      <c r="Y505" s="24">
        <v>0</v>
      </c>
      <c r="Z505" s="24"/>
      <c r="AA505" s="24">
        <v>0</v>
      </c>
      <c r="AB505" s="24"/>
      <c r="AC505" s="24">
        <v>0</v>
      </c>
      <c r="AD505" s="24"/>
      <c r="AE505" s="24">
        <v>0</v>
      </c>
      <c r="AF505" s="24"/>
      <c r="AG505" s="24">
        <v>0</v>
      </c>
      <c r="AH505" s="24"/>
      <c r="AI505" s="24">
        <f t="shared" si="19"/>
        <v>0</v>
      </c>
      <c r="AJ505" s="41"/>
    </row>
    <row r="506" spans="1:42" hidden="1">
      <c r="A506" s="15" t="s">
        <v>81</v>
      </c>
      <c r="C506" s="15" t="s">
        <v>775</v>
      </c>
      <c r="E506" s="24">
        <v>0</v>
      </c>
      <c r="G506" s="24">
        <v>0</v>
      </c>
      <c r="I506" s="24">
        <v>0</v>
      </c>
      <c r="K506" s="24">
        <v>0</v>
      </c>
      <c r="M506" s="24">
        <v>0</v>
      </c>
      <c r="O506" s="24">
        <v>0</v>
      </c>
      <c r="Q506" s="24">
        <v>0</v>
      </c>
      <c r="S506" s="24">
        <v>0</v>
      </c>
      <c r="U506" s="24">
        <v>0</v>
      </c>
      <c r="W506" s="24">
        <v>0</v>
      </c>
      <c r="Y506" s="24">
        <v>0</v>
      </c>
      <c r="AA506" s="24">
        <v>0</v>
      </c>
      <c r="AC506" s="24">
        <v>0</v>
      </c>
      <c r="AE506" s="24">
        <v>0</v>
      </c>
      <c r="AG506" s="24">
        <v>0</v>
      </c>
      <c r="AI506" s="24">
        <f t="shared" si="19"/>
        <v>0</v>
      </c>
      <c r="AJ506" s="24"/>
    </row>
    <row r="507" spans="1:42" ht="12.6" hidden="1" customHeight="1">
      <c r="A507" s="15" t="s">
        <v>284</v>
      </c>
      <c r="C507" s="15" t="s">
        <v>283</v>
      </c>
      <c r="E507" s="24">
        <v>0</v>
      </c>
      <c r="G507" s="24">
        <v>0</v>
      </c>
      <c r="I507" s="24">
        <v>0</v>
      </c>
      <c r="K507" s="24">
        <v>0</v>
      </c>
      <c r="M507" s="24">
        <v>0</v>
      </c>
      <c r="O507" s="24">
        <v>0</v>
      </c>
      <c r="Q507" s="24">
        <v>0</v>
      </c>
      <c r="S507" s="24">
        <v>0</v>
      </c>
      <c r="U507" s="24">
        <v>0</v>
      </c>
      <c r="W507" s="24">
        <v>0</v>
      </c>
      <c r="Y507" s="24">
        <v>0</v>
      </c>
      <c r="AA507" s="24">
        <v>0</v>
      </c>
      <c r="AC507" s="24">
        <v>0</v>
      </c>
      <c r="AE507" s="24">
        <v>0</v>
      </c>
      <c r="AG507" s="24">
        <v>0</v>
      </c>
      <c r="AI507" s="24">
        <f t="shared" si="19"/>
        <v>0</v>
      </c>
      <c r="AJ507" s="24"/>
    </row>
    <row r="508" spans="1:42" hidden="1">
      <c r="A508" s="15" t="s">
        <v>260</v>
      </c>
      <c r="C508" s="15" t="s">
        <v>830</v>
      </c>
      <c r="E508" s="24">
        <v>0</v>
      </c>
      <c r="G508" s="24">
        <v>0</v>
      </c>
      <c r="I508" s="24">
        <v>0</v>
      </c>
      <c r="K508" s="24">
        <v>0</v>
      </c>
      <c r="M508" s="24">
        <v>0</v>
      </c>
      <c r="O508" s="24">
        <v>0</v>
      </c>
      <c r="Q508" s="24">
        <v>0</v>
      </c>
      <c r="S508" s="24">
        <v>0</v>
      </c>
      <c r="U508" s="24">
        <v>0</v>
      </c>
      <c r="W508" s="24">
        <v>0</v>
      </c>
      <c r="Y508" s="24">
        <v>0</v>
      </c>
      <c r="AA508" s="24">
        <v>0</v>
      </c>
      <c r="AC508" s="24">
        <v>0</v>
      </c>
      <c r="AE508" s="24">
        <v>0</v>
      </c>
      <c r="AG508" s="24">
        <v>0</v>
      </c>
      <c r="AI508" s="24">
        <f t="shared" si="19"/>
        <v>0</v>
      </c>
      <c r="AJ508" s="24"/>
    </row>
    <row r="509" spans="1:42" s="31" customFormat="1" ht="12.6" customHeight="1">
      <c r="A509" s="15" t="s">
        <v>356</v>
      </c>
      <c r="B509" s="15"/>
      <c r="C509" s="15" t="s">
        <v>353</v>
      </c>
      <c r="D509" s="15"/>
      <c r="E509" s="24">
        <v>133665</v>
      </c>
      <c r="F509" s="24"/>
      <c r="G509" s="24">
        <v>0</v>
      </c>
      <c r="H509" s="24"/>
      <c r="I509" s="24">
        <f>46839+19950</f>
        <v>66789</v>
      </c>
      <c r="J509" s="24"/>
      <c r="K509" s="24">
        <v>0</v>
      </c>
      <c r="L509" s="24"/>
      <c r="M509" s="24">
        <v>0</v>
      </c>
      <c r="N509" s="24"/>
      <c r="O509" s="24">
        <v>548</v>
      </c>
      <c r="P509" s="24"/>
      <c r="Q509" s="24">
        <f>14401+1532</f>
        <v>15933</v>
      </c>
      <c r="R509" s="24"/>
      <c r="S509" s="24">
        <v>0</v>
      </c>
      <c r="T509" s="24"/>
      <c r="U509" s="24">
        <v>0</v>
      </c>
      <c r="V509" s="24"/>
      <c r="W509" s="24">
        <v>0</v>
      </c>
      <c r="X509" s="24"/>
      <c r="Y509" s="24">
        <v>0</v>
      </c>
      <c r="Z509" s="24"/>
      <c r="AA509" s="24">
        <v>0</v>
      </c>
      <c r="AB509" s="24"/>
      <c r="AC509" s="24">
        <v>0</v>
      </c>
      <c r="AD509" s="24"/>
      <c r="AE509" s="24">
        <v>0</v>
      </c>
      <c r="AF509" s="24"/>
      <c r="AG509" s="24">
        <v>0</v>
      </c>
      <c r="AH509" s="24"/>
      <c r="AI509" s="24">
        <f t="shared" si="19"/>
        <v>216935</v>
      </c>
      <c r="AJ509" s="24"/>
      <c r="AK509" s="32"/>
      <c r="AL509" s="32"/>
      <c r="AM509" s="32"/>
      <c r="AN509" s="32"/>
      <c r="AO509" s="32"/>
      <c r="AP509" s="32"/>
    </row>
    <row r="510" spans="1:42">
      <c r="A510" s="15" t="s">
        <v>676</v>
      </c>
      <c r="B510" s="15" t="s">
        <v>902</v>
      </c>
      <c r="C510" s="15" t="s">
        <v>677</v>
      </c>
      <c r="E510" s="24">
        <f>112562+134100</f>
        <v>246662</v>
      </c>
      <c r="G510" s="24">
        <v>0</v>
      </c>
      <c r="I510" s="24">
        <f>30006+127681</f>
        <v>157687</v>
      </c>
      <c r="K510" s="24">
        <v>0</v>
      </c>
      <c r="M510" s="24">
        <v>0</v>
      </c>
      <c r="O510" s="24">
        <v>10483</v>
      </c>
      <c r="Q510" s="24">
        <f>33768+5591</f>
        <v>39359</v>
      </c>
      <c r="S510" s="24">
        <f>12918+1226</f>
        <v>14144</v>
      </c>
      <c r="U510" s="24">
        <v>0</v>
      </c>
      <c r="W510" s="24">
        <v>0</v>
      </c>
      <c r="Y510" s="24">
        <v>0</v>
      </c>
      <c r="AA510" s="24">
        <v>0</v>
      </c>
      <c r="AC510" s="24">
        <f>5520+5520</f>
        <v>11040</v>
      </c>
      <c r="AE510" s="24">
        <v>0</v>
      </c>
      <c r="AG510" s="24">
        <v>0</v>
      </c>
      <c r="AI510" s="24">
        <f t="shared" si="19"/>
        <v>479375</v>
      </c>
      <c r="AJ510" s="24"/>
    </row>
    <row r="511" spans="1:42" s="29" customFormat="1" hidden="1">
      <c r="A511" s="24" t="s">
        <v>138</v>
      </c>
      <c r="B511" s="24"/>
      <c r="C511" s="24" t="s">
        <v>792</v>
      </c>
      <c r="D511" s="24"/>
      <c r="E511" s="24">
        <v>0</v>
      </c>
      <c r="F511" s="24"/>
      <c r="G511" s="24">
        <v>0</v>
      </c>
      <c r="H511" s="24"/>
      <c r="I511" s="24">
        <v>0</v>
      </c>
      <c r="J511" s="24"/>
      <c r="K511" s="24">
        <v>0</v>
      </c>
      <c r="L511" s="24"/>
      <c r="M511" s="24">
        <v>0</v>
      </c>
      <c r="N511" s="24"/>
      <c r="O511" s="24">
        <v>0</v>
      </c>
      <c r="P511" s="24"/>
      <c r="Q511" s="24">
        <v>0</v>
      </c>
      <c r="R511" s="24"/>
      <c r="S511" s="24">
        <v>0</v>
      </c>
      <c r="T511" s="24"/>
      <c r="U511" s="24">
        <v>0</v>
      </c>
      <c r="V511" s="24"/>
      <c r="W511" s="24">
        <v>0</v>
      </c>
      <c r="X511" s="24"/>
      <c r="Y511" s="24">
        <v>0</v>
      </c>
      <c r="Z511" s="24"/>
      <c r="AA511" s="24">
        <v>0</v>
      </c>
      <c r="AB511" s="24"/>
      <c r="AC511" s="24">
        <v>0</v>
      </c>
      <c r="AD511" s="24"/>
      <c r="AE511" s="24">
        <v>0</v>
      </c>
      <c r="AF511" s="24"/>
      <c r="AG511" s="24">
        <v>0</v>
      </c>
      <c r="AH511" s="24"/>
      <c r="AI511" s="24">
        <f t="shared" si="19"/>
        <v>0</v>
      </c>
      <c r="AJ511" s="24"/>
    </row>
    <row r="512" spans="1:42">
      <c r="A512" s="15" t="s">
        <v>678</v>
      </c>
      <c r="C512" s="15" t="s">
        <v>677</v>
      </c>
      <c r="E512" s="24">
        <f>22000+32017</f>
        <v>54017</v>
      </c>
      <c r="G512" s="24">
        <f>75423+8380</f>
        <v>83803</v>
      </c>
      <c r="I512" s="24">
        <f>29028+65842</f>
        <v>94870</v>
      </c>
      <c r="K512" s="24">
        <v>0</v>
      </c>
      <c r="M512" s="24">
        <v>218</v>
      </c>
      <c r="O512" s="24">
        <v>83</v>
      </c>
      <c r="Q512" s="24">
        <f>9054+503</f>
        <v>9557</v>
      </c>
      <c r="S512" s="24">
        <f>5576+4061</f>
        <v>9637</v>
      </c>
      <c r="U512" s="24">
        <v>0</v>
      </c>
      <c r="W512" s="24">
        <v>49314</v>
      </c>
      <c r="Y512" s="24">
        <v>0</v>
      </c>
      <c r="AA512" s="24">
        <f>24025+8052</f>
        <v>32077</v>
      </c>
      <c r="AC512" s="24">
        <v>0</v>
      </c>
      <c r="AE512" s="24">
        <v>0</v>
      </c>
      <c r="AG512" s="24">
        <v>0</v>
      </c>
      <c r="AI512" s="24">
        <f t="shared" si="19"/>
        <v>333576</v>
      </c>
      <c r="AJ512" s="24"/>
    </row>
    <row r="513" spans="1:42" hidden="1">
      <c r="A513" s="15" t="s">
        <v>471</v>
      </c>
      <c r="C513" s="15" t="s">
        <v>469</v>
      </c>
      <c r="E513" s="24">
        <v>0</v>
      </c>
      <c r="G513" s="24">
        <v>0</v>
      </c>
      <c r="I513" s="24">
        <v>0</v>
      </c>
      <c r="K513" s="24">
        <v>0</v>
      </c>
      <c r="M513" s="24">
        <v>0</v>
      </c>
      <c r="O513" s="24">
        <v>0</v>
      </c>
      <c r="Q513" s="24">
        <v>0</v>
      </c>
      <c r="S513" s="24">
        <v>0</v>
      </c>
      <c r="U513" s="24">
        <v>0</v>
      </c>
      <c r="W513" s="24">
        <v>0</v>
      </c>
      <c r="Y513" s="24">
        <v>0</v>
      </c>
      <c r="AA513" s="24">
        <v>0</v>
      </c>
      <c r="AC513" s="24">
        <v>0</v>
      </c>
      <c r="AE513" s="24">
        <v>0</v>
      </c>
      <c r="AG513" s="24">
        <v>0</v>
      </c>
      <c r="AI513" s="24">
        <f t="shared" si="19"/>
        <v>0</v>
      </c>
      <c r="AJ513" s="24"/>
    </row>
    <row r="514" spans="1:42">
      <c r="A514" s="15" t="s">
        <v>836</v>
      </c>
      <c r="C514" s="15" t="s">
        <v>807</v>
      </c>
      <c r="E514" s="24">
        <f>9102+14531</f>
        <v>23633</v>
      </c>
      <c r="G514" s="24">
        <v>0</v>
      </c>
      <c r="I514" s="24">
        <f>24217+39182</f>
        <v>63399</v>
      </c>
      <c r="K514" s="24">
        <v>0</v>
      </c>
      <c r="M514" s="24">
        <f>1938+23300</f>
        <v>25238</v>
      </c>
      <c r="O514" s="24">
        <f>48+240</f>
        <v>288</v>
      </c>
      <c r="Q514" s="24">
        <f>31+5</f>
        <v>36</v>
      </c>
      <c r="S514" s="24">
        <v>1112</v>
      </c>
      <c r="U514" s="24">
        <v>0</v>
      </c>
      <c r="W514" s="24">
        <v>0</v>
      </c>
      <c r="Y514" s="24">
        <v>0</v>
      </c>
      <c r="AA514" s="24">
        <v>250</v>
      </c>
      <c r="AC514" s="24">
        <v>0</v>
      </c>
      <c r="AE514" s="24">
        <v>0</v>
      </c>
      <c r="AG514" s="24">
        <v>0</v>
      </c>
      <c r="AI514" s="24">
        <f t="shared" si="19"/>
        <v>113956</v>
      </c>
      <c r="AJ514" s="24"/>
    </row>
    <row r="515" spans="1:42" s="31" customFormat="1" hidden="1">
      <c r="A515" s="15" t="s">
        <v>45</v>
      </c>
      <c r="B515" s="15"/>
      <c r="C515" s="15" t="s">
        <v>763</v>
      </c>
      <c r="D515" s="15"/>
      <c r="E515" s="24">
        <v>0</v>
      </c>
      <c r="F515" s="24"/>
      <c r="G515" s="24">
        <v>0</v>
      </c>
      <c r="H515" s="24"/>
      <c r="I515" s="24">
        <v>0</v>
      </c>
      <c r="J515" s="24"/>
      <c r="K515" s="24">
        <v>0</v>
      </c>
      <c r="L515" s="24"/>
      <c r="M515" s="24">
        <v>0</v>
      </c>
      <c r="N515" s="24"/>
      <c r="O515" s="24">
        <v>0</v>
      </c>
      <c r="P515" s="24"/>
      <c r="Q515" s="24">
        <v>0</v>
      </c>
      <c r="R515" s="24"/>
      <c r="S515" s="24">
        <v>0</v>
      </c>
      <c r="T515" s="24"/>
      <c r="U515" s="24">
        <v>0</v>
      </c>
      <c r="V515" s="24"/>
      <c r="W515" s="24">
        <v>0</v>
      </c>
      <c r="X515" s="24"/>
      <c r="Y515" s="24">
        <v>0</v>
      </c>
      <c r="Z515" s="24"/>
      <c r="AA515" s="24">
        <v>0</v>
      </c>
      <c r="AB515" s="24"/>
      <c r="AC515" s="24">
        <v>0</v>
      </c>
      <c r="AD515" s="24"/>
      <c r="AE515" s="24">
        <v>0</v>
      </c>
      <c r="AF515" s="24"/>
      <c r="AG515" s="24">
        <v>0</v>
      </c>
      <c r="AH515" s="24"/>
      <c r="AI515" s="24">
        <f t="shared" si="19"/>
        <v>0</v>
      </c>
      <c r="AJ515" s="24"/>
      <c r="AK515" s="32"/>
      <c r="AL515" s="32"/>
      <c r="AM515" s="32"/>
      <c r="AN515" s="32"/>
      <c r="AO515" s="32"/>
      <c r="AP515" s="32"/>
    </row>
    <row r="516" spans="1:42">
      <c r="A516" s="15" t="s">
        <v>837</v>
      </c>
      <c r="C516" s="15" t="s">
        <v>665</v>
      </c>
      <c r="E516" s="24">
        <v>2293</v>
      </c>
      <c r="G516" s="24">
        <v>0</v>
      </c>
      <c r="I516" s="24">
        <f>1644+4382+190+71+95</f>
        <v>6382</v>
      </c>
      <c r="K516" s="24">
        <v>0</v>
      </c>
      <c r="M516" s="24">
        <v>0</v>
      </c>
      <c r="O516" s="24">
        <v>0</v>
      </c>
      <c r="Q516" s="24">
        <v>0</v>
      </c>
      <c r="S516" s="24">
        <v>0</v>
      </c>
      <c r="U516" s="24">
        <v>0</v>
      </c>
      <c r="W516" s="24">
        <v>0</v>
      </c>
      <c r="Y516" s="24">
        <v>0</v>
      </c>
      <c r="AA516" s="24">
        <v>0</v>
      </c>
      <c r="AC516" s="24">
        <v>0</v>
      </c>
      <c r="AE516" s="24">
        <v>0</v>
      </c>
      <c r="AG516" s="24">
        <v>0</v>
      </c>
      <c r="AI516" s="24">
        <f t="shared" si="19"/>
        <v>8675</v>
      </c>
      <c r="AJ516" s="24"/>
    </row>
    <row r="517" spans="1:42" hidden="1">
      <c r="A517" s="15" t="s">
        <v>492</v>
      </c>
      <c r="C517" s="15" t="s">
        <v>488</v>
      </c>
      <c r="E517" s="24">
        <v>0</v>
      </c>
      <c r="G517" s="24">
        <v>0</v>
      </c>
      <c r="I517" s="24">
        <v>0</v>
      </c>
      <c r="K517" s="24">
        <v>0</v>
      </c>
      <c r="M517" s="24">
        <v>0</v>
      </c>
      <c r="O517" s="24">
        <v>0</v>
      </c>
      <c r="Q517" s="24">
        <v>0</v>
      </c>
      <c r="S517" s="24">
        <v>0</v>
      </c>
      <c r="U517" s="24">
        <v>0</v>
      </c>
      <c r="W517" s="24">
        <v>0</v>
      </c>
      <c r="Y517" s="24">
        <v>0</v>
      </c>
      <c r="AA517" s="24">
        <v>0</v>
      </c>
      <c r="AC517" s="24">
        <v>0</v>
      </c>
      <c r="AE517" s="24">
        <v>0</v>
      </c>
      <c r="AG517" s="24">
        <v>0</v>
      </c>
      <c r="AI517" s="24">
        <f t="shared" si="19"/>
        <v>0</v>
      </c>
      <c r="AJ517" s="24"/>
    </row>
    <row r="518" spans="1:42" s="31" customFormat="1" ht="12.6" customHeight="1">
      <c r="A518" s="15" t="s">
        <v>336</v>
      </c>
      <c r="B518" s="15"/>
      <c r="C518" s="15" t="s">
        <v>329</v>
      </c>
      <c r="D518" s="15"/>
      <c r="E518" s="24">
        <v>9414</v>
      </c>
      <c r="F518" s="24"/>
      <c r="G518" s="24">
        <v>0</v>
      </c>
      <c r="H518" s="24"/>
      <c r="I518" s="24">
        <f>34017+13411+199999</f>
        <v>247427</v>
      </c>
      <c r="J518" s="24"/>
      <c r="K518" s="24">
        <f>11280+2866</f>
        <v>14146</v>
      </c>
      <c r="L518" s="24"/>
      <c r="M518" s="24">
        <v>0</v>
      </c>
      <c r="N518" s="24"/>
      <c r="O518" s="24">
        <v>150</v>
      </c>
      <c r="P518" s="24"/>
      <c r="Q518" s="24">
        <f>94+42+5+19</f>
        <v>160</v>
      </c>
      <c r="R518" s="24"/>
      <c r="S518" s="24">
        <f>1943+21448</f>
        <v>23391</v>
      </c>
      <c r="T518" s="24"/>
      <c r="U518" s="24">
        <v>0</v>
      </c>
      <c r="V518" s="24"/>
      <c r="W518" s="24">
        <v>30000</v>
      </c>
      <c r="X518" s="24"/>
      <c r="Y518" s="24">
        <v>0</v>
      </c>
      <c r="Z518" s="24"/>
      <c r="AA518" s="24">
        <f>2072+2064</f>
        <v>4136</v>
      </c>
      <c r="AB518" s="24"/>
      <c r="AC518" s="24">
        <v>0</v>
      </c>
      <c r="AD518" s="24"/>
      <c r="AE518" s="24">
        <v>0</v>
      </c>
      <c r="AF518" s="24"/>
      <c r="AG518" s="24">
        <v>0</v>
      </c>
      <c r="AH518" s="24"/>
      <c r="AI518" s="24">
        <f t="shared" ref="AI518:AI530" si="20">SUM(E518:AG518)</f>
        <v>328824</v>
      </c>
      <c r="AJ518" s="24"/>
      <c r="AK518" s="32"/>
      <c r="AL518" s="32"/>
      <c r="AM518" s="32"/>
      <c r="AN518" s="32"/>
      <c r="AO518" s="32"/>
      <c r="AP518" s="32"/>
    </row>
    <row r="519" spans="1:42" s="31" customFormat="1">
      <c r="A519" s="15" t="s">
        <v>922</v>
      </c>
      <c r="B519" s="15"/>
      <c r="C519" s="15" t="s">
        <v>565</v>
      </c>
      <c r="D519" s="15"/>
      <c r="E519" s="24">
        <f>16582+7455</f>
        <v>24037</v>
      </c>
      <c r="F519" s="24"/>
      <c r="G519" s="24">
        <v>13695</v>
      </c>
      <c r="H519" s="24"/>
      <c r="I519" s="24">
        <f>10930+8119</f>
        <v>19049</v>
      </c>
      <c r="J519" s="24"/>
      <c r="K519" s="24">
        <v>0</v>
      </c>
      <c r="L519" s="24"/>
      <c r="M519" s="24">
        <v>250</v>
      </c>
      <c r="N519" s="24"/>
      <c r="O519" s="24">
        <v>142</v>
      </c>
      <c r="P519" s="24"/>
      <c r="Q519" s="24">
        <v>194</v>
      </c>
      <c r="R519" s="24"/>
      <c r="S519" s="24">
        <f>6742+2987+24715</f>
        <v>34444</v>
      </c>
      <c r="T519" s="24"/>
      <c r="U519" s="24">
        <v>0</v>
      </c>
      <c r="V519" s="24"/>
      <c r="W519" s="24">
        <v>0</v>
      </c>
      <c r="X519" s="24"/>
      <c r="Y519" s="24">
        <v>0</v>
      </c>
      <c r="Z519" s="24"/>
      <c r="AA519" s="24">
        <v>0</v>
      </c>
      <c r="AB519" s="24"/>
      <c r="AC519" s="24">
        <v>0</v>
      </c>
      <c r="AD519" s="24"/>
      <c r="AE519" s="24">
        <v>0</v>
      </c>
      <c r="AF519" s="24"/>
      <c r="AG519" s="24">
        <v>0</v>
      </c>
      <c r="AH519" s="24"/>
      <c r="AI519" s="24">
        <f t="shared" si="20"/>
        <v>91811</v>
      </c>
      <c r="AJ519" s="24"/>
    </row>
    <row r="520" spans="1:42" s="31" customFormat="1" hidden="1">
      <c r="A520" s="15" t="s">
        <v>860</v>
      </c>
      <c r="B520" s="15"/>
      <c r="C520" s="15" t="s">
        <v>791</v>
      </c>
      <c r="D520" s="15"/>
      <c r="E520" s="24">
        <v>0</v>
      </c>
      <c r="F520" s="24"/>
      <c r="G520" s="24">
        <v>0</v>
      </c>
      <c r="H520" s="24"/>
      <c r="I520" s="24">
        <v>0</v>
      </c>
      <c r="J520" s="24"/>
      <c r="K520" s="24">
        <v>0</v>
      </c>
      <c r="L520" s="24"/>
      <c r="M520" s="24">
        <v>0</v>
      </c>
      <c r="N520" s="24"/>
      <c r="O520" s="24">
        <v>0</v>
      </c>
      <c r="P520" s="24"/>
      <c r="Q520" s="24">
        <v>0</v>
      </c>
      <c r="R520" s="24"/>
      <c r="S520" s="24">
        <v>0</v>
      </c>
      <c r="T520" s="24"/>
      <c r="U520" s="24">
        <v>0</v>
      </c>
      <c r="V520" s="24"/>
      <c r="W520" s="24">
        <v>0</v>
      </c>
      <c r="X520" s="24"/>
      <c r="Y520" s="24">
        <v>0</v>
      </c>
      <c r="Z520" s="24"/>
      <c r="AA520" s="24">
        <v>0</v>
      </c>
      <c r="AB520" s="24"/>
      <c r="AC520" s="24">
        <v>0</v>
      </c>
      <c r="AD520" s="24"/>
      <c r="AE520" s="24">
        <v>0</v>
      </c>
      <c r="AF520" s="24"/>
      <c r="AG520" s="24">
        <v>0</v>
      </c>
      <c r="AH520" s="24"/>
      <c r="AI520" s="24">
        <f t="shared" si="20"/>
        <v>0</v>
      </c>
      <c r="AJ520" s="24"/>
    </row>
    <row r="521" spans="1:42" s="31" customFormat="1" hidden="1">
      <c r="A521" s="15" t="s">
        <v>65</v>
      </c>
      <c r="B521" s="15"/>
      <c r="C521" s="15" t="s">
        <v>771</v>
      </c>
      <c r="D521" s="15"/>
      <c r="E521" s="24">
        <v>0</v>
      </c>
      <c r="F521" s="24"/>
      <c r="G521" s="24">
        <v>0</v>
      </c>
      <c r="H521" s="24"/>
      <c r="I521" s="24">
        <v>0</v>
      </c>
      <c r="J521" s="24"/>
      <c r="K521" s="24">
        <v>0</v>
      </c>
      <c r="L521" s="24"/>
      <c r="M521" s="24">
        <v>0</v>
      </c>
      <c r="N521" s="24"/>
      <c r="O521" s="24">
        <v>0</v>
      </c>
      <c r="P521" s="24"/>
      <c r="Q521" s="24">
        <v>0</v>
      </c>
      <c r="R521" s="24"/>
      <c r="S521" s="24">
        <v>0</v>
      </c>
      <c r="T521" s="24"/>
      <c r="U521" s="24">
        <v>0</v>
      </c>
      <c r="V521" s="24"/>
      <c r="W521" s="24">
        <v>0</v>
      </c>
      <c r="X521" s="24"/>
      <c r="Y521" s="24">
        <v>0</v>
      </c>
      <c r="Z521" s="24"/>
      <c r="AA521" s="24">
        <v>0</v>
      </c>
      <c r="AB521" s="24"/>
      <c r="AC521" s="24">
        <v>0</v>
      </c>
      <c r="AD521" s="24"/>
      <c r="AE521" s="24">
        <v>0</v>
      </c>
      <c r="AF521" s="24"/>
      <c r="AG521" s="24">
        <v>0</v>
      </c>
      <c r="AH521" s="24"/>
      <c r="AI521" s="24">
        <f t="shared" si="20"/>
        <v>0</v>
      </c>
      <c r="AJ521" s="24"/>
      <c r="AK521" s="32"/>
      <c r="AL521" s="32"/>
      <c r="AM521" s="32"/>
      <c r="AN521" s="32"/>
      <c r="AO521" s="32"/>
      <c r="AP521" s="32"/>
    </row>
    <row r="522" spans="1:42" s="31" customFormat="1" hidden="1">
      <c r="A522" s="15" t="s">
        <v>448</v>
      </c>
      <c r="B522" s="15"/>
      <c r="C522" s="15" t="s">
        <v>447</v>
      </c>
      <c r="D522" s="15"/>
      <c r="E522" s="24">
        <v>0</v>
      </c>
      <c r="F522" s="24"/>
      <c r="G522" s="24">
        <v>0</v>
      </c>
      <c r="H522" s="24"/>
      <c r="I522" s="24">
        <v>0</v>
      </c>
      <c r="J522" s="24"/>
      <c r="K522" s="24">
        <v>0</v>
      </c>
      <c r="L522" s="24"/>
      <c r="M522" s="24">
        <v>0</v>
      </c>
      <c r="N522" s="24"/>
      <c r="O522" s="24">
        <v>0</v>
      </c>
      <c r="P522" s="24"/>
      <c r="Q522" s="24">
        <v>0</v>
      </c>
      <c r="R522" s="24"/>
      <c r="S522" s="24">
        <v>0</v>
      </c>
      <c r="T522" s="24"/>
      <c r="U522" s="24">
        <v>0</v>
      </c>
      <c r="V522" s="24"/>
      <c r="W522" s="24">
        <v>0</v>
      </c>
      <c r="X522" s="24"/>
      <c r="Y522" s="24">
        <v>0</v>
      </c>
      <c r="Z522" s="24"/>
      <c r="AA522" s="24">
        <v>0</v>
      </c>
      <c r="AB522" s="24"/>
      <c r="AC522" s="24">
        <v>0</v>
      </c>
      <c r="AD522" s="24"/>
      <c r="AE522" s="24">
        <v>0</v>
      </c>
      <c r="AF522" s="24"/>
      <c r="AG522" s="24">
        <v>0</v>
      </c>
      <c r="AH522" s="24"/>
      <c r="AI522" s="24">
        <f t="shared" si="20"/>
        <v>0</v>
      </c>
      <c r="AJ522" s="24"/>
    </row>
    <row r="523" spans="1:42">
      <c r="A523" s="15" t="s">
        <v>543</v>
      </c>
      <c r="C523" s="15" t="s">
        <v>541</v>
      </c>
      <c r="E523" s="24">
        <v>21192</v>
      </c>
      <c r="G523" s="24">
        <f>259475+111189</f>
        <v>370664</v>
      </c>
      <c r="I523" s="24">
        <f>41090+37914</f>
        <v>79004</v>
      </c>
      <c r="K523" s="24">
        <f>15217+3346</f>
        <v>18563</v>
      </c>
      <c r="M523" s="24">
        <v>0</v>
      </c>
      <c r="O523" s="24">
        <v>1978</v>
      </c>
      <c r="Q523" s="24">
        <v>29493</v>
      </c>
      <c r="S523" s="24">
        <v>6456</v>
      </c>
      <c r="U523" s="24">
        <v>0</v>
      </c>
      <c r="W523" s="24">
        <v>0</v>
      </c>
      <c r="Y523" s="24">
        <v>0</v>
      </c>
      <c r="AA523" s="24">
        <f>130913+7181</f>
        <v>138094</v>
      </c>
      <c r="AC523" s="24">
        <v>0</v>
      </c>
      <c r="AE523" s="24">
        <v>0</v>
      </c>
      <c r="AG523" s="24">
        <v>0</v>
      </c>
      <c r="AI523" s="24">
        <f t="shared" si="20"/>
        <v>665444</v>
      </c>
      <c r="AJ523" s="24"/>
    </row>
    <row r="524" spans="1:42" hidden="1">
      <c r="A524" s="15" t="s">
        <v>711</v>
      </c>
      <c r="C524" s="15" t="s">
        <v>467</v>
      </c>
      <c r="E524" s="24">
        <v>0</v>
      </c>
      <c r="G524" s="24">
        <v>0</v>
      </c>
      <c r="I524" s="24">
        <v>0</v>
      </c>
      <c r="K524" s="24">
        <v>0</v>
      </c>
      <c r="M524" s="24">
        <v>0</v>
      </c>
      <c r="O524" s="24">
        <v>0</v>
      </c>
      <c r="Q524" s="24">
        <v>0</v>
      </c>
      <c r="S524" s="24">
        <v>0</v>
      </c>
      <c r="U524" s="24">
        <v>0</v>
      </c>
      <c r="W524" s="24">
        <v>0</v>
      </c>
      <c r="Y524" s="24">
        <v>0</v>
      </c>
      <c r="AA524" s="24">
        <v>0</v>
      </c>
      <c r="AC524" s="24">
        <v>0</v>
      </c>
      <c r="AE524" s="24">
        <v>0</v>
      </c>
      <c r="AG524" s="24">
        <v>0</v>
      </c>
      <c r="AI524" s="24">
        <f t="shared" si="20"/>
        <v>0</v>
      </c>
      <c r="AJ524" s="24"/>
    </row>
    <row r="525" spans="1:42" ht="12.6" hidden="1" customHeight="1">
      <c r="A525" s="15" t="s">
        <v>304</v>
      </c>
      <c r="C525" s="15" t="s">
        <v>299</v>
      </c>
      <c r="E525" s="24">
        <v>0</v>
      </c>
      <c r="G525" s="24">
        <v>0</v>
      </c>
      <c r="I525" s="24">
        <v>0</v>
      </c>
      <c r="K525" s="24">
        <v>0</v>
      </c>
      <c r="M525" s="24">
        <v>0</v>
      </c>
      <c r="O525" s="24">
        <v>0</v>
      </c>
      <c r="Q525" s="24">
        <v>0</v>
      </c>
      <c r="S525" s="24">
        <v>0</v>
      </c>
      <c r="U525" s="24">
        <v>0</v>
      </c>
      <c r="W525" s="24">
        <v>0</v>
      </c>
      <c r="Y525" s="24">
        <v>0</v>
      </c>
      <c r="AA525" s="24">
        <v>0</v>
      </c>
      <c r="AC525" s="24">
        <v>0</v>
      </c>
      <c r="AE525" s="24">
        <v>0</v>
      </c>
      <c r="AG525" s="24">
        <v>0</v>
      </c>
      <c r="AI525" s="24">
        <f t="shared" si="20"/>
        <v>0</v>
      </c>
      <c r="AJ525" s="24"/>
      <c r="AK525" s="30"/>
      <c r="AL525" s="30"/>
      <c r="AM525" s="30"/>
      <c r="AN525" s="30"/>
      <c r="AO525" s="30"/>
      <c r="AP525" s="30"/>
    </row>
    <row r="526" spans="1:42" s="31" customFormat="1" hidden="1">
      <c r="A526" s="15" t="s">
        <v>161</v>
      </c>
      <c r="B526" s="15"/>
      <c r="C526" s="15" t="s">
        <v>799</v>
      </c>
      <c r="D526" s="15"/>
      <c r="E526" s="24">
        <v>0</v>
      </c>
      <c r="F526" s="24"/>
      <c r="G526" s="24">
        <v>0</v>
      </c>
      <c r="H526" s="24"/>
      <c r="I526" s="24">
        <v>0</v>
      </c>
      <c r="J526" s="24"/>
      <c r="K526" s="24">
        <v>0</v>
      </c>
      <c r="L526" s="24"/>
      <c r="M526" s="24">
        <v>0</v>
      </c>
      <c r="N526" s="24"/>
      <c r="O526" s="24">
        <v>0</v>
      </c>
      <c r="P526" s="24"/>
      <c r="Q526" s="24">
        <v>0</v>
      </c>
      <c r="R526" s="24"/>
      <c r="S526" s="24">
        <v>0</v>
      </c>
      <c r="T526" s="24"/>
      <c r="U526" s="24">
        <v>0</v>
      </c>
      <c r="V526" s="24"/>
      <c r="W526" s="24">
        <v>0</v>
      </c>
      <c r="X526" s="24"/>
      <c r="Y526" s="24">
        <v>0</v>
      </c>
      <c r="Z526" s="24"/>
      <c r="AA526" s="24">
        <v>0</v>
      </c>
      <c r="AB526" s="24"/>
      <c r="AC526" s="24">
        <v>0</v>
      </c>
      <c r="AD526" s="24"/>
      <c r="AE526" s="24">
        <v>0</v>
      </c>
      <c r="AF526" s="24"/>
      <c r="AG526" s="24">
        <v>0</v>
      </c>
      <c r="AH526" s="24"/>
      <c r="AI526" s="24">
        <f t="shared" si="20"/>
        <v>0</v>
      </c>
      <c r="AJ526" s="24"/>
    </row>
    <row r="527" spans="1:42" hidden="1">
      <c r="A527" s="15" t="s">
        <v>46</v>
      </c>
      <c r="C527" s="15" t="s">
        <v>763</v>
      </c>
      <c r="E527" s="24">
        <v>0</v>
      </c>
      <c r="G527" s="24">
        <v>0</v>
      </c>
      <c r="I527" s="24">
        <v>0</v>
      </c>
      <c r="K527" s="24">
        <v>0</v>
      </c>
      <c r="M527" s="24">
        <v>0</v>
      </c>
      <c r="O527" s="24">
        <v>0</v>
      </c>
      <c r="Q527" s="24">
        <v>0</v>
      </c>
      <c r="S527" s="24">
        <v>0</v>
      </c>
      <c r="U527" s="24">
        <v>0</v>
      </c>
      <c r="W527" s="24">
        <v>0</v>
      </c>
      <c r="Y527" s="24">
        <v>0</v>
      </c>
      <c r="AA527" s="24">
        <v>0</v>
      </c>
      <c r="AC527" s="24">
        <v>0</v>
      </c>
      <c r="AE527" s="24">
        <v>0</v>
      </c>
      <c r="AG527" s="24">
        <v>0</v>
      </c>
      <c r="AI527" s="24">
        <f t="shared" si="20"/>
        <v>0</v>
      </c>
      <c r="AJ527" s="24"/>
      <c r="AK527" s="30"/>
      <c r="AL527" s="30"/>
      <c r="AM527" s="30"/>
      <c r="AN527" s="30"/>
      <c r="AO527" s="30"/>
      <c r="AP527" s="30"/>
    </row>
    <row r="528" spans="1:42" hidden="1">
      <c r="A528" s="15" t="s">
        <v>25</v>
      </c>
      <c r="C528" s="15" t="s">
        <v>756</v>
      </c>
      <c r="E528" s="24">
        <v>0</v>
      </c>
      <c r="G528" s="24">
        <v>0</v>
      </c>
      <c r="I528" s="24">
        <v>0</v>
      </c>
      <c r="K528" s="24">
        <v>0</v>
      </c>
      <c r="M528" s="24">
        <v>0</v>
      </c>
      <c r="O528" s="24">
        <v>0</v>
      </c>
      <c r="Q528" s="24">
        <v>0</v>
      </c>
      <c r="S528" s="24">
        <v>0</v>
      </c>
      <c r="U528" s="24">
        <v>0</v>
      </c>
      <c r="W528" s="24">
        <v>0</v>
      </c>
      <c r="Y528" s="24">
        <v>0</v>
      </c>
      <c r="AA528" s="24">
        <v>0</v>
      </c>
      <c r="AC528" s="24">
        <v>0</v>
      </c>
      <c r="AE528" s="24">
        <v>0</v>
      </c>
      <c r="AG528" s="24">
        <v>0</v>
      </c>
      <c r="AI528" s="24">
        <f t="shared" si="20"/>
        <v>0</v>
      </c>
      <c r="AJ528" s="24"/>
    </row>
    <row r="529" spans="1:42">
      <c r="A529" s="15" t="s">
        <v>679</v>
      </c>
      <c r="C529" s="15" t="s">
        <v>672</v>
      </c>
      <c r="E529" s="24">
        <v>6803</v>
      </c>
      <c r="G529" s="24">
        <v>0</v>
      </c>
      <c r="I529" s="24">
        <f>37616+15628</f>
        <v>53244</v>
      </c>
      <c r="K529" s="24">
        <v>0</v>
      </c>
      <c r="M529" s="24">
        <v>0</v>
      </c>
      <c r="O529" s="24">
        <v>4935</v>
      </c>
      <c r="Q529" s="24">
        <f>2215+103</f>
        <v>2318</v>
      </c>
      <c r="S529" s="24">
        <v>298</v>
      </c>
      <c r="U529" s="24">
        <v>0</v>
      </c>
      <c r="W529" s="24">
        <v>0</v>
      </c>
      <c r="Y529" s="24">
        <v>0</v>
      </c>
      <c r="AA529" s="24">
        <v>0</v>
      </c>
      <c r="AC529" s="24">
        <v>0</v>
      </c>
      <c r="AE529" s="24">
        <v>0</v>
      </c>
      <c r="AG529" s="24">
        <v>0</v>
      </c>
      <c r="AI529" s="24">
        <f t="shared" si="20"/>
        <v>67598</v>
      </c>
      <c r="AJ529" s="24"/>
    </row>
    <row r="530" spans="1:42" s="31" customFormat="1">
      <c r="A530" s="15" t="s">
        <v>406</v>
      </c>
      <c r="B530" s="15"/>
      <c r="C530" s="15" t="s">
        <v>403</v>
      </c>
      <c r="D530" s="15"/>
      <c r="E530" s="24">
        <f>34847+5854</f>
        <v>40701</v>
      </c>
      <c r="F530" s="24"/>
      <c r="G530" s="24">
        <f>14458+43162</f>
        <v>57620</v>
      </c>
      <c r="H530" s="24"/>
      <c r="I530" s="24">
        <f>24497+37579</f>
        <v>62076</v>
      </c>
      <c r="J530" s="24"/>
      <c r="K530" s="24">
        <v>0</v>
      </c>
      <c r="L530" s="24"/>
      <c r="M530" s="24">
        <v>260</v>
      </c>
      <c r="N530" s="24"/>
      <c r="O530" s="24">
        <v>630</v>
      </c>
      <c r="P530" s="24"/>
      <c r="Q530" s="24">
        <f>3892+474</f>
        <v>4366</v>
      </c>
      <c r="R530" s="24"/>
      <c r="S530" s="24">
        <f>3363+3221</f>
        <v>6584</v>
      </c>
      <c r="T530" s="24"/>
      <c r="U530" s="24">
        <v>0</v>
      </c>
      <c r="V530" s="24"/>
      <c r="W530" s="24">
        <v>0</v>
      </c>
      <c r="X530" s="24"/>
      <c r="Y530" s="24">
        <v>0</v>
      </c>
      <c r="Z530" s="24"/>
      <c r="AA530" s="24">
        <v>3000</v>
      </c>
      <c r="AB530" s="24"/>
      <c r="AC530" s="24">
        <v>0</v>
      </c>
      <c r="AD530" s="24"/>
      <c r="AE530" s="24">
        <v>0</v>
      </c>
      <c r="AF530" s="24"/>
      <c r="AG530" s="24">
        <v>0</v>
      </c>
      <c r="AH530" s="24"/>
      <c r="AI530" s="24">
        <f t="shared" si="20"/>
        <v>175237</v>
      </c>
      <c r="AJ530" s="24"/>
    </row>
    <row r="531" spans="1:42" s="31" customFormat="1" hidden="1">
      <c r="A531" s="15"/>
      <c r="B531" s="15"/>
      <c r="C531" s="15"/>
      <c r="D531" s="15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 t="s">
        <v>869</v>
      </c>
      <c r="AJ531" s="24"/>
    </row>
    <row r="532" spans="1:42" s="41" customFormat="1" hidden="1">
      <c r="A532" s="41" t="s">
        <v>579</v>
      </c>
      <c r="C532" s="41" t="s">
        <v>577</v>
      </c>
      <c r="E532" s="41">
        <v>0</v>
      </c>
      <c r="G532" s="41">
        <v>0</v>
      </c>
      <c r="I532" s="41">
        <v>0</v>
      </c>
      <c r="K532" s="41">
        <v>0</v>
      </c>
      <c r="M532" s="41">
        <v>0</v>
      </c>
      <c r="O532" s="41">
        <v>0</v>
      </c>
      <c r="Q532" s="41">
        <v>0</v>
      </c>
      <c r="S532" s="41">
        <v>0</v>
      </c>
      <c r="U532" s="41">
        <v>0</v>
      </c>
      <c r="W532" s="41">
        <v>0</v>
      </c>
      <c r="Y532" s="41">
        <v>0</v>
      </c>
      <c r="AA532" s="41">
        <v>0</v>
      </c>
      <c r="AC532" s="41">
        <v>0</v>
      </c>
      <c r="AE532" s="41">
        <v>0</v>
      </c>
      <c r="AG532" s="41">
        <v>0</v>
      </c>
      <c r="AI532" s="41">
        <f t="shared" ref="AI532:AI563" si="21">SUM(E532:AG532)</f>
        <v>0</v>
      </c>
    </row>
    <row r="533" spans="1:42">
      <c r="A533" s="15" t="s">
        <v>680</v>
      </c>
      <c r="C533" s="15" t="s">
        <v>665</v>
      </c>
      <c r="E533" s="24">
        <f>109125+34349</f>
        <v>143474</v>
      </c>
      <c r="G533" s="24">
        <v>0</v>
      </c>
      <c r="I533" s="24">
        <v>34746</v>
      </c>
      <c r="K533" s="24">
        <v>0</v>
      </c>
      <c r="M533" s="24">
        <v>8427</v>
      </c>
      <c r="O533" s="24">
        <f>19893+200</f>
        <v>20093</v>
      </c>
      <c r="Q533" s="24">
        <v>833</v>
      </c>
      <c r="S533" s="24">
        <v>5019</v>
      </c>
      <c r="U533" s="24">
        <v>0</v>
      </c>
      <c r="W533" s="24">
        <v>0</v>
      </c>
      <c r="Y533" s="24">
        <v>0</v>
      </c>
      <c r="AA533" s="24">
        <v>29172</v>
      </c>
      <c r="AC533" s="24">
        <v>7000</v>
      </c>
      <c r="AE533" s="24">
        <v>0</v>
      </c>
      <c r="AG533" s="24">
        <v>0</v>
      </c>
      <c r="AI533" s="24">
        <f t="shared" si="21"/>
        <v>248764</v>
      </c>
      <c r="AJ533" s="24"/>
    </row>
    <row r="534" spans="1:42">
      <c r="A534" s="15" t="s">
        <v>462</v>
      </c>
      <c r="C534" s="15" t="s">
        <v>463</v>
      </c>
      <c r="E534" s="24">
        <f>1299173+93099+555210</f>
        <v>1947482</v>
      </c>
      <c r="G534" s="24">
        <v>0</v>
      </c>
      <c r="I534" s="24">
        <f>193775+149931+62073+28376</f>
        <v>434155</v>
      </c>
      <c r="K534" s="24">
        <v>0</v>
      </c>
      <c r="M534" s="24">
        <f>65182+12997+42771</f>
        <v>120950</v>
      </c>
      <c r="O534" s="24">
        <v>53782</v>
      </c>
      <c r="Q534" s="24">
        <v>8340</v>
      </c>
      <c r="S534" s="24">
        <f>1773+8374+25922</f>
        <v>36069</v>
      </c>
      <c r="U534" s="24">
        <v>0</v>
      </c>
      <c r="W534" s="24">
        <v>0</v>
      </c>
      <c r="Y534" s="24">
        <v>0</v>
      </c>
      <c r="AA534" s="24">
        <v>0</v>
      </c>
      <c r="AC534" s="24">
        <v>0</v>
      </c>
      <c r="AE534" s="24">
        <f>136656+604852</f>
        <v>741508</v>
      </c>
      <c r="AG534" s="24">
        <v>0</v>
      </c>
      <c r="AI534" s="24">
        <f t="shared" si="21"/>
        <v>3342286</v>
      </c>
      <c r="AJ534" s="24"/>
    </row>
    <row r="535" spans="1:42" hidden="1">
      <c r="A535" s="15" t="s">
        <v>90</v>
      </c>
      <c r="C535" s="15" t="s">
        <v>777</v>
      </c>
      <c r="E535" s="24">
        <v>0</v>
      </c>
      <c r="G535" s="24">
        <v>0</v>
      </c>
      <c r="I535" s="24">
        <v>0</v>
      </c>
      <c r="K535" s="24">
        <v>0</v>
      </c>
      <c r="M535" s="24">
        <v>0</v>
      </c>
      <c r="O535" s="24">
        <v>0</v>
      </c>
      <c r="Q535" s="24">
        <v>0</v>
      </c>
      <c r="S535" s="24">
        <v>0</v>
      </c>
      <c r="U535" s="24">
        <v>0</v>
      </c>
      <c r="W535" s="24">
        <v>0</v>
      </c>
      <c r="Y535" s="24">
        <v>0</v>
      </c>
      <c r="AA535" s="24">
        <v>0</v>
      </c>
      <c r="AC535" s="24">
        <v>0</v>
      </c>
      <c r="AE535" s="24">
        <v>0</v>
      </c>
      <c r="AG535" s="24">
        <v>0</v>
      </c>
      <c r="AI535" s="24">
        <f t="shared" si="21"/>
        <v>0</v>
      </c>
      <c r="AJ535" s="24"/>
    </row>
    <row r="536" spans="1:42" hidden="1">
      <c r="A536" s="15" t="s">
        <v>27</v>
      </c>
      <c r="C536" s="15" t="s">
        <v>757</v>
      </c>
      <c r="E536" s="24">
        <v>0</v>
      </c>
      <c r="G536" s="24">
        <v>0</v>
      </c>
      <c r="I536" s="24">
        <v>0</v>
      </c>
      <c r="K536" s="24">
        <v>0</v>
      </c>
      <c r="M536" s="24">
        <v>0</v>
      </c>
      <c r="O536" s="24">
        <v>0</v>
      </c>
      <c r="Q536" s="24">
        <v>0</v>
      </c>
      <c r="S536" s="24">
        <v>0</v>
      </c>
      <c r="U536" s="24">
        <v>0</v>
      </c>
      <c r="W536" s="24">
        <v>0</v>
      </c>
      <c r="Y536" s="24">
        <v>0</v>
      </c>
      <c r="AA536" s="24">
        <v>0</v>
      </c>
      <c r="AC536" s="24">
        <v>0</v>
      </c>
      <c r="AE536" s="24">
        <v>0</v>
      </c>
      <c r="AG536" s="24">
        <v>0</v>
      </c>
      <c r="AI536" s="24">
        <f t="shared" si="21"/>
        <v>0</v>
      </c>
      <c r="AJ536" s="24"/>
    </row>
    <row r="537" spans="1:42" hidden="1">
      <c r="A537" s="15" t="s">
        <v>154</v>
      </c>
      <c r="C537" s="15" t="s">
        <v>797</v>
      </c>
      <c r="E537" s="24">
        <v>0</v>
      </c>
      <c r="G537" s="24">
        <v>0</v>
      </c>
      <c r="I537" s="24">
        <v>0</v>
      </c>
      <c r="K537" s="24">
        <v>0</v>
      </c>
      <c r="M537" s="24">
        <v>0</v>
      </c>
      <c r="O537" s="24">
        <v>0</v>
      </c>
      <c r="Q537" s="24">
        <v>0</v>
      </c>
      <c r="S537" s="24">
        <v>0</v>
      </c>
      <c r="U537" s="24">
        <v>0</v>
      </c>
      <c r="W537" s="24">
        <v>0</v>
      </c>
      <c r="Y537" s="24">
        <v>0</v>
      </c>
      <c r="AA537" s="24">
        <v>0</v>
      </c>
      <c r="AC537" s="24">
        <v>0</v>
      </c>
      <c r="AE537" s="24">
        <v>0</v>
      </c>
      <c r="AG537" s="24">
        <v>0</v>
      </c>
      <c r="AI537" s="24">
        <f t="shared" si="21"/>
        <v>0</v>
      </c>
      <c r="AJ537" s="24"/>
    </row>
    <row r="538" spans="1:42" hidden="1">
      <c r="A538" s="15" t="s">
        <v>20</v>
      </c>
      <c r="C538" s="15" t="s">
        <v>755</v>
      </c>
      <c r="E538" s="24">
        <v>0</v>
      </c>
      <c r="G538" s="24">
        <v>0</v>
      </c>
      <c r="I538" s="24">
        <v>0</v>
      </c>
      <c r="K538" s="24">
        <v>0</v>
      </c>
      <c r="M538" s="24">
        <v>0</v>
      </c>
      <c r="O538" s="24">
        <v>0</v>
      </c>
      <c r="Q538" s="24">
        <v>0</v>
      </c>
      <c r="S538" s="24">
        <v>0</v>
      </c>
      <c r="U538" s="24">
        <v>0</v>
      </c>
      <c r="W538" s="24">
        <v>0</v>
      </c>
      <c r="Y538" s="24">
        <v>0</v>
      </c>
      <c r="AA538" s="24">
        <v>0</v>
      </c>
      <c r="AC538" s="24">
        <v>0</v>
      </c>
      <c r="AE538" s="24">
        <v>0</v>
      </c>
      <c r="AG538" s="24">
        <v>0</v>
      </c>
      <c r="AI538" s="24">
        <f t="shared" si="21"/>
        <v>0</v>
      </c>
      <c r="AJ538" s="24"/>
    </row>
    <row r="539" spans="1:42" s="31" customFormat="1" hidden="1">
      <c r="A539" s="15" t="s">
        <v>187</v>
      </c>
      <c r="B539" s="15"/>
      <c r="C539" s="15" t="s">
        <v>433</v>
      </c>
      <c r="D539" s="15"/>
      <c r="E539" s="24">
        <v>0</v>
      </c>
      <c r="F539" s="24"/>
      <c r="G539" s="24">
        <v>0</v>
      </c>
      <c r="H539" s="24"/>
      <c r="I539" s="24">
        <v>0</v>
      </c>
      <c r="J539" s="24"/>
      <c r="K539" s="24">
        <v>0</v>
      </c>
      <c r="L539" s="24"/>
      <c r="M539" s="24">
        <v>0</v>
      </c>
      <c r="N539" s="24"/>
      <c r="O539" s="24">
        <v>0</v>
      </c>
      <c r="P539" s="24"/>
      <c r="Q539" s="24">
        <v>0</v>
      </c>
      <c r="R539" s="24"/>
      <c r="S539" s="24">
        <v>0</v>
      </c>
      <c r="T539" s="24"/>
      <c r="U539" s="24">
        <v>0</v>
      </c>
      <c r="V539" s="24"/>
      <c r="W539" s="24">
        <v>0</v>
      </c>
      <c r="X539" s="24"/>
      <c r="Y539" s="24">
        <v>0</v>
      </c>
      <c r="Z539" s="24"/>
      <c r="AA539" s="24">
        <v>0</v>
      </c>
      <c r="AB539" s="24"/>
      <c r="AC539" s="24">
        <v>0</v>
      </c>
      <c r="AD539" s="24"/>
      <c r="AE539" s="24">
        <v>0</v>
      </c>
      <c r="AF539" s="24"/>
      <c r="AG539" s="24">
        <v>0</v>
      </c>
      <c r="AH539" s="24"/>
      <c r="AI539" s="24">
        <f t="shared" si="21"/>
        <v>0</v>
      </c>
      <c r="AJ539" s="24"/>
    </row>
    <row r="540" spans="1:42" s="31" customFormat="1" ht="12.6" hidden="1" customHeight="1">
      <c r="A540" s="15" t="s">
        <v>345</v>
      </c>
      <c r="B540" s="15"/>
      <c r="C540" s="15" t="s">
        <v>343</v>
      </c>
      <c r="D540" s="15"/>
      <c r="E540" s="24">
        <v>0</v>
      </c>
      <c r="F540" s="24"/>
      <c r="G540" s="24">
        <v>0</v>
      </c>
      <c r="H540" s="24"/>
      <c r="I540" s="24">
        <v>0</v>
      </c>
      <c r="J540" s="24"/>
      <c r="K540" s="24">
        <v>0</v>
      </c>
      <c r="L540" s="24"/>
      <c r="M540" s="24">
        <v>0</v>
      </c>
      <c r="N540" s="24"/>
      <c r="O540" s="24">
        <v>0</v>
      </c>
      <c r="P540" s="24"/>
      <c r="Q540" s="24">
        <v>0</v>
      </c>
      <c r="R540" s="24"/>
      <c r="S540" s="24">
        <v>0</v>
      </c>
      <c r="T540" s="24"/>
      <c r="U540" s="24">
        <v>0</v>
      </c>
      <c r="V540" s="24"/>
      <c r="W540" s="24">
        <v>0</v>
      </c>
      <c r="X540" s="24"/>
      <c r="Y540" s="24">
        <v>0</v>
      </c>
      <c r="Z540" s="24"/>
      <c r="AA540" s="24">
        <v>0</v>
      </c>
      <c r="AB540" s="24"/>
      <c r="AC540" s="24">
        <v>0</v>
      </c>
      <c r="AD540" s="24"/>
      <c r="AE540" s="24">
        <v>0</v>
      </c>
      <c r="AF540" s="24"/>
      <c r="AG540" s="24">
        <v>0</v>
      </c>
      <c r="AH540" s="24"/>
      <c r="AI540" s="24">
        <f t="shared" si="21"/>
        <v>0</v>
      </c>
      <c r="AJ540" s="24"/>
      <c r="AK540" s="32"/>
      <c r="AL540" s="32"/>
      <c r="AM540" s="32"/>
      <c r="AN540" s="32"/>
      <c r="AO540" s="32"/>
      <c r="AP540" s="32"/>
    </row>
    <row r="541" spans="1:42">
      <c r="A541" s="15" t="s">
        <v>453</v>
      </c>
      <c r="C541" s="15" t="s">
        <v>452</v>
      </c>
      <c r="E541" s="24">
        <v>3169778</v>
      </c>
      <c r="G541" s="24">
        <v>0</v>
      </c>
      <c r="I541" s="24">
        <f>262810+260289</f>
        <v>523099</v>
      </c>
      <c r="K541" s="24">
        <v>246673</v>
      </c>
      <c r="M541" s="24">
        <f>227449+3680</f>
        <v>231129</v>
      </c>
      <c r="O541" s="24">
        <f>440855+14264</f>
        <v>455119</v>
      </c>
      <c r="Q541" s="24">
        <v>16935</v>
      </c>
      <c r="S541" s="24">
        <f>52981+43</f>
        <v>53024</v>
      </c>
      <c r="U541" s="24">
        <v>0</v>
      </c>
      <c r="W541" s="24">
        <v>635000</v>
      </c>
      <c r="Y541" s="24">
        <v>0</v>
      </c>
      <c r="AA541" s="24">
        <v>82432</v>
      </c>
      <c r="AC541" s="24">
        <v>0</v>
      </c>
      <c r="AE541" s="24">
        <v>356339</v>
      </c>
      <c r="AG541" s="24">
        <v>0</v>
      </c>
      <c r="AI541" s="24">
        <f t="shared" si="21"/>
        <v>5769528</v>
      </c>
      <c r="AJ541" s="24"/>
    </row>
    <row r="542" spans="1:42" hidden="1">
      <c r="A542" s="15" t="s">
        <v>31</v>
      </c>
      <c r="C542" s="15" t="s">
        <v>758</v>
      </c>
      <c r="E542" s="24">
        <v>0</v>
      </c>
      <c r="G542" s="24">
        <v>0</v>
      </c>
      <c r="I542" s="24">
        <v>0</v>
      </c>
      <c r="K542" s="24">
        <v>0</v>
      </c>
      <c r="M542" s="24">
        <v>0</v>
      </c>
      <c r="O542" s="24">
        <v>0</v>
      </c>
      <c r="Q542" s="24">
        <v>0</v>
      </c>
      <c r="S542" s="24">
        <v>0</v>
      </c>
      <c r="U542" s="24">
        <v>0</v>
      </c>
      <c r="W542" s="24">
        <v>0</v>
      </c>
      <c r="Y542" s="24">
        <v>0</v>
      </c>
      <c r="AA542" s="24">
        <v>0</v>
      </c>
      <c r="AC542" s="24">
        <v>0</v>
      </c>
      <c r="AE542" s="24">
        <v>0</v>
      </c>
      <c r="AG542" s="24">
        <v>0</v>
      </c>
      <c r="AI542" s="24">
        <f t="shared" si="21"/>
        <v>0</v>
      </c>
      <c r="AJ542" s="24"/>
    </row>
    <row r="543" spans="1:42" hidden="1">
      <c r="A543" s="15" t="s">
        <v>56</v>
      </c>
      <c r="C543" s="15" t="s">
        <v>768</v>
      </c>
      <c r="E543" s="24">
        <v>0</v>
      </c>
      <c r="G543" s="24">
        <v>0</v>
      </c>
      <c r="I543" s="24">
        <v>0</v>
      </c>
      <c r="K543" s="24">
        <v>0</v>
      </c>
      <c r="M543" s="24">
        <v>0</v>
      </c>
      <c r="O543" s="24">
        <v>0</v>
      </c>
      <c r="Q543" s="24">
        <v>0</v>
      </c>
      <c r="S543" s="24">
        <v>0</v>
      </c>
      <c r="U543" s="24">
        <v>0</v>
      </c>
      <c r="W543" s="24">
        <v>0</v>
      </c>
      <c r="Y543" s="24">
        <v>0</v>
      </c>
      <c r="AA543" s="24">
        <v>0</v>
      </c>
      <c r="AC543" s="24">
        <v>0</v>
      </c>
      <c r="AE543" s="24">
        <v>0</v>
      </c>
      <c r="AG543" s="24">
        <v>0</v>
      </c>
      <c r="AI543" s="24">
        <f t="shared" si="21"/>
        <v>0</v>
      </c>
      <c r="AJ543" s="24"/>
      <c r="AK543" s="30"/>
      <c r="AL543" s="30"/>
      <c r="AM543" s="30"/>
      <c r="AN543" s="30"/>
      <c r="AO543" s="30"/>
      <c r="AP543" s="30"/>
    </row>
    <row r="544" spans="1:42">
      <c r="A544" s="15" t="s">
        <v>526</v>
      </c>
      <c r="C544" s="15" t="s">
        <v>523</v>
      </c>
      <c r="E544" s="24">
        <f>21160+11180</f>
        <v>32340</v>
      </c>
      <c r="G544" s="24">
        <v>0</v>
      </c>
      <c r="I544" s="24">
        <f>37118+50247</f>
        <v>87365</v>
      </c>
      <c r="K544" s="24">
        <v>0</v>
      </c>
      <c r="M544" s="24">
        <v>0</v>
      </c>
      <c r="O544" s="24">
        <v>6277</v>
      </c>
      <c r="Q544" s="24">
        <f>25570+1634</f>
        <v>27204</v>
      </c>
      <c r="S544" s="24">
        <f>7950+120</f>
        <v>8070</v>
      </c>
      <c r="U544" s="24">
        <v>0</v>
      </c>
      <c r="W544" s="24">
        <v>0</v>
      </c>
      <c r="Y544" s="24">
        <v>0</v>
      </c>
      <c r="AA544" s="24">
        <v>0</v>
      </c>
      <c r="AC544" s="24">
        <v>0</v>
      </c>
      <c r="AE544" s="24">
        <v>21553</v>
      </c>
      <c r="AG544" s="24">
        <v>0</v>
      </c>
      <c r="AI544" s="24">
        <f t="shared" si="21"/>
        <v>182809</v>
      </c>
      <c r="AJ544" s="24"/>
    </row>
    <row r="545" spans="1:38">
      <c r="A545" s="15" t="s">
        <v>924</v>
      </c>
      <c r="C545" s="15" t="s">
        <v>593</v>
      </c>
      <c r="E545" s="24">
        <v>53534</v>
      </c>
      <c r="G545" s="24">
        <v>207454</v>
      </c>
      <c r="I545" s="24">
        <f>79898+53409</f>
        <v>133307</v>
      </c>
      <c r="K545" s="24">
        <v>9163</v>
      </c>
      <c r="M545" s="24">
        <v>52694</v>
      </c>
      <c r="O545" s="24">
        <v>13997</v>
      </c>
      <c r="Q545" s="24">
        <v>720</v>
      </c>
      <c r="S545" s="24">
        <f>30137+296</f>
        <v>30433</v>
      </c>
      <c r="U545" s="24">
        <v>0</v>
      </c>
      <c r="W545" s="24">
        <v>0</v>
      </c>
      <c r="Y545" s="24">
        <v>0</v>
      </c>
      <c r="AA545" s="24">
        <f>225000+50000</f>
        <v>275000</v>
      </c>
      <c r="AC545" s="24">
        <v>0</v>
      </c>
      <c r="AE545" s="24">
        <v>0</v>
      </c>
      <c r="AG545" s="24">
        <v>0</v>
      </c>
      <c r="AI545" s="24">
        <f t="shared" si="21"/>
        <v>776302</v>
      </c>
      <c r="AJ545" s="24"/>
    </row>
    <row r="546" spans="1:38">
      <c r="A546" s="15" t="s">
        <v>559</v>
      </c>
      <c r="C546" s="15" t="s">
        <v>554</v>
      </c>
      <c r="E546" s="24">
        <f>974902+21704</f>
        <v>996606</v>
      </c>
      <c r="G546" s="24">
        <v>509685</v>
      </c>
      <c r="I546" s="24">
        <f>492269+124481</f>
        <v>616750</v>
      </c>
      <c r="K546" s="24">
        <f>704+17461+10075</f>
        <v>28240</v>
      </c>
      <c r="M546" s="24">
        <v>1668</v>
      </c>
      <c r="O546" s="24">
        <f>40660+1000</f>
        <v>41660</v>
      </c>
      <c r="Q546" s="24">
        <f>78084+4828</f>
        <v>82912</v>
      </c>
      <c r="S546" s="24">
        <f>12220+350</f>
        <v>12570</v>
      </c>
      <c r="U546" s="24">
        <v>0</v>
      </c>
      <c r="W546" s="24">
        <v>150208</v>
      </c>
      <c r="Y546" s="24">
        <v>0</v>
      </c>
      <c r="AA546" s="24">
        <f>45140+11948</f>
        <v>57088</v>
      </c>
      <c r="AC546" s="24">
        <v>0</v>
      </c>
      <c r="AE546" s="24">
        <v>4326</v>
      </c>
      <c r="AG546" s="24">
        <v>0</v>
      </c>
      <c r="AI546" s="24">
        <f t="shared" si="21"/>
        <v>2501713</v>
      </c>
      <c r="AJ546" s="24"/>
    </row>
    <row r="547" spans="1:38" s="31" customFormat="1">
      <c r="A547" s="15" t="s">
        <v>411</v>
      </c>
      <c r="B547" s="15"/>
      <c r="C547" s="15" t="s">
        <v>409</v>
      </c>
      <c r="D547" s="15"/>
      <c r="E547" s="24">
        <v>6907</v>
      </c>
      <c r="F547" s="24"/>
      <c r="G547" s="24">
        <v>0</v>
      </c>
      <c r="H547" s="24"/>
      <c r="I547" s="24">
        <f>25778+6992</f>
        <v>32770</v>
      </c>
      <c r="J547" s="24"/>
      <c r="K547" s="24">
        <v>0</v>
      </c>
      <c r="L547" s="24"/>
      <c r="M547" s="24">
        <v>0</v>
      </c>
      <c r="N547" s="24"/>
      <c r="O547" s="24">
        <v>0</v>
      </c>
      <c r="P547" s="24"/>
      <c r="Q547" s="24">
        <v>0</v>
      </c>
      <c r="R547" s="24"/>
      <c r="S547" s="24">
        <f>460+342</f>
        <v>802</v>
      </c>
      <c r="T547" s="24"/>
      <c r="U547" s="24">
        <v>0</v>
      </c>
      <c r="V547" s="24"/>
      <c r="W547" s="24">
        <v>0</v>
      </c>
      <c r="X547" s="24"/>
      <c r="Y547" s="24">
        <v>0</v>
      </c>
      <c r="Z547" s="24"/>
      <c r="AA547" s="24">
        <v>0</v>
      </c>
      <c r="AB547" s="24"/>
      <c r="AC547" s="24">
        <v>0</v>
      </c>
      <c r="AD547" s="24"/>
      <c r="AE547" s="24">
        <v>0</v>
      </c>
      <c r="AF547" s="24"/>
      <c r="AG547" s="24">
        <v>0</v>
      </c>
      <c r="AH547" s="24"/>
      <c r="AI547" s="24">
        <f t="shared" si="21"/>
        <v>40479</v>
      </c>
      <c r="AJ547" s="24"/>
    </row>
    <row r="548" spans="1:38">
      <c r="A548" s="15" t="s">
        <v>599</v>
      </c>
      <c r="C548" s="15" t="s">
        <v>593</v>
      </c>
      <c r="D548" s="15" t="s">
        <v>902</v>
      </c>
      <c r="E548" s="24">
        <v>59599</v>
      </c>
      <c r="G548" s="24">
        <v>538958</v>
      </c>
      <c r="I548" s="24">
        <f>54572+68686+38760</f>
        <v>162018</v>
      </c>
      <c r="K548" s="24">
        <v>0</v>
      </c>
      <c r="M548" s="24">
        <v>13505</v>
      </c>
      <c r="O548" s="24">
        <f>21037+3147</f>
        <v>24184</v>
      </c>
      <c r="Q548" s="24">
        <f>34960+4934</f>
        <v>39894</v>
      </c>
      <c r="S548" s="24">
        <v>5299</v>
      </c>
      <c r="U548" s="24">
        <v>0</v>
      </c>
      <c r="W548" s="24">
        <v>0</v>
      </c>
      <c r="Y548" s="24">
        <v>0</v>
      </c>
      <c r="AA548" s="24">
        <f>167955+1455+62000</f>
        <v>231410</v>
      </c>
      <c r="AC548" s="24">
        <v>0</v>
      </c>
      <c r="AE548" s="24">
        <v>0</v>
      </c>
      <c r="AG548" s="24">
        <v>0</v>
      </c>
      <c r="AI548" s="24">
        <f t="shared" si="21"/>
        <v>1074867</v>
      </c>
      <c r="AJ548" s="24"/>
    </row>
    <row r="549" spans="1:38">
      <c r="A549" s="15" t="s">
        <v>506</v>
      </c>
      <c r="C549" s="15" t="s">
        <v>504</v>
      </c>
      <c r="E549" s="24">
        <f>121157+63263</f>
        <v>184420</v>
      </c>
      <c r="G549" s="24">
        <v>0</v>
      </c>
      <c r="I549" s="24">
        <f>76962+70380</f>
        <v>147342</v>
      </c>
      <c r="K549" s="24">
        <v>0</v>
      </c>
      <c r="M549" s="24">
        <v>0</v>
      </c>
      <c r="O549" s="24">
        <v>13824</v>
      </c>
      <c r="Q549" s="24">
        <v>19305</v>
      </c>
      <c r="S549" s="24">
        <f>18347+1158</f>
        <v>19505</v>
      </c>
      <c r="U549" s="24">
        <v>0</v>
      </c>
      <c r="W549" s="24">
        <v>0</v>
      </c>
      <c r="Y549" s="24">
        <v>0</v>
      </c>
      <c r="AA549" s="24">
        <v>0</v>
      </c>
      <c r="AC549" s="24">
        <v>0</v>
      </c>
      <c r="AE549" s="24">
        <v>0</v>
      </c>
      <c r="AG549" s="24">
        <v>0</v>
      </c>
      <c r="AI549" s="24">
        <f t="shared" si="21"/>
        <v>384396</v>
      </c>
      <c r="AJ549" s="24"/>
    </row>
    <row r="550" spans="1:38">
      <c r="A550" s="15" t="s">
        <v>926</v>
      </c>
      <c r="C550" s="15" t="s">
        <v>452</v>
      </c>
      <c r="E550" s="24">
        <f>93263+7254</f>
        <v>100517</v>
      </c>
      <c r="G550" s="24">
        <v>248972</v>
      </c>
      <c r="I550" s="24">
        <f>197373+0+64439+5225</f>
        <v>267037</v>
      </c>
      <c r="K550" s="24">
        <v>0</v>
      </c>
      <c r="M550" s="24">
        <f>138755+37797+8116</f>
        <v>184668</v>
      </c>
      <c r="O550" s="24">
        <f>7423+2103</f>
        <v>9526</v>
      </c>
      <c r="Q550" s="24">
        <f>12398+348+46+40+16123</f>
        <v>28955</v>
      </c>
      <c r="S550" s="24">
        <f>927+425+2100</f>
        <v>3452</v>
      </c>
      <c r="U550" s="24">
        <v>0</v>
      </c>
      <c r="W550" s="24">
        <v>0</v>
      </c>
      <c r="Y550" s="24">
        <v>0</v>
      </c>
      <c r="AA550" s="24">
        <f>52059+50000+10000</f>
        <v>112059</v>
      </c>
      <c r="AC550" s="24">
        <v>0</v>
      </c>
      <c r="AE550" s="24">
        <v>0</v>
      </c>
      <c r="AG550" s="24">
        <v>0</v>
      </c>
      <c r="AI550" s="24">
        <f t="shared" si="21"/>
        <v>955186</v>
      </c>
      <c r="AJ550" s="24"/>
      <c r="AL550" s="15">
        <v>64438.55</v>
      </c>
    </row>
    <row r="551" spans="1:38" hidden="1">
      <c r="A551" s="15" t="s">
        <v>839</v>
      </c>
      <c r="C551" s="15" t="s">
        <v>760</v>
      </c>
      <c r="E551" s="24">
        <v>0</v>
      </c>
      <c r="G551" s="24">
        <v>0</v>
      </c>
      <c r="I551" s="24">
        <v>0</v>
      </c>
      <c r="K551" s="24">
        <v>0</v>
      </c>
      <c r="M551" s="24">
        <v>0</v>
      </c>
      <c r="O551" s="24">
        <v>0</v>
      </c>
      <c r="Q551" s="24">
        <v>0</v>
      </c>
      <c r="S551" s="24">
        <v>0</v>
      </c>
      <c r="U551" s="24">
        <v>0</v>
      </c>
      <c r="W551" s="24">
        <v>0</v>
      </c>
      <c r="Y551" s="24">
        <v>0</v>
      </c>
      <c r="AA551" s="24">
        <v>0</v>
      </c>
      <c r="AC551" s="24">
        <v>0</v>
      </c>
      <c r="AE551" s="24">
        <v>0</v>
      </c>
      <c r="AG551" s="24">
        <v>0</v>
      </c>
      <c r="AI551" s="24">
        <f t="shared" si="21"/>
        <v>0</v>
      </c>
      <c r="AJ551" s="24"/>
      <c r="AL551" s="86">
        <v>50000</v>
      </c>
    </row>
    <row r="552" spans="1:38" hidden="1">
      <c r="A552" s="15" t="s">
        <v>587</v>
      </c>
      <c r="C552" s="15" t="s">
        <v>586</v>
      </c>
      <c r="E552" s="24">
        <v>0</v>
      </c>
      <c r="G552" s="24">
        <v>0</v>
      </c>
      <c r="I552" s="24">
        <v>0</v>
      </c>
      <c r="K552" s="24">
        <v>0</v>
      </c>
      <c r="M552" s="24">
        <v>0</v>
      </c>
      <c r="O552" s="24">
        <v>0</v>
      </c>
      <c r="Q552" s="24">
        <v>0</v>
      </c>
      <c r="S552" s="24">
        <v>0</v>
      </c>
      <c r="U552" s="24">
        <v>0</v>
      </c>
      <c r="W552" s="24">
        <v>0</v>
      </c>
      <c r="Y552" s="24">
        <v>0</v>
      </c>
      <c r="AA552" s="24">
        <v>0</v>
      </c>
      <c r="AC552" s="24">
        <v>0</v>
      </c>
      <c r="AE552" s="24">
        <v>0</v>
      </c>
      <c r="AG552" s="24">
        <v>0</v>
      </c>
      <c r="AI552" s="24">
        <f t="shared" si="21"/>
        <v>0</v>
      </c>
      <c r="AJ552" s="41"/>
      <c r="AL552" s="15">
        <v>5224.71</v>
      </c>
    </row>
    <row r="553" spans="1:38" s="31" customFormat="1" hidden="1">
      <c r="A553" s="15" t="s">
        <v>128</v>
      </c>
      <c r="B553" s="15"/>
      <c r="C553" s="15" t="s">
        <v>789</v>
      </c>
      <c r="D553" s="15"/>
      <c r="E553" s="24">
        <v>0</v>
      </c>
      <c r="F553" s="24"/>
      <c r="G553" s="24">
        <v>0</v>
      </c>
      <c r="H553" s="24"/>
      <c r="I553" s="24">
        <v>0</v>
      </c>
      <c r="J553" s="24"/>
      <c r="K553" s="24">
        <v>0</v>
      </c>
      <c r="L553" s="24"/>
      <c r="M553" s="24">
        <v>0</v>
      </c>
      <c r="N553" s="24"/>
      <c r="O553" s="24">
        <v>0</v>
      </c>
      <c r="P553" s="24"/>
      <c r="Q553" s="24">
        <v>0</v>
      </c>
      <c r="R553" s="24"/>
      <c r="S553" s="24">
        <v>0</v>
      </c>
      <c r="T553" s="24"/>
      <c r="U553" s="24">
        <v>0</v>
      </c>
      <c r="V553" s="24"/>
      <c r="W553" s="24">
        <v>0</v>
      </c>
      <c r="X553" s="24"/>
      <c r="Y553" s="24">
        <v>0</v>
      </c>
      <c r="Z553" s="24"/>
      <c r="AA553" s="24">
        <v>0</v>
      </c>
      <c r="AB553" s="24"/>
      <c r="AC553" s="24">
        <v>0</v>
      </c>
      <c r="AD553" s="24"/>
      <c r="AE553" s="24">
        <v>0</v>
      </c>
      <c r="AF553" s="24"/>
      <c r="AG553" s="24">
        <v>0</v>
      </c>
      <c r="AH553" s="24"/>
      <c r="AI553" s="24">
        <f t="shared" si="21"/>
        <v>0</v>
      </c>
      <c r="AJ553" s="24"/>
      <c r="AL553" s="87">
        <v>425</v>
      </c>
    </row>
    <row r="554" spans="1:38">
      <c r="A554" s="15" t="s">
        <v>369</v>
      </c>
      <c r="C554" s="15" t="s">
        <v>368</v>
      </c>
      <c r="E554" s="24">
        <f>466347+453203+160187</f>
        <v>1079737</v>
      </c>
      <c r="G554" s="24">
        <v>1382879</v>
      </c>
      <c r="I554" s="24">
        <f>209917+168656+70759+56583+33115</f>
        <v>539030</v>
      </c>
      <c r="K554" s="24">
        <v>0</v>
      </c>
      <c r="M554" s="24">
        <v>52867</v>
      </c>
      <c r="O554" s="24">
        <v>66091</v>
      </c>
      <c r="Q554" s="24">
        <v>33935</v>
      </c>
      <c r="S554" s="24">
        <f>19891+1505+10792</f>
        <v>32188</v>
      </c>
      <c r="U554" s="24">
        <v>0</v>
      </c>
      <c r="W554" s="24">
        <v>0</v>
      </c>
      <c r="Y554" s="24">
        <v>0</v>
      </c>
      <c r="AA554" s="24">
        <f>50000+183000+520000+104133+264000</f>
        <v>1121133</v>
      </c>
      <c r="AC554" s="24">
        <v>0</v>
      </c>
      <c r="AE554" s="24">
        <v>0</v>
      </c>
      <c r="AG554" s="24">
        <v>0</v>
      </c>
      <c r="AI554" s="24">
        <f t="shared" si="21"/>
        <v>4307860</v>
      </c>
      <c r="AJ554" s="24"/>
      <c r="AL554" s="15">
        <v>0</v>
      </c>
    </row>
    <row r="555" spans="1:38" hidden="1">
      <c r="A555" s="15" t="s">
        <v>527</v>
      </c>
      <c r="C555" s="15" t="s">
        <v>528</v>
      </c>
      <c r="E555" s="24">
        <v>0</v>
      </c>
      <c r="G555" s="24">
        <v>0</v>
      </c>
      <c r="I555" s="24">
        <v>0</v>
      </c>
      <c r="K555" s="24">
        <v>0</v>
      </c>
      <c r="M555" s="24">
        <v>0</v>
      </c>
      <c r="O555" s="24">
        <v>0</v>
      </c>
      <c r="Q555" s="24">
        <v>0</v>
      </c>
      <c r="S555" s="24">
        <v>0</v>
      </c>
      <c r="U555" s="24">
        <v>0</v>
      </c>
      <c r="W555" s="24">
        <v>0</v>
      </c>
      <c r="Y555" s="24">
        <v>0</v>
      </c>
      <c r="AA555" s="24">
        <v>0</v>
      </c>
      <c r="AC555" s="24">
        <v>0</v>
      </c>
      <c r="AE555" s="24">
        <v>0</v>
      </c>
      <c r="AG555" s="24">
        <v>0</v>
      </c>
      <c r="AI555" s="24">
        <f t="shared" si="21"/>
        <v>0</v>
      </c>
      <c r="AJ555" s="24"/>
      <c r="AL555" s="86">
        <v>2103.2600000000002</v>
      </c>
    </row>
    <row r="556" spans="1:38">
      <c r="A556" s="15" t="s">
        <v>142</v>
      </c>
      <c r="C556" s="15" t="s">
        <v>794</v>
      </c>
      <c r="E556" s="24">
        <f>10904+3952</f>
        <v>14856</v>
      </c>
      <c r="G556" s="24">
        <v>31705</v>
      </c>
      <c r="I556" s="24">
        <f>40643+18960</f>
        <v>59603</v>
      </c>
      <c r="K556" s="24">
        <v>0</v>
      </c>
      <c r="M556" s="24">
        <v>285</v>
      </c>
      <c r="O556" s="24">
        <v>980</v>
      </c>
      <c r="Q556" s="24">
        <f>34+22</f>
        <v>56</v>
      </c>
      <c r="S556" s="24">
        <f>2271+1050</f>
        <v>3321</v>
      </c>
      <c r="U556" s="24">
        <v>0</v>
      </c>
      <c r="W556" s="24">
        <v>0</v>
      </c>
      <c r="Y556" s="24">
        <v>0</v>
      </c>
      <c r="AA556" s="24">
        <v>0</v>
      </c>
      <c r="AC556" s="24">
        <v>0</v>
      </c>
      <c r="AE556" s="24">
        <v>0</v>
      </c>
      <c r="AG556" s="24">
        <v>0</v>
      </c>
      <c r="AI556" s="24">
        <f t="shared" si="21"/>
        <v>110806</v>
      </c>
      <c r="AJ556" s="24"/>
      <c r="AL556" s="15">
        <v>7254.07</v>
      </c>
    </row>
    <row r="557" spans="1:38" hidden="1">
      <c r="A557" s="15" t="s">
        <v>35</v>
      </c>
      <c r="C557" s="15" t="s">
        <v>760</v>
      </c>
      <c r="E557" s="24">
        <v>0</v>
      </c>
      <c r="G557" s="24">
        <v>0</v>
      </c>
      <c r="I557" s="24">
        <v>0</v>
      </c>
      <c r="K557" s="24">
        <v>0</v>
      </c>
      <c r="M557" s="24">
        <v>0</v>
      </c>
      <c r="O557" s="24">
        <v>0</v>
      </c>
      <c r="Q557" s="24">
        <v>0</v>
      </c>
      <c r="S557" s="24">
        <v>0</v>
      </c>
      <c r="U557" s="24">
        <v>0</v>
      </c>
      <c r="W557" s="24">
        <v>0</v>
      </c>
      <c r="Y557" s="24">
        <v>0</v>
      </c>
      <c r="AA557" s="24">
        <v>0</v>
      </c>
      <c r="AC557" s="24">
        <v>0</v>
      </c>
      <c r="AE557" s="24">
        <v>0</v>
      </c>
      <c r="AG557" s="24">
        <v>0</v>
      </c>
      <c r="AI557" s="24">
        <f t="shared" si="21"/>
        <v>0</v>
      </c>
      <c r="AJ557" s="24"/>
      <c r="AL557" s="15">
        <v>37796.65</v>
      </c>
    </row>
    <row r="558" spans="1:38" hidden="1">
      <c r="A558" s="15" t="s">
        <v>217</v>
      </c>
      <c r="C558" s="15" t="s">
        <v>817</v>
      </c>
      <c r="E558" s="24">
        <v>0</v>
      </c>
      <c r="G558" s="24">
        <v>0</v>
      </c>
      <c r="I558" s="24">
        <v>0</v>
      </c>
      <c r="K558" s="24">
        <v>0</v>
      </c>
      <c r="M558" s="24">
        <v>0</v>
      </c>
      <c r="O558" s="24">
        <v>0</v>
      </c>
      <c r="Q558" s="24">
        <v>0</v>
      </c>
      <c r="S558" s="24">
        <v>0</v>
      </c>
      <c r="U558" s="24">
        <v>0</v>
      </c>
      <c r="W558" s="24">
        <v>0</v>
      </c>
      <c r="Y558" s="24">
        <v>0</v>
      </c>
      <c r="AA558" s="24">
        <v>0</v>
      </c>
      <c r="AC558" s="24">
        <v>0</v>
      </c>
      <c r="AE558" s="24">
        <v>0</v>
      </c>
      <c r="AG558" s="24">
        <v>0</v>
      </c>
      <c r="AI558" s="24">
        <f t="shared" si="21"/>
        <v>0</v>
      </c>
      <c r="AJ558" s="24"/>
      <c r="AL558" s="86">
        <v>2100</v>
      </c>
    </row>
    <row r="559" spans="1:38" hidden="1">
      <c r="A559" s="15" t="s">
        <v>865</v>
      </c>
      <c r="C559" s="15" t="s">
        <v>805</v>
      </c>
      <c r="E559" s="24">
        <v>0</v>
      </c>
      <c r="G559" s="24">
        <v>0</v>
      </c>
      <c r="I559" s="24">
        <v>0</v>
      </c>
      <c r="K559" s="24">
        <v>0</v>
      </c>
      <c r="M559" s="24">
        <v>0</v>
      </c>
      <c r="O559" s="24">
        <v>0</v>
      </c>
      <c r="Q559" s="24">
        <v>0</v>
      </c>
      <c r="S559" s="24">
        <v>0</v>
      </c>
      <c r="U559" s="24">
        <v>0</v>
      </c>
      <c r="W559" s="24">
        <v>0</v>
      </c>
      <c r="Y559" s="24">
        <v>0</v>
      </c>
      <c r="AA559" s="24">
        <v>0</v>
      </c>
      <c r="AC559" s="24">
        <v>0</v>
      </c>
      <c r="AE559" s="24">
        <v>0</v>
      </c>
      <c r="AG559" s="24">
        <v>0</v>
      </c>
      <c r="AI559" s="24">
        <f t="shared" si="21"/>
        <v>0</v>
      </c>
      <c r="AJ559" s="24"/>
      <c r="AL559" s="15">
        <v>248972.29</v>
      </c>
    </row>
    <row r="560" spans="1:38" hidden="1">
      <c r="A560" s="15" t="s">
        <v>845</v>
      </c>
      <c r="C560" s="15" t="s">
        <v>804</v>
      </c>
      <c r="E560" s="24">
        <v>0</v>
      </c>
      <c r="G560" s="24">
        <v>0</v>
      </c>
      <c r="I560" s="24">
        <v>0</v>
      </c>
      <c r="K560" s="24">
        <v>0</v>
      </c>
      <c r="M560" s="24">
        <v>0</v>
      </c>
      <c r="O560" s="24">
        <v>0</v>
      </c>
      <c r="Q560" s="24">
        <v>0</v>
      </c>
      <c r="S560" s="24">
        <v>0</v>
      </c>
      <c r="U560" s="24">
        <v>0</v>
      </c>
      <c r="W560" s="24">
        <v>0</v>
      </c>
      <c r="Y560" s="24">
        <v>0</v>
      </c>
      <c r="AA560" s="24">
        <v>0</v>
      </c>
      <c r="AC560" s="24">
        <v>0</v>
      </c>
      <c r="AE560" s="24">
        <v>0</v>
      </c>
      <c r="AG560" s="24">
        <v>0</v>
      </c>
      <c r="AI560" s="24">
        <f t="shared" si="21"/>
        <v>0</v>
      </c>
      <c r="AJ560" s="24"/>
      <c r="AL560" s="86">
        <v>10000</v>
      </c>
    </row>
    <row r="561" spans="1:42" hidden="1">
      <c r="A561" s="15" t="s">
        <v>861</v>
      </c>
      <c r="C561" s="15" t="s">
        <v>797</v>
      </c>
      <c r="E561" s="24">
        <v>0</v>
      </c>
      <c r="G561" s="24">
        <v>0</v>
      </c>
      <c r="I561" s="24">
        <v>0</v>
      </c>
      <c r="K561" s="24">
        <v>0</v>
      </c>
      <c r="M561" s="24">
        <v>0</v>
      </c>
      <c r="O561" s="24">
        <v>0</v>
      </c>
      <c r="Q561" s="24">
        <v>0</v>
      </c>
      <c r="S561" s="24">
        <v>0</v>
      </c>
      <c r="U561" s="24">
        <v>0</v>
      </c>
      <c r="W561" s="24">
        <v>0</v>
      </c>
      <c r="Y561" s="24">
        <v>0</v>
      </c>
      <c r="AA561" s="24">
        <v>0</v>
      </c>
      <c r="AC561" s="24">
        <v>0</v>
      </c>
      <c r="AE561" s="24">
        <v>0</v>
      </c>
      <c r="AG561" s="24">
        <v>0</v>
      </c>
      <c r="AI561" s="24">
        <f t="shared" si="21"/>
        <v>0</v>
      </c>
      <c r="AJ561" s="24"/>
      <c r="AL561" s="15">
        <v>8115.95</v>
      </c>
    </row>
    <row r="562" spans="1:42" hidden="1">
      <c r="A562" s="15" t="s">
        <v>6</v>
      </c>
      <c r="C562" s="15" t="s">
        <v>751</v>
      </c>
      <c r="E562" s="24">
        <v>0</v>
      </c>
      <c r="G562" s="24">
        <v>0</v>
      </c>
      <c r="I562" s="24">
        <v>0</v>
      </c>
      <c r="K562" s="24">
        <v>0</v>
      </c>
      <c r="M562" s="24">
        <v>0</v>
      </c>
      <c r="O562" s="24">
        <v>0</v>
      </c>
      <c r="Q562" s="24">
        <v>0</v>
      </c>
      <c r="S562" s="24">
        <v>0</v>
      </c>
      <c r="U562" s="24">
        <v>0</v>
      </c>
      <c r="W562" s="24">
        <v>0</v>
      </c>
      <c r="Y562" s="24">
        <v>0</v>
      </c>
      <c r="AA562" s="24">
        <v>0</v>
      </c>
      <c r="AC562" s="24">
        <v>0</v>
      </c>
      <c r="AE562" s="24">
        <v>0</v>
      </c>
      <c r="AG562" s="24">
        <v>0</v>
      </c>
      <c r="AI562" s="24">
        <f t="shared" si="21"/>
        <v>0</v>
      </c>
      <c r="AJ562" s="24"/>
      <c r="AL562" s="15">
        <f>SUM(AL550:AL561)</f>
        <v>436430.48000000004</v>
      </c>
    </row>
    <row r="563" spans="1:42" s="31" customFormat="1" hidden="1">
      <c r="A563" s="15" t="s">
        <v>85</v>
      </c>
      <c r="B563" s="15"/>
      <c r="C563" s="15" t="s">
        <v>776</v>
      </c>
      <c r="D563" s="15"/>
      <c r="E563" s="24">
        <v>0</v>
      </c>
      <c r="F563" s="24"/>
      <c r="G563" s="24">
        <v>0</v>
      </c>
      <c r="H563" s="24"/>
      <c r="I563" s="24">
        <v>0</v>
      </c>
      <c r="J563" s="24"/>
      <c r="K563" s="24">
        <v>0</v>
      </c>
      <c r="L563" s="24"/>
      <c r="M563" s="24">
        <v>0</v>
      </c>
      <c r="N563" s="24"/>
      <c r="O563" s="24">
        <v>0</v>
      </c>
      <c r="P563" s="24"/>
      <c r="Q563" s="24">
        <v>0</v>
      </c>
      <c r="R563" s="24"/>
      <c r="S563" s="24">
        <v>0</v>
      </c>
      <c r="T563" s="24"/>
      <c r="U563" s="24">
        <v>0</v>
      </c>
      <c r="V563" s="24"/>
      <c r="W563" s="24">
        <v>0</v>
      </c>
      <c r="X563" s="24"/>
      <c r="Y563" s="24">
        <v>0</v>
      </c>
      <c r="Z563" s="24"/>
      <c r="AA563" s="24">
        <v>0</v>
      </c>
      <c r="AB563" s="24"/>
      <c r="AC563" s="24">
        <v>0</v>
      </c>
      <c r="AD563" s="24"/>
      <c r="AE563" s="24">
        <v>0</v>
      </c>
      <c r="AF563" s="24"/>
      <c r="AG563" s="24">
        <v>0</v>
      </c>
      <c r="AH563" s="24"/>
      <c r="AI563" s="24">
        <f t="shared" si="21"/>
        <v>0</v>
      </c>
      <c r="AJ563" s="24"/>
      <c r="AL563" s="31">
        <v>436431.48</v>
      </c>
    </row>
    <row r="564" spans="1:42" s="31" customFormat="1">
      <c r="A564" s="15" t="s">
        <v>444</v>
      </c>
      <c r="B564" s="15"/>
      <c r="C564" s="15" t="s">
        <v>439</v>
      </c>
      <c r="D564" s="15"/>
      <c r="E564" s="24">
        <v>6036</v>
      </c>
      <c r="F564" s="24"/>
      <c r="G564" s="24">
        <v>0</v>
      </c>
      <c r="H564" s="24"/>
      <c r="I564" s="24">
        <f>45320+34794</f>
        <v>80114</v>
      </c>
      <c r="J564" s="24"/>
      <c r="K564" s="24">
        <v>0</v>
      </c>
      <c r="L564" s="24"/>
      <c r="M564" s="24">
        <v>0</v>
      </c>
      <c r="N564" s="24"/>
      <c r="O564" s="24">
        <f>28519+3068</f>
        <v>31587</v>
      </c>
      <c r="P564" s="24"/>
      <c r="Q564" s="24">
        <v>0</v>
      </c>
      <c r="R564" s="24"/>
      <c r="S564" s="24">
        <f>27541+1360</f>
        <v>28901</v>
      </c>
      <c r="T564" s="24"/>
      <c r="U564" s="24">
        <v>0</v>
      </c>
      <c r="V564" s="24"/>
      <c r="W564" s="24">
        <v>0</v>
      </c>
      <c r="X564" s="24"/>
      <c r="Y564" s="24">
        <v>0</v>
      </c>
      <c r="Z564" s="24"/>
      <c r="AA564" s="24">
        <v>0</v>
      </c>
      <c r="AB564" s="24"/>
      <c r="AC564" s="24">
        <v>0</v>
      </c>
      <c r="AD564" s="24"/>
      <c r="AE564" s="24">
        <v>0</v>
      </c>
      <c r="AF564" s="24"/>
      <c r="AG564" s="24">
        <v>0</v>
      </c>
      <c r="AH564" s="24"/>
      <c r="AI564" s="24">
        <f t="shared" ref="AI564:AI595" si="22">SUM(E564:AG564)</f>
        <v>146638</v>
      </c>
      <c r="AJ564" s="24"/>
      <c r="AL564" s="31">
        <f>+AL562-AL563</f>
        <v>-0.99999999994179234</v>
      </c>
    </row>
    <row r="565" spans="1:42" hidden="1">
      <c r="A565" s="15" t="s">
        <v>33</v>
      </c>
      <c r="C565" s="15" t="s">
        <v>759</v>
      </c>
      <c r="E565" s="24">
        <v>0</v>
      </c>
      <c r="G565" s="24">
        <v>0</v>
      </c>
      <c r="I565" s="24">
        <v>0</v>
      </c>
      <c r="K565" s="24">
        <v>0</v>
      </c>
      <c r="M565" s="24">
        <v>0</v>
      </c>
      <c r="O565" s="24">
        <v>0</v>
      </c>
      <c r="Q565" s="24">
        <v>0</v>
      </c>
      <c r="S565" s="24">
        <v>0</v>
      </c>
      <c r="U565" s="24">
        <v>0</v>
      </c>
      <c r="W565" s="24">
        <v>0</v>
      </c>
      <c r="Y565" s="24">
        <v>0</v>
      </c>
      <c r="AA565" s="24">
        <v>0</v>
      </c>
      <c r="AC565" s="24">
        <v>0</v>
      </c>
      <c r="AE565" s="24">
        <v>0</v>
      </c>
      <c r="AG565" s="24">
        <v>0</v>
      </c>
      <c r="AI565" s="24">
        <f t="shared" si="22"/>
        <v>0</v>
      </c>
      <c r="AJ565" s="24"/>
      <c r="AL565" s="15">
        <f>436431+16557</f>
        <v>452988</v>
      </c>
    </row>
    <row r="566" spans="1:42">
      <c r="A566" s="15" t="s">
        <v>480</v>
      </c>
      <c r="C566" s="15" t="s">
        <v>477</v>
      </c>
      <c r="E566" s="24">
        <v>0</v>
      </c>
      <c r="G566" s="24">
        <v>3703</v>
      </c>
      <c r="I566" s="24">
        <v>3726</v>
      </c>
      <c r="K566" s="24">
        <v>4365</v>
      </c>
      <c r="M566" s="24">
        <v>0</v>
      </c>
      <c r="O566" s="24">
        <v>0</v>
      </c>
      <c r="Q566" s="24">
        <v>0</v>
      </c>
      <c r="S566" s="24">
        <v>113</v>
      </c>
      <c r="U566" s="24">
        <v>0</v>
      </c>
      <c r="W566" s="24">
        <v>0</v>
      </c>
      <c r="Y566" s="24">
        <v>0</v>
      </c>
      <c r="AA566" s="24">
        <v>0</v>
      </c>
      <c r="AC566" s="24">
        <v>0</v>
      </c>
      <c r="AE566" s="24">
        <v>0</v>
      </c>
      <c r="AG566" s="24">
        <v>0</v>
      </c>
      <c r="AI566" s="24">
        <f t="shared" si="22"/>
        <v>11907</v>
      </c>
      <c r="AJ566" s="24"/>
    </row>
    <row r="567" spans="1:42" s="31" customFormat="1" hidden="1">
      <c r="A567" s="15" t="s">
        <v>169</v>
      </c>
      <c r="B567" s="15"/>
      <c r="C567" s="15" t="s">
        <v>803</v>
      </c>
      <c r="D567" s="15"/>
      <c r="E567" s="24">
        <v>0</v>
      </c>
      <c r="F567" s="24"/>
      <c r="G567" s="24">
        <v>0</v>
      </c>
      <c r="H567" s="24"/>
      <c r="I567" s="24">
        <v>0</v>
      </c>
      <c r="J567" s="24"/>
      <c r="K567" s="24">
        <v>0</v>
      </c>
      <c r="L567" s="24"/>
      <c r="M567" s="24">
        <v>0</v>
      </c>
      <c r="N567" s="24"/>
      <c r="O567" s="24">
        <v>0</v>
      </c>
      <c r="P567" s="24"/>
      <c r="Q567" s="24">
        <v>0</v>
      </c>
      <c r="R567" s="24"/>
      <c r="S567" s="24">
        <v>0</v>
      </c>
      <c r="T567" s="24"/>
      <c r="U567" s="24">
        <v>0</v>
      </c>
      <c r="V567" s="24"/>
      <c r="W567" s="24">
        <v>0</v>
      </c>
      <c r="X567" s="24"/>
      <c r="Y567" s="24">
        <v>0</v>
      </c>
      <c r="Z567" s="24"/>
      <c r="AA567" s="24">
        <v>0</v>
      </c>
      <c r="AB567" s="24"/>
      <c r="AC567" s="24">
        <v>0</v>
      </c>
      <c r="AD567" s="24"/>
      <c r="AE567" s="24">
        <v>0</v>
      </c>
      <c r="AF567" s="24"/>
      <c r="AG567" s="24">
        <v>0</v>
      </c>
      <c r="AH567" s="24"/>
      <c r="AI567" s="24">
        <f t="shared" si="22"/>
        <v>0</v>
      </c>
      <c r="AJ567" s="24"/>
    </row>
    <row r="568" spans="1:42" hidden="1">
      <c r="A568" s="15" t="s">
        <v>571</v>
      </c>
      <c r="C568" s="15" t="s">
        <v>565</v>
      </c>
      <c r="E568" s="24">
        <v>0</v>
      </c>
      <c r="G568" s="24">
        <v>0</v>
      </c>
      <c r="I568" s="24">
        <v>0</v>
      </c>
      <c r="K568" s="24">
        <v>0</v>
      </c>
      <c r="M568" s="24">
        <v>0</v>
      </c>
      <c r="O568" s="24">
        <v>0</v>
      </c>
      <c r="Q568" s="24">
        <v>0</v>
      </c>
      <c r="S568" s="24">
        <v>0</v>
      </c>
      <c r="U568" s="24">
        <v>0</v>
      </c>
      <c r="W568" s="24">
        <v>0</v>
      </c>
      <c r="Y568" s="24">
        <v>0</v>
      </c>
      <c r="AA568" s="24">
        <v>0</v>
      </c>
      <c r="AC568" s="24">
        <v>0</v>
      </c>
      <c r="AE568" s="24">
        <v>0</v>
      </c>
      <c r="AG568" s="24">
        <v>0</v>
      </c>
      <c r="AI568" s="24">
        <f t="shared" si="22"/>
        <v>0</v>
      </c>
      <c r="AJ568" s="24"/>
    </row>
    <row r="569" spans="1:42">
      <c r="A569" s="15" t="s">
        <v>572</v>
      </c>
      <c r="C569" s="15" t="s">
        <v>565</v>
      </c>
      <c r="E569" s="24">
        <f>109468+71575</f>
        <v>181043</v>
      </c>
      <c r="G569" s="24">
        <v>386839</v>
      </c>
      <c r="I569" s="24">
        <f>143953+129041</f>
        <v>272994</v>
      </c>
      <c r="K569" s="24">
        <v>0</v>
      </c>
      <c r="M569" s="24">
        <f>70332+46974</f>
        <v>117306</v>
      </c>
      <c r="O569" s="24">
        <v>8509</v>
      </c>
      <c r="Q569" s="24">
        <f>45629+147</f>
        <v>45776</v>
      </c>
      <c r="S569" s="24">
        <v>134912</v>
      </c>
      <c r="U569" s="24">
        <v>0</v>
      </c>
      <c r="W569" s="24">
        <v>0</v>
      </c>
      <c r="Y569" s="24">
        <v>0</v>
      </c>
      <c r="AA569" s="24">
        <f>240000+32000</f>
        <v>272000</v>
      </c>
      <c r="AC569" s="24">
        <v>0</v>
      </c>
      <c r="AE569" s="24">
        <v>0</v>
      </c>
      <c r="AG569" s="24">
        <v>0</v>
      </c>
      <c r="AI569" s="24">
        <f t="shared" si="22"/>
        <v>1419379</v>
      </c>
      <c r="AJ569" s="24"/>
    </row>
    <row r="570" spans="1:42" s="31" customFormat="1" hidden="1">
      <c r="A570" s="15" t="s">
        <v>424</v>
      </c>
      <c r="B570" s="15"/>
      <c r="C570" s="15" t="s">
        <v>420</v>
      </c>
      <c r="D570" s="15"/>
      <c r="E570" s="24">
        <v>0</v>
      </c>
      <c r="F570" s="24"/>
      <c r="G570" s="24">
        <v>0</v>
      </c>
      <c r="H570" s="24"/>
      <c r="I570" s="24">
        <v>0</v>
      </c>
      <c r="J570" s="24"/>
      <c r="K570" s="24">
        <v>0</v>
      </c>
      <c r="L570" s="24"/>
      <c r="M570" s="24">
        <v>0</v>
      </c>
      <c r="N570" s="24"/>
      <c r="O570" s="24">
        <v>0</v>
      </c>
      <c r="P570" s="24"/>
      <c r="Q570" s="24">
        <v>0</v>
      </c>
      <c r="R570" s="24"/>
      <c r="S570" s="24">
        <v>0</v>
      </c>
      <c r="T570" s="24"/>
      <c r="U570" s="24">
        <v>0</v>
      </c>
      <c r="V570" s="24"/>
      <c r="W570" s="24">
        <v>0</v>
      </c>
      <c r="X570" s="24"/>
      <c r="Y570" s="24">
        <v>0</v>
      </c>
      <c r="Z570" s="24"/>
      <c r="AA570" s="24">
        <v>0</v>
      </c>
      <c r="AB570" s="24"/>
      <c r="AC570" s="24">
        <v>0</v>
      </c>
      <c r="AD570" s="24"/>
      <c r="AE570" s="24">
        <v>0</v>
      </c>
      <c r="AF570" s="24"/>
      <c r="AG570" s="24">
        <v>0</v>
      </c>
      <c r="AH570" s="24"/>
      <c r="AI570" s="24">
        <f t="shared" si="22"/>
        <v>0</v>
      </c>
      <c r="AJ570" s="24"/>
    </row>
    <row r="571" spans="1:42">
      <c r="A571" s="15" t="s">
        <v>603</v>
      </c>
      <c r="C571" s="15" t="s">
        <v>601</v>
      </c>
      <c r="E571" s="24">
        <v>345589</v>
      </c>
      <c r="G571" s="24">
        <v>10737</v>
      </c>
      <c r="I571" s="24">
        <f>175906+83460</f>
        <v>259366</v>
      </c>
      <c r="K571" s="24">
        <v>-445</v>
      </c>
      <c r="M571" s="24">
        <v>1508</v>
      </c>
      <c r="O571" s="24">
        <f>3836+15079</f>
        <v>18915</v>
      </c>
      <c r="Q571" s="24">
        <f>27040+2474</f>
        <v>29514</v>
      </c>
      <c r="S571" s="24">
        <v>19473</v>
      </c>
      <c r="U571" s="24">
        <v>0</v>
      </c>
      <c r="W571" s="24">
        <v>0</v>
      </c>
      <c r="Y571" s="24">
        <v>0</v>
      </c>
      <c r="AA571" s="24">
        <v>62500</v>
      </c>
      <c r="AC571" s="24">
        <v>0</v>
      </c>
      <c r="AE571" s="24">
        <v>0</v>
      </c>
      <c r="AG571" s="24">
        <v>0</v>
      </c>
      <c r="AI571" s="24">
        <f t="shared" si="22"/>
        <v>747157</v>
      </c>
      <c r="AJ571" s="24"/>
    </row>
    <row r="572" spans="1:42" hidden="1">
      <c r="A572" s="15" t="s">
        <v>196</v>
      </c>
      <c r="C572" s="15" t="s">
        <v>811</v>
      </c>
      <c r="E572" s="24">
        <v>0</v>
      </c>
      <c r="G572" s="24">
        <v>0</v>
      </c>
      <c r="I572" s="24">
        <v>0</v>
      </c>
      <c r="K572" s="24">
        <v>0</v>
      </c>
      <c r="M572" s="24">
        <v>0</v>
      </c>
      <c r="O572" s="24">
        <v>0</v>
      </c>
      <c r="Q572" s="24">
        <v>0</v>
      </c>
      <c r="S572" s="24">
        <v>0</v>
      </c>
      <c r="U572" s="24">
        <v>0</v>
      </c>
      <c r="W572" s="24">
        <v>0</v>
      </c>
      <c r="Y572" s="24">
        <v>0</v>
      </c>
      <c r="AA572" s="24">
        <v>0</v>
      </c>
      <c r="AC572" s="24">
        <v>0</v>
      </c>
      <c r="AE572" s="24">
        <v>0</v>
      </c>
      <c r="AG572" s="24">
        <v>0</v>
      </c>
      <c r="AI572" s="24">
        <f t="shared" si="22"/>
        <v>0</v>
      </c>
      <c r="AJ572" s="24"/>
    </row>
    <row r="573" spans="1:42" s="31" customFormat="1" hidden="1">
      <c r="A573" s="15" t="s">
        <v>66</v>
      </c>
      <c r="B573" s="15"/>
      <c r="C573" s="15" t="s">
        <v>771</v>
      </c>
      <c r="D573" s="15"/>
      <c r="E573" s="24">
        <v>0</v>
      </c>
      <c r="F573" s="24"/>
      <c r="G573" s="24">
        <v>0</v>
      </c>
      <c r="H573" s="24"/>
      <c r="I573" s="24">
        <v>0</v>
      </c>
      <c r="J573" s="24"/>
      <c r="K573" s="24">
        <v>0</v>
      </c>
      <c r="L573" s="24"/>
      <c r="M573" s="24">
        <v>0</v>
      </c>
      <c r="N573" s="24"/>
      <c r="O573" s="24">
        <v>0</v>
      </c>
      <c r="P573" s="24"/>
      <c r="Q573" s="24">
        <v>0</v>
      </c>
      <c r="R573" s="24"/>
      <c r="S573" s="24">
        <v>0</v>
      </c>
      <c r="T573" s="24"/>
      <c r="U573" s="24">
        <v>0</v>
      </c>
      <c r="V573" s="24"/>
      <c r="W573" s="24">
        <v>0</v>
      </c>
      <c r="X573" s="24"/>
      <c r="Y573" s="24">
        <v>0</v>
      </c>
      <c r="Z573" s="24"/>
      <c r="AA573" s="24">
        <v>0</v>
      </c>
      <c r="AB573" s="24"/>
      <c r="AC573" s="24">
        <v>0</v>
      </c>
      <c r="AD573" s="24"/>
      <c r="AE573" s="24">
        <v>0</v>
      </c>
      <c r="AF573" s="24"/>
      <c r="AG573" s="24">
        <v>0</v>
      </c>
      <c r="AH573" s="24"/>
      <c r="AI573" s="24">
        <f t="shared" si="22"/>
        <v>0</v>
      </c>
      <c r="AJ573" s="24"/>
      <c r="AK573" s="32"/>
      <c r="AL573" s="32"/>
      <c r="AM573" s="32"/>
      <c r="AN573" s="32"/>
      <c r="AO573" s="32"/>
      <c r="AP573" s="32"/>
    </row>
    <row r="574" spans="1:42">
      <c r="A574" s="15" t="s">
        <v>573</v>
      </c>
      <c r="C574" s="15" t="s">
        <v>565</v>
      </c>
      <c r="E574" s="24">
        <f>276995+144508</f>
        <v>421503</v>
      </c>
      <c r="G574" s="24">
        <f>532518+274327</f>
        <v>806845</v>
      </c>
      <c r="I574" s="24">
        <f>128570+173492</f>
        <v>302062</v>
      </c>
      <c r="K574" s="24">
        <v>0</v>
      </c>
      <c r="M574" s="24">
        <v>68010</v>
      </c>
      <c r="O574" s="24">
        <v>5654</v>
      </c>
      <c r="Q574" s="24">
        <f>81311+10107</f>
        <v>91418</v>
      </c>
      <c r="S574" s="24">
        <f>74087+178699</f>
        <v>252786</v>
      </c>
      <c r="U574" s="24">
        <v>0</v>
      </c>
      <c r="W574" s="24">
        <v>0</v>
      </c>
      <c r="Y574" s="24">
        <v>5594</v>
      </c>
      <c r="AA574" s="24">
        <v>150000</v>
      </c>
      <c r="AC574" s="24">
        <v>0</v>
      </c>
      <c r="AE574" s="24">
        <v>840</v>
      </c>
      <c r="AG574" s="24">
        <v>0</v>
      </c>
      <c r="AI574" s="24">
        <f t="shared" si="22"/>
        <v>2104712</v>
      </c>
      <c r="AJ574" s="24"/>
    </row>
    <row r="575" spans="1:42" s="31" customFormat="1" hidden="1">
      <c r="A575" s="15" t="s">
        <v>178</v>
      </c>
      <c r="B575" s="15"/>
      <c r="C575" s="15" t="s">
        <v>806</v>
      </c>
      <c r="D575" s="15"/>
      <c r="E575" s="24">
        <v>0</v>
      </c>
      <c r="F575" s="24"/>
      <c r="G575" s="24">
        <v>0</v>
      </c>
      <c r="H575" s="24"/>
      <c r="I575" s="24">
        <v>0</v>
      </c>
      <c r="J575" s="24"/>
      <c r="K575" s="24">
        <v>0</v>
      </c>
      <c r="L575" s="24"/>
      <c r="M575" s="24">
        <v>0</v>
      </c>
      <c r="N575" s="24"/>
      <c r="O575" s="24">
        <v>0</v>
      </c>
      <c r="P575" s="24"/>
      <c r="Q575" s="24">
        <v>0</v>
      </c>
      <c r="R575" s="24"/>
      <c r="S575" s="24">
        <v>0</v>
      </c>
      <c r="T575" s="24"/>
      <c r="U575" s="24">
        <v>0</v>
      </c>
      <c r="V575" s="24"/>
      <c r="W575" s="24">
        <v>0</v>
      </c>
      <c r="X575" s="24"/>
      <c r="Y575" s="24">
        <v>0</v>
      </c>
      <c r="Z575" s="24"/>
      <c r="AA575" s="24">
        <v>0</v>
      </c>
      <c r="AB575" s="24"/>
      <c r="AC575" s="24">
        <v>0</v>
      </c>
      <c r="AD575" s="24"/>
      <c r="AE575" s="24">
        <v>0</v>
      </c>
      <c r="AF575" s="24"/>
      <c r="AG575" s="24">
        <v>0</v>
      </c>
      <c r="AH575" s="24"/>
      <c r="AI575" s="24">
        <f t="shared" si="22"/>
        <v>0</v>
      </c>
      <c r="AJ575" s="24"/>
    </row>
    <row r="576" spans="1:42" ht="12.6" hidden="1" customHeight="1">
      <c r="A576" s="15" t="s">
        <v>47</v>
      </c>
      <c r="C576" s="15" t="s">
        <v>305</v>
      </c>
      <c r="E576" s="24">
        <v>0</v>
      </c>
      <c r="G576" s="24">
        <v>0</v>
      </c>
      <c r="I576" s="24">
        <v>0</v>
      </c>
      <c r="K576" s="24">
        <v>0</v>
      </c>
      <c r="M576" s="24">
        <v>0</v>
      </c>
      <c r="O576" s="24">
        <v>0</v>
      </c>
      <c r="Q576" s="24">
        <v>0</v>
      </c>
      <c r="S576" s="24">
        <v>0</v>
      </c>
      <c r="U576" s="24">
        <v>0</v>
      </c>
      <c r="W576" s="24">
        <v>0</v>
      </c>
      <c r="Y576" s="24">
        <v>0</v>
      </c>
      <c r="AA576" s="24">
        <v>0</v>
      </c>
      <c r="AC576" s="24">
        <v>0</v>
      </c>
      <c r="AE576" s="24">
        <v>0</v>
      </c>
      <c r="AG576" s="24">
        <v>0</v>
      </c>
      <c r="AI576" s="24">
        <f t="shared" si="22"/>
        <v>0</v>
      </c>
      <c r="AJ576" s="24"/>
      <c r="AK576" s="30"/>
      <c r="AL576" s="30"/>
      <c r="AM576" s="30"/>
      <c r="AN576" s="30"/>
      <c r="AO576" s="30"/>
      <c r="AP576" s="30"/>
    </row>
    <row r="577" spans="1:42" s="31" customFormat="1" ht="12.6" customHeight="1">
      <c r="A577" s="15" t="s">
        <v>346</v>
      </c>
      <c r="B577" s="15"/>
      <c r="C577" s="15" t="s">
        <v>343</v>
      </c>
      <c r="D577" s="15"/>
      <c r="E577" s="24">
        <v>291033</v>
      </c>
      <c r="F577" s="24"/>
      <c r="G577" s="24">
        <v>1753603</v>
      </c>
      <c r="H577" s="24"/>
      <c r="I577" s="24">
        <f>194639+180348+14623+228730</f>
        <v>618340</v>
      </c>
      <c r="J577" s="24"/>
      <c r="K577" s="24">
        <v>0</v>
      </c>
      <c r="L577" s="24"/>
      <c r="M577" s="24">
        <f>73750+60508+36136</f>
        <v>170394</v>
      </c>
      <c r="N577" s="24"/>
      <c r="O577" s="24">
        <v>273146</v>
      </c>
      <c r="P577" s="24"/>
      <c r="Q577" s="24">
        <f>135684+4096+2571</f>
        <v>142351</v>
      </c>
      <c r="R577" s="24"/>
      <c r="S577" s="24">
        <f>42435+4008</f>
        <v>46443</v>
      </c>
      <c r="T577" s="24"/>
      <c r="U577" s="24">
        <v>0</v>
      </c>
      <c r="V577" s="24"/>
      <c r="W577" s="24">
        <f>2656000+165000</f>
        <v>2821000</v>
      </c>
      <c r="X577" s="24"/>
      <c r="Y577" s="24">
        <v>0</v>
      </c>
      <c r="Z577" s="24"/>
      <c r="AA577" s="24">
        <f>156000+750000+79299</f>
        <v>985299</v>
      </c>
      <c r="AB577" s="24"/>
      <c r="AC577" s="24">
        <v>0</v>
      </c>
      <c r="AD577" s="24"/>
      <c r="AE577" s="24">
        <v>1604912</v>
      </c>
      <c r="AF577" s="24"/>
      <c r="AG577" s="24">
        <v>0</v>
      </c>
      <c r="AH577" s="24"/>
      <c r="AI577" s="24">
        <f t="shared" si="22"/>
        <v>8706521</v>
      </c>
      <c r="AJ577" s="24"/>
      <c r="AK577" s="32"/>
      <c r="AL577" s="32"/>
      <c r="AM577" s="32"/>
      <c r="AN577" s="32"/>
      <c r="AO577" s="32"/>
      <c r="AP577" s="32"/>
    </row>
    <row r="578" spans="1:42" s="31" customFormat="1" hidden="1">
      <c r="A578" s="15" t="s">
        <v>362</v>
      </c>
      <c r="B578" s="15"/>
      <c r="C578" s="15" t="s">
        <v>358</v>
      </c>
      <c r="D578" s="15"/>
      <c r="E578" s="24">
        <v>0</v>
      </c>
      <c r="F578" s="24"/>
      <c r="G578" s="24">
        <v>0</v>
      </c>
      <c r="H578" s="24"/>
      <c r="I578" s="24">
        <v>0</v>
      </c>
      <c r="J578" s="24"/>
      <c r="K578" s="24">
        <v>0</v>
      </c>
      <c r="L578" s="24"/>
      <c r="M578" s="24">
        <v>0</v>
      </c>
      <c r="N578" s="24"/>
      <c r="O578" s="24">
        <v>0</v>
      </c>
      <c r="P578" s="24"/>
      <c r="Q578" s="24">
        <v>0</v>
      </c>
      <c r="R578" s="24"/>
      <c r="S578" s="24">
        <v>0</v>
      </c>
      <c r="T578" s="24"/>
      <c r="U578" s="24">
        <v>0</v>
      </c>
      <c r="V578" s="24"/>
      <c r="W578" s="24">
        <v>0</v>
      </c>
      <c r="X578" s="24"/>
      <c r="Y578" s="24">
        <v>0</v>
      </c>
      <c r="Z578" s="24"/>
      <c r="AA578" s="24">
        <v>0</v>
      </c>
      <c r="AB578" s="24"/>
      <c r="AC578" s="24">
        <v>0</v>
      </c>
      <c r="AD578" s="24"/>
      <c r="AE578" s="24">
        <v>0</v>
      </c>
      <c r="AF578" s="24"/>
      <c r="AG578" s="24">
        <v>0</v>
      </c>
      <c r="AH578" s="24"/>
      <c r="AI578" s="24">
        <f t="shared" si="22"/>
        <v>0</v>
      </c>
      <c r="AJ578" s="24"/>
    </row>
    <row r="579" spans="1:42" hidden="1">
      <c r="A579" s="15" t="s">
        <v>159</v>
      </c>
      <c r="C579" s="15" t="s">
        <v>798</v>
      </c>
      <c r="E579" s="24">
        <v>0</v>
      </c>
      <c r="G579" s="24">
        <v>0</v>
      </c>
      <c r="I579" s="24">
        <v>0</v>
      </c>
      <c r="K579" s="24">
        <v>0</v>
      </c>
      <c r="M579" s="24">
        <v>0</v>
      </c>
      <c r="O579" s="24">
        <v>0</v>
      </c>
      <c r="Q579" s="24">
        <v>0</v>
      </c>
      <c r="S579" s="24">
        <v>0</v>
      </c>
      <c r="U579" s="24">
        <v>0</v>
      </c>
      <c r="W579" s="24">
        <v>0</v>
      </c>
      <c r="Y579" s="24">
        <v>0</v>
      </c>
      <c r="AA579" s="24">
        <v>0</v>
      </c>
      <c r="AC579" s="24">
        <v>0</v>
      </c>
      <c r="AE579" s="24">
        <v>0</v>
      </c>
      <c r="AG579" s="24">
        <v>0</v>
      </c>
      <c r="AI579" s="24">
        <f t="shared" si="22"/>
        <v>0</v>
      </c>
      <c r="AJ579" s="24"/>
    </row>
    <row r="580" spans="1:42" hidden="1">
      <c r="A580" s="15" t="s">
        <v>191</v>
      </c>
      <c r="C580" s="15" t="s">
        <v>809</v>
      </c>
      <c r="E580" s="24">
        <v>0</v>
      </c>
      <c r="G580" s="24">
        <v>0</v>
      </c>
      <c r="I580" s="24">
        <v>0</v>
      </c>
      <c r="K580" s="24">
        <v>0</v>
      </c>
      <c r="M580" s="24">
        <v>0</v>
      </c>
      <c r="O580" s="24">
        <v>0</v>
      </c>
      <c r="Q580" s="24">
        <v>0</v>
      </c>
      <c r="S580" s="24">
        <v>0</v>
      </c>
      <c r="U580" s="24">
        <v>0</v>
      </c>
      <c r="W580" s="24">
        <v>0</v>
      </c>
      <c r="Y580" s="24">
        <v>0</v>
      </c>
      <c r="AA580" s="24">
        <v>0</v>
      </c>
      <c r="AC580" s="24">
        <v>0</v>
      </c>
      <c r="AE580" s="24">
        <v>0</v>
      </c>
      <c r="AG580" s="24">
        <v>0</v>
      </c>
      <c r="AI580" s="24">
        <f t="shared" si="22"/>
        <v>0</v>
      </c>
      <c r="AJ580" s="24"/>
    </row>
    <row r="581" spans="1:42" s="29" customFormat="1">
      <c r="A581" s="24" t="s">
        <v>385</v>
      </c>
      <c r="B581" s="24"/>
      <c r="C581" s="24" t="s">
        <v>378</v>
      </c>
      <c r="D581" s="24"/>
      <c r="E581" s="24">
        <f>1355580+126322+7398</f>
        <v>1489300</v>
      </c>
      <c r="F581" s="24"/>
      <c r="G581" s="24">
        <v>0</v>
      </c>
      <c r="H581" s="24"/>
      <c r="I581" s="24">
        <f>247295+110015+51630</f>
        <v>408940</v>
      </c>
      <c r="J581" s="24"/>
      <c r="K581" s="24">
        <v>35098</v>
      </c>
      <c r="L581" s="24"/>
      <c r="M581" s="24">
        <v>0</v>
      </c>
      <c r="N581" s="24"/>
      <c r="O581" s="24">
        <f>67020+3673</f>
        <v>70693</v>
      </c>
      <c r="P581" s="24"/>
      <c r="Q581" s="24">
        <f>46589+4917+30</f>
        <v>51536</v>
      </c>
      <c r="R581" s="24"/>
      <c r="S581" s="24">
        <f>2366+1600+190</f>
        <v>4156</v>
      </c>
      <c r="T581" s="24"/>
      <c r="U581" s="24">
        <v>0</v>
      </c>
      <c r="V581" s="24"/>
      <c r="W581" s="24">
        <v>0</v>
      </c>
      <c r="X581" s="24"/>
      <c r="Y581" s="24">
        <v>0</v>
      </c>
      <c r="Z581" s="24"/>
      <c r="AA581" s="24">
        <v>0</v>
      </c>
      <c r="AB581" s="24"/>
      <c r="AC581" s="24">
        <v>1323</v>
      </c>
      <c r="AD581" s="24"/>
      <c r="AE581" s="24">
        <v>14708</v>
      </c>
      <c r="AF581" s="24"/>
      <c r="AG581" s="24">
        <v>0</v>
      </c>
      <c r="AH581" s="38"/>
      <c r="AI581" s="24">
        <f t="shared" si="22"/>
        <v>2075754</v>
      </c>
      <c r="AJ581" s="24"/>
    </row>
    <row r="582" spans="1:42" hidden="1">
      <c r="A582" s="15" t="s">
        <v>507</v>
      </c>
      <c r="C582" s="15" t="s">
        <v>504</v>
      </c>
      <c r="E582" s="24">
        <v>0</v>
      </c>
      <c r="G582" s="24">
        <v>0</v>
      </c>
      <c r="I582" s="24">
        <v>0</v>
      </c>
      <c r="K582" s="24">
        <v>0</v>
      </c>
      <c r="M582" s="24">
        <v>0</v>
      </c>
      <c r="O582" s="24">
        <v>0</v>
      </c>
      <c r="Q582" s="24">
        <v>0</v>
      </c>
      <c r="S582" s="24">
        <v>0</v>
      </c>
      <c r="U582" s="24">
        <v>0</v>
      </c>
      <c r="W582" s="24">
        <v>0</v>
      </c>
      <c r="Y582" s="24">
        <v>0</v>
      </c>
      <c r="AA582" s="24">
        <v>0</v>
      </c>
      <c r="AC582" s="24">
        <v>0</v>
      </c>
      <c r="AE582" s="24">
        <v>0</v>
      </c>
      <c r="AG582" s="24">
        <v>0</v>
      </c>
      <c r="AI582" s="24">
        <f t="shared" si="22"/>
        <v>0</v>
      </c>
      <c r="AJ582" s="24"/>
    </row>
    <row r="583" spans="1:42" s="31" customFormat="1" hidden="1">
      <c r="A583" s="15" t="s">
        <v>67</v>
      </c>
      <c r="B583" s="15"/>
      <c r="C583" s="15" t="s">
        <v>771</v>
      </c>
      <c r="D583" s="15"/>
      <c r="E583" s="24">
        <v>0</v>
      </c>
      <c r="F583" s="24"/>
      <c r="G583" s="24">
        <v>0</v>
      </c>
      <c r="H583" s="24"/>
      <c r="I583" s="24">
        <v>0</v>
      </c>
      <c r="J583" s="24"/>
      <c r="K583" s="24">
        <v>0</v>
      </c>
      <c r="L583" s="24"/>
      <c r="M583" s="24">
        <v>0</v>
      </c>
      <c r="N583" s="24"/>
      <c r="O583" s="24">
        <v>0</v>
      </c>
      <c r="P583" s="24"/>
      <c r="Q583" s="24">
        <v>0</v>
      </c>
      <c r="R583" s="24"/>
      <c r="S583" s="24">
        <v>0</v>
      </c>
      <c r="T583" s="24"/>
      <c r="U583" s="24">
        <v>0</v>
      </c>
      <c r="V583" s="24"/>
      <c r="W583" s="24">
        <v>0</v>
      </c>
      <c r="X583" s="24"/>
      <c r="Y583" s="24">
        <v>0</v>
      </c>
      <c r="Z583" s="24"/>
      <c r="AA583" s="24">
        <v>0</v>
      </c>
      <c r="AB583" s="24"/>
      <c r="AC583" s="24">
        <v>0</v>
      </c>
      <c r="AD583" s="24"/>
      <c r="AE583" s="24">
        <v>0</v>
      </c>
      <c r="AF583" s="24"/>
      <c r="AG583" s="24">
        <v>0</v>
      </c>
      <c r="AH583" s="24"/>
      <c r="AI583" s="24">
        <f t="shared" si="22"/>
        <v>0</v>
      </c>
      <c r="AJ583" s="24"/>
      <c r="AK583" s="32"/>
      <c r="AL583" s="32"/>
      <c r="AM583" s="32"/>
      <c r="AN583" s="32"/>
      <c r="AO583" s="32"/>
      <c r="AP583" s="32"/>
    </row>
    <row r="584" spans="1:42" s="31" customFormat="1" hidden="1">
      <c r="A584" s="15" t="s">
        <v>120</v>
      </c>
      <c r="B584" s="15"/>
      <c r="C584" s="15" t="s">
        <v>786</v>
      </c>
      <c r="D584" s="15"/>
      <c r="E584" s="24">
        <v>0</v>
      </c>
      <c r="F584" s="24"/>
      <c r="G584" s="24">
        <v>0</v>
      </c>
      <c r="H584" s="24"/>
      <c r="I584" s="24">
        <v>0</v>
      </c>
      <c r="J584" s="24"/>
      <c r="K584" s="24">
        <v>0</v>
      </c>
      <c r="L584" s="24"/>
      <c r="M584" s="24">
        <v>0</v>
      </c>
      <c r="N584" s="24"/>
      <c r="O584" s="24">
        <v>0</v>
      </c>
      <c r="P584" s="24"/>
      <c r="Q584" s="24">
        <v>0</v>
      </c>
      <c r="R584" s="24"/>
      <c r="S584" s="24">
        <v>0</v>
      </c>
      <c r="T584" s="24"/>
      <c r="U584" s="24">
        <v>0</v>
      </c>
      <c r="V584" s="24"/>
      <c r="W584" s="24">
        <v>0</v>
      </c>
      <c r="X584" s="24"/>
      <c r="Y584" s="24">
        <v>0</v>
      </c>
      <c r="Z584" s="24"/>
      <c r="AA584" s="24">
        <v>0</v>
      </c>
      <c r="AB584" s="24"/>
      <c r="AC584" s="24">
        <v>0</v>
      </c>
      <c r="AD584" s="24"/>
      <c r="AE584" s="24">
        <v>0</v>
      </c>
      <c r="AF584" s="24"/>
      <c r="AG584" s="24">
        <v>0</v>
      </c>
      <c r="AH584" s="24"/>
      <c r="AI584" s="24">
        <f t="shared" si="22"/>
        <v>0</v>
      </c>
      <c r="AJ584" s="24"/>
    </row>
    <row r="585" spans="1:42" s="31" customFormat="1">
      <c r="A585" s="15" t="s">
        <v>434</v>
      </c>
      <c r="B585" s="15"/>
      <c r="C585" s="15" t="s">
        <v>430</v>
      </c>
      <c r="D585" s="15"/>
      <c r="E585" s="24">
        <v>281525</v>
      </c>
      <c r="F585" s="24"/>
      <c r="G585" s="24">
        <v>85270</v>
      </c>
      <c r="H585" s="24"/>
      <c r="I585" s="24">
        <f>67511+30389+2353</f>
        <v>100253</v>
      </c>
      <c r="J585" s="24"/>
      <c r="K585" s="24">
        <v>0</v>
      </c>
      <c r="L585" s="24"/>
      <c r="M585" s="24">
        <v>0</v>
      </c>
      <c r="N585" s="24"/>
      <c r="O585" s="24">
        <f>29456+1937+357</f>
        <v>31750</v>
      </c>
      <c r="P585" s="24"/>
      <c r="Q585" s="24">
        <f>13206+631</f>
        <v>13837</v>
      </c>
      <c r="R585" s="24"/>
      <c r="S585" s="24">
        <v>8105</v>
      </c>
      <c r="T585" s="24"/>
      <c r="U585" s="24">
        <v>0</v>
      </c>
      <c r="V585" s="24"/>
      <c r="W585" s="24">
        <v>0</v>
      </c>
      <c r="X585" s="24"/>
      <c r="Y585" s="24">
        <v>0</v>
      </c>
      <c r="Z585" s="24"/>
      <c r="AA585" s="24">
        <v>80000</v>
      </c>
      <c r="AB585" s="24"/>
      <c r="AC585" s="24">
        <v>0</v>
      </c>
      <c r="AD585" s="24"/>
      <c r="AE585" s="24">
        <v>0</v>
      </c>
      <c r="AF585" s="24"/>
      <c r="AG585" s="24">
        <v>0</v>
      </c>
      <c r="AH585" s="24"/>
      <c r="AI585" s="24">
        <f t="shared" si="22"/>
        <v>600740</v>
      </c>
      <c r="AJ585" s="24"/>
    </row>
    <row r="586" spans="1:42" s="29" customFormat="1" hidden="1">
      <c r="A586" s="24" t="s">
        <v>862</v>
      </c>
      <c r="B586" s="24"/>
      <c r="C586" s="24" t="s">
        <v>765</v>
      </c>
      <c r="D586" s="24"/>
      <c r="E586" s="24">
        <v>0</v>
      </c>
      <c r="F586" s="24"/>
      <c r="G586" s="24">
        <v>0</v>
      </c>
      <c r="H586" s="24"/>
      <c r="I586" s="24">
        <v>0</v>
      </c>
      <c r="J586" s="24"/>
      <c r="K586" s="24">
        <v>0</v>
      </c>
      <c r="L586" s="24"/>
      <c r="M586" s="24">
        <v>0</v>
      </c>
      <c r="N586" s="24"/>
      <c r="O586" s="24">
        <v>0</v>
      </c>
      <c r="P586" s="24"/>
      <c r="Q586" s="24">
        <v>0</v>
      </c>
      <c r="R586" s="24"/>
      <c r="S586" s="24">
        <v>0</v>
      </c>
      <c r="T586" s="24"/>
      <c r="U586" s="24">
        <v>0</v>
      </c>
      <c r="V586" s="24"/>
      <c r="W586" s="24">
        <v>0</v>
      </c>
      <c r="X586" s="24"/>
      <c r="Y586" s="24">
        <v>0</v>
      </c>
      <c r="Z586" s="24"/>
      <c r="AA586" s="24">
        <v>0</v>
      </c>
      <c r="AB586" s="24"/>
      <c r="AC586" s="24">
        <v>0</v>
      </c>
      <c r="AD586" s="24"/>
      <c r="AE586" s="24">
        <v>0</v>
      </c>
      <c r="AF586" s="24"/>
      <c r="AG586" s="24">
        <v>0</v>
      </c>
      <c r="AH586" s="24"/>
      <c r="AI586" s="24">
        <f t="shared" si="22"/>
        <v>0</v>
      </c>
      <c r="AJ586" s="24"/>
      <c r="AK586" s="88"/>
      <c r="AL586" s="88"/>
      <c r="AM586" s="88"/>
      <c r="AN586" s="88"/>
      <c r="AO586" s="88"/>
      <c r="AP586" s="88"/>
    </row>
    <row r="587" spans="1:42" hidden="1">
      <c r="A587" s="15" t="s">
        <v>612</v>
      </c>
      <c r="C587" s="15" t="s">
        <v>606</v>
      </c>
      <c r="E587" s="24">
        <v>0</v>
      </c>
      <c r="G587" s="24">
        <v>0</v>
      </c>
      <c r="I587" s="24">
        <v>0</v>
      </c>
      <c r="K587" s="24">
        <v>0</v>
      </c>
      <c r="M587" s="24">
        <v>0</v>
      </c>
      <c r="O587" s="24">
        <v>0</v>
      </c>
      <c r="Q587" s="24">
        <v>0</v>
      </c>
      <c r="S587" s="24">
        <v>0</v>
      </c>
      <c r="U587" s="24">
        <v>0</v>
      </c>
      <c r="W587" s="24">
        <v>0</v>
      </c>
      <c r="Y587" s="24">
        <v>0</v>
      </c>
      <c r="AA587" s="24">
        <v>0</v>
      </c>
      <c r="AC587" s="24">
        <v>0</v>
      </c>
      <c r="AE587" s="24">
        <v>0</v>
      </c>
      <c r="AG587" s="24">
        <v>0</v>
      </c>
      <c r="AI587" s="24">
        <f t="shared" si="22"/>
        <v>0</v>
      </c>
      <c r="AJ587" s="24"/>
    </row>
    <row r="588" spans="1:42" hidden="1">
      <c r="A588" s="15" t="s">
        <v>565</v>
      </c>
      <c r="C588" s="15" t="s">
        <v>565</v>
      </c>
      <c r="E588" s="24">
        <v>0</v>
      </c>
      <c r="G588" s="24">
        <v>0</v>
      </c>
      <c r="I588" s="24">
        <v>0</v>
      </c>
      <c r="K588" s="24">
        <v>0</v>
      </c>
      <c r="M588" s="24">
        <v>0</v>
      </c>
      <c r="O588" s="24">
        <v>0</v>
      </c>
      <c r="Q588" s="24">
        <v>0</v>
      </c>
      <c r="S588" s="24">
        <v>0</v>
      </c>
      <c r="U588" s="24">
        <v>0</v>
      </c>
      <c r="W588" s="24">
        <v>0</v>
      </c>
      <c r="Y588" s="24">
        <v>0</v>
      </c>
      <c r="AA588" s="24">
        <v>0</v>
      </c>
      <c r="AC588" s="24">
        <v>0</v>
      </c>
      <c r="AE588" s="24">
        <v>0</v>
      </c>
      <c r="AG588" s="24">
        <v>0</v>
      </c>
      <c r="AI588" s="24">
        <f t="shared" si="22"/>
        <v>0</v>
      </c>
      <c r="AJ588" s="24"/>
    </row>
    <row r="589" spans="1:42" ht="12.6" customHeight="1">
      <c r="A589" s="15" t="s">
        <v>337</v>
      </c>
      <c r="C589" s="15" t="s">
        <v>329</v>
      </c>
      <c r="E589" s="24">
        <f>200479+40788</f>
        <v>241267</v>
      </c>
      <c r="G589" s="24">
        <v>235937</v>
      </c>
      <c r="I589" s="24">
        <f>31030+86150</f>
        <v>117180</v>
      </c>
      <c r="K589" s="24">
        <v>0</v>
      </c>
      <c r="M589" s="24">
        <f>70833+247599</f>
        <v>318432</v>
      </c>
      <c r="O589" s="24">
        <f>32330+4139</f>
        <v>36469</v>
      </c>
      <c r="Q589" s="24">
        <f>9521+1399</f>
        <v>10920</v>
      </c>
      <c r="S589" s="24">
        <f>20171+29018+41400</f>
        <v>90589</v>
      </c>
      <c r="U589" s="24">
        <v>0</v>
      </c>
      <c r="W589" s="24">
        <v>277000</v>
      </c>
      <c r="Y589" s="24">
        <v>0</v>
      </c>
      <c r="AA589" s="24">
        <f>42605+346900</f>
        <v>389505</v>
      </c>
      <c r="AC589" s="24">
        <v>0</v>
      </c>
      <c r="AE589" s="24">
        <v>0</v>
      </c>
      <c r="AG589" s="24">
        <v>0</v>
      </c>
      <c r="AI589" s="24">
        <f t="shared" si="22"/>
        <v>1717299</v>
      </c>
      <c r="AJ589" s="24"/>
      <c r="AK589" s="30"/>
      <c r="AL589" s="30"/>
      <c r="AM589" s="30"/>
      <c r="AN589" s="30"/>
      <c r="AO589" s="30"/>
      <c r="AP589" s="30"/>
    </row>
    <row r="590" spans="1:42" hidden="1">
      <c r="A590" s="15" t="s">
        <v>574</v>
      </c>
      <c r="C590" s="15" t="s">
        <v>575</v>
      </c>
      <c r="E590" s="24">
        <v>0</v>
      </c>
      <c r="G590" s="24">
        <v>0</v>
      </c>
      <c r="I590" s="24">
        <v>0</v>
      </c>
      <c r="K590" s="24">
        <v>0</v>
      </c>
      <c r="M590" s="24">
        <v>0</v>
      </c>
      <c r="O590" s="24">
        <v>0</v>
      </c>
      <c r="Q590" s="24">
        <v>0</v>
      </c>
      <c r="S590" s="24">
        <v>0</v>
      </c>
      <c r="U590" s="24">
        <v>0</v>
      </c>
      <c r="W590" s="24">
        <v>0</v>
      </c>
      <c r="Y590" s="24">
        <v>0</v>
      </c>
      <c r="AA590" s="24">
        <v>0</v>
      </c>
      <c r="AC590" s="24">
        <v>0</v>
      </c>
      <c r="AE590" s="24">
        <v>0</v>
      </c>
      <c r="AG590" s="24">
        <v>0</v>
      </c>
      <c r="AI590" s="24">
        <f t="shared" si="22"/>
        <v>0</v>
      </c>
      <c r="AJ590" s="24"/>
    </row>
    <row r="591" spans="1:42" hidden="1">
      <c r="A591" s="15" t="s">
        <v>13</v>
      </c>
      <c r="C591" s="15" t="s">
        <v>754</v>
      </c>
      <c r="E591" s="24">
        <v>0</v>
      </c>
      <c r="G591" s="24">
        <v>0</v>
      </c>
      <c r="I591" s="24">
        <v>0</v>
      </c>
      <c r="K591" s="24">
        <v>0</v>
      </c>
      <c r="M591" s="24">
        <v>0</v>
      </c>
      <c r="O591" s="24">
        <v>0</v>
      </c>
      <c r="Q591" s="24">
        <v>0</v>
      </c>
      <c r="S591" s="24">
        <v>0</v>
      </c>
      <c r="U591" s="24">
        <v>0</v>
      </c>
      <c r="W591" s="24">
        <v>0</v>
      </c>
      <c r="Y591" s="24">
        <v>0</v>
      </c>
      <c r="AA591" s="24">
        <v>0</v>
      </c>
      <c r="AC591" s="24">
        <v>0</v>
      </c>
      <c r="AE591" s="24">
        <v>0</v>
      </c>
      <c r="AG591" s="24">
        <v>0</v>
      </c>
      <c r="AI591" s="24">
        <f t="shared" si="22"/>
        <v>0</v>
      </c>
      <c r="AJ591" s="24"/>
    </row>
    <row r="592" spans="1:42" s="31" customFormat="1" hidden="1">
      <c r="A592" s="15" t="s">
        <v>76</v>
      </c>
      <c r="B592" s="15"/>
      <c r="C592" s="15" t="s">
        <v>773</v>
      </c>
      <c r="D592" s="15"/>
      <c r="E592" s="24">
        <v>0</v>
      </c>
      <c r="F592" s="24"/>
      <c r="G592" s="24">
        <v>0</v>
      </c>
      <c r="H592" s="24"/>
      <c r="I592" s="24">
        <v>0</v>
      </c>
      <c r="J592" s="24"/>
      <c r="K592" s="24">
        <v>0</v>
      </c>
      <c r="L592" s="24"/>
      <c r="M592" s="24">
        <v>0</v>
      </c>
      <c r="N592" s="24"/>
      <c r="O592" s="24">
        <v>0</v>
      </c>
      <c r="P592" s="24"/>
      <c r="Q592" s="24">
        <v>0</v>
      </c>
      <c r="R592" s="24"/>
      <c r="S592" s="24">
        <v>0</v>
      </c>
      <c r="T592" s="24"/>
      <c r="U592" s="24">
        <v>0</v>
      </c>
      <c r="V592" s="24"/>
      <c r="W592" s="24">
        <v>0</v>
      </c>
      <c r="X592" s="24"/>
      <c r="Y592" s="24">
        <v>0</v>
      </c>
      <c r="Z592" s="24"/>
      <c r="AA592" s="24">
        <v>0</v>
      </c>
      <c r="AB592" s="24"/>
      <c r="AC592" s="24">
        <v>0</v>
      </c>
      <c r="AD592" s="24"/>
      <c r="AE592" s="24">
        <v>0</v>
      </c>
      <c r="AF592" s="24"/>
      <c r="AG592" s="24">
        <v>0</v>
      </c>
      <c r="AH592" s="24"/>
      <c r="AI592" s="24">
        <f t="shared" si="22"/>
        <v>0</v>
      </c>
      <c r="AJ592" s="24"/>
    </row>
    <row r="593" spans="1:42" s="31" customFormat="1">
      <c r="A593" s="15" t="s">
        <v>445</v>
      </c>
      <c r="B593" s="15"/>
      <c r="C593" s="15" t="s">
        <v>439</v>
      </c>
      <c r="D593" s="15"/>
      <c r="E593" s="24">
        <v>109918</v>
      </c>
      <c r="F593" s="24"/>
      <c r="G593" s="24">
        <f>188709+67645+317192</f>
        <v>573546</v>
      </c>
      <c r="H593" s="24"/>
      <c r="I593" s="24">
        <f>85579+75457+8900+36936+17368</f>
        <v>224240</v>
      </c>
      <c r="J593" s="24"/>
      <c r="K593" s="24">
        <v>0</v>
      </c>
      <c r="L593" s="24"/>
      <c r="M593" s="24">
        <f>10183+562+435</f>
        <v>11180</v>
      </c>
      <c r="N593" s="24"/>
      <c r="O593" s="24">
        <v>13379</v>
      </c>
      <c r="P593" s="24"/>
      <c r="Q593" s="24">
        <v>0</v>
      </c>
      <c r="R593" s="24"/>
      <c r="S593" s="24">
        <f>29323+2840+31582</f>
        <v>63745</v>
      </c>
      <c r="T593" s="24"/>
      <c r="U593" s="24">
        <v>0</v>
      </c>
      <c r="V593" s="24"/>
      <c r="W593" s="24">
        <v>0</v>
      </c>
      <c r="X593" s="24"/>
      <c r="Y593" s="24">
        <v>0</v>
      </c>
      <c r="Z593" s="24"/>
      <c r="AA593" s="24">
        <f>3095+25000+1550+73524</f>
        <v>103169</v>
      </c>
      <c r="AB593" s="24"/>
      <c r="AC593" s="24">
        <v>495</v>
      </c>
      <c r="AD593" s="24"/>
      <c r="AE593" s="24">
        <v>0</v>
      </c>
      <c r="AF593" s="24"/>
      <c r="AG593" s="24">
        <v>0</v>
      </c>
      <c r="AH593" s="24"/>
      <c r="AI593" s="24">
        <f t="shared" si="22"/>
        <v>1099672</v>
      </c>
      <c r="AJ593" s="24"/>
    </row>
    <row r="594" spans="1:42">
      <c r="A594" s="15" t="s">
        <v>449</v>
      </c>
      <c r="C594" s="15" t="s">
        <v>447</v>
      </c>
      <c r="E594" s="24">
        <v>3211</v>
      </c>
      <c r="G594" s="24">
        <v>31427</v>
      </c>
      <c r="I594" s="24">
        <f>2971+7584</f>
        <v>10555</v>
      </c>
      <c r="K594" s="24">
        <v>0</v>
      </c>
      <c r="M594" s="24">
        <v>0</v>
      </c>
      <c r="O594" s="24">
        <v>1248</v>
      </c>
      <c r="Q594" s="24">
        <f>1585+291</f>
        <v>1876</v>
      </c>
      <c r="S594" s="24">
        <v>0</v>
      </c>
      <c r="U594" s="24">
        <v>0</v>
      </c>
      <c r="W594" s="24">
        <v>0</v>
      </c>
      <c r="Y594" s="24">
        <v>0</v>
      </c>
      <c r="AA594" s="24">
        <v>0</v>
      </c>
      <c r="AC594" s="24">
        <v>0</v>
      </c>
      <c r="AE594" s="24">
        <v>0</v>
      </c>
      <c r="AG594" s="24">
        <v>0</v>
      </c>
      <c r="AI594" s="24">
        <f t="shared" si="22"/>
        <v>48317</v>
      </c>
      <c r="AJ594" s="24"/>
    </row>
    <row r="595" spans="1:42" ht="12.6" customHeight="1">
      <c r="A595" s="15" t="s">
        <v>326</v>
      </c>
      <c r="C595" s="15" t="s">
        <v>316</v>
      </c>
      <c r="E595" s="24">
        <f>927687+268489</f>
        <v>1196176</v>
      </c>
      <c r="G595" s="24">
        <f>6781799+159526+480390+797632</f>
        <v>8219347</v>
      </c>
      <c r="I595" s="24">
        <f>518539+260287</f>
        <v>778826</v>
      </c>
      <c r="K595" s="24">
        <v>139382</v>
      </c>
      <c r="M595" s="24">
        <f>181064+6625</f>
        <v>187689</v>
      </c>
      <c r="O595" s="24">
        <f>80195+801+500</f>
        <v>81496</v>
      </c>
      <c r="Q595" s="24">
        <v>80538</v>
      </c>
      <c r="S595" s="24">
        <f>76134+3620+5650</f>
        <v>85404</v>
      </c>
      <c r="U595" s="24">
        <v>0</v>
      </c>
      <c r="W595" s="24">
        <v>0</v>
      </c>
      <c r="Y595" s="24">
        <v>0</v>
      </c>
      <c r="AA595" s="24">
        <f>250000+6700+50000</f>
        <v>306700</v>
      </c>
      <c r="AC595" s="24">
        <v>0</v>
      </c>
      <c r="AE595" s="24">
        <v>0</v>
      </c>
      <c r="AG595" s="24">
        <v>0</v>
      </c>
      <c r="AI595" s="24">
        <f t="shared" si="22"/>
        <v>11075558</v>
      </c>
      <c r="AJ595" s="24"/>
      <c r="AK595" s="30"/>
      <c r="AL595" s="30"/>
      <c r="AM595" s="30"/>
      <c r="AN595" s="30"/>
      <c r="AO595" s="30"/>
      <c r="AP595" s="30"/>
    </row>
    <row r="596" spans="1:42" s="31" customFormat="1" hidden="1">
      <c r="A596" s="15" t="s">
        <v>77</v>
      </c>
      <c r="B596" s="15"/>
      <c r="C596" s="15" t="s">
        <v>773</v>
      </c>
      <c r="D596" s="15"/>
      <c r="E596" s="24">
        <v>0</v>
      </c>
      <c r="F596" s="24"/>
      <c r="G596" s="24">
        <v>0</v>
      </c>
      <c r="H596" s="24"/>
      <c r="I596" s="24">
        <v>0</v>
      </c>
      <c r="J596" s="24"/>
      <c r="K596" s="24">
        <v>0</v>
      </c>
      <c r="L596" s="24"/>
      <c r="M596" s="24">
        <v>0</v>
      </c>
      <c r="N596" s="24"/>
      <c r="O596" s="24">
        <v>0</v>
      </c>
      <c r="P596" s="24"/>
      <c r="Q596" s="24">
        <v>0</v>
      </c>
      <c r="R596" s="24"/>
      <c r="S596" s="24">
        <v>0</v>
      </c>
      <c r="T596" s="24"/>
      <c r="U596" s="24">
        <v>0</v>
      </c>
      <c r="V596" s="24"/>
      <c r="W596" s="24">
        <v>0</v>
      </c>
      <c r="X596" s="24"/>
      <c r="Y596" s="24">
        <v>0</v>
      </c>
      <c r="Z596" s="24"/>
      <c r="AA596" s="24">
        <v>0</v>
      </c>
      <c r="AB596" s="24"/>
      <c r="AC596" s="24">
        <v>0</v>
      </c>
      <c r="AD596" s="24"/>
      <c r="AE596" s="24">
        <v>0</v>
      </c>
      <c r="AF596" s="24"/>
      <c r="AG596" s="24">
        <v>0</v>
      </c>
      <c r="AH596" s="24"/>
      <c r="AI596" s="24">
        <f t="shared" ref="AI596:AI605" si="23">SUM(E596:AG596)</f>
        <v>0</v>
      </c>
      <c r="AJ596" s="41"/>
    </row>
    <row r="597" spans="1:42" s="31" customFormat="1">
      <c r="A597" s="15" t="s">
        <v>393</v>
      </c>
      <c r="B597" s="15"/>
      <c r="C597" s="15" t="s">
        <v>388</v>
      </c>
      <c r="D597" s="15"/>
      <c r="E597" s="24">
        <f>22115+12000</f>
        <v>34115</v>
      </c>
      <c r="F597" s="24"/>
      <c r="G597" s="24">
        <f>265477+27943</f>
        <v>293420</v>
      </c>
      <c r="H597" s="24"/>
      <c r="I597" s="24">
        <f>45937+6295+135585</f>
        <v>187817</v>
      </c>
      <c r="J597" s="24"/>
      <c r="K597" s="24">
        <v>0</v>
      </c>
      <c r="L597" s="24"/>
      <c r="M597" s="24">
        <v>0</v>
      </c>
      <c r="N597" s="24"/>
      <c r="O597" s="24">
        <f>600+436</f>
        <v>1036</v>
      </c>
      <c r="P597" s="24"/>
      <c r="Q597" s="24">
        <f>5296+14+3463</f>
        <v>8773</v>
      </c>
      <c r="R597" s="24"/>
      <c r="S597" s="24">
        <v>1294</v>
      </c>
      <c r="T597" s="24"/>
      <c r="U597" s="24">
        <v>0</v>
      </c>
      <c r="V597" s="24"/>
      <c r="W597" s="24">
        <v>0</v>
      </c>
      <c r="X597" s="24"/>
      <c r="Y597" s="24">
        <v>0</v>
      </c>
      <c r="Z597" s="24"/>
      <c r="AA597" s="24">
        <v>0</v>
      </c>
      <c r="AB597" s="24"/>
      <c r="AC597" s="24">
        <v>0</v>
      </c>
      <c r="AD597" s="24"/>
      <c r="AE597" s="24">
        <v>0</v>
      </c>
      <c r="AF597" s="24"/>
      <c r="AG597" s="24">
        <v>0</v>
      </c>
      <c r="AH597" s="24"/>
      <c r="AI597" s="24">
        <f t="shared" si="23"/>
        <v>526455</v>
      </c>
      <c r="AJ597" s="24"/>
    </row>
    <row r="598" spans="1:42" hidden="1">
      <c r="A598" s="15" t="s">
        <v>394</v>
      </c>
      <c r="C598" s="15" t="s">
        <v>388</v>
      </c>
      <c r="E598" s="24">
        <v>0</v>
      </c>
      <c r="G598" s="24">
        <v>0</v>
      </c>
      <c r="I598" s="24">
        <v>0</v>
      </c>
      <c r="K598" s="24">
        <v>0</v>
      </c>
      <c r="M598" s="24">
        <v>0</v>
      </c>
      <c r="O598" s="24">
        <v>0</v>
      </c>
      <c r="Q598" s="24">
        <v>0</v>
      </c>
      <c r="S598" s="24">
        <v>0</v>
      </c>
      <c r="U598" s="24">
        <v>0</v>
      </c>
      <c r="W598" s="24">
        <v>0</v>
      </c>
      <c r="Y598" s="24">
        <v>0</v>
      </c>
      <c r="AA598" s="24">
        <v>0</v>
      </c>
      <c r="AC598" s="24">
        <v>0</v>
      </c>
      <c r="AE598" s="24">
        <v>0</v>
      </c>
      <c r="AG598" s="24">
        <v>0</v>
      </c>
      <c r="AI598" s="24">
        <f t="shared" si="23"/>
        <v>0</v>
      </c>
      <c r="AJ598" s="24"/>
    </row>
    <row r="599" spans="1:42" hidden="1">
      <c r="A599" s="15" t="s">
        <v>580</v>
      </c>
      <c r="C599" s="15" t="s">
        <v>577</v>
      </c>
      <c r="E599" s="24">
        <v>0</v>
      </c>
      <c r="G599" s="24">
        <v>0</v>
      </c>
      <c r="I599" s="24">
        <v>0</v>
      </c>
      <c r="K599" s="24">
        <v>0</v>
      </c>
      <c r="M599" s="24">
        <v>0</v>
      </c>
      <c r="O599" s="24">
        <v>0</v>
      </c>
      <c r="Q599" s="24">
        <v>0</v>
      </c>
      <c r="S599" s="24">
        <v>0</v>
      </c>
      <c r="U599" s="24">
        <v>0</v>
      </c>
      <c r="W599" s="24">
        <v>0</v>
      </c>
      <c r="Y599" s="24">
        <v>0</v>
      </c>
      <c r="AA599" s="24">
        <v>0</v>
      </c>
      <c r="AC599" s="24">
        <v>0</v>
      </c>
      <c r="AE599" s="24">
        <v>0</v>
      </c>
      <c r="AG599" s="24">
        <v>0</v>
      </c>
      <c r="AI599" s="24">
        <f t="shared" si="23"/>
        <v>0</v>
      </c>
      <c r="AJ599" s="24"/>
    </row>
    <row r="600" spans="1:42">
      <c r="A600" s="15" t="s">
        <v>515</v>
      </c>
      <c r="C600" s="15" t="s">
        <v>513</v>
      </c>
      <c r="E600" s="24">
        <f>63365+38432</f>
        <v>101797</v>
      </c>
      <c r="G600" s="24">
        <v>0</v>
      </c>
      <c r="I600" s="24">
        <f>4342+78537</f>
        <v>82879</v>
      </c>
      <c r="K600" s="24">
        <v>25774</v>
      </c>
      <c r="M600" s="24">
        <v>0</v>
      </c>
      <c r="O600" s="24">
        <f>165+90598</f>
        <v>90763</v>
      </c>
      <c r="Q600" s="24">
        <f>9519+1911</f>
        <v>11430</v>
      </c>
      <c r="S600" s="24">
        <f>1273+8284</f>
        <v>9557</v>
      </c>
      <c r="U600" s="24">
        <v>0</v>
      </c>
      <c r="W600" s="24">
        <v>0</v>
      </c>
      <c r="Y600" s="24">
        <v>0</v>
      </c>
      <c r="AA600" s="24">
        <v>0</v>
      </c>
      <c r="AC600" s="24">
        <v>145</v>
      </c>
      <c r="AE600" s="24">
        <v>0</v>
      </c>
      <c r="AG600" s="24">
        <v>0</v>
      </c>
      <c r="AI600" s="24">
        <f t="shared" si="23"/>
        <v>322345</v>
      </c>
      <c r="AJ600" s="24"/>
    </row>
    <row r="601" spans="1:42" ht="12.6" customHeight="1">
      <c r="A601" s="15" t="s">
        <v>338</v>
      </c>
      <c r="C601" s="15" t="s">
        <v>329</v>
      </c>
      <c r="E601" s="24">
        <f>79694+71873</f>
        <v>151567</v>
      </c>
      <c r="G601" s="24">
        <v>2025714</v>
      </c>
      <c r="I601" s="24">
        <f>377236+260747+497637</f>
        <v>1135620</v>
      </c>
      <c r="K601" s="24">
        <v>78906</v>
      </c>
      <c r="M601" s="24">
        <f>214619+298410</f>
        <v>513029</v>
      </c>
      <c r="O601" s="24">
        <f>35192+775</f>
        <v>35967</v>
      </c>
      <c r="Q601" s="24">
        <f>332312+23643</f>
        <v>355955</v>
      </c>
      <c r="S601" s="24">
        <f>14141+50488+3588</f>
        <v>68217</v>
      </c>
      <c r="U601" s="24">
        <v>0</v>
      </c>
      <c r="W601" s="24">
        <v>0</v>
      </c>
      <c r="Y601" s="24">
        <v>0</v>
      </c>
      <c r="AA601" s="24">
        <f>695350+200680</f>
        <v>896030</v>
      </c>
      <c r="AC601" s="24">
        <v>0</v>
      </c>
      <c r="AE601" s="24">
        <v>0</v>
      </c>
      <c r="AG601" s="24">
        <v>0</v>
      </c>
      <c r="AI601" s="24">
        <f t="shared" si="23"/>
        <v>5261005</v>
      </c>
      <c r="AJ601" s="24"/>
      <c r="AK601" s="30"/>
      <c r="AL601" s="30"/>
      <c r="AM601" s="30"/>
      <c r="AN601" s="30"/>
      <c r="AO601" s="30"/>
      <c r="AP601" s="30"/>
    </row>
    <row r="602" spans="1:42" hidden="1">
      <c r="A602" s="15" t="s">
        <v>82</v>
      </c>
      <c r="C602" s="15" t="s">
        <v>775</v>
      </c>
      <c r="E602" s="24">
        <v>0</v>
      </c>
      <c r="G602" s="24">
        <v>0</v>
      </c>
      <c r="I602" s="24">
        <v>0</v>
      </c>
      <c r="K602" s="24">
        <v>0</v>
      </c>
      <c r="M602" s="24">
        <v>0</v>
      </c>
      <c r="O602" s="24">
        <v>0</v>
      </c>
      <c r="Q602" s="24">
        <v>0</v>
      </c>
      <c r="S602" s="24">
        <v>0</v>
      </c>
      <c r="U602" s="24">
        <v>0</v>
      </c>
      <c r="W602" s="24">
        <v>0</v>
      </c>
      <c r="Y602" s="24">
        <v>0</v>
      </c>
      <c r="AA602" s="24">
        <v>0</v>
      </c>
      <c r="AC602" s="24">
        <v>0</v>
      </c>
      <c r="AE602" s="24">
        <v>0</v>
      </c>
      <c r="AG602" s="24">
        <v>0</v>
      </c>
      <c r="AI602" s="24">
        <f t="shared" si="23"/>
        <v>0</v>
      </c>
      <c r="AJ602" s="24"/>
    </row>
    <row r="603" spans="1:42" s="31" customFormat="1">
      <c r="A603" s="15" t="s">
        <v>435</v>
      </c>
      <c r="B603" s="15"/>
      <c r="C603" s="15" t="s">
        <v>430</v>
      </c>
      <c r="D603" s="15"/>
      <c r="E603" s="24">
        <f>654578+12517</f>
        <v>667095</v>
      </c>
      <c r="F603" s="24"/>
      <c r="G603" s="24">
        <v>0</v>
      </c>
      <c r="H603" s="24"/>
      <c r="I603" s="24">
        <f>346048+30936</f>
        <v>376984</v>
      </c>
      <c r="J603" s="24"/>
      <c r="K603" s="24">
        <v>0</v>
      </c>
      <c r="L603" s="24"/>
      <c r="M603" s="24">
        <v>0</v>
      </c>
      <c r="N603" s="24"/>
      <c r="O603" s="24">
        <f>7374+60</f>
        <v>7434</v>
      </c>
      <c r="P603" s="24"/>
      <c r="Q603" s="24">
        <v>436272</v>
      </c>
      <c r="R603" s="24"/>
      <c r="S603" s="24">
        <v>11469</v>
      </c>
      <c r="T603" s="24"/>
      <c r="U603" s="24">
        <v>0</v>
      </c>
      <c r="V603" s="24"/>
      <c r="W603" s="24">
        <v>0</v>
      </c>
      <c r="X603" s="24"/>
      <c r="Y603" s="24">
        <v>0</v>
      </c>
      <c r="Z603" s="24"/>
      <c r="AA603" s="24">
        <v>245680</v>
      </c>
      <c r="AB603" s="24"/>
      <c r="AC603" s="24">
        <v>0</v>
      </c>
      <c r="AD603" s="24"/>
      <c r="AE603" s="24">
        <v>0</v>
      </c>
      <c r="AF603" s="24"/>
      <c r="AG603" s="24">
        <v>0</v>
      </c>
      <c r="AH603" s="24"/>
      <c r="AI603" s="24">
        <f t="shared" si="23"/>
        <v>1744934</v>
      </c>
      <c r="AJ603" s="24"/>
    </row>
    <row r="604" spans="1:42" hidden="1">
      <c r="A604" s="15" t="s">
        <v>419</v>
      </c>
      <c r="C604" s="15" t="s">
        <v>416</v>
      </c>
      <c r="E604" s="24">
        <v>0</v>
      </c>
      <c r="G604" s="24">
        <v>0</v>
      </c>
      <c r="I604" s="24">
        <v>0</v>
      </c>
      <c r="K604" s="24">
        <v>0</v>
      </c>
      <c r="M604" s="24">
        <v>0</v>
      </c>
      <c r="O604" s="24">
        <v>0</v>
      </c>
      <c r="Q604" s="24">
        <v>0</v>
      </c>
      <c r="S604" s="24">
        <v>0</v>
      </c>
      <c r="U604" s="24">
        <v>0</v>
      </c>
      <c r="W604" s="24">
        <v>0</v>
      </c>
      <c r="Y604" s="24">
        <v>0</v>
      </c>
      <c r="AA604" s="24">
        <v>0</v>
      </c>
      <c r="AC604" s="24">
        <v>0</v>
      </c>
      <c r="AE604" s="24">
        <v>0</v>
      </c>
      <c r="AG604" s="24">
        <v>0</v>
      </c>
      <c r="AI604" s="24">
        <f t="shared" si="23"/>
        <v>0</v>
      </c>
      <c r="AJ604" s="24"/>
    </row>
    <row r="605" spans="1:42" hidden="1">
      <c r="A605" s="15" t="s">
        <v>261</v>
      </c>
      <c r="C605" s="15" t="s">
        <v>830</v>
      </c>
      <c r="E605" s="24">
        <v>0</v>
      </c>
      <c r="G605" s="24">
        <v>0</v>
      </c>
      <c r="I605" s="24">
        <v>0</v>
      </c>
      <c r="K605" s="24">
        <v>0</v>
      </c>
      <c r="M605" s="24">
        <v>0</v>
      </c>
      <c r="O605" s="24">
        <v>0</v>
      </c>
      <c r="Q605" s="24">
        <v>0</v>
      </c>
      <c r="S605" s="24">
        <v>0</v>
      </c>
      <c r="U605" s="24">
        <v>0</v>
      </c>
      <c r="W605" s="24">
        <v>0</v>
      </c>
      <c r="Y605" s="24">
        <v>0</v>
      </c>
      <c r="AA605" s="24">
        <v>0</v>
      </c>
      <c r="AC605" s="24">
        <v>0</v>
      </c>
      <c r="AE605" s="24">
        <v>0</v>
      </c>
      <c r="AG605" s="24">
        <v>0</v>
      </c>
      <c r="AI605" s="24">
        <f t="shared" si="23"/>
        <v>0</v>
      </c>
      <c r="AJ605" s="24"/>
    </row>
    <row r="606" spans="1:42" s="84" customFormat="1" hidden="1">
      <c r="A606" s="41" t="s">
        <v>151</v>
      </c>
      <c r="B606" s="41"/>
      <c r="C606" s="41" t="s">
        <v>796</v>
      </c>
      <c r="D606" s="41"/>
      <c r="E606" s="41">
        <v>0</v>
      </c>
      <c r="F606" s="41"/>
      <c r="G606" s="41">
        <v>0</v>
      </c>
      <c r="H606" s="41"/>
      <c r="I606" s="41">
        <v>0</v>
      </c>
      <c r="J606" s="41"/>
      <c r="K606" s="41">
        <v>0</v>
      </c>
      <c r="L606" s="41"/>
      <c r="M606" s="41">
        <v>0</v>
      </c>
      <c r="N606" s="41"/>
      <c r="O606" s="41">
        <v>0</v>
      </c>
      <c r="P606" s="41"/>
      <c r="Q606" s="41">
        <v>0</v>
      </c>
      <c r="R606" s="41"/>
      <c r="S606" s="41">
        <v>0</v>
      </c>
      <c r="T606" s="41"/>
      <c r="U606" s="41">
        <v>0</v>
      </c>
      <c r="V606" s="41"/>
      <c r="W606" s="41">
        <v>0</v>
      </c>
      <c r="X606" s="41"/>
      <c r="Y606" s="41">
        <v>0</v>
      </c>
      <c r="Z606" s="41"/>
      <c r="AA606" s="41">
        <v>0</v>
      </c>
      <c r="AB606" s="41"/>
      <c r="AC606" s="41">
        <v>0</v>
      </c>
      <c r="AD606" s="41"/>
      <c r="AE606" s="41">
        <v>0</v>
      </c>
      <c r="AF606" s="41"/>
      <c r="AG606" s="41">
        <v>0</v>
      </c>
      <c r="AH606" s="41"/>
      <c r="AI606" s="41">
        <f t="shared" ref="AI606:AI638" si="24">SUM(E606:AG606)</f>
        <v>0</v>
      </c>
      <c r="AJ606" s="41"/>
    </row>
    <row r="607" spans="1:42" hidden="1">
      <c r="A607" s="15" t="s">
        <v>50</v>
      </c>
      <c r="C607" s="15" t="s">
        <v>766</v>
      </c>
      <c r="E607" s="24">
        <v>0</v>
      </c>
      <c r="G607" s="24">
        <v>0</v>
      </c>
      <c r="I607" s="24">
        <v>0</v>
      </c>
      <c r="K607" s="24">
        <v>0</v>
      </c>
      <c r="M607" s="24">
        <v>0</v>
      </c>
      <c r="O607" s="24">
        <v>0</v>
      </c>
      <c r="Q607" s="24">
        <v>0</v>
      </c>
      <c r="S607" s="24">
        <v>0</v>
      </c>
      <c r="U607" s="24">
        <v>0</v>
      </c>
      <c r="W607" s="24">
        <v>0</v>
      </c>
      <c r="Y607" s="24">
        <v>0</v>
      </c>
      <c r="AA607" s="24">
        <v>0</v>
      </c>
      <c r="AC607" s="24">
        <v>0</v>
      </c>
      <c r="AE607" s="24">
        <v>0</v>
      </c>
      <c r="AG607" s="24">
        <v>0</v>
      </c>
      <c r="AI607" s="24">
        <f t="shared" si="24"/>
        <v>0</v>
      </c>
      <c r="AJ607" s="24"/>
      <c r="AK607" s="30"/>
      <c r="AL607" s="30"/>
      <c r="AM607" s="30"/>
      <c r="AN607" s="30"/>
      <c r="AO607" s="30"/>
      <c r="AP607" s="30"/>
    </row>
    <row r="608" spans="1:42" s="31" customFormat="1" hidden="1">
      <c r="A608" s="15" t="s">
        <v>853</v>
      </c>
      <c r="B608" s="15"/>
      <c r="C608" s="15" t="s">
        <v>764</v>
      </c>
      <c r="D608" s="15"/>
      <c r="E608" s="24">
        <v>0</v>
      </c>
      <c r="F608" s="24"/>
      <c r="G608" s="24">
        <v>0</v>
      </c>
      <c r="H608" s="24"/>
      <c r="I608" s="24">
        <v>0</v>
      </c>
      <c r="J608" s="24"/>
      <c r="K608" s="24">
        <v>0</v>
      </c>
      <c r="L608" s="24"/>
      <c r="M608" s="24">
        <v>0</v>
      </c>
      <c r="N608" s="24"/>
      <c r="O608" s="24">
        <v>0</v>
      </c>
      <c r="P608" s="24"/>
      <c r="Q608" s="24">
        <v>0</v>
      </c>
      <c r="R608" s="24"/>
      <c r="S608" s="24">
        <v>0</v>
      </c>
      <c r="T608" s="24"/>
      <c r="U608" s="24">
        <v>0</v>
      </c>
      <c r="V608" s="24"/>
      <c r="W608" s="24">
        <v>0</v>
      </c>
      <c r="X608" s="24"/>
      <c r="Y608" s="24">
        <v>0</v>
      </c>
      <c r="Z608" s="24"/>
      <c r="AA608" s="24">
        <v>0</v>
      </c>
      <c r="AB608" s="24"/>
      <c r="AC608" s="24">
        <v>0</v>
      </c>
      <c r="AD608" s="24"/>
      <c r="AE608" s="24">
        <v>0</v>
      </c>
      <c r="AF608" s="24"/>
      <c r="AG608" s="24">
        <v>0</v>
      </c>
      <c r="AH608" s="24"/>
      <c r="AI608" s="24">
        <f t="shared" si="24"/>
        <v>0</v>
      </c>
      <c r="AJ608" s="24"/>
      <c r="AK608" s="32"/>
      <c r="AL608" s="32"/>
      <c r="AM608" s="32"/>
      <c r="AN608" s="32"/>
      <c r="AO608" s="32"/>
      <c r="AP608" s="32"/>
    </row>
    <row r="609" spans="1:42" hidden="1">
      <c r="A609" s="15" t="s">
        <v>48</v>
      </c>
      <c r="C609" s="15" t="s">
        <v>763</v>
      </c>
      <c r="E609" s="24">
        <v>0</v>
      </c>
      <c r="G609" s="24">
        <v>0</v>
      </c>
      <c r="I609" s="24">
        <v>0</v>
      </c>
      <c r="K609" s="24">
        <v>0</v>
      </c>
      <c r="M609" s="24">
        <v>0</v>
      </c>
      <c r="O609" s="24">
        <v>0</v>
      </c>
      <c r="Q609" s="24">
        <v>0</v>
      </c>
      <c r="S609" s="24">
        <v>0</v>
      </c>
      <c r="U609" s="24">
        <v>0</v>
      </c>
      <c r="W609" s="24">
        <v>0</v>
      </c>
      <c r="Y609" s="24">
        <v>0</v>
      </c>
      <c r="AA609" s="24">
        <v>0</v>
      </c>
      <c r="AC609" s="24">
        <v>0</v>
      </c>
      <c r="AE609" s="24">
        <v>0</v>
      </c>
      <c r="AG609" s="24">
        <v>0</v>
      </c>
      <c r="AI609" s="24">
        <f t="shared" si="24"/>
        <v>0</v>
      </c>
      <c r="AJ609" s="24"/>
      <c r="AK609" s="30"/>
      <c r="AL609" s="30"/>
      <c r="AM609" s="30"/>
      <c r="AN609" s="30"/>
      <c r="AO609" s="30"/>
      <c r="AP609" s="30"/>
    </row>
    <row r="610" spans="1:42" s="31" customFormat="1">
      <c r="A610" s="15" t="s">
        <v>458</v>
      </c>
      <c r="B610" s="15"/>
      <c r="C610" s="15" t="s">
        <v>456</v>
      </c>
      <c r="D610" s="15"/>
      <c r="E610" s="24">
        <f>2279149+63089+623506</f>
        <v>2965744</v>
      </c>
      <c r="F610" s="24"/>
      <c r="G610" s="24">
        <v>0</v>
      </c>
      <c r="H610" s="24"/>
      <c r="I610" s="24">
        <f>629670+269918+696487</f>
        <v>1596075</v>
      </c>
      <c r="J610" s="24"/>
      <c r="K610" s="24">
        <f>8257+5827</f>
        <v>14084</v>
      </c>
      <c r="L610" s="24"/>
      <c r="M610" s="24">
        <f>171288+1400</f>
        <v>172688</v>
      </c>
      <c r="N610" s="24"/>
      <c r="O610" s="24">
        <f>29391+61392</f>
        <v>90783</v>
      </c>
      <c r="P610" s="24"/>
      <c r="Q610" s="24">
        <f>87116+4920+7469</f>
        <v>99505</v>
      </c>
      <c r="R610" s="24"/>
      <c r="S610" s="24">
        <f>57952+250+24472</f>
        <v>82674</v>
      </c>
      <c r="T610" s="24"/>
      <c r="U610" s="24">
        <v>0</v>
      </c>
      <c r="V610" s="24"/>
      <c r="W610" s="24">
        <v>2482544</v>
      </c>
      <c r="X610" s="24"/>
      <c r="Y610" s="24">
        <v>0</v>
      </c>
      <c r="Z610" s="24"/>
      <c r="AA610" s="24">
        <v>2376</v>
      </c>
      <c r="AB610" s="24"/>
      <c r="AC610" s="24">
        <v>85000</v>
      </c>
      <c r="AD610" s="24"/>
      <c r="AE610" s="24">
        <v>0</v>
      </c>
      <c r="AF610" s="24"/>
      <c r="AG610" s="24">
        <v>0</v>
      </c>
      <c r="AH610" s="24"/>
      <c r="AI610" s="24">
        <f t="shared" si="24"/>
        <v>7591473</v>
      </c>
      <c r="AJ610" s="24"/>
    </row>
    <row r="611" spans="1:42" ht="12.6" customHeight="1">
      <c r="A611" s="15" t="s">
        <v>593</v>
      </c>
      <c r="C611" s="15" t="s">
        <v>606</v>
      </c>
      <c r="E611" s="24">
        <f>24449+91768</f>
        <v>116217</v>
      </c>
      <c r="G611" s="24">
        <v>0</v>
      </c>
      <c r="I611" s="24">
        <f>33053+51138</f>
        <v>84191</v>
      </c>
      <c r="K611" s="24">
        <v>0</v>
      </c>
      <c r="M611" s="24">
        <f>529+58994</f>
        <v>59523</v>
      </c>
      <c r="O611" s="24">
        <f>6849+8835</f>
        <v>15684</v>
      </c>
      <c r="Q611" s="24">
        <f>6574+532</f>
        <v>7106</v>
      </c>
      <c r="S611" s="24">
        <f>4518+18012</f>
        <v>22530</v>
      </c>
      <c r="U611" s="24">
        <v>0</v>
      </c>
      <c r="W611" s="24">
        <v>0</v>
      </c>
      <c r="Y611" s="24">
        <v>0</v>
      </c>
      <c r="AA611" s="24">
        <v>10500</v>
      </c>
      <c r="AC611" s="24">
        <v>0</v>
      </c>
      <c r="AE611" s="24">
        <v>0</v>
      </c>
      <c r="AF611" s="38"/>
      <c r="AG611" s="24">
        <v>0</v>
      </c>
      <c r="AH611" s="38"/>
      <c r="AI611" s="24">
        <f t="shared" si="24"/>
        <v>315751</v>
      </c>
      <c r="AJ611" s="24"/>
      <c r="AK611" s="30"/>
      <c r="AL611" s="30"/>
      <c r="AM611" s="30"/>
      <c r="AN611" s="30"/>
      <c r="AO611" s="30"/>
      <c r="AP611" s="30"/>
    </row>
    <row r="612" spans="1:42" ht="12.6" hidden="1" customHeight="1">
      <c r="A612" s="15" t="s">
        <v>339</v>
      </c>
      <c r="C612" s="15" t="s">
        <v>329</v>
      </c>
      <c r="E612" s="24">
        <v>0</v>
      </c>
      <c r="G612" s="24">
        <v>0</v>
      </c>
      <c r="I612" s="24">
        <v>0</v>
      </c>
      <c r="K612" s="24">
        <v>0</v>
      </c>
      <c r="M612" s="24">
        <v>0</v>
      </c>
      <c r="O612" s="24">
        <v>0</v>
      </c>
      <c r="Q612" s="24">
        <v>0</v>
      </c>
      <c r="S612" s="24">
        <v>0</v>
      </c>
      <c r="U612" s="24">
        <v>0</v>
      </c>
      <c r="W612" s="24">
        <v>0</v>
      </c>
      <c r="Y612" s="24">
        <v>0</v>
      </c>
      <c r="AA612" s="24">
        <v>0</v>
      </c>
      <c r="AC612" s="24">
        <v>0</v>
      </c>
      <c r="AE612" s="24">
        <v>0</v>
      </c>
      <c r="AF612" s="38"/>
      <c r="AG612" s="24">
        <v>0</v>
      </c>
      <c r="AH612" s="38"/>
      <c r="AI612" s="24">
        <f t="shared" si="24"/>
        <v>0</v>
      </c>
      <c r="AJ612" s="24"/>
      <c r="AK612" s="30"/>
      <c r="AL612" s="30"/>
      <c r="AM612" s="30"/>
      <c r="AN612" s="30"/>
      <c r="AO612" s="30"/>
      <c r="AP612" s="30"/>
    </row>
    <row r="613" spans="1:42">
      <c r="A613" s="15" t="s">
        <v>552</v>
      </c>
      <c r="C613" s="15" t="s">
        <v>545</v>
      </c>
      <c r="E613" s="24">
        <f>24105+92745+13970</f>
        <v>130820</v>
      </c>
      <c r="G613" s="24">
        <v>0</v>
      </c>
      <c r="I613" s="24">
        <f>31136+75440</f>
        <v>106576</v>
      </c>
      <c r="K613" s="24">
        <v>0</v>
      </c>
      <c r="M613" s="24">
        <v>54406</v>
      </c>
      <c r="O613" s="24">
        <f>1268+100</f>
        <v>1368</v>
      </c>
      <c r="Q613" s="24">
        <v>16925</v>
      </c>
      <c r="S613" s="24">
        <f>14710+19153</f>
        <v>33863</v>
      </c>
      <c r="U613" s="24">
        <v>0</v>
      </c>
      <c r="W613" s="24">
        <v>0</v>
      </c>
      <c r="Y613" s="24">
        <v>0</v>
      </c>
      <c r="AA613" s="24">
        <v>0</v>
      </c>
      <c r="AC613" s="24">
        <v>0</v>
      </c>
      <c r="AE613" s="24">
        <v>0</v>
      </c>
      <c r="AG613" s="24">
        <v>0</v>
      </c>
      <c r="AI613" s="24">
        <f t="shared" si="24"/>
        <v>343958</v>
      </c>
      <c r="AJ613" s="24"/>
    </row>
    <row r="614" spans="1:42" hidden="1">
      <c r="A614" s="15" t="s">
        <v>14</v>
      </c>
      <c r="C614" s="15" t="s">
        <v>754</v>
      </c>
      <c r="E614" s="24">
        <v>0</v>
      </c>
      <c r="G614" s="24">
        <v>0</v>
      </c>
      <c r="I614" s="24">
        <v>0</v>
      </c>
      <c r="K614" s="24">
        <v>0</v>
      </c>
      <c r="M614" s="24">
        <v>0</v>
      </c>
      <c r="O614" s="24">
        <v>0</v>
      </c>
      <c r="Q614" s="24">
        <v>0</v>
      </c>
      <c r="S614" s="24">
        <v>0</v>
      </c>
      <c r="U614" s="24">
        <v>0</v>
      </c>
      <c r="W614" s="24">
        <v>0</v>
      </c>
      <c r="Y614" s="24">
        <v>0</v>
      </c>
      <c r="AA614" s="24">
        <v>0</v>
      </c>
      <c r="AC614" s="24">
        <v>0</v>
      </c>
      <c r="AE614" s="24">
        <v>0</v>
      </c>
      <c r="AG614" s="24">
        <v>0</v>
      </c>
      <c r="AI614" s="24">
        <f t="shared" si="24"/>
        <v>0</v>
      </c>
      <c r="AJ614" s="24"/>
    </row>
    <row r="615" spans="1:42">
      <c r="A615" s="15" t="s">
        <v>588</v>
      </c>
      <c r="C615" s="15" t="s">
        <v>586</v>
      </c>
      <c r="E615" s="24">
        <f>100658+262407+73578+2298</f>
        <v>438941</v>
      </c>
      <c r="G615" s="24">
        <v>0</v>
      </c>
      <c r="I615" s="24">
        <f>146826+123140+17068+5523+33795-1</f>
        <v>326351</v>
      </c>
      <c r="K615" s="24">
        <v>0</v>
      </c>
      <c r="M615" s="24">
        <f>28983+1000</f>
        <v>29983</v>
      </c>
      <c r="O615" s="24">
        <f>105587+672+9875</f>
        <v>116134</v>
      </c>
      <c r="Q615" s="24">
        <v>31558</v>
      </c>
      <c r="S615" s="24">
        <f>16722+888+15639</f>
        <v>33249</v>
      </c>
      <c r="U615" s="24">
        <v>0</v>
      </c>
      <c r="W615" s="24">
        <v>352000</v>
      </c>
      <c r="Y615" s="24">
        <v>0</v>
      </c>
      <c r="AA615" s="24">
        <v>0</v>
      </c>
      <c r="AC615" s="24">
        <v>0</v>
      </c>
      <c r="AE615" s="24">
        <v>0</v>
      </c>
      <c r="AG615" s="24">
        <v>0</v>
      </c>
      <c r="AI615" s="24">
        <f t="shared" si="24"/>
        <v>1328216</v>
      </c>
      <c r="AJ615" s="24"/>
    </row>
    <row r="616" spans="1:42" s="31" customFormat="1">
      <c r="A616" s="15" t="s">
        <v>454</v>
      </c>
      <c r="B616" s="15"/>
      <c r="C616" s="15" t="s">
        <v>452</v>
      </c>
      <c r="D616" s="15"/>
      <c r="E616" s="24">
        <f>672997+30291</f>
        <v>703288</v>
      </c>
      <c r="F616" s="24"/>
      <c r="G616" s="24">
        <f>1093699+364571</f>
        <v>1458270</v>
      </c>
      <c r="H616" s="24"/>
      <c r="I616" s="24">
        <f>306641+373602+229500</f>
        <v>909743</v>
      </c>
      <c r="J616" s="24"/>
      <c r="K616" s="24">
        <f>3458+88236</f>
        <v>91694</v>
      </c>
      <c r="L616" s="24"/>
      <c r="M616" s="24">
        <f>50190+8361+61331</f>
        <v>119882</v>
      </c>
      <c r="N616" s="24"/>
      <c r="O616" s="24">
        <v>48154</v>
      </c>
      <c r="P616" s="24"/>
      <c r="Q616" s="24">
        <f>180674+67026</f>
        <v>247700</v>
      </c>
      <c r="R616" s="24"/>
      <c r="S616" s="24">
        <f>32528+50</f>
        <v>32578</v>
      </c>
      <c r="T616" s="24"/>
      <c r="U616" s="24">
        <v>0</v>
      </c>
      <c r="V616" s="24"/>
      <c r="W616" s="24">
        <v>0</v>
      </c>
      <c r="X616" s="24"/>
      <c r="Y616" s="24">
        <v>0</v>
      </c>
      <c r="Z616" s="24"/>
      <c r="AA616" s="24">
        <v>5500</v>
      </c>
      <c r="AB616" s="24"/>
      <c r="AC616" s="24">
        <v>0</v>
      </c>
      <c r="AD616" s="24"/>
      <c r="AE616" s="24">
        <v>0</v>
      </c>
      <c r="AF616" s="38"/>
      <c r="AG616" s="24">
        <v>0</v>
      </c>
      <c r="AH616" s="38"/>
      <c r="AI616" s="24">
        <f t="shared" si="24"/>
        <v>3616809</v>
      </c>
      <c r="AJ616" s="24"/>
    </row>
    <row r="617" spans="1:42" s="31" customFormat="1" ht="12.6" hidden="1" customHeight="1">
      <c r="A617" s="15" t="s">
        <v>306</v>
      </c>
      <c r="B617" s="15"/>
      <c r="C617" s="15" t="s">
        <v>305</v>
      </c>
      <c r="D617" s="15"/>
      <c r="E617" s="24">
        <v>0</v>
      </c>
      <c r="F617" s="24"/>
      <c r="G617" s="24">
        <v>0</v>
      </c>
      <c r="H617" s="24"/>
      <c r="I617" s="24">
        <v>0</v>
      </c>
      <c r="J617" s="24"/>
      <c r="K617" s="24">
        <v>0</v>
      </c>
      <c r="L617" s="24"/>
      <c r="M617" s="24">
        <v>0</v>
      </c>
      <c r="N617" s="24"/>
      <c r="O617" s="24">
        <v>0</v>
      </c>
      <c r="P617" s="24"/>
      <c r="Q617" s="24">
        <v>0</v>
      </c>
      <c r="R617" s="24"/>
      <c r="S617" s="24">
        <v>0</v>
      </c>
      <c r="T617" s="24"/>
      <c r="U617" s="24">
        <v>0</v>
      </c>
      <c r="V617" s="24"/>
      <c r="W617" s="24">
        <v>0</v>
      </c>
      <c r="X617" s="24"/>
      <c r="Y617" s="24">
        <v>0</v>
      </c>
      <c r="Z617" s="24"/>
      <c r="AA617" s="24">
        <v>0</v>
      </c>
      <c r="AB617" s="24"/>
      <c r="AC617" s="24">
        <v>0</v>
      </c>
      <c r="AD617" s="24"/>
      <c r="AE617" s="24">
        <v>0</v>
      </c>
      <c r="AF617" s="24"/>
      <c r="AG617" s="24">
        <v>0</v>
      </c>
      <c r="AH617" s="24"/>
      <c r="AI617" s="24">
        <f t="shared" si="24"/>
        <v>0</v>
      </c>
      <c r="AJ617" s="24"/>
      <c r="AK617" s="32"/>
      <c r="AL617" s="32"/>
      <c r="AM617" s="32"/>
      <c r="AN617" s="32"/>
      <c r="AO617" s="32"/>
      <c r="AP617" s="32"/>
    </row>
    <row r="618" spans="1:42">
      <c r="A618" s="15" t="s">
        <v>516</v>
      </c>
      <c r="C618" s="15" t="s">
        <v>513</v>
      </c>
      <c r="E618" s="24">
        <v>134287</v>
      </c>
      <c r="G618" s="24">
        <v>302778</v>
      </c>
      <c r="I618" s="24">
        <f>155189+82214</f>
        <v>237403</v>
      </c>
      <c r="K618" s="24">
        <v>23721</v>
      </c>
      <c r="M618" s="24">
        <v>356478</v>
      </c>
      <c r="O618" s="24">
        <f>2766+245</f>
        <v>3011</v>
      </c>
      <c r="Q618" s="24">
        <f>16897+455</f>
        <v>17352</v>
      </c>
      <c r="S618" s="24">
        <f>20212+752</f>
        <v>20964</v>
      </c>
      <c r="U618" s="24">
        <v>0</v>
      </c>
      <c r="W618" s="24">
        <f>41044+8227</f>
        <v>49271</v>
      </c>
      <c r="Y618" s="24">
        <v>0</v>
      </c>
      <c r="AA618" s="24">
        <v>0</v>
      </c>
      <c r="AC618" s="24">
        <v>0</v>
      </c>
      <c r="AE618" s="24">
        <f>155000+63000</f>
        <v>218000</v>
      </c>
      <c r="AG618" s="24">
        <v>0</v>
      </c>
      <c r="AI618" s="24">
        <f t="shared" si="24"/>
        <v>1363265</v>
      </c>
      <c r="AJ618" s="24"/>
    </row>
    <row r="619" spans="1:42" hidden="1">
      <c r="A619" s="15" t="s">
        <v>230</v>
      </c>
      <c r="C619" s="15" t="s">
        <v>822</v>
      </c>
      <c r="E619" s="24">
        <v>0</v>
      </c>
      <c r="G619" s="24">
        <v>0</v>
      </c>
      <c r="I619" s="24">
        <v>0</v>
      </c>
      <c r="K619" s="24">
        <v>0</v>
      </c>
      <c r="M619" s="24">
        <v>0</v>
      </c>
      <c r="O619" s="24">
        <v>0</v>
      </c>
      <c r="Q619" s="24">
        <v>0</v>
      </c>
      <c r="S619" s="24">
        <v>0</v>
      </c>
      <c r="U619" s="24">
        <v>0</v>
      </c>
      <c r="W619" s="24">
        <v>0</v>
      </c>
      <c r="Y619" s="24">
        <v>0</v>
      </c>
      <c r="AA619" s="24">
        <v>0</v>
      </c>
      <c r="AC619" s="24">
        <v>0</v>
      </c>
      <c r="AE619" s="24">
        <v>0</v>
      </c>
      <c r="AG619" s="24">
        <v>0</v>
      </c>
      <c r="AI619" s="24">
        <f t="shared" si="24"/>
        <v>0</v>
      </c>
      <c r="AJ619" s="24"/>
    </row>
    <row r="620" spans="1:42" s="31" customFormat="1" ht="12.6" customHeight="1">
      <c r="A620" s="15" t="s">
        <v>310</v>
      </c>
      <c r="B620" s="15"/>
      <c r="C620" s="15" t="s">
        <v>308</v>
      </c>
      <c r="D620" s="15"/>
      <c r="E620" s="24">
        <v>116858</v>
      </c>
      <c r="F620" s="24"/>
      <c r="G620" s="24">
        <v>305629</v>
      </c>
      <c r="H620" s="24"/>
      <c r="I620" s="24">
        <f>64385+113005+76956</f>
        <v>254346</v>
      </c>
      <c r="J620" s="24"/>
      <c r="K620" s="24">
        <v>0</v>
      </c>
      <c r="L620" s="24"/>
      <c r="M620" s="24">
        <v>78490</v>
      </c>
      <c r="N620" s="24"/>
      <c r="O620" s="24">
        <f>9160+107</f>
        <v>9267</v>
      </c>
      <c r="P620" s="24"/>
      <c r="Q620" s="24">
        <f>20575+1806</f>
        <v>22381</v>
      </c>
      <c r="R620" s="24"/>
      <c r="S620" s="24">
        <v>0</v>
      </c>
      <c r="T620" s="24"/>
      <c r="U620" s="24">
        <v>0</v>
      </c>
      <c r="V620" s="24"/>
      <c r="W620" s="24">
        <v>0</v>
      </c>
      <c r="X620" s="24"/>
      <c r="Y620" s="24">
        <v>0</v>
      </c>
      <c r="Z620" s="24"/>
      <c r="AA620" s="24">
        <v>35000</v>
      </c>
      <c r="AB620" s="24"/>
      <c r="AC620" s="24">
        <v>0</v>
      </c>
      <c r="AD620" s="24"/>
      <c r="AE620" s="24">
        <v>0</v>
      </c>
      <c r="AF620" s="24"/>
      <c r="AG620" s="24">
        <v>0</v>
      </c>
      <c r="AH620" s="24"/>
      <c r="AI620" s="24">
        <f t="shared" si="24"/>
        <v>821971</v>
      </c>
      <c r="AJ620" s="24"/>
      <c r="AK620" s="32"/>
      <c r="AL620" s="32"/>
      <c r="AM620" s="32"/>
      <c r="AN620" s="32"/>
      <c r="AO620" s="32"/>
      <c r="AP620" s="32"/>
    </row>
    <row r="621" spans="1:42">
      <c r="A621" s="15" t="s">
        <v>927</v>
      </c>
      <c r="C621" s="15" t="s">
        <v>517</v>
      </c>
      <c r="E621" s="24">
        <f>3323+5803</f>
        <v>9126</v>
      </c>
      <c r="G621" s="24">
        <v>0</v>
      </c>
      <c r="I621" s="24">
        <f>44150+12088+21000</f>
        <v>77238</v>
      </c>
      <c r="K621" s="24">
        <v>0</v>
      </c>
      <c r="M621" s="24">
        <v>0</v>
      </c>
      <c r="O621" s="24">
        <v>0</v>
      </c>
      <c r="Q621" s="24">
        <v>90</v>
      </c>
      <c r="S621" s="24">
        <f>6223+23294+19025-1</f>
        <v>48541</v>
      </c>
      <c r="U621" s="24">
        <v>0</v>
      </c>
      <c r="W621" s="24">
        <v>0</v>
      </c>
      <c r="Y621" s="24">
        <v>0</v>
      </c>
      <c r="AA621" s="24">
        <v>26000</v>
      </c>
      <c r="AC621" s="24">
        <v>0</v>
      </c>
      <c r="AE621" s="24">
        <v>0</v>
      </c>
      <c r="AG621" s="24">
        <v>0</v>
      </c>
      <c r="AI621" s="24">
        <f t="shared" si="24"/>
        <v>160995</v>
      </c>
      <c r="AJ621" s="24"/>
    </row>
    <row r="622" spans="1:42" s="31" customFormat="1" hidden="1">
      <c r="A622" s="15" t="s">
        <v>135</v>
      </c>
      <c r="B622" s="15"/>
      <c r="C622" s="15" t="s">
        <v>791</v>
      </c>
      <c r="D622" s="15"/>
      <c r="E622" s="24">
        <v>0</v>
      </c>
      <c r="F622" s="24"/>
      <c r="G622" s="24">
        <v>0</v>
      </c>
      <c r="H622" s="24"/>
      <c r="I622" s="24">
        <v>0</v>
      </c>
      <c r="J622" s="24"/>
      <c r="K622" s="24">
        <v>0</v>
      </c>
      <c r="L622" s="24"/>
      <c r="M622" s="24">
        <v>0</v>
      </c>
      <c r="N622" s="24"/>
      <c r="O622" s="24">
        <v>0</v>
      </c>
      <c r="P622" s="24"/>
      <c r="Q622" s="24">
        <v>0</v>
      </c>
      <c r="R622" s="24"/>
      <c r="S622" s="24">
        <v>0</v>
      </c>
      <c r="T622" s="24"/>
      <c r="U622" s="24">
        <v>0</v>
      </c>
      <c r="V622" s="24"/>
      <c r="W622" s="24">
        <v>0</v>
      </c>
      <c r="X622" s="24"/>
      <c r="Y622" s="24">
        <v>0</v>
      </c>
      <c r="Z622" s="24"/>
      <c r="AA622" s="24">
        <v>0</v>
      </c>
      <c r="AB622" s="24"/>
      <c r="AC622" s="24">
        <v>0</v>
      </c>
      <c r="AD622" s="24"/>
      <c r="AE622" s="24">
        <v>0</v>
      </c>
      <c r="AF622" s="24"/>
      <c r="AG622" s="24">
        <v>0</v>
      </c>
      <c r="AH622" s="24"/>
      <c r="AI622" s="24">
        <f t="shared" si="24"/>
        <v>0</v>
      </c>
      <c r="AJ622" s="24"/>
    </row>
    <row r="623" spans="1:42">
      <c r="AI623" s="24" t="s">
        <v>869</v>
      </c>
      <c r="AJ623" s="24"/>
    </row>
    <row r="624" spans="1:42" s="41" customFormat="1">
      <c r="A624" s="41" t="s">
        <v>928</v>
      </c>
      <c r="C624" s="41" t="s">
        <v>513</v>
      </c>
      <c r="E624" s="41">
        <f>49447+185</f>
        <v>49632</v>
      </c>
      <c r="G624" s="41">
        <v>0</v>
      </c>
      <c r="I624" s="41">
        <f>928+24458</f>
        <v>25386</v>
      </c>
      <c r="K624" s="41">
        <v>0</v>
      </c>
      <c r="M624" s="41">
        <f>24444+47678</f>
        <v>72122</v>
      </c>
      <c r="O624" s="41">
        <v>605</v>
      </c>
      <c r="Q624" s="41">
        <v>8314</v>
      </c>
      <c r="S624" s="41">
        <f>393+19002</f>
        <v>19395</v>
      </c>
      <c r="U624" s="41">
        <v>0</v>
      </c>
      <c r="W624" s="41">
        <v>0</v>
      </c>
      <c r="Y624" s="41">
        <v>0</v>
      </c>
      <c r="AA624" s="41">
        <v>0</v>
      </c>
      <c r="AC624" s="41">
        <v>0</v>
      </c>
      <c r="AE624" s="41">
        <v>0</v>
      </c>
      <c r="AG624" s="41">
        <v>0</v>
      </c>
      <c r="AI624" s="41">
        <f t="shared" si="24"/>
        <v>175454</v>
      </c>
    </row>
    <row r="625" spans="1:42" hidden="1">
      <c r="A625" s="15" t="s">
        <v>262</v>
      </c>
      <c r="C625" s="15" t="s">
        <v>830</v>
      </c>
      <c r="E625" s="24">
        <v>0</v>
      </c>
      <c r="G625" s="24">
        <v>0</v>
      </c>
      <c r="I625" s="24">
        <v>0</v>
      </c>
      <c r="K625" s="24">
        <v>0</v>
      </c>
      <c r="M625" s="24">
        <v>0</v>
      </c>
      <c r="O625" s="24">
        <v>0</v>
      </c>
      <c r="Q625" s="24">
        <v>0</v>
      </c>
      <c r="S625" s="24">
        <v>0</v>
      </c>
      <c r="U625" s="24">
        <v>0</v>
      </c>
      <c r="W625" s="24">
        <v>0</v>
      </c>
      <c r="Y625" s="24">
        <v>0</v>
      </c>
      <c r="AA625" s="24">
        <v>0</v>
      </c>
      <c r="AC625" s="24">
        <v>0</v>
      </c>
      <c r="AE625" s="24">
        <v>0</v>
      </c>
      <c r="AG625" s="24">
        <v>0</v>
      </c>
      <c r="AI625" s="24">
        <f t="shared" si="24"/>
        <v>0</v>
      </c>
      <c r="AJ625" s="24"/>
    </row>
    <row r="626" spans="1:42" s="31" customFormat="1">
      <c r="A626" s="15" t="s">
        <v>475</v>
      </c>
      <c r="B626" s="15"/>
      <c r="C626" s="15" t="s">
        <v>473</v>
      </c>
      <c r="D626" s="15"/>
      <c r="E626" s="24">
        <f>268711+83999</f>
        <v>352710</v>
      </c>
      <c r="F626" s="24"/>
      <c r="G626" s="24">
        <v>854492</v>
      </c>
      <c r="H626" s="24"/>
      <c r="I626" s="24">
        <f>308747+231956+178</f>
        <v>540881</v>
      </c>
      <c r="J626" s="24"/>
      <c r="K626" s="24">
        <v>42</v>
      </c>
      <c r="L626" s="24"/>
      <c r="M626" s="24">
        <f>250+940</f>
        <v>1190</v>
      </c>
      <c r="N626" s="24"/>
      <c r="O626" s="24">
        <f>2903+2772</f>
        <v>5675</v>
      </c>
      <c r="P626" s="24"/>
      <c r="Q626" s="24">
        <f>69758+8826+3576</f>
        <v>82160</v>
      </c>
      <c r="R626" s="24"/>
      <c r="S626" s="24">
        <f>35472+12619</f>
        <v>48091</v>
      </c>
      <c r="T626" s="24"/>
      <c r="U626" s="24">
        <v>0</v>
      </c>
      <c r="V626" s="24"/>
      <c r="W626" s="24">
        <v>0</v>
      </c>
      <c r="X626" s="24"/>
      <c r="Y626" s="24">
        <f>3079+15000</f>
        <v>18079</v>
      </c>
      <c r="Z626" s="24"/>
      <c r="AA626" s="24">
        <f>51907+250132+30000</f>
        <v>332039</v>
      </c>
      <c r="AB626" s="24"/>
      <c r="AC626" s="24">
        <v>0</v>
      </c>
      <c r="AD626" s="24"/>
      <c r="AE626" s="24">
        <v>0</v>
      </c>
      <c r="AF626" s="24"/>
      <c r="AG626" s="24">
        <v>0</v>
      </c>
      <c r="AH626" s="24"/>
      <c r="AI626" s="24">
        <f t="shared" si="24"/>
        <v>2235359</v>
      </c>
      <c r="AJ626" s="24"/>
    </row>
    <row r="627" spans="1:42" ht="12.6" hidden="1" customHeight="1">
      <c r="A627" s="15" t="s">
        <v>351</v>
      </c>
      <c r="C627" s="15" t="s">
        <v>350</v>
      </c>
      <c r="E627" s="24">
        <v>0</v>
      </c>
      <c r="G627" s="24">
        <v>0</v>
      </c>
      <c r="I627" s="24">
        <v>0</v>
      </c>
      <c r="K627" s="24">
        <v>0</v>
      </c>
      <c r="M627" s="24">
        <v>0</v>
      </c>
      <c r="O627" s="24">
        <v>0</v>
      </c>
      <c r="Q627" s="24">
        <v>0</v>
      </c>
      <c r="S627" s="24">
        <v>0</v>
      </c>
      <c r="U627" s="24">
        <v>0</v>
      </c>
      <c r="W627" s="24">
        <v>0</v>
      </c>
      <c r="Y627" s="24">
        <v>0</v>
      </c>
      <c r="AA627" s="24">
        <v>0</v>
      </c>
      <c r="AC627" s="24">
        <v>0</v>
      </c>
      <c r="AE627" s="24">
        <v>0</v>
      </c>
      <c r="AF627" s="38"/>
      <c r="AG627" s="24">
        <v>0</v>
      </c>
      <c r="AH627" s="38"/>
      <c r="AI627" s="24">
        <f t="shared" si="24"/>
        <v>0</v>
      </c>
      <c r="AJ627" s="24"/>
      <c r="AK627" s="30"/>
      <c r="AL627" s="30"/>
      <c r="AM627" s="30"/>
      <c r="AN627" s="30"/>
      <c r="AO627" s="30"/>
      <c r="AP627" s="30"/>
    </row>
    <row r="628" spans="1:42" hidden="1">
      <c r="A628" s="15" t="s">
        <v>250</v>
      </c>
      <c r="C628" s="15" t="s">
        <v>828</v>
      </c>
      <c r="E628" s="24">
        <v>0</v>
      </c>
      <c r="G628" s="24">
        <v>0</v>
      </c>
      <c r="I628" s="24">
        <v>0</v>
      </c>
      <c r="K628" s="24">
        <v>0</v>
      </c>
      <c r="M628" s="24">
        <v>0</v>
      </c>
      <c r="O628" s="24">
        <v>0</v>
      </c>
      <c r="Q628" s="24">
        <v>0</v>
      </c>
      <c r="S628" s="24">
        <v>0</v>
      </c>
      <c r="U628" s="24">
        <v>0</v>
      </c>
      <c r="W628" s="24">
        <v>0</v>
      </c>
      <c r="Y628" s="24">
        <v>0</v>
      </c>
      <c r="AA628" s="24">
        <v>0</v>
      </c>
      <c r="AC628" s="24">
        <v>0</v>
      </c>
      <c r="AE628" s="24">
        <v>0</v>
      </c>
      <c r="AG628" s="24">
        <v>0</v>
      </c>
      <c r="AI628" s="24">
        <f t="shared" si="24"/>
        <v>0</v>
      </c>
      <c r="AJ628" s="24"/>
    </row>
    <row r="629" spans="1:42" hidden="1">
      <c r="A629" s="15" t="s">
        <v>0</v>
      </c>
      <c r="C629" s="15" t="s">
        <v>667</v>
      </c>
      <c r="E629" s="24">
        <v>0</v>
      </c>
      <c r="G629" s="24">
        <v>0</v>
      </c>
      <c r="I629" s="24">
        <v>0</v>
      </c>
      <c r="K629" s="24">
        <v>0</v>
      </c>
      <c r="M629" s="24">
        <v>0</v>
      </c>
      <c r="O629" s="24">
        <v>0</v>
      </c>
      <c r="Q629" s="24">
        <v>0</v>
      </c>
      <c r="S629" s="24">
        <v>0</v>
      </c>
      <c r="U629" s="24">
        <v>0</v>
      </c>
      <c r="W629" s="24">
        <v>0</v>
      </c>
      <c r="Y629" s="24">
        <v>0</v>
      </c>
      <c r="AA629" s="24">
        <v>0</v>
      </c>
      <c r="AC629" s="24">
        <v>0</v>
      </c>
      <c r="AE629" s="24">
        <v>0</v>
      </c>
      <c r="AG629" s="24">
        <v>0</v>
      </c>
      <c r="AI629" s="24">
        <f t="shared" si="24"/>
        <v>0</v>
      </c>
      <c r="AJ629" s="24"/>
    </row>
    <row r="630" spans="1:42" hidden="1">
      <c r="A630" s="15" t="s">
        <v>604</v>
      </c>
      <c r="C630" s="15" t="s">
        <v>601</v>
      </c>
      <c r="E630" s="24">
        <v>0</v>
      </c>
      <c r="G630" s="24">
        <v>0</v>
      </c>
      <c r="I630" s="24">
        <v>0</v>
      </c>
      <c r="K630" s="24">
        <v>0</v>
      </c>
      <c r="M630" s="24">
        <v>0</v>
      </c>
      <c r="O630" s="24">
        <v>0</v>
      </c>
      <c r="Q630" s="24">
        <v>0</v>
      </c>
      <c r="S630" s="24">
        <v>0</v>
      </c>
      <c r="U630" s="24">
        <v>0</v>
      </c>
      <c r="W630" s="24">
        <v>0</v>
      </c>
      <c r="Y630" s="24">
        <v>0</v>
      </c>
      <c r="AA630" s="24">
        <v>0</v>
      </c>
      <c r="AC630" s="24">
        <v>0</v>
      </c>
      <c r="AE630" s="24">
        <v>0</v>
      </c>
      <c r="AG630" s="24">
        <v>0</v>
      </c>
      <c r="AI630" s="24">
        <f t="shared" si="24"/>
        <v>0</v>
      </c>
      <c r="AJ630" s="24"/>
    </row>
    <row r="631" spans="1:42" hidden="1">
      <c r="A631" s="15" t="s">
        <v>155</v>
      </c>
      <c r="C631" s="15" t="s">
        <v>797</v>
      </c>
      <c r="E631" s="24">
        <v>0</v>
      </c>
      <c r="G631" s="24">
        <v>0</v>
      </c>
      <c r="I631" s="24">
        <v>0</v>
      </c>
      <c r="K631" s="24">
        <v>0</v>
      </c>
      <c r="M631" s="24">
        <v>0</v>
      </c>
      <c r="O631" s="24">
        <v>0</v>
      </c>
      <c r="Q631" s="24">
        <v>0</v>
      </c>
      <c r="S631" s="24">
        <v>0</v>
      </c>
      <c r="U631" s="24">
        <v>0</v>
      </c>
      <c r="W631" s="24">
        <v>0</v>
      </c>
      <c r="Y631" s="24">
        <v>0</v>
      </c>
      <c r="AA631" s="24">
        <v>0</v>
      </c>
      <c r="AC631" s="24">
        <v>0</v>
      </c>
      <c r="AE631" s="24">
        <v>0</v>
      </c>
      <c r="AG631" s="24">
        <v>0</v>
      </c>
      <c r="AI631" s="24">
        <f t="shared" si="24"/>
        <v>0</v>
      </c>
      <c r="AJ631" s="24"/>
    </row>
    <row r="632" spans="1:42" hidden="1">
      <c r="A632" s="15" t="s">
        <v>263</v>
      </c>
      <c r="C632" s="15" t="s">
        <v>606</v>
      </c>
      <c r="E632" s="24">
        <v>0</v>
      </c>
      <c r="G632" s="24">
        <v>0</v>
      </c>
      <c r="I632" s="24">
        <v>0</v>
      </c>
      <c r="K632" s="24">
        <v>0</v>
      </c>
      <c r="M632" s="24">
        <v>0</v>
      </c>
      <c r="O632" s="24">
        <v>0</v>
      </c>
      <c r="Q632" s="24">
        <v>0</v>
      </c>
      <c r="S632" s="24">
        <v>0</v>
      </c>
      <c r="U632" s="24">
        <v>0</v>
      </c>
      <c r="W632" s="24">
        <v>0</v>
      </c>
      <c r="Y632" s="24">
        <v>0</v>
      </c>
      <c r="AA632" s="24">
        <v>0</v>
      </c>
      <c r="AC632" s="24">
        <v>0</v>
      </c>
      <c r="AE632" s="24">
        <v>0</v>
      </c>
      <c r="AG632" s="24">
        <v>0</v>
      </c>
      <c r="AI632" s="24">
        <f t="shared" si="24"/>
        <v>0</v>
      </c>
      <c r="AJ632" s="24"/>
    </row>
    <row r="633" spans="1:42" hidden="1">
      <c r="A633" s="15" t="s">
        <v>263</v>
      </c>
      <c r="C633" s="15" t="s">
        <v>830</v>
      </c>
      <c r="E633" s="24">
        <v>0</v>
      </c>
      <c r="G633" s="24">
        <v>0</v>
      </c>
      <c r="I633" s="24">
        <v>0</v>
      </c>
      <c r="K633" s="24">
        <v>0</v>
      </c>
      <c r="M633" s="24">
        <v>0</v>
      </c>
      <c r="O633" s="24">
        <v>0</v>
      </c>
      <c r="Q633" s="24">
        <v>0</v>
      </c>
      <c r="S633" s="24">
        <v>0</v>
      </c>
      <c r="U633" s="24">
        <v>0</v>
      </c>
      <c r="W633" s="24">
        <v>0</v>
      </c>
      <c r="Y633" s="24">
        <v>0</v>
      </c>
      <c r="AA633" s="24">
        <v>0</v>
      </c>
      <c r="AC633" s="24">
        <v>0</v>
      </c>
      <c r="AE633" s="24">
        <v>0</v>
      </c>
      <c r="AG633" s="24">
        <v>0</v>
      </c>
      <c r="AI633" s="24">
        <f t="shared" si="24"/>
        <v>0</v>
      </c>
      <c r="AJ633" s="24"/>
    </row>
    <row r="634" spans="1:42">
      <c r="A634" s="15" t="s">
        <v>929</v>
      </c>
      <c r="C634" s="15" t="s">
        <v>614</v>
      </c>
      <c r="E634" s="24">
        <v>6478</v>
      </c>
      <c r="G634" s="24">
        <v>0</v>
      </c>
      <c r="I634" s="24">
        <f>25318+21318</f>
        <v>46636</v>
      </c>
      <c r="K634" s="24">
        <v>0</v>
      </c>
      <c r="M634" s="24">
        <v>0</v>
      </c>
      <c r="O634" s="24">
        <v>0</v>
      </c>
      <c r="Q634" s="24">
        <f>3769+540</f>
        <v>4309</v>
      </c>
      <c r="S634" s="24">
        <v>631</v>
      </c>
      <c r="U634" s="24">
        <v>0</v>
      </c>
      <c r="W634" s="24">
        <v>0</v>
      </c>
      <c r="Y634" s="24">
        <v>0</v>
      </c>
      <c r="AA634" s="24">
        <v>0</v>
      </c>
      <c r="AC634" s="24">
        <v>0</v>
      </c>
      <c r="AE634" s="24">
        <v>0</v>
      </c>
      <c r="AG634" s="24">
        <v>0</v>
      </c>
      <c r="AI634" s="24">
        <f t="shared" si="24"/>
        <v>58054</v>
      </c>
      <c r="AJ634" s="24"/>
    </row>
    <row r="635" spans="1:42">
      <c r="A635" s="15" t="s">
        <v>459</v>
      </c>
      <c r="C635" s="15" t="s">
        <v>456</v>
      </c>
      <c r="E635" s="24">
        <f>390946+1934836</f>
        <v>2325782</v>
      </c>
      <c r="G635" s="24">
        <v>0</v>
      </c>
      <c r="I635" s="24">
        <f>457528+854499</f>
        <v>1312027</v>
      </c>
      <c r="K635" s="24">
        <f>350+38383</f>
        <v>38733</v>
      </c>
      <c r="M635" s="24">
        <v>282893</v>
      </c>
      <c r="O635" s="24">
        <f>64267+16715</f>
        <v>80982</v>
      </c>
      <c r="Q635" s="24">
        <v>0</v>
      </c>
      <c r="S635" s="24">
        <f>199661+12162+32925</f>
        <v>244748</v>
      </c>
      <c r="U635" s="24">
        <v>0</v>
      </c>
      <c r="W635" s="24">
        <v>0</v>
      </c>
      <c r="Y635" s="24">
        <v>11300</v>
      </c>
      <c r="AA635" s="24">
        <f>968716+390597+62615+1076325</f>
        <v>2498253</v>
      </c>
      <c r="AC635" s="24">
        <v>0</v>
      </c>
      <c r="AE635" s="24">
        <f>515786+982042</f>
        <v>1497828</v>
      </c>
      <c r="AG635" s="24">
        <v>0</v>
      </c>
      <c r="AI635" s="24">
        <f t="shared" si="24"/>
        <v>8292546</v>
      </c>
      <c r="AJ635" s="24"/>
    </row>
    <row r="636" spans="1:42">
      <c r="A636" s="15" t="s">
        <v>582</v>
      </c>
      <c r="C636" s="15" t="s">
        <v>82</v>
      </c>
      <c r="E636" s="24">
        <f>2558+1326</f>
        <v>3884</v>
      </c>
      <c r="G636" s="24">
        <v>0</v>
      </c>
      <c r="I636" s="24">
        <f>10037+4682</f>
        <v>14719</v>
      </c>
      <c r="K636" s="24">
        <v>0</v>
      </c>
      <c r="M636" s="24">
        <v>0</v>
      </c>
      <c r="O636" s="24">
        <v>0</v>
      </c>
      <c r="Q636" s="24">
        <f>45+265</f>
        <v>310</v>
      </c>
      <c r="S636" s="24">
        <v>160</v>
      </c>
      <c r="U636" s="24">
        <v>0</v>
      </c>
      <c r="W636" s="24">
        <v>0</v>
      </c>
      <c r="Y636" s="24">
        <v>0</v>
      </c>
      <c r="AA636" s="24">
        <v>0</v>
      </c>
      <c r="AC636" s="24">
        <v>0</v>
      </c>
      <c r="AE636" s="24">
        <v>0</v>
      </c>
      <c r="AG636" s="24">
        <v>0</v>
      </c>
      <c r="AI636" s="24">
        <f t="shared" si="24"/>
        <v>19073</v>
      </c>
      <c r="AJ636" s="24"/>
    </row>
    <row r="637" spans="1:42" s="31" customFormat="1" hidden="1">
      <c r="A637" s="15" t="s">
        <v>40</v>
      </c>
      <c r="B637" s="15"/>
      <c r="C637" s="15" t="s">
        <v>761</v>
      </c>
      <c r="D637" s="15"/>
      <c r="E637" s="24">
        <v>0</v>
      </c>
      <c r="F637" s="24"/>
      <c r="G637" s="24">
        <v>0</v>
      </c>
      <c r="H637" s="24"/>
      <c r="I637" s="24">
        <v>0</v>
      </c>
      <c r="J637" s="24"/>
      <c r="K637" s="24">
        <v>0</v>
      </c>
      <c r="L637" s="24"/>
      <c r="M637" s="24">
        <v>0</v>
      </c>
      <c r="N637" s="24"/>
      <c r="O637" s="24">
        <v>0</v>
      </c>
      <c r="P637" s="24"/>
      <c r="Q637" s="24">
        <v>0</v>
      </c>
      <c r="R637" s="24"/>
      <c r="S637" s="24">
        <v>0</v>
      </c>
      <c r="T637" s="24"/>
      <c r="U637" s="24">
        <v>0</v>
      </c>
      <c r="V637" s="24"/>
      <c r="W637" s="24">
        <v>0</v>
      </c>
      <c r="X637" s="24"/>
      <c r="Y637" s="24">
        <v>0</v>
      </c>
      <c r="Z637" s="24"/>
      <c r="AA637" s="24">
        <v>0</v>
      </c>
      <c r="AB637" s="24"/>
      <c r="AC637" s="24">
        <v>0</v>
      </c>
      <c r="AD637" s="24"/>
      <c r="AE637" s="24">
        <v>0</v>
      </c>
      <c r="AF637" s="24"/>
      <c r="AG637" s="24">
        <v>0</v>
      </c>
      <c r="AH637" s="24"/>
      <c r="AI637" s="24">
        <f t="shared" si="24"/>
        <v>0</v>
      </c>
      <c r="AJ637" s="24"/>
      <c r="AK637" s="32"/>
      <c r="AL637" s="32"/>
      <c r="AM637" s="32"/>
      <c r="AN637" s="32"/>
      <c r="AO637" s="32"/>
      <c r="AP637" s="32"/>
    </row>
    <row r="638" spans="1:42" hidden="1">
      <c r="A638" s="15" t="s">
        <v>192</v>
      </c>
      <c r="C638" s="15" t="s">
        <v>809</v>
      </c>
      <c r="E638" s="24">
        <v>0</v>
      </c>
      <c r="G638" s="24">
        <v>0</v>
      </c>
      <c r="I638" s="24">
        <v>0</v>
      </c>
      <c r="K638" s="24">
        <v>0</v>
      </c>
      <c r="M638" s="24">
        <v>0</v>
      </c>
      <c r="O638" s="24">
        <v>0</v>
      </c>
      <c r="Q638" s="24">
        <v>0</v>
      </c>
      <c r="S638" s="24">
        <v>0</v>
      </c>
      <c r="U638" s="24">
        <v>0</v>
      </c>
      <c r="W638" s="24">
        <v>0</v>
      </c>
      <c r="Y638" s="24">
        <v>0</v>
      </c>
      <c r="AA638" s="24">
        <v>0</v>
      </c>
      <c r="AC638" s="24">
        <v>0</v>
      </c>
      <c r="AE638" s="24">
        <v>0</v>
      </c>
      <c r="AG638" s="24">
        <v>0</v>
      </c>
      <c r="AI638" s="24">
        <f t="shared" si="24"/>
        <v>0</v>
      </c>
      <c r="AJ638" s="24"/>
    </row>
    <row r="639" spans="1:42" hidden="1">
      <c r="A639" s="15" t="s">
        <v>581</v>
      </c>
      <c r="C639" s="15" t="s">
        <v>577</v>
      </c>
      <c r="E639" s="24">
        <v>0</v>
      </c>
      <c r="G639" s="24">
        <v>0</v>
      </c>
      <c r="I639" s="24">
        <v>0</v>
      </c>
      <c r="K639" s="24">
        <v>0</v>
      </c>
      <c r="M639" s="24">
        <v>0</v>
      </c>
      <c r="O639" s="24">
        <v>0</v>
      </c>
      <c r="Q639" s="24">
        <v>0</v>
      </c>
      <c r="S639" s="24">
        <v>0</v>
      </c>
      <c r="U639" s="24">
        <v>0</v>
      </c>
      <c r="W639" s="24">
        <v>0</v>
      </c>
      <c r="Y639" s="24">
        <v>0</v>
      </c>
      <c r="AA639" s="24">
        <v>0</v>
      </c>
      <c r="AC639" s="24">
        <v>0</v>
      </c>
      <c r="AE639" s="24">
        <v>0</v>
      </c>
      <c r="AG639" s="24">
        <v>0</v>
      </c>
      <c r="AI639" s="24">
        <f t="shared" ref="AI639:AI657" si="25">SUM(E639:AG639)</f>
        <v>0</v>
      </c>
      <c r="AJ639" s="24"/>
    </row>
    <row r="640" spans="1:42" s="31" customFormat="1" hidden="1">
      <c r="A640" s="15" t="s">
        <v>863</v>
      </c>
      <c r="B640" s="15"/>
      <c r="C640" s="15" t="s">
        <v>820</v>
      </c>
      <c r="D640" s="15"/>
      <c r="E640" s="24">
        <v>0</v>
      </c>
      <c r="F640" s="24"/>
      <c r="G640" s="24">
        <v>0</v>
      </c>
      <c r="H640" s="24"/>
      <c r="I640" s="24">
        <v>0</v>
      </c>
      <c r="J640" s="24"/>
      <c r="K640" s="24">
        <v>0</v>
      </c>
      <c r="L640" s="24"/>
      <c r="M640" s="24">
        <v>0</v>
      </c>
      <c r="N640" s="24"/>
      <c r="O640" s="24">
        <v>0</v>
      </c>
      <c r="P640" s="24"/>
      <c r="Q640" s="24">
        <v>0</v>
      </c>
      <c r="R640" s="24"/>
      <c r="S640" s="24">
        <v>0</v>
      </c>
      <c r="T640" s="24"/>
      <c r="U640" s="24">
        <v>0</v>
      </c>
      <c r="V640" s="24"/>
      <c r="W640" s="24">
        <v>0</v>
      </c>
      <c r="X640" s="24"/>
      <c r="Y640" s="24">
        <v>0</v>
      </c>
      <c r="Z640" s="24"/>
      <c r="AA640" s="24">
        <v>0</v>
      </c>
      <c r="AB640" s="24"/>
      <c r="AC640" s="24">
        <v>0</v>
      </c>
      <c r="AD640" s="24"/>
      <c r="AE640" s="24">
        <v>0</v>
      </c>
      <c r="AF640" s="24"/>
      <c r="AG640" s="24">
        <v>0</v>
      </c>
      <c r="AH640" s="24"/>
      <c r="AI640" s="24">
        <f t="shared" si="25"/>
        <v>0</v>
      </c>
      <c r="AJ640" s="24"/>
    </row>
    <row r="641" spans="1:42">
      <c r="A641" s="15" t="s">
        <v>481</v>
      </c>
      <c r="C641" s="15" t="s">
        <v>477</v>
      </c>
      <c r="E641" s="24">
        <f>2531+5904</f>
        <v>8435</v>
      </c>
      <c r="G641" s="24">
        <v>0</v>
      </c>
      <c r="I641" s="24">
        <f>9220+6128</f>
        <v>15348</v>
      </c>
      <c r="K641" s="24">
        <v>0</v>
      </c>
      <c r="M641" s="24">
        <v>0</v>
      </c>
      <c r="O641" s="24">
        <v>0</v>
      </c>
      <c r="Q641" s="24">
        <f>22+60</f>
        <v>82</v>
      </c>
      <c r="S641" s="24">
        <v>0</v>
      </c>
      <c r="U641" s="24">
        <v>0</v>
      </c>
      <c r="W641" s="24">
        <v>0</v>
      </c>
      <c r="Y641" s="24">
        <v>0</v>
      </c>
      <c r="AA641" s="24">
        <v>0</v>
      </c>
      <c r="AC641" s="24">
        <v>0</v>
      </c>
      <c r="AE641" s="24">
        <v>0</v>
      </c>
      <c r="AG641" s="24">
        <v>0</v>
      </c>
      <c r="AI641" s="24">
        <f t="shared" si="25"/>
        <v>23865</v>
      </c>
      <c r="AJ641" s="24"/>
    </row>
    <row r="642" spans="1:42" hidden="1">
      <c r="A642" s="15" t="s">
        <v>1</v>
      </c>
      <c r="C642" s="15" t="s">
        <v>667</v>
      </c>
      <c r="E642" s="24">
        <v>0</v>
      </c>
      <c r="G642" s="24">
        <v>0</v>
      </c>
      <c r="I642" s="24">
        <v>0</v>
      </c>
      <c r="K642" s="24">
        <v>0</v>
      </c>
      <c r="M642" s="24">
        <v>0</v>
      </c>
      <c r="O642" s="24">
        <v>0</v>
      </c>
      <c r="Q642" s="24">
        <v>0</v>
      </c>
      <c r="S642" s="24">
        <v>0</v>
      </c>
      <c r="U642" s="24">
        <v>0</v>
      </c>
      <c r="W642" s="24">
        <v>0</v>
      </c>
      <c r="Y642" s="24">
        <v>0</v>
      </c>
      <c r="AA642" s="24">
        <v>0</v>
      </c>
      <c r="AC642" s="24">
        <v>0</v>
      </c>
      <c r="AE642" s="24">
        <v>0</v>
      </c>
      <c r="AG642" s="24">
        <v>0</v>
      </c>
      <c r="AI642" s="24">
        <f t="shared" si="25"/>
        <v>0</v>
      </c>
      <c r="AJ642" s="24"/>
    </row>
    <row r="643" spans="1:42" hidden="1">
      <c r="A643" s="15" t="s">
        <v>197</v>
      </c>
      <c r="C643" s="15" t="s">
        <v>811</v>
      </c>
      <c r="E643" s="24">
        <v>0</v>
      </c>
      <c r="G643" s="24">
        <v>0</v>
      </c>
      <c r="I643" s="24">
        <v>0</v>
      </c>
      <c r="K643" s="24">
        <v>0</v>
      </c>
      <c r="M643" s="24">
        <v>0</v>
      </c>
      <c r="O643" s="24">
        <v>0</v>
      </c>
      <c r="Q643" s="24">
        <v>0</v>
      </c>
      <c r="S643" s="24">
        <v>0</v>
      </c>
      <c r="U643" s="24">
        <v>0</v>
      </c>
      <c r="W643" s="24">
        <v>0</v>
      </c>
      <c r="Y643" s="24">
        <v>0</v>
      </c>
      <c r="AA643" s="24">
        <v>0</v>
      </c>
      <c r="AC643" s="24">
        <v>0</v>
      </c>
      <c r="AE643" s="24">
        <v>0</v>
      </c>
      <c r="AG643" s="24">
        <v>0</v>
      </c>
      <c r="AI643" s="24">
        <f t="shared" si="25"/>
        <v>0</v>
      </c>
      <c r="AJ643" s="41"/>
    </row>
    <row r="644" spans="1:42" hidden="1">
      <c r="A644" s="15" t="s">
        <v>864</v>
      </c>
      <c r="C644" s="15" t="s">
        <v>786</v>
      </c>
      <c r="E644" s="24">
        <v>0</v>
      </c>
      <c r="G644" s="24">
        <v>0</v>
      </c>
      <c r="I644" s="24">
        <v>0</v>
      </c>
      <c r="K644" s="24">
        <v>0</v>
      </c>
      <c r="M644" s="24">
        <v>0</v>
      </c>
      <c r="O644" s="24">
        <v>0</v>
      </c>
      <c r="Q644" s="24">
        <v>0</v>
      </c>
      <c r="S644" s="24">
        <v>0</v>
      </c>
      <c r="U644" s="24">
        <v>0</v>
      </c>
      <c r="W644" s="24">
        <v>0</v>
      </c>
      <c r="Y644" s="24">
        <v>0</v>
      </c>
      <c r="AA644" s="24">
        <v>0</v>
      </c>
      <c r="AC644" s="24">
        <v>0</v>
      </c>
      <c r="AE644" s="24">
        <v>0</v>
      </c>
      <c r="AG644" s="24">
        <v>0</v>
      </c>
      <c r="AI644" s="24">
        <f t="shared" si="25"/>
        <v>0</v>
      </c>
      <c r="AJ644" s="24"/>
    </row>
    <row r="645" spans="1:42" s="31" customFormat="1">
      <c r="A645" s="15" t="s">
        <v>386</v>
      </c>
      <c r="B645" s="15"/>
      <c r="C645" s="15" t="s">
        <v>378</v>
      </c>
      <c r="D645" s="15"/>
      <c r="E645" s="24">
        <f>410564+140519+67682+127782</f>
        <v>746547</v>
      </c>
      <c r="F645" s="24"/>
      <c r="G645" s="24">
        <f>4299264+504493+252431</f>
        <v>5056188</v>
      </c>
      <c r="H645" s="24"/>
      <c r="I645" s="24">
        <f>131855+19000+147169</f>
        <v>298024</v>
      </c>
      <c r="J645" s="24"/>
      <c r="K645" s="24">
        <v>0</v>
      </c>
      <c r="L645" s="24"/>
      <c r="M645" s="24">
        <f>361870+5207</f>
        <v>367077</v>
      </c>
      <c r="N645" s="24"/>
      <c r="O645" s="24">
        <f>156414+75979+11549</f>
        <v>243942</v>
      </c>
      <c r="P645" s="24"/>
      <c r="Q645" s="24">
        <f>26185+4347+6689+6548+3328+1643</f>
        <v>48740</v>
      </c>
      <c r="R645" s="24"/>
      <c r="S645" s="24">
        <f>78042+42600+5487+2036</f>
        <v>128165</v>
      </c>
      <c r="T645" s="24"/>
      <c r="U645" s="24">
        <v>0</v>
      </c>
      <c r="V645" s="24"/>
      <c r="W645" s="24">
        <f>2010000+1214</f>
        <v>2011214</v>
      </c>
      <c r="X645" s="24"/>
      <c r="Y645" s="24">
        <v>0</v>
      </c>
      <c r="Z645" s="24"/>
      <c r="AA645" s="24">
        <f>36+2764+202821+138832</f>
        <v>344453</v>
      </c>
      <c r="AB645" s="24"/>
      <c r="AC645" s="24">
        <v>0</v>
      </c>
      <c r="AD645" s="24"/>
      <c r="AE645" s="24">
        <v>5384</v>
      </c>
      <c r="AF645" s="24"/>
      <c r="AG645" s="24">
        <v>0</v>
      </c>
      <c r="AH645" s="24"/>
      <c r="AI645" s="24">
        <f t="shared" si="25"/>
        <v>9249734</v>
      </c>
      <c r="AJ645" s="24"/>
    </row>
    <row r="646" spans="1:42" ht="12.6" customHeight="1">
      <c r="A646" s="15" t="s">
        <v>327</v>
      </c>
      <c r="C646" s="15" t="s">
        <v>316</v>
      </c>
      <c r="E646" s="24">
        <f>1974215+70518</f>
        <v>2044733</v>
      </c>
      <c r="G646" s="24">
        <v>0</v>
      </c>
      <c r="I646" s="24">
        <f>98709+59127</f>
        <v>157836</v>
      </c>
      <c r="K646" s="24">
        <v>64946</v>
      </c>
      <c r="M646" s="24">
        <v>17280</v>
      </c>
      <c r="O646" s="24">
        <f>114193+9827</f>
        <v>124020</v>
      </c>
      <c r="Q646" s="24">
        <v>0</v>
      </c>
      <c r="S646" s="24">
        <f>18038+39459+750</f>
        <v>58247</v>
      </c>
      <c r="U646" s="24">
        <v>0</v>
      </c>
      <c r="W646" s="24">
        <v>285000</v>
      </c>
      <c r="Y646" s="24">
        <v>0</v>
      </c>
      <c r="AA646" s="24">
        <v>12500</v>
      </c>
      <c r="AC646" s="24">
        <v>5000</v>
      </c>
      <c r="AE646" s="24">
        <v>34592</v>
      </c>
      <c r="AG646" s="24">
        <v>0</v>
      </c>
      <c r="AI646" s="24">
        <f t="shared" si="25"/>
        <v>2804154</v>
      </c>
      <c r="AJ646" s="24"/>
      <c r="AK646" s="30"/>
      <c r="AL646" s="30"/>
      <c r="AM646" s="30"/>
      <c r="AN646" s="30"/>
      <c r="AO646" s="30"/>
      <c r="AP646" s="30"/>
    </row>
    <row r="647" spans="1:42" hidden="1">
      <c r="A647" s="15" t="s">
        <v>166</v>
      </c>
      <c r="C647" s="15" t="s">
        <v>801</v>
      </c>
      <c r="E647" s="24">
        <v>0</v>
      </c>
      <c r="G647" s="24">
        <v>0</v>
      </c>
      <c r="I647" s="24">
        <v>0</v>
      </c>
      <c r="K647" s="24">
        <v>0</v>
      </c>
      <c r="M647" s="24">
        <v>0</v>
      </c>
      <c r="O647" s="24">
        <v>0</v>
      </c>
      <c r="Q647" s="24">
        <v>0</v>
      </c>
      <c r="S647" s="24">
        <v>0</v>
      </c>
      <c r="U647" s="24">
        <v>0</v>
      </c>
      <c r="W647" s="24">
        <v>0</v>
      </c>
      <c r="Y647" s="24">
        <v>0</v>
      </c>
      <c r="AA647" s="24">
        <v>0</v>
      </c>
      <c r="AC647" s="24">
        <v>0</v>
      </c>
      <c r="AE647" s="24">
        <v>0</v>
      </c>
      <c r="AG647" s="24">
        <v>0</v>
      </c>
      <c r="AI647" s="24">
        <f t="shared" si="25"/>
        <v>0</v>
      </c>
      <c r="AJ647" s="24"/>
    </row>
    <row r="648" spans="1:42" ht="12.6" hidden="1" customHeight="1">
      <c r="A648" s="15" t="s">
        <v>290</v>
      </c>
      <c r="C648" s="15" t="s">
        <v>287</v>
      </c>
      <c r="E648" s="24">
        <v>0</v>
      </c>
      <c r="G648" s="24">
        <v>0</v>
      </c>
      <c r="I648" s="24">
        <v>0</v>
      </c>
      <c r="K648" s="24">
        <v>0</v>
      </c>
      <c r="M648" s="24">
        <v>0</v>
      </c>
      <c r="O648" s="24">
        <v>0</v>
      </c>
      <c r="Q648" s="24">
        <v>0</v>
      </c>
      <c r="S648" s="24">
        <v>0</v>
      </c>
      <c r="U648" s="24">
        <v>0</v>
      </c>
      <c r="W648" s="24">
        <v>0</v>
      </c>
      <c r="Y648" s="24">
        <v>0</v>
      </c>
      <c r="AA648" s="24">
        <v>0</v>
      </c>
      <c r="AC648" s="24">
        <v>0</v>
      </c>
      <c r="AE648" s="24">
        <v>0</v>
      </c>
      <c r="AG648" s="24">
        <v>0</v>
      </c>
      <c r="AI648" s="24">
        <f t="shared" si="25"/>
        <v>0</v>
      </c>
      <c r="AJ648" s="24"/>
    </row>
    <row r="649" spans="1:42" s="24" customFormat="1">
      <c r="A649" s="24" t="s">
        <v>532</v>
      </c>
      <c r="C649" s="24" t="s">
        <v>530</v>
      </c>
      <c r="E649" s="24">
        <f>348115+4937</f>
        <v>353052</v>
      </c>
      <c r="G649" s="24">
        <v>0</v>
      </c>
      <c r="I649" s="24">
        <f>238982+119586</f>
        <v>358568</v>
      </c>
      <c r="K649" s="24">
        <v>0</v>
      </c>
      <c r="M649" s="24">
        <f>22307+31733</f>
        <v>54040</v>
      </c>
      <c r="O649" s="24">
        <f>50890+410</f>
        <v>51300</v>
      </c>
      <c r="Q649" s="24">
        <v>32225</v>
      </c>
      <c r="S649" s="24">
        <f>10572+9882</f>
        <v>20454</v>
      </c>
      <c r="U649" s="24">
        <v>0</v>
      </c>
      <c r="W649" s="24">
        <v>0</v>
      </c>
      <c r="Y649" s="24">
        <v>0</v>
      </c>
      <c r="AA649" s="24">
        <v>0</v>
      </c>
      <c r="AC649" s="24">
        <v>0</v>
      </c>
      <c r="AE649" s="24">
        <v>0</v>
      </c>
      <c r="AG649" s="24">
        <v>0</v>
      </c>
      <c r="AI649" s="24">
        <f t="shared" si="25"/>
        <v>869639</v>
      </c>
    </row>
    <row r="650" spans="1:42" hidden="1">
      <c r="A650" s="15" t="s">
        <v>240</v>
      </c>
      <c r="C650" s="15" t="s">
        <v>825</v>
      </c>
      <c r="E650" s="24">
        <v>0</v>
      </c>
      <c r="G650" s="24">
        <v>0</v>
      </c>
      <c r="I650" s="24">
        <v>0</v>
      </c>
      <c r="K650" s="24">
        <v>0</v>
      </c>
      <c r="M650" s="24">
        <v>0</v>
      </c>
      <c r="O650" s="24">
        <v>0</v>
      </c>
      <c r="Q650" s="24">
        <v>0</v>
      </c>
      <c r="S650" s="24">
        <v>0</v>
      </c>
      <c r="U650" s="24">
        <v>0</v>
      </c>
      <c r="W650" s="24">
        <v>0</v>
      </c>
      <c r="Y650" s="24">
        <v>0</v>
      </c>
      <c r="AA650" s="24">
        <v>0</v>
      </c>
      <c r="AC650" s="24">
        <v>0</v>
      </c>
      <c r="AE650" s="24">
        <v>0</v>
      </c>
      <c r="AG650" s="24">
        <v>0</v>
      </c>
      <c r="AI650" s="24">
        <f t="shared" si="25"/>
        <v>0</v>
      </c>
      <c r="AJ650" s="24"/>
    </row>
    <row r="651" spans="1:42" s="31" customFormat="1" hidden="1">
      <c r="A651" s="15" t="s">
        <v>231</v>
      </c>
      <c r="B651" s="15"/>
      <c r="C651" s="15" t="s">
        <v>561</v>
      </c>
      <c r="D651" s="15"/>
      <c r="E651" s="24">
        <v>0</v>
      </c>
      <c r="F651" s="24"/>
      <c r="G651" s="24">
        <v>0</v>
      </c>
      <c r="H651" s="24"/>
      <c r="I651" s="24">
        <v>0</v>
      </c>
      <c r="J651" s="24"/>
      <c r="K651" s="24">
        <v>0</v>
      </c>
      <c r="L651" s="24"/>
      <c r="M651" s="24">
        <v>0</v>
      </c>
      <c r="N651" s="24"/>
      <c r="O651" s="24">
        <v>0</v>
      </c>
      <c r="P651" s="24"/>
      <c r="Q651" s="24">
        <v>0</v>
      </c>
      <c r="R651" s="24"/>
      <c r="S651" s="24">
        <v>0</v>
      </c>
      <c r="T651" s="24"/>
      <c r="U651" s="24">
        <v>0</v>
      </c>
      <c r="V651" s="24"/>
      <c r="W651" s="24">
        <v>0</v>
      </c>
      <c r="X651" s="24"/>
      <c r="Y651" s="24">
        <v>0</v>
      </c>
      <c r="Z651" s="24"/>
      <c r="AA651" s="24">
        <v>0</v>
      </c>
      <c r="AB651" s="24"/>
      <c r="AC651" s="24">
        <v>0</v>
      </c>
      <c r="AD651" s="24"/>
      <c r="AE651" s="24">
        <v>0</v>
      </c>
      <c r="AF651" s="24"/>
      <c r="AG651" s="24">
        <v>0</v>
      </c>
      <c r="AH651" s="24"/>
      <c r="AI651" s="24">
        <f t="shared" si="25"/>
        <v>0</v>
      </c>
      <c r="AJ651" s="24"/>
    </row>
    <row r="652" spans="1:42">
      <c r="A652" s="15" t="s">
        <v>374</v>
      </c>
      <c r="C652" s="15" t="s">
        <v>371</v>
      </c>
      <c r="E652" s="24">
        <f>1009602+25332</f>
        <v>1034934</v>
      </c>
      <c r="G652" s="24">
        <v>1414802</v>
      </c>
      <c r="I652" s="24">
        <f>657189+188692</f>
        <v>845881</v>
      </c>
      <c r="K652" s="24">
        <v>0</v>
      </c>
      <c r="M652" s="24">
        <v>60240</v>
      </c>
      <c r="O652" s="24">
        <f>76019+6609</f>
        <v>82628</v>
      </c>
      <c r="Q652" s="24">
        <f>85621+7747</f>
        <v>93368</v>
      </c>
      <c r="S652" s="24">
        <f>131410+162931+270</f>
        <v>294611</v>
      </c>
      <c r="U652" s="24">
        <v>0</v>
      </c>
      <c r="W652" s="24">
        <v>0</v>
      </c>
      <c r="Y652" s="24">
        <v>0</v>
      </c>
      <c r="AA652" s="24">
        <v>1600877</v>
      </c>
      <c r="AC652" s="24">
        <v>0</v>
      </c>
      <c r="AE652" s="24">
        <v>0</v>
      </c>
      <c r="AG652" s="24">
        <v>0</v>
      </c>
      <c r="AI652" s="24">
        <f t="shared" si="25"/>
        <v>5427341</v>
      </c>
      <c r="AJ652" s="24"/>
    </row>
    <row r="653" spans="1:42" ht="12.6" customHeight="1">
      <c r="A653" s="15" t="s">
        <v>340</v>
      </c>
      <c r="C653" s="15" t="s">
        <v>329</v>
      </c>
      <c r="E653" s="24">
        <v>2707</v>
      </c>
      <c r="G653" s="24">
        <v>0</v>
      </c>
      <c r="I653" s="24">
        <f>26785+5622</f>
        <v>32407</v>
      </c>
      <c r="K653" s="24">
        <v>7727</v>
      </c>
      <c r="M653" s="24">
        <v>0</v>
      </c>
      <c r="O653" s="24">
        <v>0</v>
      </c>
      <c r="Q653" s="24">
        <f>339+162</f>
        <v>501</v>
      </c>
      <c r="S653" s="24">
        <v>762</v>
      </c>
      <c r="U653" s="24">
        <v>0</v>
      </c>
      <c r="W653" s="24">
        <v>0</v>
      </c>
      <c r="Y653" s="24">
        <v>0</v>
      </c>
      <c r="AA653" s="24">
        <v>0</v>
      </c>
      <c r="AC653" s="24">
        <v>0</v>
      </c>
      <c r="AE653" s="24">
        <v>0</v>
      </c>
      <c r="AG653" s="24">
        <v>0</v>
      </c>
      <c r="AI653" s="24">
        <f t="shared" si="25"/>
        <v>44104</v>
      </c>
      <c r="AJ653" s="24"/>
      <c r="AK653" s="30"/>
      <c r="AL653" s="30"/>
      <c r="AM653" s="30"/>
      <c r="AN653" s="30"/>
      <c r="AO653" s="30"/>
      <c r="AP653" s="30"/>
    </row>
    <row r="654" spans="1:42">
      <c r="A654" s="15" t="s">
        <v>425</v>
      </c>
      <c r="C654" s="15" t="s">
        <v>420</v>
      </c>
      <c r="E654" s="24">
        <f>247296+76529+25298+5037</f>
        <v>354160</v>
      </c>
      <c r="G654" s="24">
        <v>0</v>
      </c>
      <c r="I654" s="24">
        <f>20194+1886</f>
        <v>22080</v>
      </c>
      <c r="K654" s="24">
        <v>4485</v>
      </c>
      <c r="M654" s="24">
        <v>16834</v>
      </c>
      <c r="O654" s="24">
        <v>6766</v>
      </c>
      <c r="Q654" s="24">
        <f>21370+1609</f>
        <v>22979</v>
      </c>
      <c r="S654" s="24">
        <f>21158+12255</f>
        <v>33413</v>
      </c>
      <c r="U654" s="24">
        <v>0</v>
      </c>
      <c r="W654" s="24">
        <v>0</v>
      </c>
      <c r="Y654" s="24">
        <v>0</v>
      </c>
      <c r="AA654" s="24">
        <v>0</v>
      </c>
      <c r="AC654" s="24">
        <v>0</v>
      </c>
      <c r="AE654" s="24">
        <v>0</v>
      </c>
      <c r="AG654" s="24">
        <v>0</v>
      </c>
      <c r="AI654" s="24">
        <f t="shared" si="25"/>
        <v>460717</v>
      </c>
      <c r="AJ654" s="24"/>
    </row>
    <row r="655" spans="1:42">
      <c r="A655" s="15" t="s">
        <v>583</v>
      </c>
      <c r="C655" s="15" t="s">
        <v>82</v>
      </c>
      <c r="E655" s="24">
        <f>4939+26660-4939</f>
        <v>26660</v>
      </c>
      <c r="G655" s="24">
        <v>0</v>
      </c>
      <c r="I655" s="24">
        <f>12025+35189-12025</f>
        <v>35189</v>
      </c>
      <c r="K655" s="24">
        <v>0</v>
      </c>
      <c r="M655" s="24">
        <v>6900</v>
      </c>
      <c r="O655" s="24">
        <v>0</v>
      </c>
      <c r="Q655" s="24">
        <f>555+29</f>
        <v>584</v>
      </c>
      <c r="S655" s="24">
        <f>1446+3183</f>
        <v>4629</v>
      </c>
      <c r="U655" s="24">
        <v>0</v>
      </c>
      <c r="W655" s="24">
        <v>0</v>
      </c>
      <c r="Y655" s="24">
        <v>0</v>
      </c>
      <c r="AA655" s="24">
        <v>0</v>
      </c>
      <c r="AC655" s="24">
        <v>0</v>
      </c>
      <c r="AE655" s="24">
        <v>0</v>
      </c>
      <c r="AF655" s="38"/>
      <c r="AG655" s="24">
        <v>0</v>
      </c>
      <c r="AH655" s="38"/>
      <c r="AI655" s="24">
        <f t="shared" si="25"/>
        <v>73962</v>
      </c>
      <c r="AJ655" s="24"/>
    </row>
    <row r="656" spans="1:42">
      <c r="A656" s="15" t="s">
        <v>450</v>
      </c>
      <c r="C656" s="15" t="s">
        <v>447</v>
      </c>
      <c r="E656" s="24">
        <v>7322</v>
      </c>
      <c r="G656" s="24">
        <v>0</v>
      </c>
      <c r="I656" s="24">
        <f>12254+11619</f>
        <v>23873</v>
      </c>
      <c r="K656" s="24">
        <v>0</v>
      </c>
      <c r="M656" s="24">
        <v>0</v>
      </c>
      <c r="O656" s="24">
        <v>0</v>
      </c>
      <c r="Q656" s="24">
        <f>998+97</f>
        <v>1095</v>
      </c>
      <c r="S656" s="24">
        <v>895</v>
      </c>
      <c r="U656" s="24">
        <v>0</v>
      </c>
      <c r="W656" s="24">
        <v>0</v>
      </c>
      <c r="Y656" s="24">
        <v>0</v>
      </c>
      <c r="AA656" s="24">
        <v>0</v>
      </c>
      <c r="AC656" s="24">
        <v>0</v>
      </c>
      <c r="AE656" s="24">
        <v>0</v>
      </c>
      <c r="AG656" s="24">
        <v>0</v>
      </c>
      <c r="AI656" s="24">
        <f t="shared" si="25"/>
        <v>33185</v>
      </c>
      <c r="AJ656" s="24"/>
    </row>
    <row r="657" spans="1:36" hidden="1">
      <c r="A657" s="15" t="s">
        <v>235</v>
      </c>
      <c r="C657" s="15" t="s">
        <v>823</v>
      </c>
      <c r="E657" s="24">
        <v>0</v>
      </c>
      <c r="G657" s="24">
        <v>0</v>
      </c>
      <c r="I657" s="24">
        <v>0</v>
      </c>
      <c r="K657" s="24">
        <v>0</v>
      </c>
      <c r="M657" s="24">
        <v>0</v>
      </c>
      <c r="O657" s="24">
        <v>0</v>
      </c>
      <c r="Q657" s="24">
        <v>0</v>
      </c>
      <c r="S657" s="24">
        <v>0</v>
      </c>
      <c r="U657" s="24">
        <v>0</v>
      </c>
      <c r="W657" s="24">
        <v>0</v>
      </c>
      <c r="Y657" s="24">
        <v>0</v>
      </c>
      <c r="AA657" s="24">
        <v>0</v>
      </c>
      <c r="AC657" s="24">
        <v>0</v>
      </c>
      <c r="AE657" s="24">
        <v>0</v>
      </c>
      <c r="AG657" s="24">
        <v>0</v>
      </c>
      <c r="AI657" s="24">
        <f t="shared" si="25"/>
        <v>0</v>
      </c>
      <c r="AJ657" s="24"/>
    </row>
    <row r="658" spans="1:36" s="31" customFormat="1"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15"/>
      <c r="AJ658" s="15"/>
    </row>
    <row r="659" spans="1:36" s="31" customFormat="1"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15"/>
      <c r="AJ659" s="15"/>
    </row>
    <row r="660" spans="1:36" s="31" customFormat="1"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15"/>
      <c r="AJ660" s="15"/>
    </row>
    <row r="661" spans="1:36" s="31" customFormat="1"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15"/>
      <c r="AJ661" s="15"/>
    </row>
    <row r="662" spans="1:36" s="31" customFormat="1"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15"/>
      <c r="AJ662" s="15"/>
    </row>
    <row r="663" spans="1:36" s="31" customFormat="1"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15"/>
      <c r="AJ663" s="15"/>
    </row>
    <row r="664" spans="1:36" s="31" customFormat="1"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15"/>
      <c r="AJ664" s="15"/>
    </row>
    <row r="665" spans="1:36" s="31" customFormat="1"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15"/>
      <c r="AJ665" s="15"/>
    </row>
    <row r="666" spans="1:36" s="31" customFormat="1"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15"/>
      <c r="AJ666" s="15"/>
    </row>
    <row r="667" spans="1:36" s="31" customFormat="1"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15"/>
      <c r="AJ667" s="15"/>
    </row>
    <row r="668" spans="1:36" s="31" customFormat="1"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15"/>
      <c r="AJ668" s="15"/>
    </row>
    <row r="669" spans="1:36" s="31" customFormat="1"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15"/>
      <c r="AJ669" s="15"/>
    </row>
    <row r="670" spans="1:36" s="31" customFormat="1"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15"/>
      <c r="AJ670" s="15"/>
    </row>
    <row r="671" spans="1:36" s="31" customFormat="1"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15"/>
      <c r="AJ671" s="15"/>
    </row>
    <row r="672" spans="1:36" s="31" customFormat="1"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15"/>
      <c r="AJ672" s="15"/>
    </row>
    <row r="673" spans="5:36" s="31" customFormat="1"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15"/>
      <c r="AJ673" s="15"/>
    </row>
    <row r="674" spans="5:36" s="31" customFormat="1"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15"/>
      <c r="AJ674" s="15"/>
    </row>
    <row r="675" spans="5:36" s="31" customFormat="1"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15"/>
      <c r="AJ675" s="15"/>
    </row>
    <row r="676" spans="5:36" s="31" customFormat="1"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15"/>
      <c r="AJ676" s="15"/>
    </row>
    <row r="677" spans="5:36" s="31" customFormat="1"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15"/>
      <c r="AJ677" s="15"/>
    </row>
    <row r="678" spans="5:36" s="31" customFormat="1"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15"/>
      <c r="AJ678" s="15"/>
    </row>
    <row r="679" spans="5:36" s="31" customFormat="1"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15"/>
      <c r="AJ679" s="15"/>
    </row>
    <row r="680" spans="5:36" s="31" customFormat="1"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15"/>
      <c r="AJ680" s="15"/>
    </row>
    <row r="681" spans="5:36" s="31" customFormat="1"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15"/>
      <c r="AJ681" s="15"/>
    </row>
    <row r="682" spans="5:36" s="31" customFormat="1"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15"/>
      <c r="AJ682" s="15"/>
    </row>
    <row r="683" spans="5:36" s="31" customFormat="1"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15"/>
      <c r="AJ683" s="15"/>
    </row>
    <row r="684" spans="5:36" s="31" customFormat="1"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15"/>
      <c r="AJ684" s="15"/>
    </row>
    <row r="685" spans="5:36" s="31" customFormat="1"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15"/>
      <c r="AJ685" s="15"/>
    </row>
    <row r="686" spans="5:36" s="31" customFormat="1"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15"/>
      <c r="AJ686" s="15"/>
    </row>
    <row r="687" spans="5:36" s="31" customFormat="1"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15"/>
      <c r="AJ687" s="15"/>
    </row>
    <row r="688" spans="5:36" s="31" customFormat="1"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15"/>
      <c r="AJ688" s="15"/>
    </row>
    <row r="689" spans="5:36" s="31" customFormat="1"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15"/>
      <c r="AJ689" s="15"/>
    </row>
    <row r="690" spans="5:36" s="31" customFormat="1"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15"/>
      <c r="AJ690" s="15"/>
    </row>
    <row r="691" spans="5:36" s="31" customFormat="1"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15"/>
      <c r="AJ691" s="15"/>
    </row>
    <row r="692" spans="5:36" s="31" customFormat="1"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15"/>
      <c r="AJ692" s="15"/>
    </row>
    <row r="693" spans="5:36" s="31" customFormat="1"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15"/>
      <c r="AJ693" s="15"/>
    </row>
    <row r="694" spans="5:36" s="31" customFormat="1"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15"/>
      <c r="AJ694" s="15"/>
    </row>
    <row r="695" spans="5:36" s="31" customFormat="1"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15"/>
      <c r="AJ695" s="15"/>
    </row>
    <row r="696" spans="5:36" s="31" customFormat="1"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15"/>
      <c r="AJ696" s="15"/>
    </row>
    <row r="697" spans="5:36" s="31" customFormat="1"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15"/>
      <c r="AJ697" s="15"/>
    </row>
    <row r="698" spans="5:36" s="31" customFormat="1"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15"/>
      <c r="AJ698" s="15"/>
    </row>
    <row r="699" spans="5:36" s="31" customFormat="1"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15"/>
      <c r="AJ699" s="15"/>
    </row>
    <row r="700" spans="5:36" s="31" customFormat="1"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15"/>
      <c r="AJ700" s="15"/>
    </row>
    <row r="701" spans="5:36" s="31" customFormat="1"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15"/>
      <c r="AJ701" s="15"/>
    </row>
    <row r="702" spans="5:36" s="31" customFormat="1"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15"/>
      <c r="AJ702" s="15"/>
    </row>
    <row r="703" spans="5:36" s="31" customFormat="1"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15"/>
      <c r="AJ703" s="15"/>
    </row>
    <row r="704" spans="5:36" s="31" customFormat="1"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15"/>
      <c r="AJ704" s="15"/>
    </row>
    <row r="705" spans="1:36" s="31" customFormat="1"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15"/>
      <c r="AJ705" s="15"/>
    </row>
    <row r="706" spans="1:36" s="31" customFormat="1"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15"/>
      <c r="AJ706" s="15"/>
    </row>
    <row r="707" spans="1:36" s="31" customFormat="1"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15"/>
      <c r="AJ707" s="15"/>
    </row>
    <row r="708" spans="1:36" s="31" customFormat="1"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15"/>
      <c r="AJ708" s="15"/>
    </row>
    <row r="709" spans="1:36" s="31" customFormat="1"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15"/>
      <c r="AJ709" s="15"/>
    </row>
    <row r="710" spans="1:36" s="31" customFormat="1"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15"/>
      <c r="AJ710" s="15"/>
    </row>
    <row r="711" spans="1:36" s="31" customFormat="1"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15"/>
      <c r="AJ711" s="15"/>
    </row>
    <row r="712" spans="1:36" s="31" customFormat="1"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15"/>
      <c r="AJ712" s="15"/>
    </row>
    <row r="713" spans="1:36" s="31" customFormat="1"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15"/>
      <c r="AJ713" s="15"/>
    </row>
    <row r="714" spans="1:36" s="31" customFormat="1"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15"/>
      <c r="AJ714" s="15"/>
    </row>
    <row r="715" spans="1:36">
      <c r="A715" s="31"/>
      <c r="B715" s="31"/>
      <c r="C715" s="31"/>
      <c r="D715" s="31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</row>
    <row r="818" spans="1:34" ht="12.75">
      <c r="A818" s="89"/>
      <c r="B818" s="8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2.75">
      <c r="A819" s="89"/>
      <c r="B819" s="8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</sheetData>
  <phoneticPr fontId="1" type="noConversion"/>
  <pageMargins left="0.75" right="0.5" top="0.5" bottom="0.5" header="0" footer="0.3"/>
  <pageSetup scale="76" firstPageNumber="22" fitToWidth="2" fitToHeight="14" pageOrder="overThenDown" orientation="portrait" useFirstPageNumber="1" horizontalDpi="300" verticalDpi="300" r:id="rId1"/>
  <headerFooter alignWithMargins="0">
    <oddFooter>&amp;C&amp;P</oddFooter>
  </headerFooter>
  <colBreaks count="1" manualBreakCount="1">
    <brk id="17" max="6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O822"/>
  <sheetViews>
    <sheetView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10" sqref="A10"/>
    </sheetView>
  </sheetViews>
  <sheetFormatPr defaultColWidth="9.33203125" defaultRowHeight="12"/>
  <cols>
    <col min="1" max="1" width="24.1640625" style="15" customWidth="1"/>
    <col min="2" max="2" width="1.83203125" style="15" customWidth="1"/>
    <col min="3" max="3" width="13.83203125" style="15" customWidth="1"/>
    <col min="4" max="4" width="1.83203125" style="15" customWidth="1"/>
    <col min="5" max="5" width="11.6640625" style="24" customWidth="1"/>
    <col min="6" max="6" width="1.83203125" style="24" customWidth="1"/>
    <col min="7" max="7" width="13.1640625" style="24" bestFit="1" customWidth="1"/>
    <col min="8" max="8" width="1.83203125" style="24" customWidth="1"/>
    <col min="9" max="9" width="12.83203125" style="24" bestFit="1" customWidth="1"/>
    <col min="10" max="10" width="1.83203125" style="24" customWidth="1"/>
    <col min="11" max="11" width="11" style="24" customWidth="1"/>
    <col min="12" max="12" width="1.83203125" style="24" customWidth="1"/>
    <col min="13" max="13" width="13.1640625" style="24" bestFit="1" customWidth="1"/>
    <col min="14" max="14" width="1.83203125" style="24" customWidth="1"/>
    <col min="15" max="15" width="14.6640625" style="24" bestFit="1" customWidth="1"/>
    <col min="16" max="16" width="1.83203125" style="24" customWidth="1"/>
    <col min="17" max="17" width="12.83203125" style="24" customWidth="1"/>
    <col min="18" max="18" width="1.83203125" style="24" customWidth="1"/>
    <col min="19" max="19" width="12.83203125" style="24" customWidth="1"/>
    <col min="20" max="20" width="1.83203125" style="24" customWidth="1"/>
    <col min="21" max="21" width="12.83203125" style="24" customWidth="1"/>
    <col min="22" max="22" width="1.83203125" style="24" customWidth="1"/>
    <col min="23" max="23" width="12.83203125" style="24" customWidth="1"/>
    <col min="24" max="24" width="1.83203125" style="24" customWidth="1"/>
    <col min="25" max="25" width="12.83203125" style="24" customWidth="1"/>
    <col min="26" max="26" width="1.83203125" style="24" customWidth="1"/>
    <col min="27" max="27" width="12.83203125" style="24" customWidth="1"/>
    <col min="28" max="28" width="1.83203125" style="24" customWidth="1"/>
    <col min="29" max="29" width="12.83203125" style="24" customWidth="1"/>
    <col min="30" max="30" width="1.83203125" style="24" customWidth="1"/>
    <col min="31" max="31" width="13.1640625" style="15" bestFit="1" customWidth="1"/>
    <col min="32" max="32" width="1.83203125" style="15" customWidth="1"/>
    <col min="33" max="33" width="13.83203125" style="64" bestFit="1" customWidth="1"/>
    <col min="34" max="34" width="1.83203125" style="64" customWidth="1"/>
    <col min="35" max="35" width="11.5" style="64" bestFit="1" customWidth="1"/>
    <col min="36" max="36" width="1.83203125" style="64" customWidth="1"/>
    <col min="37" max="37" width="11.6640625" style="64" bestFit="1" customWidth="1"/>
    <col min="38" max="38" width="1.83203125" style="15" customWidth="1"/>
    <col min="39" max="39" width="13.5" style="15" bestFit="1" customWidth="1"/>
    <col min="40" max="16384" width="9.33203125" style="15"/>
  </cols>
  <sheetData>
    <row r="1" spans="1:39">
      <c r="A1" s="15" t="s">
        <v>620</v>
      </c>
      <c r="AG1" s="64" t="s">
        <v>895</v>
      </c>
    </row>
    <row r="2" spans="1:39">
      <c r="A2" s="15" t="s">
        <v>877</v>
      </c>
      <c r="AG2" s="64" t="s">
        <v>896</v>
      </c>
    </row>
    <row r="3" spans="1:39">
      <c r="A3" s="15" t="s">
        <v>878</v>
      </c>
      <c r="AG3" s="64" t="s">
        <v>897</v>
      </c>
    </row>
    <row r="4" spans="1:39">
      <c r="A4" s="15" t="s">
        <v>869</v>
      </c>
      <c r="E4" s="90"/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39" s="73" customFormat="1" ht="15" customHeight="1">
      <c r="A5" s="69"/>
      <c r="B5" s="69"/>
      <c r="C5" s="69"/>
      <c r="D5" s="69"/>
      <c r="E5" s="74" t="s">
        <v>644</v>
      </c>
      <c r="F5" s="74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4" t="s">
        <v>660</v>
      </c>
      <c r="X5" s="74"/>
      <c r="Y5" s="71"/>
      <c r="Z5" s="71"/>
      <c r="AA5" s="71"/>
      <c r="AB5" s="71"/>
      <c r="AC5" s="70" t="s">
        <v>641</v>
      </c>
      <c r="AD5" s="70"/>
      <c r="AG5" s="49" t="s">
        <v>888</v>
      </c>
      <c r="AH5" s="49"/>
      <c r="AI5" s="49" t="s">
        <v>890</v>
      </c>
      <c r="AJ5" s="49"/>
      <c r="AK5" s="49" t="s">
        <v>893</v>
      </c>
      <c r="AL5" s="72"/>
      <c r="AM5" s="72"/>
    </row>
    <row r="6" spans="1:39" s="73" customFormat="1" ht="12.6" customHeight="1">
      <c r="A6" s="69"/>
      <c r="B6" s="69"/>
      <c r="C6" s="69"/>
      <c r="D6" s="69"/>
      <c r="E6" s="74" t="s">
        <v>645</v>
      </c>
      <c r="F6" s="74"/>
      <c r="G6" s="74" t="s">
        <v>647</v>
      </c>
      <c r="H6" s="74"/>
      <c r="I6" s="74" t="s">
        <v>649</v>
      </c>
      <c r="J6" s="74"/>
      <c r="K6" s="74" t="s">
        <v>651</v>
      </c>
      <c r="L6" s="74"/>
      <c r="M6" s="74" t="s">
        <v>653</v>
      </c>
      <c r="N6" s="74"/>
      <c r="O6" s="71"/>
      <c r="P6" s="71"/>
      <c r="Q6" s="74" t="s">
        <v>654</v>
      </c>
      <c r="R6" s="74"/>
      <c r="S6" s="74" t="s">
        <v>656</v>
      </c>
      <c r="T6" s="74"/>
      <c r="U6" s="74" t="s">
        <v>658</v>
      </c>
      <c r="V6" s="74"/>
      <c r="W6" s="74" t="s">
        <v>661</v>
      </c>
      <c r="X6" s="74"/>
      <c r="Y6" s="82"/>
      <c r="Z6" s="82"/>
      <c r="AA6" s="71"/>
      <c r="AB6" s="71"/>
      <c r="AC6" s="70" t="s">
        <v>642</v>
      </c>
      <c r="AD6" s="70"/>
      <c r="AG6" s="49" t="s">
        <v>842</v>
      </c>
      <c r="AH6" s="49"/>
      <c r="AI6" s="49" t="s">
        <v>891</v>
      </c>
      <c r="AJ6" s="49"/>
      <c r="AK6" s="49" t="s">
        <v>894</v>
      </c>
      <c r="AL6" s="72"/>
      <c r="AM6" s="72"/>
    </row>
    <row r="7" spans="1:39" s="76" customFormat="1" ht="12.6" customHeight="1">
      <c r="A7" s="75" t="s">
        <v>739</v>
      </c>
      <c r="C7" s="75" t="s">
        <v>740</v>
      </c>
      <c r="E7" s="81" t="s">
        <v>646</v>
      </c>
      <c r="F7" s="82"/>
      <c r="G7" s="81" t="s">
        <v>648</v>
      </c>
      <c r="H7" s="82"/>
      <c r="I7" s="81" t="s">
        <v>650</v>
      </c>
      <c r="J7" s="82"/>
      <c r="K7" s="81" t="s">
        <v>652</v>
      </c>
      <c r="L7" s="82"/>
      <c r="M7" s="81" t="s">
        <v>632</v>
      </c>
      <c r="N7" s="82"/>
      <c r="O7" s="92" t="s">
        <v>617</v>
      </c>
      <c r="P7" s="93"/>
      <c r="Q7" s="81" t="s">
        <v>655</v>
      </c>
      <c r="R7" s="82"/>
      <c r="S7" s="81" t="s">
        <v>657</v>
      </c>
      <c r="T7" s="82"/>
      <c r="U7" s="81" t="s">
        <v>659</v>
      </c>
      <c r="V7" s="82"/>
      <c r="W7" s="81" t="s">
        <v>662</v>
      </c>
      <c r="X7" s="82"/>
      <c r="Y7" s="81" t="s">
        <v>619</v>
      </c>
      <c r="Z7" s="82"/>
      <c r="AA7" s="81" t="s">
        <v>663</v>
      </c>
      <c r="AB7" s="82"/>
      <c r="AC7" s="27" t="s">
        <v>664</v>
      </c>
      <c r="AD7" s="49"/>
      <c r="AE7" s="75" t="s">
        <v>832</v>
      </c>
      <c r="AG7" s="77"/>
      <c r="AH7" s="78"/>
      <c r="AI7" s="77" t="s">
        <v>892</v>
      </c>
      <c r="AJ7" s="78"/>
      <c r="AK7" s="77" t="s">
        <v>887</v>
      </c>
      <c r="AM7" s="75" t="s">
        <v>886</v>
      </c>
    </row>
    <row r="8" spans="1:39" ht="12.6" hidden="1" customHeight="1">
      <c r="A8" s="15" t="s">
        <v>282</v>
      </c>
      <c r="C8" s="15" t="s">
        <v>283</v>
      </c>
      <c r="E8" s="41">
        <v>0</v>
      </c>
      <c r="F8" s="41"/>
      <c r="G8" s="41">
        <v>0</v>
      </c>
      <c r="H8" s="41"/>
      <c r="I8" s="41">
        <v>0</v>
      </c>
      <c r="J8" s="41"/>
      <c r="K8" s="41">
        <v>0</v>
      </c>
      <c r="L8" s="41"/>
      <c r="M8" s="41">
        <v>0</v>
      </c>
      <c r="N8" s="41"/>
      <c r="O8" s="41">
        <v>0</v>
      </c>
      <c r="P8" s="41"/>
      <c r="Q8" s="41">
        <v>0</v>
      </c>
      <c r="R8" s="41"/>
      <c r="S8" s="41">
        <v>0</v>
      </c>
      <c r="T8" s="41"/>
      <c r="U8" s="41">
        <v>0</v>
      </c>
      <c r="V8" s="41"/>
      <c r="W8" s="41">
        <v>0</v>
      </c>
      <c r="X8" s="41"/>
      <c r="Y8" s="41">
        <v>0</v>
      </c>
      <c r="Z8" s="41"/>
      <c r="AA8" s="41">
        <v>0</v>
      </c>
      <c r="AB8" s="41"/>
      <c r="AC8" s="41">
        <v>0</v>
      </c>
      <c r="AD8" s="41"/>
      <c r="AE8" s="41">
        <f t="shared" ref="AE8:AE39" si="0">SUM(E8:AC8)</f>
        <v>0</v>
      </c>
      <c r="AF8" s="41"/>
    </row>
    <row r="9" spans="1:39" s="41" customFormat="1">
      <c r="A9" s="41" t="s">
        <v>395</v>
      </c>
      <c r="C9" s="41" t="s">
        <v>396</v>
      </c>
      <c r="E9" s="41">
        <f>35007+696303-35007</f>
        <v>696303</v>
      </c>
      <c r="G9" s="41">
        <v>21368</v>
      </c>
      <c r="I9" s="41">
        <v>90704</v>
      </c>
      <c r="K9" s="41">
        <f>3070+10325</f>
        <v>13395</v>
      </c>
      <c r="M9" s="41">
        <v>0</v>
      </c>
      <c r="O9" s="41">
        <v>444260</v>
      </c>
      <c r="Q9" s="41">
        <f>224474+277442-224474</f>
        <v>277442</v>
      </c>
      <c r="S9" s="41">
        <f>839+210669-839</f>
        <v>210669</v>
      </c>
      <c r="U9" s="41">
        <f>45619+96823-45619</f>
        <v>96823</v>
      </c>
      <c r="W9" s="41">
        <v>0</v>
      </c>
      <c r="Y9" s="41">
        <v>0</v>
      </c>
      <c r="AA9" s="41">
        <v>0</v>
      </c>
      <c r="AC9" s="41">
        <f>117083+1010243-117083</f>
        <v>1010243</v>
      </c>
      <c r="AE9" s="41">
        <f t="shared" si="0"/>
        <v>2861207</v>
      </c>
      <c r="AG9" s="41">
        <f>878148+1683-1683</f>
        <v>878148</v>
      </c>
      <c r="AI9" s="41">
        <f>1290411</f>
        <v>1290411</v>
      </c>
      <c r="AK9" s="41">
        <f>2168559</f>
        <v>2168559</v>
      </c>
      <c r="AM9" s="41">
        <f>+'Gov Rev'!AI9-'Gov Exp'!AE9+'Gov Exp'!AI9-'Gov Exp'!AK9</f>
        <v>0</v>
      </c>
    </row>
    <row r="10" spans="1:39">
      <c r="A10" s="15" t="s">
        <v>487</v>
      </c>
      <c r="C10" s="15" t="s">
        <v>488</v>
      </c>
      <c r="E10" s="24">
        <v>800</v>
      </c>
      <c r="G10" s="24">
        <v>0</v>
      </c>
      <c r="I10" s="24">
        <v>196</v>
      </c>
      <c r="K10" s="24">
        <v>859</v>
      </c>
      <c r="M10" s="24">
        <f>209+1803</f>
        <v>2012</v>
      </c>
      <c r="O10" s="24">
        <f>3000+5172</f>
        <v>8172</v>
      </c>
      <c r="Q10" s="24">
        <f>6549+538</f>
        <v>7087</v>
      </c>
      <c r="S10" s="24">
        <v>0</v>
      </c>
      <c r="U10" s="24">
        <v>0</v>
      </c>
      <c r="W10" s="24">
        <v>0</v>
      </c>
      <c r="Y10" s="24">
        <v>0</v>
      </c>
      <c r="AA10" s="24">
        <v>0</v>
      </c>
      <c r="AC10" s="24">
        <v>0</v>
      </c>
      <c r="AE10" s="24">
        <f t="shared" si="0"/>
        <v>19126</v>
      </c>
      <c r="AF10" s="24"/>
      <c r="AG10" s="64">
        <f>-624+1359</f>
        <v>735</v>
      </c>
      <c r="AI10" s="64">
        <f>6858+23986</f>
        <v>30844</v>
      </c>
      <c r="AK10" s="64">
        <f>8217+23362</f>
        <v>31579</v>
      </c>
      <c r="AM10" s="24">
        <f>+'Gov Rev'!AI10-'Gov Exp'!AE10+'Gov Exp'!AI10-'Gov Exp'!AK10</f>
        <v>0</v>
      </c>
    </row>
    <row r="11" spans="1:39" s="31" customFormat="1" ht="12.75">
      <c r="A11" s="15" t="s">
        <v>898</v>
      </c>
      <c r="B11" s="15"/>
      <c r="C11" s="15" t="s">
        <v>420</v>
      </c>
      <c r="D11" s="28"/>
      <c r="E11" s="24">
        <f>12159+27055</f>
        <v>39214</v>
      </c>
      <c r="F11" s="24"/>
      <c r="G11" s="24">
        <v>771</v>
      </c>
      <c r="H11" s="24"/>
      <c r="I11" s="24">
        <v>13766</v>
      </c>
      <c r="J11" s="24"/>
      <c r="K11" s="24">
        <v>0</v>
      </c>
      <c r="L11" s="24"/>
      <c r="M11" s="24">
        <v>0</v>
      </c>
      <c r="N11" s="24"/>
      <c r="O11" s="24">
        <v>53082</v>
      </c>
      <c r="P11" s="24"/>
      <c r="Q11" s="24">
        <v>65895</v>
      </c>
      <c r="R11" s="24"/>
      <c r="S11" s="24">
        <v>26639</v>
      </c>
      <c r="T11" s="24"/>
      <c r="U11" s="24">
        <v>30000</v>
      </c>
      <c r="V11" s="24"/>
      <c r="W11" s="24">
        <v>10496</v>
      </c>
      <c r="X11" s="24"/>
      <c r="Y11" s="24">
        <v>12050</v>
      </c>
      <c r="Z11" s="24"/>
      <c r="AA11" s="24">
        <v>0</v>
      </c>
      <c r="AB11" s="24"/>
      <c r="AC11" s="24">
        <v>0</v>
      </c>
      <c r="AD11" s="24"/>
      <c r="AE11" s="24">
        <f t="shared" si="0"/>
        <v>251913</v>
      </c>
      <c r="AF11" s="24"/>
      <c r="AG11" s="65">
        <f>-10048+17627</f>
        <v>7579</v>
      </c>
      <c r="AH11" s="65"/>
      <c r="AI11" s="65">
        <f>24856+91796</f>
        <v>116652</v>
      </c>
      <c r="AJ11" s="65"/>
      <c r="AK11" s="65">
        <f>42483+81748</f>
        <v>124231</v>
      </c>
      <c r="AM11" s="24">
        <f>+'Gov Rev'!AI11-'Gov Exp'!AE11+'Gov Exp'!AI11-'Gov Exp'!AK11</f>
        <v>0</v>
      </c>
    </row>
    <row r="12" spans="1:39" s="31" customFormat="1" ht="12.75" hidden="1">
      <c r="A12" s="15" t="s">
        <v>91</v>
      </c>
      <c r="B12" s="15"/>
      <c r="C12" s="15" t="s">
        <v>778</v>
      </c>
      <c r="D12" s="28"/>
      <c r="E12" s="24">
        <v>0</v>
      </c>
      <c r="F12" s="24"/>
      <c r="G12" s="24">
        <v>0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0</v>
      </c>
      <c r="P12" s="24"/>
      <c r="Q12" s="24">
        <v>0</v>
      </c>
      <c r="R12" s="24"/>
      <c r="S12" s="24">
        <v>0</v>
      </c>
      <c r="T12" s="24"/>
      <c r="U12" s="24">
        <v>0</v>
      </c>
      <c r="V12" s="24"/>
      <c r="W12" s="24">
        <v>0</v>
      </c>
      <c r="X12" s="24"/>
      <c r="Y12" s="24">
        <v>0</v>
      </c>
      <c r="Z12" s="24"/>
      <c r="AA12" s="24">
        <v>0</v>
      </c>
      <c r="AB12" s="24"/>
      <c r="AC12" s="24">
        <v>0</v>
      </c>
      <c r="AD12" s="24"/>
      <c r="AE12" s="24">
        <f t="shared" si="0"/>
        <v>0</v>
      </c>
      <c r="AF12" s="24"/>
      <c r="AG12" s="65"/>
      <c r="AH12" s="65"/>
      <c r="AI12" s="65"/>
      <c r="AJ12" s="65"/>
      <c r="AK12" s="65"/>
    </row>
    <row r="13" spans="1:39" ht="12.75" hidden="1">
      <c r="A13" s="15" t="s">
        <v>210</v>
      </c>
      <c r="C13" s="15" t="s">
        <v>815</v>
      </c>
      <c r="D13" s="28"/>
      <c r="E13" s="24">
        <v>0</v>
      </c>
      <c r="G13" s="24">
        <v>0</v>
      </c>
      <c r="I13" s="24">
        <v>0</v>
      </c>
      <c r="K13" s="24">
        <v>0</v>
      </c>
      <c r="M13" s="24">
        <v>0</v>
      </c>
      <c r="O13" s="24">
        <v>0</v>
      </c>
      <c r="Q13" s="24">
        <v>0</v>
      </c>
      <c r="S13" s="24">
        <v>0</v>
      </c>
      <c r="U13" s="24">
        <v>0</v>
      </c>
      <c r="W13" s="24">
        <v>0</v>
      </c>
      <c r="Y13" s="24">
        <v>0</v>
      </c>
      <c r="AA13" s="24">
        <v>0</v>
      </c>
      <c r="AC13" s="24">
        <v>0</v>
      </c>
      <c r="AE13" s="24">
        <f t="shared" si="0"/>
        <v>0</v>
      </c>
      <c r="AF13" s="24"/>
    </row>
    <row r="14" spans="1:39" ht="12.6" hidden="1" customHeight="1">
      <c r="A14" s="15" t="s">
        <v>270</v>
      </c>
      <c r="C14" s="15" t="s">
        <v>271</v>
      </c>
      <c r="E14" s="24">
        <v>0</v>
      </c>
      <c r="G14" s="24">
        <v>0</v>
      </c>
      <c r="I14" s="24">
        <v>0</v>
      </c>
      <c r="K14" s="24">
        <v>0</v>
      </c>
      <c r="M14" s="24">
        <v>0</v>
      </c>
      <c r="O14" s="24">
        <v>0</v>
      </c>
      <c r="Q14" s="24">
        <v>0</v>
      </c>
      <c r="S14" s="24">
        <v>0</v>
      </c>
      <c r="U14" s="24">
        <v>0</v>
      </c>
      <c r="W14" s="24">
        <v>0</v>
      </c>
      <c r="Y14" s="24">
        <v>0</v>
      </c>
      <c r="AA14" s="24">
        <v>0</v>
      </c>
      <c r="AC14" s="24">
        <v>0</v>
      </c>
      <c r="AD14" s="38"/>
      <c r="AE14" s="24">
        <f t="shared" si="0"/>
        <v>0</v>
      </c>
      <c r="AF14" s="24"/>
    </row>
    <row r="15" spans="1:39" s="31" customFormat="1" ht="12.75" hidden="1">
      <c r="A15" s="15" t="s">
        <v>129</v>
      </c>
      <c r="B15" s="15"/>
      <c r="C15" s="15" t="s">
        <v>790</v>
      </c>
      <c r="D15" s="28"/>
      <c r="E15" s="24">
        <v>0</v>
      </c>
      <c r="F15" s="24"/>
      <c r="G15" s="24">
        <v>0</v>
      </c>
      <c r="H15" s="24"/>
      <c r="I15" s="24">
        <v>0</v>
      </c>
      <c r="J15" s="24"/>
      <c r="K15" s="24">
        <v>0</v>
      </c>
      <c r="L15" s="24"/>
      <c r="M15" s="24">
        <v>0</v>
      </c>
      <c r="N15" s="24"/>
      <c r="O15" s="24">
        <v>0</v>
      </c>
      <c r="P15" s="24"/>
      <c r="Q15" s="24">
        <v>0</v>
      </c>
      <c r="R15" s="24"/>
      <c r="S15" s="24">
        <v>0</v>
      </c>
      <c r="T15" s="24"/>
      <c r="U15" s="24">
        <v>0</v>
      </c>
      <c r="V15" s="24"/>
      <c r="W15" s="24">
        <v>0</v>
      </c>
      <c r="X15" s="24"/>
      <c r="Y15" s="24">
        <v>0</v>
      </c>
      <c r="Z15" s="24"/>
      <c r="AA15" s="24">
        <v>0</v>
      </c>
      <c r="AB15" s="24"/>
      <c r="AC15" s="24">
        <v>0</v>
      </c>
      <c r="AD15" s="24"/>
      <c r="AE15" s="24">
        <f t="shared" si="0"/>
        <v>0</v>
      </c>
      <c r="AF15" s="24"/>
      <c r="AG15" s="65"/>
      <c r="AH15" s="65"/>
      <c r="AI15" s="65"/>
      <c r="AJ15" s="65"/>
      <c r="AK15" s="65"/>
    </row>
    <row r="16" spans="1:39" hidden="1">
      <c r="A16" s="15" t="s">
        <v>715</v>
      </c>
      <c r="C16" s="15" t="s">
        <v>396</v>
      </c>
      <c r="E16" s="24">
        <v>0</v>
      </c>
      <c r="G16" s="24">
        <v>0</v>
      </c>
      <c r="I16" s="24">
        <v>0</v>
      </c>
      <c r="K16" s="24">
        <v>0</v>
      </c>
      <c r="M16" s="24">
        <v>0</v>
      </c>
      <c r="O16" s="24">
        <v>0</v>
      </c>
      <c r="Q16" s="24">
        <v>0</v>
      </c>
      <c r="S16" s="24">
        <v>0</v>
      </c>
      <c r="U16" s="24">
        <v>0</v>
      </c>
      <c r="W16" s="24">
        <v>0</v>
      </c>
      <c r="Y16" s="24">
        <v>0</v>
      </c>
      <c r="AA16" s="24">
        <v>0</v>
      </c>
      <c r="AC16" s="24">
        <v>0</v>
      </c>
      <c r="AE16" s="24">
        <f t="shared" si="0"/>
        <v>0</v>
      </c>
      <c r="AF16" s="24"/>
    </row>
    <row r="17" spans="1:39" ht="12.75" hidden="1">
      <c r="A17" s="15" t="s">
        <v>251</v>
      </c>
      <c r="C17" s="15" t="s">
        <v>829</v>
      </c>
      <c r="D17" s="28"/>
      <c r="E17" s="24">
        <v>0</v>
      </c>
      <c r="G17" s="24">
        <v>0</v>
      </c>
      <c r="I17" s="24">
        <v>0</v>
      </c>
      <c r="K17" s="24">
        <v>0</v>
      </c>
      <c r="M17" s="24">
        <v>0</v>
      </c>
      <c r="O17" s="24">
        <v>0</v>
      </c>
      <c r="Q17" s="24">
        <v>0</v>
      </c>
      <c r="S17" s="24">
        <v>0</v>
      </c>
      <c r="U17" s="24">
        <v>0</v>
      </c>
      <c r="W17" s="24">
        <v>0</v>
      </c>
      <c r="Y17" s="24">
        <v>0</v>
      </c>
      <c r="AA17" s="24">
        <v>0</v>
      </c>
      <c r="AC17" s="24">
        <v>0</v>
      </c>
      <c r="AE17" s="24">
        <f t="shared" si="0"/>
        <v>0</v>
      </c>
      <c r="AF17" s="24"/>
    </row>
    <row r="18" spans="1:39" ht="12.75" hidden="1">
      <c r="A18" s="15" t="s">
        <v>671</v>
      </c>
      <c r="C18" s="15" t="s">
        <v>771</v>
      </c>
      <c r="D18" s="28"/>
      <c r="E18" s="24">
        <v>0</v>
      </c>
      <c r="G18" s="24">
        <v>0</v>
      </c>
      <c r="I18" s="24">
        <v>0</v>
      </c>
      <c r="K18" s="24">
        <v>0</v>
      </c>
      <c r="M18" s="24">
        <v>0</v>
      </c>
      <c r="O18" s="24">
        <v>0</v>
      </c>
      <c r="Q18" s="24">
        <v>0</v>
      </c>
      <c r="S18" s="24">
        <v>0</v>
      </c>
      <c r="U18" s="24">
        <v>0</v>
      </c>
      <c r="W18" s="24">
        <v>0</v>
      </c>
      <c r="Y18" s="24">
        <v>0</v>
      </c>
      <c r="AA18" s="24">
        <v>0</v>
      </c>
      <c r="AC18" s="24">
        <v>0</v>
      </c>
      <c r="AE18" s="24">
        <f t="shared" si="0"/>
        <v>0</v>
      </c>
      <c r="AF18" s="24"/>
    </row>
    <row r="19" spans="1:39">
      <c r="A19" s="15" t="s">
        <v>377</v>
      </c>
      <c r="C19" s="15" t="s">
        <v>378</v>
      </c>
      <c r="E19" s="24">
        <f>2944338+11066</f>
        <v>2955404</v>
      </c>
      <c r="G19" s="24">
        <v>109828</v>
      </c>
      <c r="I19" s="24">
        <v>5606</v>
      </c>
      <c r="K19" s="24">
        <v>63898</v>
      </c>
      <c r="M19" s="24">
        <v>185026</v>
      </c>
      <c r="O19" s="24">
        <v>945101</v>
      </c>
      <c r="Q19" s="24">
        <v>1214948</v>
      </c>
      <c r="S19" s="24">
        <f>26771+653088+140655</f>
        <v>820514</v>
      </c>
      <c r="U19" s="24">
        <v>500880</v>
      </c>
      <c r="W19" s="24">
        <v>5882633</v>
      </c>
      <c r="Y19" s="24">
        <v>946000</v>
      </c>
      <c r="AA19" s="24">
        <v>0</v>
      </c>
      <c r="AC19" s="24">
        <v>0</v>
      </c>
      <c r="AE19" s="24">
        <f t="shared" si="0"/>
        <v>13629838</v>
      </c>
      <c r="AF19" s="24"/>
      <c r="AG19" s="64">
        <f>-243666+120+277432-1822059</f>
        <v>-1788173</v>
      </c>
      <c r="AI19" s="64">
        <f>7021535+791477+40+161571</f>
        <v>7974623</v>
      </c>
      <c r="AK19" s="64">
        <f>5199476+547811+160+439003</f>
        <v>6186450</v>
      </c>
      <c r="AM19" s="24">
        <f>+'Gov Rev'!AI19-'Gov Exp'!AE19+'Gov Exp'!AI19-'Gov Exp'!AK19</f>
        <v>0</v>
      </c>
    </row>
    <row r="20" spans="1:39" ht="12.6" hidden="1" customHeight="1">
      <c r="A20" s="15" t="s">
        <v>36</v>
      </c>
      <c r="C20" s="15" t="s">
        <v>761</v>
      </c>
      <c r="D20" s="28"/>
      <c r="E20" s="24">
        <v>0</v>
      </c>
      <c r="G20" s="24">
        <v>0</v>
      </c>
      <c r="I20" s="24">
        <v>0</v>
      </c>
      <c r="K20" s="24">
        <v>0</v>
      </c>
      <c r="M20" s="24">
        <v>0</v>
      </c>
      <c r="O20" s="24">
        <v>0</v>
      </c>
      <c r="Q20" s="24">
        <v>0</v>
      </c>
      <c r="S20" s="24">
        <v>0</v>
      </c>
      <c r="U20" s="24">
        <v>0</v>
      </c>
      <c r="W20" s="24">
        <v>0</v>
      </c>
      <c r="Y20" s="24">
        <v>0</v>
      </c>
      <c r="AA20" s="24">
        <v>0</v>
      </c>
      <c r="AC20" s="24">
        <v>0</v>
      </c>
      <c r="AE20" s="24">
        <f t="shared" si="0"/>
        <v>0</v>
      </c>
      <c r="AF20" s="24"/>
      <c r="AM20" s="24"/>
    </row>
    <row r="21" spans="1:39" ht="12.75" hidden="1">
      <c r="A21" s="15" t="s">
        <v>9</v>
      </c>
      <c r="C21" s="15" t="s">
        <v>753</v>
      </c>
      <c r="D21" s="28"/>
      <c r="E21" s="24">
        <v>0</v>
      </c>
      <c r="G21" s="24">
        <v>0</v>
      </c>
      <c r="I21" s="24">
        <v>0</v>
      </c>
      <c r="K21" s="24">
        <v>0</v>
      </c>
      <c r="M21" s="24">
        <v>0</v>
      </c>
      <c r="O21" s="24">
        <v>0</v>
      </c>
      <c r="Q21" s="24">
        <v>0</v>
      </c>
      <c r="S21" s="24">
        <v>0</v>
      </c>
      <c r="U21" s="24">
        <v>0</v>
      </c>
      <c r="W21" s="24">
        <v>0</v>
      </c>
      <c r="Y21" s="24">
        <v>0</v>
      </c>
      <c r="AA21" s="24">
        <v>0</v>
      </c>
      <c r="AC21" s="24">
        <v>0</v>
      </c>
      <c r="AE21" s="24">
        <f t="shared" si="0"/>
        <v>0</v>
      </c>
      <c r="AF21" s="24"/>
    </row>
    <row r="22" spans="1:39" s="31" customFormat="1">
      <c r="A22" s="15" t="s">
        <v>421</v>
      </c>
      <c r="B22" s="15"/>
      <c r="C22" s="15" t="s">
        <v>420</v>
      </c>
      <c r="D22" s="15"/>
      <c r="E22" s="24">
        <f>29802+10176</f>
        <v>39978</v>
      </c>
      <c r="F22" s="24"/>
      <c r="G22" s="24">
        <v>517</v>
      </c>
      <c r="H22" s="24"/>
      <c r="I22" s="24">
        <v>6323</v>
      </c>
      <c r="J22" s="24"/>
      <c r="K22" s="24">
        <v>0</v>
      </c>
      <c r="L22" s="24"/>
      <c r="M22" s="24">
        <v>0</v>
      </c>
      <c r="N22" s="24"/>
      <c r="O22" s="24">
        <v>20342</v>
      </c>
      <c r="P22" s="24"/>
      <c r="Q22" s="24">
        <f>36595+5751</f>
        <v>42346</v>
      </c>
      <c r="R22" s="24"/>
      <c r="S22" s="24">
        <v>2030</v>
      </c>
      <c r="T22" s="24"/>
      <c r="U22" s="24">
        <v>0</v>
      </c>
      <c r="V22" s="24"/>
      <c r="W22" s="24">
        <v>0</v>
      </c>
      <c r="X22" s="24"/>
      <c r="Y22" s="24">
        <v>500</v>
      </c>
      <c r="Z22" s="24"/>
      <c r="AA22" s="24">
        <v>0</v>
      </c>
      <c r="AB22" s="24"/>
      <c r="AC22" s="24">
        <v>877</v>
      </c>
      <c r="AD22" s="24"/>
      <c r="AE22" s="24">
        <f t="shared" si="0"/>
        <v>112913</v>
      </c>
      <c r="AF22" s="24"/>
      <c r="AG22" s="65">
        <f>-2871+40808</f>
        <v>37937</v>
      </c>
      <c r="AH22" s="65"/>
      <c r="AI22" s="65">
        <f>55308+25660</f>
        <v>80968</v>
      </c>
      <c r="AJ22" s="65"/>
      <c r="AK22" s="65">
        <f>96116+22789</f>
        <v>118905</v>
      </c>
      <c r="AM22" s="24">
        <f>+'Gov Rev'!AI22-'Gov Exp'!AE22+'Gov Exp'!AI22-'Gov Exp'!AK22</f>
        <v>0.20999999999185093</v>
      </c>
    </row>
    <row r="23" spans="1:39" ht="12.75" hidden="1">
      <c r="A23" s="15" t="s">
        <v>221</v>
      </c>
      <c r="C23" s="15" t="s">
        <v>819</v>
      </c>
      <c r="D23" s="28"/>
      <c r="E23" s="24">
        <v>0</v>
      </c>
      <c r="G23" s="24">
        <v>0</v>
      </c>
      <c r="I23" s="24">
        <v>0</v>
      </c>
      <c r="K23" s="24">
        <v>0</v>
      </c>
      <c r="M23" s="24">
        <v>0</v>
      </c>
      <c r="O23" s="24">
        <v>0</v>
      </c>
      <c r="Q23" s="24">
        <v>0</v>
      </c>
      <c r="S23" s="24">
        <v>0</v>
      </c>
      <c r="U23" s="24">
        <v>0</v>
      </c>
      <c r="W23" s="24">
        <v>0</v>
      </c>
      <c r="Y23" s="24">
        <v>0</v>
      </c>
      <c r="AA23" s="24">
        <v>0</v>
      </c>
      <c r="AC23" s="24">
        <v>0</v>
      </c>
      <c r="AE23" s="24">
        <f t="shared" si="0"/>
        <v>0</v>
      </c>
      <c r="AF23" s="24"/>
    </row>
    <row r="24" spans="1:39" ht="12.6" customHeight="1">
      <c r="A24" s="15" t="s">
        <v>328</v>
      </c>
      <c r="C24" s="15" t="s">
        <v>329</v>
      </c>
      <c r="E24" s="24">
        <f>140417+28986</f>
        <v>169403</v>
      </c>
      <c r="G24" s="24">
        <v>14284</v>
      </c>
      <c r="I24" s="24">
        <v>6975</v>
      </c>
      <c r="K24" s="24">
        <v>229</v>
      </c>
      <c r="M24" s="24">
        <v>0</v>
      </c>
      <c r="O24" s="24">
        <f>46354+47343+130944</f>
        <v>224641</v>
      </c>
      <c r="Q24" s="24">
        <v>189408</v>
      </c>
      <c r="S24" s="24">
        <f>50129+18842</f>
        <v>68971</v>
      </c>
      <c r="U24" s="24">
        <f>150000+10907+23100</f>
        <v>184007</v>
      </c>
      <c r="W24" s="24">
        <f>7105+2096+15699</f>
        <v>24900</v>
      </c>
      <c r="Y24" s="24">
        <f>46784+10000</f>
        <v>56784</v>
      </c>
      <c r="AA24" s="24">
        <v>0</v>
      </c>
      <c r="AC24" s="24">
        <v>2333</v>
      </c>
      <c r="AE24" s="24">
        <f t="shared" si="0"/>
        <v>941935</v>
      </c>
      <c r="AF24" s="24"/>
      <c r="AG24" s="64">
        <f>6057-84853+19446</f>
        <v>-59350</v>
      </c>
      <c r="AI24" s="64">
        <f>39555+114050+84853</f>
        <v>238458</v>
      </c>
      <c r="AK24" s="64">
        <f>59001+120107</f>
        <v>179108</v>
      </c>
      <c r="AM24" s="24">
        <f>+'Gov Rev'!AI24-'Gov Exp'!AE24+'Gov Exp'!AI24-'Gov Exp'!AK24</f>
        <v>0</v>
      </c>
    </row>
    <row r="25" spans="1:39">
      <c r="A25" s="15" t="s">
        <v>476</v>
      </c>
      <c r="C25" s="15" t="s">
        <v>477</v>
      </c>
      <c r="E25" s="24">
        <v>2112</v>
      </c>
      <c r="G25" s="24">
        <f>849+2286</f>
        <v>3135</v>
      </c>
      <c r="I25" s="24">
        <v>97</v>
      </c>
      <c r="K25" s="24">
        <v>0</v>
      </c>
      <c r="M25" s="24">
        <v>0</v>
      </c>
      <c r="O25" s="24">
        <v>10676</v>
      </c>
      <c r="Q25" s="24">
        <v>5283</v>
      </c>
      <c r="S25" s="24">
        <v>0</v>
      </c>
      <c r="U25" s="24">
        <v>0</v>
      </c>
      <c r="W25" s="24">
        <v>0</v>
      </c>
      <c r="Y25" s="24">
        <v>0</v>
      </c>
      <c r="AA25" s="24">
        <v>0</v>
      </c>
      <c r="AC25" s="24">
        <v>0</v>
      </c>
      <c r="AE25" s="24">
        <f t="shared" si="0"/>
        <v>21303</v>
      </c>
      <c r="AF25" s="24"/>
      <c r="AG25" s="64">
        <f>-8179+537</f>
        <v>-7642</v>
      </c>
      <c r="AI25" s="64">
        <f>22833+17862</f>
        <v>40695</v>
      </c>
      <c r="AK25" s="64">
        <f>23370+9683</f>
        <v>33053</v>
      </c>
      <c r="AM25" s="24">
        <f>+'Gov Rev'!AI25-'Gov Exp'!AE25+'Gov Exp'!AI25-'Gov Exp'!AK25</f>
        <v>0</v>
      </c>
    </row>
    <row r="26" spans="1:39">
      <c r="A26" s="15" t="s">
        <v>499</v>
      </c>
      <c r="C26" s="15" t="s">
        <v>500</v>
      </c>
      <c r="E26" s="24">
        <f>2635+279186</f>
        <v>281821</v>
      </c>
      <c r="G26" s="24">
        <v>504</v>
      </c>
      <c r="I26" s="24">
        <v>8644</v>
      </c>
      <c r="K26" s="24">
        <v>303</v>
      </c>
      <c r="M26" s="24">
        <v>0</v>
      </c>
      <c r="O26" s="24">
        <v>97459</v>
      </c>
      <c r="Q26" s="24">
        <f>143218+551</f>
        <v>143769</v>
      </c>
      <c r="S26" s="24">
        <f>15945+171490+132651</f>
        <v>320086</v>
      </c>
      <c r="U26" s="24">
        <v>14700</v>
      </c>
      <c r="W26" s="24">
        <v>76920</v>
      </c>
      <c r="Y26" s="24">
        <v>214326</v>
      </c>
      <c r="AA26" s="24">
        <v>0</v>
      </c>
      <c r="AC26" s="24">
        <v>14336</v>
      </c>
      <c r="AE26" s="24">
        <f t="shared" si="0"/>
        <v>1172868</v>
      </c>
      <c r="AF26" s="24"/>
      <c r="AG26" s="64">
        <f>69271+3749+58183</f>
        <v>131203</v>
      </c>
      <c r="AI26" s="64">
        <f>164155+170060+86707-3749</f>
        <v>417173</v>
      </c>
      <c r="AK26" s="64">
        <f>222338+239332+86707</f>
        <v>548377</v>
      </c>
      <c r="AM26" s="24">
        <f>+'Gov Rev'!AI26-'Gov Exp'!AE26+'Gov Exp'!AI26-'Gov Exp'!AK26</f>
        <v>0</v>
      </c>
    </row>
    <row r="27" spans="1:39">
      <c r="A27" s="15" t="s">
        <v>592</v>
      </c>
      <c r="C27" s="15" t="s">
        <v>593</v>
      </c>
      <c r="E27" s="24">
        <v>78706</v>
      </c>
      <c r="G27" s="24">
        <v>0</v>
      </c>
      <c r="I27" s="24">
        <v>300</v>
      </c>
      <c r="K27" s="24">
        <v>0</v>
      </c>
      <c r="M27" s="24">
        <v>0</v>
      </c>
      <c r="O27" s="24">
        <v>0</v>
      </c>
      <c r="Q27" s="24">
        <v>110871</v>
      </c>
      <c r="S27" s="24">
        <v>116374</v>
      </c>
      <c r="U27" s="24">
        <v>0</v>
      </c>
      <c r="W27" s="24">
        <v>0</v>
      </c>
      <c r="Y27" s="24">
        <v>75000</v>
      </c>
      <c r="AA27" s="24">
        <v>0</v>
      </c>
      <c r="AC27" s="24">
        <v>0</v>
      </c>
      <c r="AE27" s="24">
        <f t="shared" si="0"/>
        <v>381251</v>
      </c>
      <c r="AF27" s="24"/>
      <c r="AG27" s="64">
        <v>-26804</v>
      </c>
      <c r="AI27" s="64">
        <v>690445</v>
      </c>
      <c r="AK27" s="64">
        <v>663641</v>
      </c>
      <c r="AM27" s="24">
        <f>+'Gov Rev'!AI27-'Gov Exp'!AE27+'Gov Exp'!AI27-'Gov Exp'!AK27</f>
        <v>0</v>
      </c>
    </row>
    <row r="28" spans="1:39" ht="12.75" hidden="1">
      <c r="A28" s="15" t="s">
        <v>716</v>
      </c>
      <c r="C28" s="15" t="s">
        <v>368</v>
      </c>
      <c r="D28" s="28"/>
      <c r="E28" s="24">
        <v>0</v>
      </c>
      <c r="G28" s="24">
        <v>0</v>
      </c>
      <c r="I28" s="24">
        <v>0</v>
      </c>
      <c r="K28" s="24">
        <v>0</v>
      </c>
      <c r="M28" s="24">
        <v>0</v>
      </c>
      <c r="O28" s="24">
        <v>0</v>
      </c>
      <c r="Q28" s="24">
        <v>0</v>
      </c>
      <c r="S28" s="24">
        <v>0</v>
      </c>
      <c r="U28" s="24">
        <v>0</v>
      </c>
      <c r="W28" s="24">
        <v>0</v>
      </c>
      <c r="Y28" s="24">
        <v>0</v>
      </c>
      <c r="AA28" s="24">
        <v>0</v>
      </c>
      <c r="AC28" s="24">
        <v>0</v>
      </c>
      <c r="AE28" s="24">
        <f t="shared" si="0"/>
        <v>0</v>
      </c>
      <c r="AF28" s="24"/>
      <c r="AM28" s="24">
        <f>+'Gov Rev'!AI28-'Gov Exp'!AE28+'Gov Exp'!AI28-'Gov Exp'!AK28</f>
        <v>0</v>
      </c>
    </row>
    <row r="29" spans="1:39" hidden="1">
      <c r="A29" s="15" t="s">
        <v>387</v>
      </c>
      <c r="C29" s="15" t="s">
        <v>388</v>
      </c>
      <c r="E29" s="24">
        <v>0</v>
      </c>
      <c r="G29" s="24">
        <v>0</v>
      </c>
      <c r="I29" s="24">
        <v>0</v>
      </c>
      <c r="K29" s="24">
        <v>0</v>
      </c>
      <c r="M29" s="24">
        <v>0</v>
      </c>
      <c r="O29" s="24">
        <v>0</v>
      </c>
      <c r="Q29" s="24">
        <v>0</v>
      </c>
      <c r="S29" s="24">
        <v>0</v>
      </c>
      <c r="U29" s="24">
        <v>0</v>
      </c>
      <c r="W29" s="24">
        <v>0</v>
      </c>
      <c r="Y29" s="24">
        <v>0</v>
      </c>
      <c r="AA29" s="24">
        <v>0</v>
      </c>
      <c r="AC29" s="24">
        <v>0</v>
      </c>
      <c r="AE29" s="24">
        <f t="shared" si="0"/>
        <v>0</v>
      </c>
      <c r="AF29" s="24"/>
      <c r="AM29" s="24">
        <f>+'Gov Rev'!AI29-'Gov Exp'!AE29+'Gov Exp'!AI29-'Gov Exp'!AK29</f>
        <v>0</v>
      </c>
    </row>
    <row r="30" spans="1:39" ht="12.6" customHeight="1">
      <c r="A30" s="15" t="s">
        <v>330</v>
      </c>
      <c r="C30" s="15" t="s">
        <v>329</v>
      </c>
      <c r="E30" s="24">
        <f>264325+83003</f>
        <v>347328</v>
      </c>
      <c r="G30" s="24">
        <f>11160+224</f>
        <v>11384</v>
      </c>
      <c r="I30" s="24">
        <f>3742+31223</f>
        <v>34965</v>
      </c>
      <c r="K30" s="24">
        <v>91654</v>
      </c>
      <c r="M30" s="24">
        <v>0</v>
      </c>
      <c r="O30" s="24">
        <f>613+98289+1452</f>
        <v>100354</v>
      </c>
      <c r="Q30" s="24">
        <v>169218</v>
      </c>
      <c r="S30" s="24">
        <f>35594+255631</f>
        <v>291225</v>
      </c>
      <c r="U30" s="24">
        <f>11321+31381</f>
        <v>42702</v>
      </c>
      <c r="W30" s="24">
        <v>1167</v>
      </c>
      <c r="Y30" s="24">
        <v>150000</v>
      </c>
      <c r="AA30" s="24">
        <v>59600</v>
      </c>
      <c r="AC30" s="24">
        <v>0</v>
      </c>
      <c r="AE30" s="24">
        <f t="shared" si="0"/>
        <v>1299597</v>
      </c>
      <c r="AF30" s="24"/>
      <c r="AG30" s="64">
        <f>27830-50325+446951</f>
        <v>424456</v>
      </c>
      <c r="AI30" s="64">
        <f>866211+320520+682462</f>
        <v>1869193</v>
      </c>
      <c r="AK30" s="64">
        <f>819260+348350+632137</f>
        <v>1799747</v>
      </c>
      <c r="AM30" s="24">
        <f>+'Gov Rev'!AI30-'Gov Exp'!AE30+'Gov Exp'!AI30-'Gov Exp'!AK30</f>
        <v>0</v>
      </c>
    </row>
    <row r="31" spans="1:39" s="31" customFormat="1">
      <c r="A31" s="15" t="s">
        <v>357</v>
      </c>
      <c r="B31" s="15"/>
      <c r="C31" s="15" t="s">
        <v>358</v>
      </c>
      <c r="D31" s="15"/>
      <c r="E31" s="24">
        <v>1291979</v>
      </c>
      <c r="F31" s="24"/>
      <c r="G31" s="24">
        <f>10500+68493</f>
        <v>78993</v>
      </c>
      <c r="H31" s="24"/>
      <c r="I31" s="24">
        <v>659499</v>
      </c>
      <c r="J31" s="24"/>
      <c r="K31" s="24">
        <v>22090</v>
      </c>
      <c r="L31" s="24"/>
      <c r="M31" s="24">
        <v>278584</v>
      </c>
      <c r="N31" s="24"/>
      <c r="O31" s="24">
        <v>604771</v>
      </c>
      <c r="P31" s="24"/>
      <c r="Q31" s="24">
        <f>1095618+71247</f>
        <v>1166865</v>
      </c>
      <c r="R31" s="24"/>
      <c r="S31" s="24">
        <v>3530808</v>
      </c>
      <c r="T31" s="24"/>
      <c r="U31" s="24">
        <f>2500000+175000</f>
        <v>2675000</v>
      </c>
      <c r="V31" s="24"/>
      <c r="W31" s="24">
        <f>86258+125659</f>
        <v>211917</v>
      </c>
      <c r="X31" s="24"/>
      <c r="Y31" s="24">
        <f>3250000+612146</f>
        <v>3862146</v>
      </c>
      <c r="Z31" s="24"/>
      <c r="AA31" s="24">
        <v>0</v>
      </c>
      <c r="AB31" s="24"/>
      <c r="AC31" s="24">
        <f>9780+46625+62099</f>
        <v>118504</v>
      </c>
      <c r="AD31" s="24"/>
      <c r="AE31" s="24">
        <f t="shared" si="0"/>
        <v>14501156</v>
      </c>
      <c r="AF31" s="24"/>
      <c r="AG31" s="65">
        <f>-85182-3541-1104463-48013</f>
        <v>-1241199</v>
      </c>
      <c r="AH31" s="65"/>
      <c r="AI31" s="65">
        <f>1925520+360977+29570+4008069</f>
        <v>6324136</v>
      </c>
      <c r="AJ31" s="65"/>
      <c r="AK31" s="65">
        <f>1877507+275795+26029+2903606</f>
        <v>5082937</v>
      </c>
      <c r="AM31" s="24">
        <f>+'Gov Rev'!AI31-'Gov Exp'!AE31+'Gov Exp'!AI31-'Gov Exp'!AK31</f>
        <v>0</v>
      </c>
    </row>
    <row r="32" spans="1:39" ht="12.75">
      <c r="A32" s="15" t="s">
        <v>98</v>
      </c>
      <c r="C32" s="15" t="s">
        <v>779</v>
      </c>
      <c r="D32" s="28"/>
      <c r="E32" s="24">
        <f>27347+22952+110269</f>
        <v>160568</v>
      </c>
      <c r="G32" s="24">
        <v>7253</v>
      </c>
      <c r="I32" s="24">
        <v>8411</v>
      </c>
      <c r="K32" s="24">
        <v>0</v>
      </c>
      <c r="M32" s="24">
        <v>0</v>
      </c>
      <c r="O32" s="24">
        <f>7133+88469+7333</f>
        <v>102935</v>
      </c>
      <c r="Q32" s="24">
        <f>99167+30</f>
        <v>99197</v>
      </c>
      <c r="S32" s="24">
        <f>13418+1203+37348</f>
        <v>51969</v>
      </c>
      <c r="U32" s="24">
        <f>45000+30687</f>
        <v>75687</v>
      </c>
      <c r="W32" s="24">
        <f>13623+8913</f>
        <v>22536</v>
      </c>
      <c r="Y32" s="24">
        <v>130869</v>
      </c>
      <c r="AA32" s="24">
        <f>5500+5000</f>
        <v>10500</v>
      </c>
      <c r="AC32" s="24">
        <v>5514</v>
      </c>
      <c r="AE32" s="24">
        <f t="shared" si="0"/>
        <v>675439</v>
      </c>
      <c r="AF32" s="24"/>
      <c r="AG32" s="64">
        <f>-1447-1830+1377-12795+101153+13292</f>
        <v>99750</v>
      </c>
      <c r="AI32" s="64">
        <f>150062+15090+48999+712+22077+80399+1</f>
        <v>317340</v>
      </c>
      <c r="AK32" s="64">
        <f>163354+13643+47169+2089+9283+181553</f>
        <v>417091</v>
      </c>
      <c r="AM32" s="24">
        <f>+'Gov Rev'!AI32-'Gov Exp'!AE32+'Gov Exp'!AI32-'Gov Exp'!AK32</f>
        <v>0</v>
      </c>
    </row>
    <row r="33" spans="1:39" s="31" customFormat="1">
      <c r="A33" s="15" t="s">
        <v>379</v>
      </c>
      <c r="B33" s="15"/>
      <c r="C33" s="15" t="s">
        <v>378</v>
      </c>
      <c r="D33" s="15"/>
      <c r="E33" s="24">
        <f>295980+117387</f>
        <v>413367</v>
      </c>
      <c r="F33" s="24"/>
      <c r="G33" s="24">
        <v>0</v>
      </c>
      <c r="H33" s="24"/>
      <c r="I33" s="24">
        <v>17837</v>
      </c>
      <c r="J33" s="24"/>
      <c r="K33" s="24">
        <v>0</v>
      </c>
      <c r="L33" s="24"/>
      <c r="M33" s="24">
        <v>76829</v>
      </c>
      <c r="N33" s="24"/>
      <c r="O33" s="24">
        <v>66987</v>
      </c>
      <c r="P33" s="24"/>
      <c r="Q33" s="24">
        <f>450701+22046</f>
        <v>472747</v>
      </c>
      <c r="R33" s="24"/>
      <c r="S33" s="24">
        <v>0</v>
      </c>
      <c r="T33" s="24"/>
      <c r="U33" s="24">
        <v>407</v>
      </c>
      <c r="V33" s="24"/>
      <c r="W33" s="24">
        <v>0</v>
      </c>
      <c r="X33" s="24"/>
      <c r="Y33" s="24">
        <f>1800+900</f>
        <v>2700</v>
      </c>
      <c r="Z33" s="24"/>
      <c r="AA33" s="24">
        <v>0</v>
      </c>
      <c r="AB33" s="24"/>
      <c r="AC33" s="24">
        <v>0</v>
      </c>
      <c r="AD33" s="24"/>
      <c r="AE33" s="24">
        <f t="shared" si="0"/>
        <v>1050874</v>
      </c>
      <c r="AF33" s="24"/>
      <c r="AG33" s="65">
        <f>9370-407-4433</f>
        <v>4530</v>
      </c>
      <c r="AH33" s="65"/>
      <c r="AI33" s="65">
        <f>152854+143886+472+10802</f>
        <v>308014</v>
      </c>
      <c r="AJ33" s="65"/>
      <c r="AK33" s="65">
        <f>148421+153257+65+10802</f>
        <v>312545</v>
      </c>
      <c r="AM33" s="24">
        <f>+'Gov Rev'!AI33-'Gov Exp'!AE33+'Gov Exp'!AI33-'Gov Exp'!AK33</f>
        <v>0</v>
      </c>
    </row>
    <row r="34" spans="1:39" ht="12.75" hidden="1">
      <c r="A34" s="15" t="s">
        <v>854</v>
      </c>
      <c r="C34" s="15" t="s">
        <v>809</v>
      </c>
      <c r="D34" s="28"/>
      <c r="E34" s="24">
        <v>0</v>
      </c>
      <c r="G34" s="24">
        <v>0</v>
      </c>
      <c r="I34" s="24">
        <v>0</v>
      </c>
      <c r="K34" s="24">
        <v>0</v>
      </c>
      <c r="M34" s="24">
        <v>0</v>
      </c>
      <c r="O34" s="24">
        <v>0</v>
      </c>
      <c r="Q34" s="24">
        <v>0</v>
      </c>
      <c r="S34" s="24">
        <v>0</v>
      </c>
      <c r="U34" s="24">
        <v>0</v>
      </c>
      <c r="W34" s="24">
        <v>0</v>
      </c>
      <c r="Y34" s="24">
        <v>0</v>
      </c>
      <c r="AA34" s="24">
        <v>0</v>
      </c>
      <c r="AC34" s="24">
        <v>0</v>
      </c>
      <c r="AE34" s="24">
        <f t="shared" si="0"/>
        <v>0</v>
      </c>
      <c r="AF34" s="24"/>
      <c r="AM34" s="24">
        <f>+'Gov Rev'!AI34-'Gov Exp'!AE34+'Gov Exp'!AI34-'Gov Exp'!AK34</f>
        <v>0</v>
      </c>
    </row>
    <row r="35" spans="1:39" ht="12.75">
      <c r="A35" s="15" t="s">
        <v>899</v>
      </c>
      <c r="C35" s="15" t="s">
        <v>437</v>
      </c>
      <c r="D35" s="28"/>
      <c r="E35" s="24">
        <f>3490+1930</f>
        <v>5420</v>
      </c>
      <c r="G35" s="24">
        <v>1527</v>
      </c>
      <c r="I35" s="24">
        <v>35</v>
      </c>
      <c r="K35" s="24">
        <v>0</v>
      </c>
      <c r="M35" s="24">
        <v>3125</v>
      </c>
      <c r="O35" s="24">
        <v>7473</v>
      </c>
      <c r="Q35" s="24">
        <v>18290</v>
      </c>
      <c r="S35" s="24">
        <v>0</v>
      </c>
      <c r="U35" s="24">
        <v>0</v>
      </c>
      <c r="W35" s="24">
        <v>251</v>
      </c>
      <c r="Y35" s="24">
        <v>0</v>
      </c>
      <c r="AA35" s="24">
        <v>0</v>
      </c>
      <c r="AC35" s="24">
        <v>0</v>
      </c>
      <c r="AE35" s="24">
        <f t="shared" si="0"/>
        <v>36121</v>
      </c>
      <c r="AF35" s="24"/>
      <c r="AG35" s="64">
        <f>6076+285+496</f>
        <v>6857</v>
      </c>
      <c r="AI35" s="64">
        <f>4702+21565+2250</f>
        <v>28517</v>
      </c>
      <c r="AK35" s="64">
        <f>5206+27641+285</f>
        <v>33132</v>
      </c>
      <c r="AM35" s="24">
        <f>+'Gov Rev'!AI35-'Gov Exp'!AE35+'Gov Exp'!AI35-'Gov Exp'!AK35</f>
        <v>0</v>
      </c>
    </row>
    <row r="36" spans="1:39" ht="12.75" hidden="1">
      <c r="A36" s="15" t="s">
        <v>218</v>
      </c>
      <c r="C36" s="15" t="s">
        <v>818</v>
      </c>
      <c r="D36" s="28"/>
      <c r="E36" s="24">
        <v>0</v>
      </c>
      <c r="G36" s="24">
        <v>0</v>
      </c>
      <c r="I36" s="24">
        <v>0</v>
      </c>
      <c r="K36" s="24">
        <v>0</v>
      </c>
      <c r="M36" s="24">
        <v>0</v>
      </c>
      <c r="O36" s="24">
        <v>0</v>
      </c>
      <c r="Q36" s="24">
        <v>0</v>
      </c>
      <c r="S36" s="24">
        <v>0</v>
      </c>
      <c r="U36" s="24">
        <v>0</v>
      </c>
      <c r="W36" s="24">
        <v>0</v>
      </c>
      <c r="Y36" s="24">
        <v>0</v>
      </c>
      <c r="AA36" s="24">
        <v>0</v>
      </c>
      <c r="AC36" s="24">
        <v>0</v>
      </c>
      <c r="AE36" s="24">
        <f t="shared" si="0"/>
        <v>0</v>
      </c>
      <c r="AF36" s="24"/>
      <c r="AM36" s="24">
        <f>+'Gov Rev'!AI36-'Gov Exp'!AE36+'Gov Exp'!AI36-'Gov Exp'!AK36</f>
        <v>0</v>
      </c>
    </row>
    <row r="37" spans="1:39" ht="12.75">
      <c r="A37" s="15" t="s">
        <v>673</v>
      </c>
      <c r="C37" s="15" t="s">
        <v>672</v>
      </c>
      <c r="D37" s="28"/>
      <c r="E37" s="24">
        <v>10399</v>
      </c>
      <c r="G37" s="24">
        <v>155</v>
      </c>
      <c r="I37" s="24">
        <v>4253</v>
      </c>
      <c r="K37" s="24">
        <v>3104</v>
      </c>
      <c r="M37" s="24">
        <v>0</v>
      </c>
      <c r="O37" s="24">
        <f>12712+20310</f>
        <v>33022</v>
      </c>
      <c r="Q37" s="24">
        <v>28342</v>
      </c>
      <c r="S37" s="24">
        <v>0</v>
      </c>
      <c r="U37" s="24">
        <v>0</v>
      </c>
      <c r="W37" s="24">
        <v>0</v>
      </c>
      <c r="Y37" s="24">
        <v>0</v>
      </c>
      <c r="AA37" s="24">
        <v>0</v>
      </c>
      <c r="AC37" s="24">
        <v>0</v>
      </c>
      <c r="AE37" s="24">
        <f t="shared" si="0"/>
        <v>79275</v>
      </c>
      <c r="AF37" s="24"/>
      <c r="AG37" s="64">
        <f>-1529+1689</f>
        <v>160</v>
      </c>
      <c r="AI37" s="64">
        <f>14098+17088</f>
        <v>31186</v>
      </c>
      <c r="AK37" s="64">
        <f>15787+15559</f>
        <v>31346</v>
      </c>
      <c r="AM37" s="24">
        <f>+'Gov Rev'!AI37-'Gov Exp'!AE37+'Gov Exp'!AI37-'Gov Exp'!AK37</f>
        <v>0</v>
      </c>
    </row>
    <row r="38" spans="1:39" ht="12.75" hidden="1">
      <c r="A38" s="15" t="s">
        <v>855</v>
      </c>
      <c r="C38" s="15" t="s">
        <v>815</v>
      </c>
      <c r="D38" s="28"/>
      <c r="E38" s="24">
        <v>0</v>
      </c>
      <c r="G38" s="24">
        <v>0</v>
      </c>
      <c r="I38" s="24">
        <v>0</v>
      </c>
      <c r="K38" s="24">
        <v>0</v>
      </c>
      <c r="M38" s="24">
        <v>0</v>
      </c>
      <c r="O38" s="24">
        <v>0</v>
      </c>
      <c r="Q38" s="24">
        <v>0</v>
      </c>
      <c r="S38" s="24">
        <v>0</v>
      </c>
      <c r="U38" s="24">
        <v>0</v>
      </c>
      <c r="W38" s="24">
        <v>0</v>
      </c>
      <c r="Y38" s="24">
        <v>0</v>
      </c>
      <c r="AA38" s="24">
        <v>0</v>
      </c>
      <c r="AC38" s="24">
        <v>0</v>
      </c>
      <c r="AE38" s="24">
        <f t="shared" si="0"/>
        <v>0</v>
      </c>
      <c r="AF38" s="24"/>
      <c r="AM38" s="24">
        <f>+'Gov Rev'!AI38-'Gov Exp'!AE38+'Gov Exp'!AI38-'Gov Exp'!AK38</f>
        <v>0</v>
      </c>
    </row>
    <row r="39" spans="1:39" hidden="1">
      <c r="A39" s="15" t="s">
        <v>605</v>
      </c>
      <c r="C39" s="15" t="s">
        <v>606</v>
      </c>
      <c r="E39" s="24">
        <v>0</v>
      </c>
      <c r="G39" s="24">
        <v>0</v>
      </c>
      <c r="I39" s="24">
        <v>0</v>
      </c>
      <c r="K39" s="24">
        <v>0</v>
      </c>
      <c r="M39" s="24">
        <v>0</v>
      </c>
      <c r="O39" s="24">
        <v>0</v>
      </c>
      <c r="Q39" s="24">
        <v>0</v>
      </c>
      <c r="S39" s="24">
        <v>0</v>
      </c>
      <c r="U39" s="24">
        <v>0</v>
      </c>
      <c r="W39" s="24">
        <v>0</v>
      </c>
      <c r="Y39" s="24">
        <v>0</v>
      </c>
      <c r="AA39" s="24">
        <v>0</v>
      </c>
      <c r="AC39" s="24">
        <v>0</v>
      </c>
      <c r="AE39" s="24">
        <f t="shared" si="0"/>
        <v>0</v>
      </c>
      <c r="AF39" s="24"/>
      <c r="AM39" s="24">
        <f>+'Gov Rev'!AI39-'Gov Exp'!AE39+'Gov Exp'!AI39-'Gov Exp'!AK39</f>
        <v>0</v>
      </c>
    </row>
    <row r="40" spans="1:39">
      <c r="A40" s="15" t="s">
        <v>564</v>
      </c>
      <c r="C40" s="15" t="s">
        <v>565</v>
      </c>
      <c r="E40" s="24">
        <f>23808+128092</f>
        <v>151900</v>
      </c>
      <c r="G40" s="24">
        <f>978+8459</f>
        <v>9437</v>
      </c>
      <c r="I40" s="24">
        <v>16962</v>
      </c>
      <c r="K40" s="24">
        <v>942</v>
      </c>
      <c r="M40" s="24">
        <v>0</v>
      </c>
      <c r="O40" s="24">
        <f>6062+81460</f>
        <v>87522</v>
      </c>
      <c r="Q40" s="24">
        <f>103364+13072</f>
        <v>116436</v>
      </c>
      <c r="S40" s="24">
        <f>3350+11227+5902</f>
        <v>20479</v>
      </c>
      <c r="U40" s="24">
        <f>8565+27868</f>
        <v>36433</v>
      </c>
      <c r="W40" s="24">
        <v>48475</v>
      </c>
      <c r="Y40" s="24">
        <v>0</v>
      </c>
      <c r="AA40" s="24">
        <v>0</v>
      </c>
      <c r="AC40" s="24">
        <v>0</v>
      </c>
      <c r="AE40" s="24">
        <f t="shared" ref="AE40:AE73" si="1">SUM(E40:AC40)</f>
        <v>488586</v>
      </c>
      <c r="AF40" s="24"/>
      <c r="AG40" s="64">
        <f>45475-16248+16825-122</f>
        <v>45930</v>
      </c>
      <c r="AI40" s="64">
        <f>70545+154585+34367+42567+24291</f>
        <v>326355</v>
      </c>
      <c r="AK40" s="64">
        <f>70423+200060+18119+59392+24291</f>
        <v>372285</v>
      </c>
      <c r="AM40" s="24">
        <f>+'Gov Rev'!AI40-'Gov Exp'!AE40+'Gov Exp'!AI40-'Gov Exp'!AK40</f>
        <v>0</v>
      </c>
    </row>
    <row r="41" spans="1:39" s="31" customFormat="1" ht="12.6" customHeight="1">
      <c r="A41" s="15" t="s">
        <v>349</v>
      </c>
      <c r="B41" s="15"/>
      <c r="C41" s="15" t="s">
        <v>350</v>
      </c>
      <c r="D41" s="15"/>
      <c r="E41" s="24">
        <f>279973+2297</f>
        <v>282270</v>
      </c>
      <c r="F41" s="24"/>
      <c r="G41" s="24">
        <v>20702</v>
      </c>
      <c r="H41" s="24"/>
      <c r="I41" s="24">
        <v>39663</v>
      </c>
      <c r="J41" s="24"/>
      <c r="K41" s="24">
        <v>59215</v>
      </c>
      <c r="L41" s="24"/>
      <c r="M41" s="24">
        <v>0</v>
      </c>
      <c r="N41" s="24"/>
      <c r="O41" s="24">
        <v>355548</v>
      </c>
      <c r="P41" s="24"/>
      <c r="Q41" s="24">
        <f>208973+17316</f>
        <v>226289</v>
      </c>
      <c r="R41" s="24"/>
      <c r="S41" s="24">
        <f>4760+8632+25094</f>
        <v>38486</v>
      </c>
      <c r="T41" s="24"/>
      <c r="U41" s="24">
        <v>8856</v>
      </c>
      <c r="V41" s="24"/>
      <c r="W41" s="24">
        <v>784</v>
      </c>
      <c r="X41" s="24"/>
      <c r="Y41" s="24">
        <v>0</v>
      </c>
      <c r="Z41" s="24"/>
      <c r="AA41" s="24">
        <v>0</v>
      </c>
      <c r="AB41" s="24"/>
      <c r="AC41" s="24">
        <f>35220+38861</f>
        <v>74081</v>
      </c>
      <c r="AD41" s="24"/>
      <c r="AE41" s="24">
        <f t="shared" si="1"/>
        <v>1105894</v>
      </c>
      <c r="AF41" s="24"/>
      <c r="AG41" s="65">
        <f>-20590-25094-155007</f>
        <v>-200691</v>
      </c>
      <c r="AH41" s="65"/>
      <c r="AI41" s="65">
        <f>217393+142494+36009</f>
        <v>395896</v>
      </c>
      <c r="AJ41" s="65"/>
      <c r="AK41" s="65">
        <f>62386+121904+10915</f>
        <v>195205</v>
      </c>
      <c r="AM41" s="24">
        <f>+'Gov Rev'!AI41-'Gov Exp'!AE41+'Gov Exp'!AI41-'Gov Exp'!AK41</f>
        <v>0</v>
      </c>
    </row>
    <row r="42" spans="1:39" ht="12.6" customHeight="1">
      <c r="A42" s="15" t="s">
        <v>278</v>
      </c>
      <c r="C42" s="15" t="s">
        <v>279</v>
      </c>
      <c r="E42" s="24">
        <f>532143+173931</f>
        <v>706074</v>
      </c>
      <c r="G42" s="24">
        <f>15779+50006</f>
        <v>65785</v>
      </c>
      <c r="I42" s="24">
        <f>11446+180214</f>
        <v>191660</v>
      </c>
      <c r="K42" s="24">
        <v>0</v>
      </c>
      <c r="M42" s="24">
        <v>0</v>
      </c>
      <c r="O42" s="24">
        <f>47696+331510</f>
        <v>379206</v>
      </c>
      <c r="Q42" s="24">
        <f>146620+47912</f>
        <v>194532</v>
      </c>
      <c r="S42" s="24">
        <v>689849</v>
      </c>
      <c r="U42" s="24">
        <v>239958</v>
      </c>
      <c r="W42" s="24">
        <v>95151</v>
      </c>
      <c r="Y42" s="24">
        <f>279393+48532</f>
        <v>327925</v>
      </c>
      <c r="AA42" s="24">
        <v>0</v>
      </c>
      <c r="AC42" s="24">
        <v>0</v>
      </c>
      <c r="AE42" s="24">
        <f t="shared" si="1"/>
        <v>2890140</v>
      </c>
      <c r="AF42" s="24"/>
      <c r="AG42" s="64">
        <f>303058+48542-10719+3279</f>
        <v>344160</v>
      </c>
      <c r="AI42" s="64">
        <f>296140+795367+4+263080</f>
        <v>1354591</v>
      </c>
      <c r="AK42" s="64">
        <f>299419+1098425+48546+252361</f>
        <v>1698751</v>
      </c>
      <c r="AM42" s="24">
        <f>+'Gov Rev'!AI42-'Gov Exp'!AE42+'Gov Exp'!AI42-'Gov Exp'!AK42</f>
        <v>0</v>
      </c>
    </row>
    <row r="43" spans="1:39" hidden="1">
      <c r="A43" s="15" t="s">
        <v>566</v>
      </c>
      <c r="C43" s="15" t="s">
        <v>565</v>
      </c>
      <c r="E43" s="24">
        <v>0</v>
      </c>
      <c r="G43" s="24">
        <v>0</v>
      </c>
      <c r="I43" s="24">
        <v>0</v>
      </c>
      <c r="K43" s="24">
        <v>0</v>
      </c>
      <c r="M43" s="24">
        <v>0</v>
      </c>
      <c r="O43" s="24">
        <v>0</v>
      </c>
      <c r="Q43" s="24">
        <v>0</v>
      </c>
      <c r="S43" s="24">
        <v>0</v>
      </c>
      <c r="U43" s="24">
        <v>0</v>
      </c>
      <c r="W43" s="24">
        <v>0</v>
      </c>
      <c r="Y43" s="24">
        <v>0</v>
      </c>
      <c r="AA43" s="24">
        <v>0</v>
      </c>
      <c r="AC43" s="24">
        <v>0</v>
      </c>
      <c r="AE43" s="24">
        <f t="shared" si="1"/>
        <v>0</v>
      </c>
      <c r="AF43" s="24"/>
      <c r="AM43" s="24">
        <f>+'Gov Rev'!AI43-'Gov Exp'!AE43+'Gov Exp'!AI43-'Gov Exp'!AK43</f>
        <v>0</v>
      </c>
    </row>
    <row r="44" spans="1:39" ht="12.6" hidden="1" customHeight="1">
      <c r="A44" s="15" t="s">
        <v>294</v>
      </c>
      <c r="C44" s="15" t="s">
        <v>295</v>
      </c>
      <c r="E44" s="24">
        <v>0</v>
      </c>
      <c r="G44" s="24">
        <v>0</v>
      </c>
      <c r="I44" s="24">
        <v>0</v>
      </c>
      <c r="K44" s="24">
        <v>0</v>
      </c>
      <c r="M44" s="24">
        <v>0</v>
      </c>
      <c r="O44" s="24">
        <v>0</v>
      </c>
      <c r="Q44" s="24">
        <v>0</v>
      </c>
      <c r="S44" s="24">
        <v>0</v>
      </c>
      <c r="U44" s="24">
        <v>0</v>
      </c>
      <c r="W44" s="24">
        <v>0</v>
      </c>
      <c r="Y44" s="24">
        <v>0</v>
      </c>
      <c r="AA44" s="24">
        <v>0</v>
      </c>
      <c r="AC44" s="24">
        <v>0</v>
      </c>
      <c r="AE44" s="24">
        <f t="shared" si="1"/>
        <v>0</v>
      </c>
      <c r="AF44" s="24"/>
      <c r="AM44" s="24">
        <f>+'Gov Rev'!AI44-'Gov Exp'!AE44+'Gov Exp'!AI44-'Gov Exp'!AK44</f>
        <v>0</v>
      </c>
    </row>
    <row r="45" spans="1:39">
      <c r="A45" s="15" t="s">
        <v>493</v>
      </c>
      <c r="C45" s="15" t="s">
        <v>494</v>
      </c>
      <c r="E45" s="24">
        <v>2668</v>
      </c>
      <c r="G45" s="24">
        <v>0</v>
      </c>
      <c r="I45" s="24">
        <v>581</v>
      </c>
      <c r="K45" s="24">
        <v>0</v>
      </c>
      <c r="M45" s="24">
        <v>0</v>
      </c>
      <c r="O45" s="24">
        <v>0</v>
      </c>
      <c r="Q45" s="24">
        <f>17596+3563</f>
        <v>21159</v>
      </c>
      <c r="S45" s="24">
        <v>0</v>
      </c>
      <c r="U45" s="24">
        <v>0</v>
      </c>
      <c r="W45" s="24">
        <v>0</v>
      </c>
      <c r="Y45" s="24">
        <v>0</v>
      </c>
      <c r="AA45" s="24">
        <v>0</v>
      </c>
      <c r="AC45" s="24">
        <v>0</v>
      </c>
      <c r="AE45" s="24">
        <f t="shared" si="1"/>
        <v>24408</v>
      </c>
      <c r="AF45" s="24"/>
      <c r="AG45" s="64">
        <f>1639-3171</f>
        <v>-1532</v>
      </c>
      <c r="AI45" s="64">
        <f>5761+3133</f>
        <v>8894</v>
      </c>
      <c r="AK45" s="64">
        <f>2590+4772</f>
        <v>7362</v>
      </c>
      <c r="AM45" s="24">
        <f>+'Gov Rev'!AI45-'Gov Exp'!AE45+'Gov Exp'!AI45-'Gov Exp'!AK45</f>
        <v>0</v>
      </c>
    </row>
    <row r="46" spans="1:39" s="31" customFormat="1" ht="12.75" hidden="1">
      <c r="A46" s="15" t="s">
        <v>58</v>
      </c>
      <c r="B46" s="15"/>
      <c r="C46" s="15" t="s">
        <v>770</v>
      </c>
      <c r="D46" s="28"/>
      <c r="E46" s="24">
        <v>0</v>
      </c>
      <c r="F46" s="24"/>
      <c r="G46" s="24">
        <v>0</v>
      </c>
      <c r="H46" s="24"/>
      <c r="I46" s="24">
        <v>0</v>
      </c>
      <c r="J46" s="24"/>
      <c r="K46" s="24">
        <v>0</v>
      </c>
      <c r="L46" s="24"/>
      <c r="M46" s="24">
        <v>0</v>
      </c>
      <c r="N46" s="24"/>
      <c r="O46" s="24">
        <v>0</v>
      </c>
      <c r="P46" s="24"/>
      <c r="Q46" s="24">
        <v>0</v>
      </c>
      <c r="R46" s="24"/>
      <c r="S46" s="24">
        <v>0</v>
      </c>
      <c r="T46" s="24"/>
      <c r="U46" s="24">
        <v>0</v>
      </c>
      <c r="V46" s="24"/>
      <c r="W46" s="24">
        <v>0</v>
      </c>
      <c r="X46" s="24"/>
      <c r="Y46" s="24">
        <v>0</v>
      </c>
      <c r="Z46" s="24"/>
      <c r="AA46" s="24">
        <v>0</v>
      </c>
      <c r="AB46" s="24"/>
      <c r="AC46" s="24">
        <v>0</v>
      </c>
      <c r="AD46" s="24"/>
      <c r="AE46" s="24">
        <f t="shared" si="1"/>
        <v>0</v>
      </c>
      <c r="AF46" s="24"/>
      <c r="AG46" s="65"/>
      <c r="AH46" s="65"/>
      <c r="AI46" s="65"/>
      <c r="AJ46" s="65"/>
      <c r="AK46" s="65"/>
      <c r="AM46" s="24">
        <f>+'Gov Rev'!AI46-'Gov Exp'!AE46+'Gov Exp'!AI46-'Gov Exp'!AK46</f>
        <v>0</v>
      </c>
    </row>
    <row r="47" spans="1:39">
      <c r="A47" s="15" t="s">
        <v>544</v>
      </c>
      <c r="C47" s="15" t="s">
        <v>545</v>
      </c>
      <c r="E47" s="24">
        <f>88774+102982</f>
        <v>191756</v>
      </c>
      <c r="G47" s="24">
        <v>0</v>
      </c>
      <c r="I47" s="24">
        <v>7711</v>
      </c>
      <c r="K47" s="24">
        <v>114</v>
      </c>
      <c r="M47" s="24">
        <v>0</v>
      </c>
      <c r="O47" s="24">
        <f>13646+65349</f>
        <v>78995</v>
      </c>
      <c r="Q47" s="24">
        <v>86451</v>
      </c>
      <c r="S47" s="24">
        <f>64981+5820+13328</f>
        <v>84129</v>
      </c>
      <c r="U47" s="24">
        <v>22329</v>
      </c>
      <c r="W47" s="24">
        <v>11416</v>
      </c>
      <c r="Y47" s="24">
        <v>0</v>
      </c>
      <c r="AA47" s="24">
        <v>0</v>
      </c>
      <c r="AC47" s="24">
        <f>3551+625</f>
        <v>4176</v>
      </c>
      <c r="AE47" s="24">
        <f t="shared" si="1"/>
        <v>487077</v>
      </c>
      <c r="AF47" s="24"/>
      <c r="AG47" s="64">
        <f>-1607-6789+1651-47947</f>
        <v>-54692</v>
      </c>
      <c r="AI47" s="64">
        <f>88351+43792+15467+29246</f>
        <v>176856</v>
      </c>
      <c r="AK47" s="64">
        <f>40404+42186+8678+30897</f>
        <v>122165</v>
      </c>
      <c r="AM47" s="24">
        <f>+'Gov Rev'!AI47-'Gov Exp'!AE47+'Gov Exp'!AI47-'Gov Exp'!AK47</f>
        <v>0</v>
      </c>
    </row>
    <row r="48" spans="1:39" ht="12.75" hidden="1">
      <c r="A48" s="15" t="s">
        <v>164</v>
      </c>
      <c r="C48" s="15" t="s">
        <v>801</v>
      </c>
      <c r="D48" s="28"/>
      <c r="E48" s="24">
        <v>0</v>
      </c>
      <c r="G48" s="24">
        <v>0</v>
      </c>
      <c r="I48" s="24">
        <v>0</v>
      </c>
      <c r="K48" s="24">
        <v>0</v>
      </c>
      <c r="M48" s="24">
        <v>0</v>
      </c>
      <c r="O48" s="24">
        <v>0</v>
      </c>
      <c r="Q48" s="24">
        <v>0</v>
      </c>
      <c r="S48" s="24">
        <v>0</v>
      </c>
      <c r="U48" s="24">
        <v>0</v>
      </c>
      <c r="W48" s="24">
        <v>0</v>
      </c>
      <c r="Y48" s="24">
        <v>0</v>
      </c>
      <c r="AA48" s="24">
        <v>0</v>
      </c>
      <c r="AC48" s="24">
        <v>0</v>
      </c>
      <c r="AE48" s="24">
        <f t="shared" si="1"/>
        <v>0</v>
      </c>
      <c r="AF48" s="24"/>
      <c r="AM48" s="24">
        <f>+'Gov Rev'!AI48-'Gov Exp'!AE48+'Gov Exp'!AI48-'Gov Exp'!AK48</f>
        <v>0</v>
      </c>
    </row>
    <row r="49" spans="1:39" ht="12.75" hidden="1">
      <c r="A49" s="15" t="s">
        <v>193</v>
      </c>
      <c r="C49" s="15" t="s">
        <v>810</v>
      </c>
      <c r="D49" s="28"/>
      <c r="E49" s="24">
        <v>0</v>
      </c>
      <c r="G49" s="24">
        <v>0</v>
      </c>
      <c r="I49" s="24">
        <v>0</v>
      </c>
      <c r="K49" s="24">
        <v>0</v>
      </c>
      <c r="M49" s="24">
        <v>0</v>
      </c>
      <c r="O49" s="24">
        <v>0</v>
      </c>
      <c r="Q49" s="24">
        <v>0</v>
      </c>
      <c r="S49" s="24">
        <v>0</v>
      </c>
      <c r="U49" s="24">
        <v>0</v>
      </c>
      <c r="W49" s="24">
        <v>0</v>
      </c>
      <c r="Y49" s="24">
        <v>0</v>
      </c>
      <c r="AA49" s="24">
        <v>0</v>
      </c>
      <c r="AC49" s="24">
        <v>0</v>
      </c>
      <c r="AE49" s="24">
        <f t="shared" si="1"/>
        <v>0</v>
      </c>
      <c r="AF49" s="24"/>
      <c r="AM49" s="24">
        <f>+'Gov Rev'!AI49-'Gov Exp'!AE49+'Gov Exp'!AI49-'Gov Exp'!AK49</f>
        <v>0</v>
      </c>
    </row>
    <row r="50" spans="1:39" ht="12.75" hidden="1">
      <c r="A50" s="15" t="s">
        <v>2</v>
      </c>
      <c r="C50" s="15" t="s">
        <v>751</v>
      </c>
      <c r="D50" s="28"/>
      <c r="E50" s="24">
        <v>0</v>
      </c>
      <c r="G50" s="24">
        <v>0</v>
      </c>
      <c r="I50" s="24">
        <v>0</v>
      </c>
      <c r="K50" s="24">
        <v>0</v>
      </c>
      <c r="M50" s="24">
        <v>0</v>
      </c>
      <c r="O50" s="24">
        <v>0</v>
      </c>
      <c r="Q50" s="24">
        <v>0</v>
      </c>
      <c r="S50" s="24">
        <v>0</v>
      </c>
      <c r="U50" s="24">
        <v>0</v>
      </c>
      <c r="W50" s="24">
        <v>0</v>
      </c>
      <c r="Y50" s="24">
        <v>0</v>
      </c>
      <c r="AA50" s="24">
        <v>0</v>
      </c>
      <c r="AC50" s="24">
        <v>0</v>
      </c>
      <c r="AE50" s="24">
        <f t="shared" si="1"/>
        <v>0</v>
      </c>
      <c r="AF50" s="24"/>
      <c r="AM50" s="24">
        <f>+'Gov Rev'!AI50-'Gov Exp'!AE50+'Gov Exp'!AI50-'Gov Exp'!AK50</f>
        <v>0</v>
      </c>
    </row>
    <row r="51" spans="1:39" ht="12.6" customHeight="1">
      <c r="A51" s="15" t="s">
        <v>280</v>
      </c>
      <c r="C51" s="15" t="s">
        <v>279</v>
      </c>
      <c r="E51" s="24">
        <f>803475+34109</f>
        <v>837584</v>
      </c>
      <c r="G51" s="24">
        <v>0</v>
      </c>
      <c r="I51" s="24">
        <v>0</v>
      </c>
      <c r="K51" s="24">
        <v>3646</v>
      </c>
      <c r="M51" s="24">
        <v>0</v>
      </c>
      <c r="O51" s="24">
        <v>194221</v>
      </c>
      <c r="Q51" s="24">
        <v>446725</v>
      </c>
      <c r="S51" s="24">
        <f>299848+32397</f>
        <v>332245</v>
      </c>
      <c r="U51" s="24">
        <f>285681+117586</f>
        <v>403267</v>
      </c>
      <c r="W51" s="24">
        <f>4596+40308</f>
        <v>44904</v>
      </c>
      <c r="Y51" s="24">
        <v>76475</v>
      </c>
      <c r="AA51" s="24">
        <v>0</v>
      </c>
      <c r="AC51" s="24">
        <v>0</v>
      </c>
      <c r="AE51" s="24">
        <f t="shared" si="1"/>
        <v>2339067</v>
      </c>
      <c r="AF51" s="24"/>
      <c r="AG51" s="64">
        <f>-110928-51321+74116</f>
        <v>-88133</v>
      </c>
      <c r="AI51" s="64">
        <f>116171+552062+64100</f>
        <v>732333</v>
      </c>
      <c r="AK51" s="64">
        <f>190287+441134+12779</f>
        <v>644200</v>
      </c>
      <c r="AM51" s="24">
        <f>+'Gov Rev'!AI51-'Gov Exp'!AE51+'Gov Exp'!AI51-'Gov Exp'!AK51</f>
        <v>0</v>
      </c>
    </row>
    <row r="52" spans="1:39" ht="12.75" hidden="1">
      <c r="A52" s="15" t="s">
        <v>132</v>
      </c>
      <c r="C52" s="15" t="s">
        <v>791</v>
      </c>
      <c r="D52" s="28"/>
      <c r="E52" s="24">
        <v>0</v>
      </c>
      <c r="G52" s="24">
        <v>0</v>
      </c>
      <c r="I52" s="24">
        <v>0</v>
      </c>
      <c r="K52" s="24">
        <v>0</v>
      </c>
      <c r="M52" s="24">
        <v>0</v>
      </c>
      <c r="O52" s="24">
        <v>0</v>
      </c>
      <c r="Q52" s="24">
        <v>0</v>
      </c>
      <c r="S52" s="24">
        <v>0</v>
      </c>
      <c r="U52" s="24">
        <v>0</v>
      </c>
      <c r="W52" s="24">
        <v>0</v>
      </c>
      <c r="Y52" s="24">
        <v>0</v>
      </c>
      <c r="AA52" s="24">
        <v>0</v>
      </c>
      <c r="AC52" s="24">
        <v>0</v>
      </c>
      <c r="AE52" s="24">
        <f t="shared" si="1"/>
        <v>0</v>
      </c>
      <c r="AF52" s="24"/>
      <c r="AM52" s="24">
        <f>+'Gov Rev'!AI52-'Gov Exp'!AE52+'Gov Exp'!AI52-'Gov Exp'!AK52</f>
        <v>0</v>
      </c>
    </row>
    <row r="53" spans="1:39">
      <c r="A53" s="15" t="s">
        <v>495</v>
      </c>
      <c r="C53" s="15" t="s">
        <v>494</v>
      </c>
      <c r="E53" s="24">
        <v>4065</v>
      </c>
      <c r="G53" s="24">
        <v>0</v>
      </c>
      <c r="I53" s="24">
        <v>0</v>
      </c>
      <c r="K53" s="24">
        <f>394+74309</f>
        <v>74703</v>
      </c>
      <c r="M53" s="24">
        <v>4584</v>
      </c>
      <c r="O53" s="24">
        <v>2247</v>
      </c>
      <c r="Q53" s="24">
        <f>10167+16723</f>
        <v>26890</v>
      </c>
      <c r="S53" s="24">
        <v>0</v>
      </c>
      <c r="U53" s="24">
        <v>0</v>
      </c>
      <c r="W53" s="24">
        <v>0</v>
      </c>
      <c r="Y53" s="24">
        <v>0</v>
      </c>
      <c r="AA53" s="24">
        <v>0</v>
      </c>
      <c r="AC53" s="24">
        <v>0</v>
      </c>
      <c r="AE53" s="24">
        <f t="shared" si="1"/>
        <v>112489</v>
      </c>
      <c r="AF53" s="41"/>
      <c r="AG53" s="64">
        <f>-6174-9172</f>
        <v>-15346</v>
      </c>
      <c r="AI53" s="64">
        <f>-2858+19164</f>
        <v>16306</v>
      </c>
      <c r="AK53" s="64">
        <f>18585</f>
        <v>18585</v>
      </c>
      <c r="AM53" s="24">
        <f>+'Gov Rev'!AI53-'Gov Exp'!AE53+'Gov Exp'!AI53-'Gov Exp'!AK53</f>
        <v>0</v>
      </c>
    </row>
    <row r="54" spans="1:39" ht="12.75" hidden="1">
      <c r="A54" s="15" t="s">
        <v>208</v>
      </c>
      <c r="C54" s="15" t="s">
        <v>814</v>
      </c>
      <c r="D54" s="28"/>
      <c r="E54" s="24">
        <v>0</v>
      </c>
      <c r="G54" s="24">
        <v>0</v>
      </c>
      <c r="I54" s="24">
        <v>0</v>
      </c>
      <c r="K54" s="24">
        <v>0</v>
      </c>
      <c r="M54" s="24">
        <v>0</v>
      </c>
      <c r="O54" s="24">
        <v>0</v>
      </c>
      <c r="Q54" s="24">
        <v>0</v>
      </c>
      <c r="S54" s="24">
        <v>0</v>
      </c>
      <c r="U54" s="24">
        <v>0</v>
      </c>
      <c r="W54" s="24">
        <v>0</v>
      </c>
      <c r="Y54" s="24">
        <v>0</v>
      </c>
      <c r="AA54" s="24">
        <v>0</v>
      </c>
      <c r="AC54" s="24">
        <v>0</v>
      </c>
      <c r="AE54" s="24">
        <f t="shared" si="1"/>
        <v>0</v>
      </c>
      <c r="AF54" s="24"/>
      <c r="AM54" s="24">
        <f>+'Gov Rev'!AI54-'Gov Exp'!AE54+'Gov Exp'!AI54-'Gov Exp'!AK54</f>
        <v>0</v>
      </c>
    </row>
    <row r="55" spans="1:39" ht="12.6" hidden="1" customHeight="1">
      <c r="A55" s="15" t="s">
        <v>279</v>
      </c>
      <c r="C55" s="15" t="s">
        <v>279</v>
      </c>
      <c r="E55" s="24">
        <v>0</v>
      </c>
      <c r="G55" s="24">
        <v>0</v>
      </c>
      <c r="I55" s="24">
        <v>0</v>
      </c>
      <c r="K55" s="24">
        <v>0</v>
      </c>
      <c r="M55" s="24">
        <v>0</v>
      </c>
      <c r="O55" s="24">
        <v>0</v>
      </c>
      <c r="Q55" s="24">
        <v>0</v>
      </c>
      <c r="S55" s="24">
        <v>0</v>
      </c>
      <c r="U55" s="24">
        <v>0</v>
      </c>
      <c r="W55" s="24">
        <v>0</v>
      </c>
      <c r="Y55" s="24">
        <v>0</v>
      </c>
      <c r="AA55" s="24">
        <v>0</v>
      </c>
      <c r="AC55" s="24">
        <v>0</v>
      </c>
      <c r="AE55" s="24">
        <f t="shared" si="1"/>
        <v>0</v>
      </c>
      <c r="AF55" s="24"/>
      <c r="AM55" s="24">
        <f>+'Gov Rev'!AI55-'Gov Exp'!AE55+'Gov Exp'!AI55-'Gov Exp'!AK55</f>
        <v>0</v>
      </c>
    </row>
    <row r="56" spans="1:39" s="24" customFormat="1" ht="12.75" hidden="1">
      <c r="A56" s="24" t="s">
        <v>143</v>
      </c>
      <c r="C56" s="24" t="s">
        <v>795</v>
      </c>
      <c r="D56" s="85"/>
      <c r="E56" s="24">
        <v>0</v>
      </c>
      <c r="G56" s="24">
        <v>0</v>
      </c>
      <c r="I56" s="24">
        <v>0</v>
      </c>
      <c r="K56" s="24">
        <v>0</v>
      </c>
      <c r="M56" s="24">
        <v>0</v>
      </c>
      <c r="O56" s="24">
        <v>0</v>
      </c>
      <c r="Q56" s="24">
        <v>0</v>
      </c>
      <c r="S56" s="24">
        <v>0</v>
      </c>
      <c r="U56" s="24">
        <v>0</v>
      </c>
      <c r="W56" s="24">
        <v>0</v>
      </c>
      <c r="Y56" s="24">
        <v>0</v>
      </c>
      <c r="AA56" s="24">
        <v>0</v>
      </c>
      <c r="AC56" s="24">
        <v>0</v>
      </c>
      <c r="AE56" s="24">
        <f t="shared" si="1"/>
        <v>0</v>
      </c>
      <c r="AG56" s="64"/>
      <c r="AH56" s="64"/>
      <c r="AI56" s="64"/>
      <c r="AJ56" s="64"/>
      <c r="AK56" s="64"/>
      <c r="AM56" s="24">
        <f>+'Gov Rev'!AI56-'Gov Exp'!AE56+'Gov Exp'!AI56-'Gov Exp'!AK56</f>
        <v>0</v>
      </c>
    </row>
    <row r="57" spans="1:39" s="31" customFormat="1" ht="12.6" customHeight="1">
      <c r="A57" s="15" t="s">
        <v>315</v>
      </c>
      <c r="B57" s="15"/>
      <c r="C57" s="15" t="s">
        <v>316</v>
      </c>
      <c r="D57" s="15"/>
      <c r="E57" s="24">
        <v>613367</v>
      </c>
      <c r="F57" s="24"/>
      <c r="G57" s="24">
        <v>0</v>
      </c>
      <c r="H57" s="24"/>
      <c r="I57" s="24">
        <v>0</v>
      </c>
      <c r="J57" s="24"/>
      <c r="K57" s="24">
        <v>5153</v>
      </c>
      <c r="L57" s="24"/>
      <c r="M57" s="24">
        <v>65711</v>
      </c>
      <c r="N57" s="24"/>
      <c r="O57" s="24">
        <f>216830+18287</f>
        <v>235117</v>
      </c>
      <c r="P57" s="24"/>
      <c r="Q57" s="24">
        <v>466758</v>
      </c>
      <c r="R57" s="24"/>
      <c r="S57" s="24">
        <f>23161+77579+42554</f>
        <v>143294</v>
      </c>
      <c r="T57" s="24"/>
      <c r="U57" s="24">
        <v>147495</v>
      </c>
      <c r="V57" s="24"/>
      <c r="W57" s="24">
        <f>69692+1224</f>
        <v>70916</v>
      </c>
      <c r="X57" s="24"/>
      <c r="Y57" s="24">
        <v>252245</v>
      </c>
      <c r="Z57" s="24"/>
      <c r="AA57" s="24">
        <v>0</v>
      </c>
      <c r="AB57" s="24"/>
      <c r="AC57" s="24">
        <f>60000+49952</f>
        <v>109952</v>
      </c>
      <c r="AD57" s="24"/>
      <c r="AE57" s="24">
        <f t="shared" si="1"/>
        <v>2110008</v>
      </c>
      <c r="AF57" s="24"/>
      <c r="AG57" s="65">
        <f>2532+118737+90033</f>
        <v>211302</v>
      </c>
      <c r="AH57" s="65"/>
      <c r="AI57" s="65">
        <f>1078653+173198+264494</f>
        <v>1516345</v>
      </c>
      <c r="AJ57" s="65"/>
      <c r="AK57" s="65">
        <f>1168686+175730+383231</f>
        <v>1727647</v>
      </c>
      <c r="AM57" s="24">
        <f>+'Gov Rev'!AI57-'Gov Exp'!AE57+'Gov Exp'!AI57-'Gov Exp'!AK57</f>
        <v>0</v>
      </c>
    </row>
    <row r="58" spans="1:39">
      <c r="A58" s="15" t="s">
        <v>900</v>
      </c>
      <c r="C58" s="15" t="s">
        <v>388</v>
      </c>
      <c r="E58" s="24">
        <f>3122+7540</f>
        <v>10662</v>
      </c>
      <c r="G58" s="24">
        <v>1272</v>
      </c>
      <c r="I58" s="24">
        <f>6544+19188</f>
        <v>25732</v>
      </c>
      <c r="K58" s="24">
        <v>0</v>
      </c>
      <c r="M58" s="24">
        <f>888+29533</f>
        <v>30421</v>
      </c>
      <c r="O58" s="24">
        <v>55629</v>
      </c>
      <c r="Q58" s="24">
        <v>36158</v>
      </c>
      <c r="S58" s="24">
        <v>0</v>
      </c>
      <c r="U58" s="24">
        <v>0</v>
      </c>
      <c r="W58" s="24">
        <v>0</v>
      </c>
      <c r="Y58" s="24">
        <v>0</v>
      </c>
      <c r="AA58" s="24">
        <v>0</v>
      </c>
      <c r="AC58" s="24">
        <v>0</v>
      </c>
      <c r="AE58" s="24">
        <f t="shared" si="1"/>
        <v>159874</v>
      </c>
      <c r="AF58" s="24"/>
      <c r="AG58" s="64">
        <f>-39084+36200-12233+7965</f>
        <v>-7152</v>
      </c>
      <c r="AI58" s="64">
        <f>4322+72195+273955</f>
        <v>350472</v>
      </c>
      <c r="AK58" s="64">
        <f>12287+33111+36200+261722</f>
        <v>343320</v>
      </c>
      <c r="AM58" s="24">
        <f>+'Gov Rev'!AI58-'Gov Exp'!AE58+'Gov Exp'!AI58-'Gov Exp'!AK58</f>
        <v>0</v>
      </c>
    </row>
    <row r="59" spans="1:39" hidden="1">
      <c r="A59" s="15" t="s">
        <v>422</v>
      </c>
      <c r="C59" s="15" t="s">
        <v>420</v>
      </c>
      <c r="E59" s="24">
        <v>0</v>
      </c>
      <c r="G59" s="24">
        <v>0</v>
      </c>
      <c r="I59" s="24">
        <v>0</v>
      </c>
      <c r="K59" s="24">
        <v>0</v>
      </c>
      <c r="M59" s="24">
        <v>0</v>
      </c>
      <c r="O59" s="24">
        <v>0</v>
      </c>
      <c r="Q59" s="24">
        <v>0</v>
      </c>
      <c r="S59" s="24">
        <v>0</v>
      </c>
      <c r="U59" s="24">
        <v>0</v>
      </c>
      <c r="W59" s="24">
        <v>0</v>
      </c>
      <c r="Y59" s="24">
        <v>0</v>
      </c>
      <c r="AA59" s="24">
        <v>0</v>
      </c>
      <c r="AC59" s="24">
        <v>0</v>
      </c>
      <c r="AE59" s="24">
        <f t="shared" si="1"/>
        <v>0</v>
      </c>
      <c r="AF59" s="24"/>
      <c r="AM59" s="24">
        <f>+'Gov Rev'!AI59-'Gov Exp'!AE59+'Gov Exp'!AI59-'Gov Exp'!AK59</f>
        <v>0</v>
      </c>
    </row>
    <row r="60" spans="1:39" ht="12.75" hidden="1">
      <c r="A60" s="15" t="s">
        <v>139</v>
      </c>
      <c r="C60" s="15" t="s">
        <v>793</v>
      </c>
      <c r="D60" s="28"/>
      <c r="E60" s="24">
        <v>0</v>
      </c>
      <c r="G60" s="24">
        <v>0</v>
      </c>
      <c r="I60" s="24">
        <v>0</v>
      </c>
      <c r="K60" s="24">
        <v>0</v>
      </c>
      <c r="M60" s="24">
        <v>0</v>
      </c>
      <c r="O60" s="24">
        <v>0</v>
      </c>
      <c r="Q60" s="24">
        <v>0</v>
      </c>
      <c r="S60" s="24">
        <v>0</v>
      </c>
      <c r="U60" s="24">
        <v>0</v>
      </c>
      <c r="W60" s="24">
        <v>0</v>
      </c>
      <c r="Y60" s="24">
        <v>0</v>
      </c>
      <c r="AA60" s="24">
        <v>0</v>
      </c>
      <c r="AC60" s="24">
        <v>0</v>
      </c>
      <c r="AE60" s="24">
        <f t="shared" si="1"/>
        <v>0</v>
      </c>
      <c r="AF60" s="24"/>
      <c r="AM60" s="24">
        <f>+'Gov Rev'!AI60-'Gov Exp'!AE60+'Gov Exp'!AI60-'Gov Exp'!AK60</f>
        <v>0</v>
      </c>
    </row>
    <row r="61" spans="1:39" s="31" customFormat="1" ht="12.75" hidden="1">
      <c r="A61" s="15" t="s">
        <v>59</v>
      </c>
      <c r="B61" s="15"/>
      <c r="C61" s="15" t="s">
        <v>770</v>
      </c>
      <c r="D61" s="28"/>
      <c r="E61" s="24">
        <v>0</v>
      </c>
      <c r="F61" s="24"/>
      <c r="G61" s="24">
        <v>0</v>
      </c>
      <c r="H61" s="24"/>
      <c r="I61" s="24">
        <v>0</v>
      </c>
      <c r="J61" s="24"/>
      <c r="K61" s="24">
        <v>0</v>
      </c>
      <c r="L61" s="24"/>
      <c r="M61" s="24">
        <v>0</v>
      </c>
      <c r="N61" s="24"/>
      <c r="O61" s="24">
        <v>0</v>
      </c>
      <c r="P61" s="24"/>
      <c r="Q61" s="24">
        <v>0</v>
      </c>
      <c r="R61" s="24"/>
      <c r="S61" s="24">
        <v>0</v>
      </c>
      <c r="T61" s="24"/>
      <c r="U61" s="24">
        <v>0</v>
      </c>
      <c r="V61" s="24"/>
      <c r="W61" s="24">
        <v>0</v>
      </c>
      <c r="X61" s="24"/>
      <c r="Y61" s="24">
        <v>0</v>
      </c>
      <c r="Z61" s="24"/>
      <c r="AA61" s="24">
        <v>0</v>
      </c>
      <c r="AB61" s="24"/>
      <c r="AC61" s="24">
        <v>0</v>
      </c>
      <c r="AD61" s="24"/>
      <c r="AE61" s="24">
        <f t="shared" si="1"/>
        <v>0</v>
      </c>
      <c r="AF61" s="24"/>
      <c r="AG61" s="65"/>
      <c r="AH61" s="65"/>
      <c r="AI61" s="65"/>
      <c r="AJ61" s="65"/>
      <c r="AK61" s="65"/>
      <c r="AM61" s="24">
        <f>+'Gov Rev'!AI61-'Gov Exp'!AE61+'Gov Exp'!AI61-'Gov Exp'!AK61</f>
        <v>0</v>
      </c>
    </row>
    <row r="62" spans="1:39" ht="12.6" customHeight="1">
      <c r="A62" s="15" t="s">
        <v>296</v>
      </c>
      <c r="C62" s="15" t="s">
        <v>295</v>
      </c>
      <c r="E62" s="24">
        <f>402017+56569</f>
        <v>458586</v>
      </c>
      <c r="G62" s="24">
        <v>0</v>
      </c>
      <c r="I62" s="24">
        <v>21701</v>
      </c>
      <c r="K62" s="24">
        <v>4479</v>
      </c>
      <c r="M62" s="24">
        <v>0</v>
      </c>
      <c r="O62" s="24">
        <f>61434+142480</f>
        <v>203914</v>
      </c>
      <c r="Q62" s="24">
        <f>207200+3000</f>
        <v>210200</v>
      </c>
      <c r="S62" s="24">
        <v>71949</v>
      </c>
      <c r="U62" s="24">
        <v>97155</v>
      </c>
      <c r="W62" s="24">
        <v>0</v>
      </c>
      <c r="Y62" s="24">
        <f>103690+3269</f>
        <v>106959</v>
      </c>
      <c r="AA62" s="24">
        <f>11550+7200+7844</f>
        <v>26594</v>
      </c>
      <c r="AC62" s="24">
        <v>0</v>
      </c>
      <c r="AE62" s="24">
        <f t="shared" si="1"/>
        <v>1201537</v>
      </c>
      <c r="AF62" s="24"/>
      <c r="AG62" s="64">
        <f>36450+668+3658-63580</f>
        <v>-22804</v>
      </c>
      <c r="AI62" s="64">
        <v>89519</v>
      </c>
      <c r="AK62" s="64">
        <f>25939+36450+668+3658</f>
        <v>66715</v>
      </c>
      <c r="AM62" s="24">
        <f>+'Gov Rev'!AI62-'Gov Exp'!AE62+'Gov Exp'!AI62-'Gov Exp'!AK62</f>
        <v>0</v>
      </c>
    </row>
    <row r="63" spans="1:39" ht="12.75" hidden="1">
      <c r="A63" s="15" t="s">
        <v>15</v>
      </c>
      <c r="C63" s="15" t="s">
        <v>755</v>
      </c>
      <c r="D63" s="28"/>
      <c r="E63" s="24">
        <v>0</v>
      </c>
      <c r="G63" s="24">
        <v>0</v>
      </c>
      <c r="I63" s="24">
        <v>0</v>
      </c>
      <c r="K63" s="24">
        <v>0</v>
      </c>
      <c r="M63" s="24">
        <v>0</v>
      </c>
      <c r="O63" s="24">
        <v>0</v>
      </c>
      <c r="Q63" s="24">
        <v>0</v>
      </c>
      <c r="S63" s="24">
        <v>0</v>
      </c>
      <c r="U63" s="24">
        <v>0</v>
      </c>
      <c r="W63" s="24">
        <v>0</v>
      </c>
      <c r="Y63" s="24">
        <v>0</v>
      </c>
      <c r="AA63" s="24">
        <v>0</v>
      </c>
      <c r="AC63" s="24">
        <v>0</v>
      </c>
      <c r="AE63" s="24">
        <f t="shared" si="1"/>
        <v>0</v>
      </c>
      <c r="AF63" s="24"/>
      <c r="AM63" s="24">
        <f>+'Gov Rev'!AI63-'Gov Exp'!AE63+'Gov Exp'!AI63-'Gov Exp'!AK63</f>
        <v>0</v>
      </c>
    </row>
    <row r="64" spans="1:39" hidden="1">
      <c r="A64" s="15" t="s">
        <v>536</v>
      </c>
      <c r="C64" s="15" t="s">
        <v>537</v>
      </c>
      <c r="E64" s="24">
        <v>0</v>
      </c>
      <c r="G64" s="24">
        <v>0</v>
      </c>
      <c r="I64" s="24">
        <v>0</v>
      </c>
      <c r="K64" s="24">
        <v>0</v>
      </c>
      <c r="M64" s="24">
        <v>0</v>
      </c>
      <c r="O64" s="24">
        <v>0</v>
      </c>
      <c r="Q64" s="24">
        <v>0</v>
      </c>
      <c r="S64" s="24">
        <v>0</v>
      </c>
      <c r="U64" s="24">
        <v>0</v>
      </c>
      <c r="W64" s="24">
        <v>0</v>
      </c>
      <c r="Y64" s="24">
        <v>0</v>
      </c>
      <c r="AA64" s="24">
        <v>0</v>
      </c>
      <c r="AC64" s="24">
        <v>0</v>
      </c>
      <c r="AE64" s="24">
        <f t="shared" si="1"/>
        <v>0</v>
      </c>
      <c r="AF64" s="24"/>
      <c r="AM64" s="24">
        <f>+'Gov Rev'!AI64-'Gov Exp'!AE64+'Gov Exp'!AI64-'Gov Exp'!AK64</f>
        <v>0</v>
      </c>
    </row>
    <row r="65" spans="1:39">
      <c r="A65" s="15" t="s">
        <v>589</v>
      </c>
      <c r="C65" s="15" t="s">
        <v>590</v>
      </c>
      <c r="E65" s="24">
        <f>224782+4498</f>
        <v>229280</v>
      </c>
      <c r="G65" s="24">
        <f>17294+12325</f>
        <v>29619</v>
      </c>
      <c r="I65" s="24">
        <v>68207</v>
      </c>
      <c r="K65" s="24">
        <v>5160</v>
      </c>
      <c r="M65" s="24">
        <v>0</v>
      </c>
      <c r="O65" s="24">
        <f>20384+27103</f>
        <v>47487</v>
      </c>
      <c r="Q65" s="24">
        <v>201617</v>
      </c>
      <c r="S65" s="24">
        <v>0</v>
      </c>
      <c r="U65" s="24">
        <f>90000+46222</f>
        <v>136222</v>
      </c>
      <c r="W65" s="24">
        <f>4375+11805</f>
        <v>16180</v>
      </c>
      <c r="Y65" s="24">
        <v>130735</v>
      </c>
      <c r="AA65" s="24">
        <v>0</v>
      </c>
      <c r="AC65" s="24">
        <v>415</v>
      </c>
      <c r="AE65" s="24">
        <f t="shared" si="1"/>
        <v>864922</v>
      </c>
      <c r="AF65" s="24"/>
      <c r="AG65" s="64">
        <f>-5515-35685</f>
        <v>-41200</v>
      </c>
      <c r="AI65" s="64">
        <f>270550+62003+17853+90101</f>
        <v>440507</v>
      </c>
      <c r="AK65" s="64">
        <f>234865+86521+14077+63844+1</f>
        <v>399308</v>
      </c>
      <c r="AM65" s="24">
        <f>+'Gov Rev'!AI65-'Gov Exp'!AE65+'Gov Exp'!AI65-'Gov Exp'!AK65</f>
        <v>0</v>
      </c>
    </row>
    <row r="66" spans="1:39" ht="12.75" hidden="1">
      <c r="A66" s="15" t="s">
        <v>252</v>
      </c>
      <c r="C66" s="15" t="s">
        <v>829</v>
      </c>
      <c r="D66" s="28"/>
      <c r="E66" s="24">
        <v>0</v>
      </c>
      <c r="G66" s="24">
        <v>0</v>
      </c>
      <c r="I66" s="24">
        <v>0</v>
      </c>
      <c r="K66" s="24">
        <v>0</v>
      </c>
      <c r="M66" s="24">
        <v>0</v>
      </c>
      <c r="O66" s="24">
        <v>0</v>
      </c>
      <c r="Q66" s="24">
        <v>0</v>
      </c>
      <c r="S66" s="24">
        <v>0</v>
      </c>
      <c r="U66" s="24">
        <v>0</v>
      </c>
      <c r="W66" s="24">
        <v>0</v>
      </c>
      <c r="Y66" s="24">
        <v>0</v>
      </c>
      <c r="AA66" s="24">
        <v>0</v>
      </c>
      <c r="AC66" s="24">
        <v>0</v>
      </c>
      <c r="AE66" s="24">
        <f t="shared" si="1"/>
        <v>0</v>
      </c>
      <c r="AF66" s="24"/>
      <c r="AM66" s="24">
        <f>+'Gov Rev'!AI66-'Gov Exp'!AE66+'Gov Exp'!AI66-'Gov Exp'!AK66</f>
        <v>0</v>
      </c>
    </row>
    <row r="67" spans="1:39" s="31" customFormat="1">
      <c r="A67" s="15" t="s">
        <v>607</v>
      </c>
      <c r="B67" s="15"/>
      <c r="C67" s="15" t="s">
        <v>606</v>
      </c>
      <c r="D67" s="15"/>
      <c r="E67" s="24">
        <v>68216</v>
      </c>
      <c r="F67" s="24"/>
      <c r="G67" s="24">
        <v>297</v>
      </c>
      <c r="H67" s="24"/>
      <c r="I67" s="24">
        <v>12803</v>
      </c>
      <c r="J67" s="24"/>
      <c r="K67" s="24">
        <v>0</v>
      </c>
      <c r="L67" s="24"/>
      <c r="M67" s="24">
        <v>0</v>
      </c>
      <c r="N67" s="24"/>
      <c r="O67" s="24">
        <v>38306</v>
      </c>
      <c r="P67" s="24"/>
      <c r="Q67" s="24">
        <f>87553+33995</f>
        <v>121548</v>
      </c>
      <c r="R67" s="24"/>
      <c r="S67" s="24">
        <v>0</v>
      </c>
      <c r="T67" s="24"/>
      <c r="U67" s="24">
        <v>0</v>
      </c>
      <c r="V67" s="24"/>
      <c r="W67" s="24">
        <v>0</v>
      </c>
      <c r="X67" s="24"/>
      <c r="Y67" s="24">
        <v>0</v>
      </c>
      <c r="Z67" s="24"/>
      <c r="AA67" s="24">
        <v>32588</v>
      </c>
      <c r="AB67" s="24"/>
      <c r="AC67" s="24">
        <v>0</v>
      </c>
      <c r="AD67" s="24"/>
      <c r="AE67" s="24">
        <f t="shared" si="1"/>
        <v>273758</v>
      </c>
      <c r="AF67" s="24"/>
      <c r="AG67" s="65">
        <f>7583-1407-7468</f>
        <v>-1292</v>
      </c>
      <c r="AH67" s="65"/>
      <c r="AI67" s="65">
        <f>51905+95663+17495</f>
        <v>165063</v>
      </c>
      <c r="AJ67" s="65"/>
      <c r="AK67" s="65">
        <f>44437+103246+16088</f>
        <v>163771</v>
      </c>
      <c r="AM67" s="24">
        <f>+'Gov Rev'!AI67-'Gov Exp'!AE67+'Gov Exp'!AI67-'Gov Exp'!AK67</f>
        <v>0</v>
      </c>
    </row>
    <row r="68" spans="1:39" s="31" customFormat="1" ht="12.6" hidden="1" customHeight="1">
      <c r="A68" s="15" t="s">
        <v>68</v>
      </c>
      <c r="B68" s="15"/>
      <c r="C68" s="15" t="s">
        <v>772</v>
      </c>
      <c r="D68" s="28"/>
      <c r="E68" s="24">
        <v>0</v>
      </c>
      <c r="F68" s="24"/>
      <c r="G68" s="24">
        <v>0</v>
      </c>
      <c r="H68" s="24"/>
      <c r="I68" s="24">
        <v>0</v>
      </c>
      <c r="J68" s="24"/>
      <c r="K68" s="24">
        <v>0</v>
      </c>
      <c r="L68" s="24"/>
      <c r="M68" s="24">
        <v>0</v>
      </c>
      <c r="N68" s="24"/>
      <c r="O68" s="24">
        <v>0</v>
      </c>
      <c r="P68" s="24"/>
      <c r="Q68" s="24">
        <v>0</v>
      </c>
      <c r="R68" s="24"/>
      <c r="S68" s="24">
        <v>0</v>
      </c>
      <c r="T68" s="24"/>
      <c r="U68" s="24">
        <v>0</v>
      </c>
      <c r="V68" s="24"/>
      <c r="W68" s="24">
        <v>0</v>
      </c>
      <c r="X68" s="24"/>
      <c r="Y68" s="24">
        <v>0</v>
      </c>
      <c r="Z68" s="24"/>
      <c r="AA68" s="24">
        <v>0</v>
      </c>
      <c r="AB68" s="24"/>
      <c r="AC68" s="24">
        <v>0</v>
      </c>
      <c r="AD68" s="24"/>
      <c r="AE68" s="24">
        <f t="shared" si="1"/>
        <v>0</v>
      </c>
      <c r="AF68" s="24"/>
      <c r="AG68" s="65"/>
      <c r="AH68" s="65"/>
      <c r="AI68" s="65"/>
      <c r="AJ68" s="65"/>
      <c r="AK68" s="65"/>
      <c r="AM68" s="24">
        <f>+'Gov Rev'!AI68-'Gov Exp'!AE68+'Gov Exp'!AI68-'Gov Exp'!AK68</f>
        <v>0</v>
      </c>
    </row>
    <row r="69" spans="1:39" ht="12.75" hidden="1">
      <c r="A69" s="15" t="s">
        <v>115</v>
      </c>
      <c r="C69" s="15" t="s">
        <v>786</v>
      </c>
      <c r="D69" s="28"/>
      <c r="E69" s="24">
        <v>0</v>
      </c>
      <c r="G69" s="24">
        <v>0</v>
      </c>
      <c r="I69" s="24">
        <v>0</v>
      </c>
      <c r="K69" s="24">
        <v>0</v>
      </c>
      <c r="M69" s="24">
        <v>0</v>
      </c>
      <c r="O69" s="24">
        <v>0</v>
      </c>
      <c r="Q69" s="24">
        <v>0</v>
      </c>
      <c r="S69" s="24">
        <v>0</v>
      </c>
      <c r="U69" s="24">
        <v>0</v>
      </c>
      <c r="W69" s="24">
        <v>0</v>
      </c>
      <c r="Y69" s="24">
        <v>0</v>
      </c>
      <c r="AA69" s="24">
        <v>0</v>
      </c>
      <c r="AC69" s="24">
        <v>0</v>
      </c>
      <c r="AE69" s="24">
        <f t="shared" si="1"/>
        <v>0</v>
      </c>
      <c r="AF69" s="24"/>
      <c r="AM69" s="24">
        <f>+'Gov Rev'!AI69-'Gov Exp'!AE69+'Gov Exp'!AI69-'Gov Exp'!AK69</f>
        <v>0</v>
      </c>
    </row>
    <row r="70" spans="1:39" s="31" customFormat="1">
      <c r="A70" s="15" t="s">
        <v>538</v>
      </c>
      <c r="B70" s="15"/>
      <c r="C70" s="15" t="s">
        <v>537</v>
      </c>
      <c r="D70" s="15"/>
      <c r="E70" s="24">
        <f>9271+47660</f>
        <v>56931</v>
      </c>
      <c r="F70" s="24"/>
      <c r="G70" s="24">
        <v>1786</v>
      </c>
      <c r="H70" s="24"/>
      <c r="I70" s="24">
        <v>2098</v>
      </c>
      <c r="J70" s="24"/>
      <c r="K70" s="24">
        <v>2</v>
      </c>
      <c r="L70" s="24"/>
      <c r="M70" s="24">
        <v>7543</v>
      </c>
      <c r="N70" s="24"/>
      <c r="O70" s="24">
        <f>26811+26533</f>
        <v>53344</v>
      </c>
      <c r="P70" s="24"/>
      <c r="Q70" s="24">
        <v>44469</v>
      </c>
      <c r="R70" s="24"/>
      <c r="S70" s="24">
        <f>23341+16450</f>
        <v>39791</v>
      </c>
      <c r="T70" s="24"/>
      <c r="U70" s="24">
        <v>816</v>
      </c>
      <c r="V70" s="24"/>
      <c r="W70" s="24">
        <v>0</v>
      </c>
      <c r="X70" s="24"/>
      <c r="Y70" s="24">
        <v>60000</v>
      </c>
      <c r="Z70" s="24"/>
      <c r="AA70" s="24">
        <v>0</v>
      </c>
      <c r="AB70" s="24"/>
      <c r="AC70" s="24">
        <v>0</v>
      </c>
      <c r="AD70" s="24"/>
      <c r="AE70" s="24">
        <f t="shared" si="1"/>
        <v>266780</v>
      </c>
      <c r="AF70" s="24"/>
      <c r="AG70" s="65" t="s">
        <v>930</v>
      </c>
      <c r="AH70" s="65"/>
      <c r="AI70" s="65">
        <f>185409+78301</f>
        <v>263710</v>
      </c>
      <c r="AJ70" s="65"/>
      <c r="AK70" s="65">
        <f>161705+102366</f>
        <v>264071</v>
      </c>
      <c r="AM70" s="24">
        <f>+'Gov Rev'!AI70-'Gov Exp'!AE70+'Gov Exp'!AI70-'Gov Exp'!AK70</f>
        <v>0</v>
      </c>
    </row>
    <row r="71" spans="1:39" s="31" customFormat="1" ht="12.6" customHeight="1">
      <c r="A71" s="15" t="s">
        <v>688</v>
      </c>
      <c r="B71" s="15"/>
      <c r="C71" s="15" t="s">
        <v>689</v>
      </c>
      <c r="D71" s="15"/>
      <c r="E71" s="24">
        <f>705063+3819</f>
        <v>708882</v>
      </c>
      <c r="F71" s="24"/>
      <c r="G71" s="24">
        <f>32297+32280</f>
        <v>64577</v>
      </c>
      <c r="H71" s="24"/>
      <c r="I71" s="24">
        <f>114887+44497</f>
        <v>159384</v>
      </c>
      <c r="J71" s="24"/>
      <c r="K71" s="24">
        <v>0</v>
      </c>
      <c r="L71" s="24"/>
      <c r="M71" s="24">
        <v>56017</v>
      </c>
      <c r="N71" s="24"/>
      <c r="O71" s="24">
        <f>44228+207561+58841</f>
        <v>310630</v>
      </c>
      <c r="P71" s="24"/>
      <c r="Q71" s="24">
        <v>476398</v>
      </c>
      <c r="R71" s="24"/>
      <c r="S71" s="24">
        <f>257269+2411316+140677+309082</f>
        <v>3118344</v>
      </c>
      <c r="T71" s="24"/>
      <c r="U71" s="24">
        <v>0</v>
      </c>
      <c r="V71" s="24"/>
      <c r="W71" s="24">
        <v>61335</v>
      </c>
      <c r="X71" s="24"/>
      <c r="Y71" s="24">
        <v>927084</v>
      </c>
      <c r="Z71" s="24"/>
      <c r="AA71" s="24">
        <f>15000+12750</f>
        <v>27750</v>
      </c>
      <c r="AB71" s="24"/>
      <c r="AC71" s="24">
        <v>0</v>
      </c>
      <c r="AD71" s="24"/>
      <c r="AE71" s="24">
        <f t="shared" si="1"/>
        <v>5910401</v>
      </c>
      <c r="AF71" s="24"/>
      <c r="AG71" s="65">
        <f>-1925311+91937+88747-286816</f>
        <v>-2031443</v>
      </c>
      <c r="AH71" s="65"/>
      <c r="AI71" s="65">
        <f>1735280+2442232+438643+478315</f>
        <v>5094470</v>
      </c>
      <c r="AJ71" s="65"/>
      <c r="AK71" s="65">
        <f>1449465+516921+530580+567062</f>
        <v>3064028</v>
      </c>
      <c r="AM71" s="24">
        <f>+'Gov Rev'!AI71-'Gov Exp'!AE71+'Gov Exp'!AI71-'Gov Exp'!AK71</f>
        <v>0</v>
      </c>
    </row>
    <row r="72" spans="1:39" s="31" customFormat="1">
      <c r="A72" s="15" t="s">
        <v>567</v>
      </c>
      <c r="B72" s="15"/>
      <c r="C72" s="15" t="s">
        <v>565</v>
      </c>
      <c r="D72" s="15"/>
      <c r="E72" s="24">
        <f>65965+85354</f>
        <v>151319</v>
      </c>
      <c r="F72" s="24"/>
      <c r="G72" s="24">
        <v>0</v>
      </c>
      <c r="H72" s="24"/>
      <c r="I72" s="24">
        <f>14303+84263</f>
        <v>98566</v>
      </c>
      <c r="J72" s="24"/>
      <c r="K72" s="24">
        <v>6150</v>
      </c>
      <c r="L72" s="24"/>
      <c r="M72" s="24">
        <v>39950</v>
      </c>
      <c r="N72" s="24"/>
      <c r="O72" s="24">
        <f>3208+48026</f>
        <v>51234</v>
      </c>
      <c r="P72" s="24"/>
      <c r="Q72" s="24">
        <f>67312+16723</f>
        <v>84035</v>
      </c>
      <c r="R72" s="24"/>
      <c r="S72" s="24">
        <v>32358</v>
      </c>
      <c r="T72" s="24"/>
      <c r="U72" s="24">
        <v>53244</v>
      </c>
      <c r="V72" s="24"/>
      <c r="W72" s="24">
        <v>0</v>
      </c>
      <c r="X72" s="24"/>
      <c r="Y72" s="24">
        <v>141414</v>
      </c>
      <c r="Z72" s="24"/>
      <c r="AA72" s="24">
        <v>0</v>
      </c>
      <c r="AB72" s="24"/>
      <c r="AC72" s="24">
        <v>0</v>
      </c>
      <c r="AD72" s="24"/>
      <c r="AE72" s="24">
        <f t="shared" si="1"/>
        <v>658270</v>
      </c>
      <c r="AF72" s="24"/>
      <c r="AG72" s="65">
        <f>-279+2996-41252</f>
        <v>-38535</v>
      </c>
      <c r="AH72" s="65"/>
      <c r="AI72" s="65">
        <f>66200+202691+8667-1</f>
        <v>277557</v>
      </c>
      <c r="AJ72" s="65"/>
      <c r="AK72" s="65">
        <f>24948+202412+11663</f>
        <v>239023</v>
      </c>
      <c r="AM72" s="24">
        <f>+'Gov Rev'!AI72-'Gov Exp'!AE72+'Gov Exp'!AI72-'Gov Exp'!AK72</f>
        <v>0</v>
      </c>
    </row>
    <row r="73" spans="1:39" s="31" customFormat="1">
      <c r="A73" s="15" t="s">
        <v>553</v>
      </c>
      <c r="B73" s="15"/>
      <c r="C73" s="15" t="s">
        <v>554</v>
      </c>
      <c r="D73" s="15"/>
      <c r="E73" s="24">
        <v>826293</v>
      </c>
      <c r="F73" s="24"/>
      <c r="G73" s="24">
        <v>23767</v>
      </c>
      <c r="H73" s="24"/>
      <c r="I73" s="24">
        <f>21453+3314+66751+416741</f>
        <v>508259</v>
      </c>
      <c r="J73" s="24"/>
      <c r="K73" s="24">
        <v>20091</v>
      </c>
      <c r="L73" s="24"/>
      <c r="M73" s="24">
        <v>8165</v>
      </c>
      <c r="N73" s="24"/>
      <c r="O73" s="24">
        <f>180072+2326</f>
        <v>182398</v>
      </c>
      <c r="P73" s="24"/>
      <c r="Q73" s="24">
        <f>203112+9004</f>
        <v>212116</v>
      </c>
      <c r="R73" s="24"/>
      <c r="S73" s="24">
        <f>224106+30714+5014+457+11250</f>
        <v>271541</v>
      </c>
      <c r="T73" s="24"/>
      <c r="U73" s="24">
        <v>20720</v>
      </c>
      <c r="V73" s="24"/>
      <c r="W73" s="24">
        <v>2925</v>
      </c>
      <c r="X73" s="24"/>
      <c r="Y73" s="24">
        <v>0</v>
      </c>
      <c r="Z73" s="24"/>
      <c r="AA73" s="24">
        <v>0</v>
      </c>
      <c r="AB73" s="24"/>
      <c r="AC73" s="24">
        <v>0</v>
      </c>
      <c r="AD73" s="24"/>
      <c r="AE73" s="24">
        <f t="shared" si="1"/>
        <v>2076275</v>
      </c>
      <c r="AF73" s="24"/>
      <c r="AG73" s="65">
        <f>-45413+5330-115225</f>
        <v>-155308</v>
      </c>
      <c r="AH73" s="65"/>
      <c r="AI73" s="65">
        <f>633641+553136+25362</f>
        <v>1212139</v>
      </c>
      <c r="AJ73" s="65"/>
      <c r="AK73" s="65">
        <f>518416+507723+30692+1</f>
        <v>1056832</v>
      </c>
      <c r="AM73" s="24">
        <f>+'Gov Rev'!AI73-'Gov Exp'!AE73+'Gov Exp'!AI73-'Gov Exp'!AK73</f>
        <v>0</v>
      </c>
    </row>
    <row r="74" spans="1:39" s="29" customFormat="1">
      <c r="A74" s="24" t="s">
        <v>540</v>
      </c>
      <c r="B74" s="24"/>
      <c r="C74" s="24" t="s">
        <v>541</v>
      </c>
      <c r="D74" s="24"/>
      <c r="E74" s="24">
        <f>197150+368</f>
        <v>197518</v>
      </c>
      <c r="F74" s="24"/>
      <c r="G74" s="24">
        <v>4483</v>
      </c>
      <c r="H74" s="24"/>
      <c r="I74" s="24">
        <v>55066</v>
      </c>
      <c r="J74" s="24"/>
      <c r="K74" s="24">
        <v>1225</v>
      </c>
      <c r="L74" s="24"/>
      <c r="M74" s="24">
        <v>0</v>
      </c>
      <c r="N74" s="24"/>
      <c r="O74" s="24">
        <v>68658</v>
      </c>
      <c r="P74" s="24"/>
      <c r="Q74" s="24">
        <v>271144</v>
      </c>
      <c r="R74" s="24"/>
      <c r="S74" s="24">
        <f>14511+15612+122868</f>
        <v>152991</v>
      </c>
      <c r="T74" s="24"/>
      <c r="U74" s="24">
        <v>0</v>
      </c>
      <c r="V74" s="24"/>
      <c r="W74" s="24">
        <v>6000</v>
      </c>
      <c r="X74" s="24"/>
      <c r="Y74" s="24">
        <v>6000</v>
      </c>
      <c r="Z74" s="24"/>
      <c r="AA74" s="24">
        <v>0</v>
      </c>
      <c r="AB74" s="24"/>
      <c r="AC74" s="24">
        <v>6109</v>
      </c>
      <c r="AD74" s="24"/>
      <c r="AE74" s="24">
        <f t="shared" ref="AE74:AE105" si="2">SUM(E74:AC74)</f>
        <v>769194</v>
      </c>
      <c r="AF74" s="24"/>
      <c r="AG74" s="29">
        <f>5149+58118+40789</f>
        <v>104056</v>
      </c>
      <c r="AI74" s="29">
        <f>133628+42085+99+528844</f>
        <v>704656</v>
      </c>
      <c r="AK74" s="29">
        <f>174417+47234+99+586962</f>
        <v>808712</v>
      </c>
      <c r="AM74" s="24">
        <f>+'Gov Rev'!AI74-'Gov Exp'!AE74+'Gov Exp'!AI74-'Gov Exp'!AK74</f>
        <v>0</v>
      </c>
    </row>
    <row r="75" spans="1:39" s="31" customFormat="1" hidden="1">
      <c r="A75" s="15" t="s">
        <v>402</v>
      </c>
      <c r="B75" s="15"/>
      <c r="C75" s="15" t="s">
        <v>403</v>
      </c>
      <c r="D75" s="15"/>
      <c r="E75" s="24">
        <v>0</v>
      </c>
      <c r="F75" s="24"/>
      <c r="G75" s="24">
        <v>0</v>
      </c>
      <c r="H75" s="24"/>
      <c r="I75" s="24">
        <v>0</v>
      </c>
      <c r="J75" s="24"/>
      <c r="K75" s="24">
        <v>0</v>
      </c>
      <c r="L75" s="24"/>
      <c r="M75" s="24">
        <v>0</v>
      </c>
      <c r="N75" s="24"/>
      <c r="O75" s="24">
        <v>0</v>
      </c>
      <c r="P75" s="24"/>
      <c r="Q75" s="24">
        <v>0</v>
      </c>
      <c r="R75" s="24"/>
      <c r="S75" s="24">
        <v>0</v>
      </c>
      <c r="T75" s="24"/>
      <c r="U75" s="24">
        <v>0</v>
      </c>
      <c r="V75" s="24"/>
      <c r="W75" s="24">
        <v>0</v>
      </c>
      <c r="X75" s="24"/>
      <c r="Y75" s="24">
        <v>0</v>
      </c>
      <c r="Z75" s="24"/>
      <c r="AA75" s="24">
        <v>0</v>
      </c>
      <c r="AB75" s="24"/>
      <c r="AC75" s="24">
        <v>0</v>
      </c>
      <c r="AD75" s="24"/>
      <c r="AE75" s="24">
        <f t="shared" si="2"/>
        <v>0</v>
      </c>
      <c r="AF75" s="24"/>
      <c r="AG75" s="65"/>
      <c r="AH75" s="65"/>
      <c r="AI75" s="65"/>
      <c r="AJ75" s="65"/>
      <c r="AK75" s="65"/>
      <c r="AM75" s="24">
        <f>+'Gov Rev'!AI75-'Gov Exp'!AE75+'Gov Exp'!AI75-'Gov Exp'!AK75</f>
        <v>0</v>
      </c>
    </row>
    <row r="76" spans="1:39" ht="12.75" hidden="1">
      <c r="A76" s="15" t="s">
        <v>83</v>
      </c>
      <c r="C76" s="15" t="s">
        <v>776</v>
      </c>
      <c r="D76" s="28"/>
      <c r="E76" s="24">
        <v>0</v>
      </c>
      <c r="G76" s="24">
        <v>0</v>
      </c>
      <c r="I76" s="24">
        <v>0</v>
      </c>
      <c r="K76" s="24">
        <v>0</v>
      </c>
      <c r="M76" s="24">
        <v>0</v>
      </c>
      <c r="O76" s="24">
        <v>0</v>
      </c>
      <c r="Q76" s="24">
        <v>0</v>
      </c>
      <c r="S76" s="24">
        <v>0</v>
      </c>
      <c r="U76" s="24">
        <v>0</v>
      </c>
      <c r="W76" s="24">
        <v>0</v>
      </c>
      <c r="Y76" s="24">
        <v>0</v>
      </c>
      <c r="AA76" s="24">
        <v>0</v>
      </c>
      <c r="AC76" s="24">
        <v>0</v>
      </c>
      <c r="AE76" s="24">
        <f t="shared" si="2"/>
        <v>0</v>
      </c>
      <c r="AF76" s="24"/>
      <c r="AM76" s="24">
        <f>+'Gov Rev'!AI76-'Gov Exp'!AE76+'Gov Exp'!AI76-'Gov Exp'!AK76</f>
        <v>0</v>
      </c>
    </row>
    <row r="77" spans="1:39" s="31" customFormat="1">
      <c r="A77" s="15" t="s">
        <v>472</v>
      </c>
      <c r="B77" s="15"/>
      <c r="C77" s="15" t="s">
        <v>931</v>
      </c>
      <c r="D77" s="15"/>
      <c r="E77" s="24">
        <f>147028+75004</f>
        <v>222032</v>
      </c>
      <c r="F77" s="24"/>
      <c r="G77" s="24">
        <v>0</v>
      </c>
      <c r="H77" s="24"/>
      <c r="I77" s="24">
        <v>52143</v>
      </c>
      <c r="J77" s="24"/>
      <c r="K77" s="24">
        <v>0</v>
      </c>
      <c r="L77" s="24"/>
      <c r="M77" s="24">
        <v>0</v>
      </c>
      <c r="N77" s="24"/>
      <c r="O77" s="24">
        <v>563348</v>
      </c>
      <c r="P77" s="24"/>
      <c r="Q77" s="24">
        <f>279035+24376</f>
        <v>303411</v>
      </c>
      <c r="R77" s="24"/>
      <c r="S77" s="24">
        <v>0</v>
      </c>
      <c r="T77" s="24"/>
      <c r="U77" s="24">
        <v>35424</v>
      </c>
      <c r="V77" s="24"/>
      <c r="W77" s="24">
        <v>0</v>
      </c>
      <c r="X77" s="24"/>
      <c r="Y77" s="24">
        <v>0</v>
      </c>
      <c r="Z77" s="24"/>
      <c r="AA77" s="24">
        <v>0</v>
      </c>
      <c r="AB77" s="24"/>
      <c r="AC77" s="24">
        <v>0</v>
      </c>
      <c r="AD77" s="24"/>
      <c r="AE77" s="24">
        <f t="shared" si="2"/>
        <v>1176358</v>
      </c>
      <c r="AF77" s="24"/>
      <c r="AG77" s="65">
        <f>-176728-26688</f>
        <v>-203416</v>
      </c>
      <c r="AH77" s="65"/>
      <c r="AI77" s="65">
        <f>165077+304156</f>
        <v>469233</v>
      </c>
      <c r="AJ77" s="65"/>
      <c r="AK77" s="65">
        <f>138389+127428</f>
        <v>265817</v>
      </c>
      <c r="AM77" s="24">
        <f>+'Gov Rev'!AI77-'Gov Exp'!AE77+'Gov Exp'!AI77-'Gov Exp'!AK77</f>
        <v>0</v>
      </c>
    </row>
    <row r="78" spans="1:39" s="31" customFormat="1">
      <c r="A78" s="15" t="s">
        <v>608</v>
      </c>
      <c r="B78" s="15"/>
      <c r="C78" s="15" t="s">
        <v>606</v>
      </c>
      <c r="D78" s="15"/>
      <c r="E78" s="24">
        <f>73437+241231</f>
        <v>314668</v>
      </c>
      <c r="F78" s="24"/>
      <c r="G78" s="24">
        <v>9392</v>
      </c>
      <c r="H78" s="24"/>
      <c r="I78" s="24">
        <v>11005</v>
      </c>
      <c r="J78" s="24"/>
      <c r="K78" s="24">
        <f>5668+308</f>
        <v>5976</v>
      </c>
      <c r="L78" s="24"/>
      <c r="M78" s="24">
        <v>25708</v>
      </c>
      <c r="N78" s="24"/>
      <c r="O78" s="24">
        <f>17982+51392</f>
        <v>69374</v>
      </c>
      <c r="P78" s="24"/>
      <c r="Q78" s="24">
        <v>123207</v>
      </c>
      <c r="R78" s="24"/>
      <c r="S78" s="24">
        <f>20334+7371+17568</f>
        <v>45273</v>
      </c>
      <c r="T78" s="24"/>
      <c r="U78" s="24">
        <v>93003</v>
      </c>
      <c r="V78" s="24"/>
      <c r="W78" s="24">
        <v>0</v>
      </c>
      <c r="X78" s="24"/>
      <c r="Y78" s="24">
        <f>24302+2147+2147</f>
        <v>28596</v>
      </c>
      <c r="Z78" s="24"/>
      <c r="AA78" s="24">
        <v>0</v>
      </c>
      <c r="AB78" s="24"/>
      <c r="AC78" s="24">
        <v>1563</v>
      </c>
      <c r="AD78" s="24"/>
      <c r="AE78" s="24">
        <f t="shared" si="2"/>
        <v>727765</v>
      </c>
      <c r="AF78" s="24"/>
      <c r="AG78" s="65">
        <f>18739-1526+20208+14680</f>
        <v>52101</v>
      </c>
      <c r="AH78" s="65"/>
      <c r="AI78" s="65">
        <f>219403+495100+50980+189988</f>
        <v>955471</v>
      </c>
      <c r="AJ78" s="65"/>
      <c r="AK78" s="65">
        <f>234083+513839+49454+210196</f>
        <v>1007572</v>
      </c>
      <c r="AM78" s="24">
        <f>+'Gov Rev'!AI78-'Gov Exp'!AE78+'Gov Exp'!AI78-'Gov Exp'!AK78</f>
        <v>0</v>
      </c>
    </row>
    <row r="79" spans="1:39" ht="12.6" customHeight="1">
      <c r="A79" s="15" t="s">
        <v>903</v>
      </c>
      <c r="C79" s="15" t="s">
        <v>259</v>
      </c>
      <c r="E79" s="24">
        <v>93562</v>
      </c>
      <c r="G79" s="24">
        <v>0</v>
      </c>
      <c r="I79" s="24">
        <v>1772</v>
      </c>
      <c r="K79" s="24">
        <f>2284+16816+4490+16400</f>
        <v>39990</v>
      </c>
      <c r="M79" s="24">
        <v>0</v>
      </c>
      <c r="O79" s="24">
        <v>16008</v>
      </c>
      <c r="Q79" s="24">
        <v>133198</v>
      </c>
      <c r="S79" s="24">
        <v>14817</v>
      </c>
      <c r="U79" s="24">
        <v>0</v>
      </c>
      <c r="W79" s="24">
        <v>0</v>
      </c>
      <c r="Y79" s="24">
        <v>17000</v>
      </c>
      <c r="AA79" s="24">
        <v>0</v>
      </c>
      <c r="AC79" s="24">
        <v>0</v>
      </c>
      <c r="AE79" s="24">
        <f t="shared" si="2"/>
        <v>316347</v>
      </c>
      <c r="AF79" s="24"/>
      <c r="AG79" s="64">
        <f>3259-1681+1149</f>
        <v>2727</v>
      </c>
      <c r="AI79" s="64">
        <f>40981+22751+2260</f>
        <v>65992</v>
      </c>
      <c r="AK79" s="64">
        <f>42131+26010+579</f>
        <v>68720</v>
      </c>
      <c r="AM79" s="24">
        <f>+'Gov Rev'!AI79-'Gov Exp'!AE79+'Gov Exp'!AI79-'Gov Exp'!AK79</f>
        <v>0</v>
      </c>
    </row>
    <row r="80" spans="1:39" ht="12.6" hidden="1" customHeight="1">
      <c r="A80" s="15" t="s">
        <v>317</v>
      </c>
      <c r="C80" s="15" t="s">
        <v>316</v>
      </c>
      <c r="E80" s="24">
        <v>0</v>
      </c>
      <c r="G80" s="24">
        <v>0</v>
      </c>
      <c r="I80" s="24">
        <v>0</v>
      </c>
      <c r="K80" s="24">
        <v>0</v>
      </c>
      <c r="M80" s="24">
        <v>0</v>
      </c>
      <c r="O80" s="24">
        <v>0</v>
      </c>
      <c r="Q80" s="24">
        <v>0</v>
      </c>
      <c r="S80" s="24">
        <v>0</v>
      </c>
      <c r="U80" s="24">
        <v>0</v>
      </c>
      <c r="W80" s="24">
        <v>0</v>
      </c>
      <c r="Y80" s="24">
        <v>0</v>
      </c>
      <c r="AA80" s="24">
        <v>0</v>
      </c>
      <c r="AC80" s="24">
        <v>0</v>
      </c>
      <c r="AE80" s="24">
        <f t="shared" si="2"/>
        <v>0</v>
      </c>
      <c r="AF80" s="24"/>
      <c r="AM80" s="24">
        <f>+'Gov Rev'!AI80-'Gov Exp'!AE80+'Gov Exp'!AI80-'Gov Exp'!AK80</f>
        <v>0</v>
      </c>
    </row>
    <row r="81" spans="1:39" ht="12.6" hidden="1" customHeight="1">
      <c r="A81" s="15" t="s">
        <v>61</v>
      </c>
      <c r="C81" s="15" t="s">
        <v>771</v>
      </c>
      <c r="D81" s="28"/>
      <c r="E81" s="24">
        <v>0</v>
      </c>
      <c r="G81" s="24">
        <v>0</v>
      </c>
      <c r="I81" s="24">
        <v>0</v>
      </c>
      <c r="K81" s="24">
        <v>0</v>
      </c>
      <c r="M81" s="24">
        <v>0</v>
      </c>
      <c r="O81" s="24">
        <v>0</v>
      </c>
      <c r="Q81" s="24">
        <v>0</v>
      </c>
      <c r="S81" s="24">
        <v>0</v>
      </c>
      <c r="U81" s="24">
        <v>0</v>
      </c>
      <c r="W81" s="24">
        <v>0</v>
      </c>
      <c r="Y81" s="24">
        <v>0</v>
      </c>
      <c r="AA81" s="24">
        <v>0</v>
      </c>
      <c r="AC81" s="24">
        <v>0</v>
      </c>
      <c r="AE81" s="24">
        <f t="shared" si="2"/>
        <v>0</v>
      </c>
      <c r="AF81" s="24"/>
      <c r="AM81" s="24">
        <f>+'Gov Rev'!AI81-'Gov Exp'!AE81+'Gov Exp'!AI81-'Gov Exp'!AK81</f>
        <v>0</v>
      </c>
    </row>
    <row r="82" spans="1:39" s="31" customFormat="1">
      <c r="A82" s="15" t="s">
        <v>546</v>
      </c>
      <c r="B82" s="15"/>
      <c r="C82" s="15" t="s">
        <v>545</v>
      </c>
      <c r="D82" s="15"/>
      <c r="E82" s="24">
        <f>402953+256878</f>
        <v>659831</v>
      </c>
      <c r="F82" s="24"/>
      <c r="G82" s="24">
        <v>7965</v>
      </c>
      <c r="H82" s="24"/>
      <c r="I82" s="24">
        <v>13749</v>
      </c>
      <c r="J82" s="24"/>
      <c r="K82" s="24">
        <v>2147</v>
      </c>
      <c r="L82" s="24"/>
      <c r="M82" s="24">
        <v>6466</v>
      </c>
      <c r="N82" s="24"/>
      <c r="O82" s="24">
        <f>39409+211422</f>
        <v>250831</v>
      </c>
      <c r="P82" s="24"/>
      <c r="Q82" s="24">
        <f>173454+15128</f>
        <v>188582</v>
      </c>
      <c r="R82" s="24"/>
      <c r="S82" s="24">
        <f>18476+319539+105006</f>
        <v>443021</v>
      </c>
      <c r="T82" s="24"/>
      <c r="U82" s="24">
        <v>0</v>
      </c>
      <c r="V82" s="24"/>
      <c r="W82" s="24">
        <v>0</v>
      </c>
      <c r="X82" s="24"/>
      <c r="Y82" s="24">
        <f>139000+897000</f>
        <v>1036000</v>
      </c>
      <c r="Z82" s="24"/>
      <c r="AA82" s="24">
        <v>0</v>
      </c>
      <c r="AB82" s="24"/>
      <c r="AC82" s="24">
        <f>40345+1573</f>
        <v>41918</v>
      </c>
      <c r="AD82" s="24"/>
      <c r="AE82" s="24">
        <f t="shared" si="2"/>
        <v>2650510</v>
      </c>
      <c r="AF82" s="24"/>
      <c r="AG82" s="65">
        <f>-63258+24000+60333-1837</f>
        <v>19238</v>
      </c>
      <c r="AH82" s="65"/>
      <c r="AI82" s="65">
        <f>108629+918418+243128</f>
        <v>1270175</v>
      </c>
      <c r="AJ82" s="65"/>
      <c r="AK82" s="65">
        <f>106792+855160+24000+303462</f>
        <v>1289414</v>
      </c>
      <c r="AM82" s="24">
        <f>+'Gov Rev'!AI82-'Gov Exp'!AE82+'Gov Exp'!AI82-'Gov Exp'!AK82</f>
        <v>0</v>
      </c>
    </row>
    <row r="83" spans="1:39" s="29" customFormat="1" ht="12.6" hidden="1" customHeight="1">
      <c r="A83" s="24" t="s">
        <v>72</v>
      </c>
      <c r="B83" s="24"/>
      <c r="C83" s="24" t="s">
        <v>773</v>
      </c>
      <c r="D83" s="85"/>
      <c r="E83" s="24">
        <v>0</v>
      </c>
      <c r="F83" s="24"/>
      <c r="G83" s="24">
        <v>0</v>
      </c>
      <c r="H83" s="24"/>
      <c r="I83" s="24">
        <v>0</v>
      </c>
      <c r="J83" s="24"/>
      <c r="K83" s="24">
        <v>0</v>
      </c>
      <c r="L83" s="24"/>
      <c r="M83" s="24">
        <v>0</v>
      </c>
      <c r="N83" s="24"/>
      <c r="O83" s="24">
        <v>0</v>
      </c>
      <c r="P83" s="24"/>
      <c r="Q83" s="24">
        <v>0</v>
      </c>
      <c r="R83" s="24"/>
      <c r="S83" s="24">
        <v>0</v>
      </c>
      <c r="T83" s="24"/>
      <c r="U83" s="24">
        <v>0</v>
      </c>
      <c r="V83" s="24"/>
      <c r="W83" s="24">
        <v>0</v>
      </c>
      <c r="X83" s="24"/>
      <c r="Y83" s="24">
        <v>0</v>
      </c>
      <c r="Z83" s="24"/>
      <c r="AA83" s="24">
        <v>0</v>
      </c>
      <c r="AB83" s="24"/>
      <c r="AC83" s="24">
        <v>0</v>
      </c>
      <c r="AD83" s="24"/>
      <c r="AE83" s="24">
        <f t="shared" si="2"/>
        <v>0</v>
      </c>
      <c r="AF83" s="24"/>
      <c r="AG83" s="65">
        <v>0</v>
      </c>
      <c r="AH83" s="65"/>
      <c r="AI83" s="65">
        <v>0</v>
      </c>
      <c r="AJ83" s="65"/>
      <c r="AK83" s="65">
        <v>0</v>
      </c>
      <c r="AM83" s="24"/>
    </row>
    <row r="84" spans="1:39" ht="12.6" hidden="1" customHeight="1">
      <c r="A84" s="15" t="s">
        <v>281</v>
      </c>
      <c r="C84" s="15" t="s">
        <v>279</v>
      </c>
      <c r="E84" s="24">
        <v>0</v>
      </c>
      <c r="G84" s="24">
        <v>0</v>
      </c>
      <c r="I84" s="24">
        <v>0</v>
      </c>
      <c r="K84" s="24">
        <v>0</v>
      </c>
      <c r="M84" s="24">
        <v>0</v>
      </c>
      <c r="O84" s="24">
        <v>0</v>
      </c>
      <c r="Q84" s="24">
        <v>0</v>
      </c>
      <c r="S84" s="24">
        <v>0</v>
      </c>
      <c r="U84" s="24">
        <v>0</v>
      </c>
      <c r="W84" s="24">
        <v>0</v>
      </c>
      <c r="Y84" s="24">
        <v>0</v>
      </c>
      <c r="AA84" s="24">
        <v>0</v>
      </c>
      <c r="AC84" s="24">
        <v>0</v>
      </c>
      <c r="AE84" s="24">
        <f t="shared" si="2"/>
        <v>0</v>
      </c>
      <c r="AF84" s="24"/>
      <c r="AM84" s="24">
        <f>+'Gov Rev'!AI84-'Gov Exp'!AE84+'Gov Exp'!AI84-'Gov Exp'!AK84</f>
        <v>0</v>
      </c>
    </row>
    <row r="85" spans="1:39" s="31" customFormat="1" ht="12.6" customHeight="1">
      <c r="A85" s="15" t="s">
        <v>318</v>
      </c>
      <c r="B85" s="15"/>
      <c r="C85" s="15" t="s">
        <v>316</v>
      </c>
      <c r="D85" s="15"/>
      <c r="E85" s="24">
        <f>3025066+41276</f>
        <v>3066342</v>
      </c>
      <c r="F85" s="24"/>
      <c r="G85" s="24">
        <v>270001</v>
      </c>
      <c r="H85" s="24"/>
      <c r="I85" s="24">
        <v>264861</v>
      </c>
      <c r="J85" s="24"/>
      <c r="K85" s="24">
        <v>122545</v>
      </c>
      <c r="L85" s="24"/>
      <c r="M85" s="24">
        <v>89387</v>
      </c>
      <c r="N85" s="24"/>
      <c r="O85" s="24">
        <f>757907+244+122388</f>
        <v>880539</v>
      </c>
      <c r="P85" s="24"/>
      <c r="Q85" s="24">
        <f>1263476+1220+1385</f>
        <v>1266081</v>
      </c>
      <c r="R85" s="24"/>
      <c r="S85" s="24">
        <v>646609</v>
      </c>
      <c r="T85" s="24"/>
      <c r="U85" s="24">
        <v>64987</v>
      </c>
      <c r="V85" s="24"/>
      <c r="W85" s="24">
        <v>21175</v>
      </c>
      <c r="X85" s="24"/>
      <c r="Y85" s="24">
        <f>5015+339739+21400</f>
        <v>366154</v>
      </c>
      <c r="Z85" s="24"/>
      <c r="AA85" s="24">
        <v>0</v>
      </c>
      <c r="AB85" s="24"/>
      <c r="AC85" s="24">
        <f>436546+15485+7428</f>
        <v>459459</v>
      </c>
      <c r="AD85" s="24"/>
      <c r="AE85" s="24">
        <f t="shared" si="2"/>
        <v>7518140</v>
      </c>
      <c r="AF85" s="24"/>
      <c r="AG85" s="65">
        <f>-672+164387+16195+674-266587</f>
        <v>-86003</v>
      </c>
      <c r="AH85" s="65"/>
      <c r="AI85" s="65">
        <f>2749661+19493+1490081+636956+722209</f>
        <v>5618400</v>
      </c>
      <c r="AJ85" s="65"/>
      <c r="AK85" s="65">
        <f>2483074+18821+1654468+653151+722883</f>
        <v>5532397</v>
      </c>
      <c r="AM85" s="24">
        <f>+'Gov Rev'!AI86-'Gov Exp'!AE85+'Gov Exp'!AI85-'Gov Exp'!AK85</f>
        <v>0</v>
      </c>
    </row>
    <row r="86" spans="1:39" ht="12.75" hidden="1">
      <c r="A86" s="15" t="s">
        <v>16</v>
      </c>
      <c r="C86" s="15" t="s">
        <v>755</v>
      </c>
      <c r="D86" s="28"/>
      <c r="E86" s="24">
        <v>0</v>
      </c>
      <c r="G86" s="24">
        <v>0</v>
      </c>
      <c r="I86" s="24">
        <v>0</v>
      </c>
      <c r="K86" s="24">
        <v>0</v>
      </c>
      <c r="M86" s="24">
        <v>0</v>
      </c>
      <c r="O86" s="24">
        <v>0</v>
      </c>
      <c r="Q86" s="24">
        <v>0</v>
      </c>
      <c r="S86" s="24">
        <v>0</v>
      </c>
      <c r="U86" s="24">
        <v>0</v>
      </c>
      <c r="W86" s="24">
        <v>0</v>
      </c>
      <c r="Y86" s="24">
        <v>0</v>
      </c>
      <c r="AA86" s="24">
        <v>0</v>
      </c>
      <c r="AC86" s="24">
        <v>0</v>
      </c>
      <c r="AE86" s="24">
        <f t="shared" si="2"/>
        <v>0</v>
      </c>
      <c r="AF86" s="24"/>
      <c r="AM86" s="24"/>
    </row>
    <row r="87" spans="1:39" s="31" customFormat="1" hidden="1">
      <c r="A87" s="15" t="s">
        <v>501</v>
      </c>
      <c r="B87" s="15"/>
      <c r="C87" s="15" t="s">
        <v>500</v>
      </c>
      <c r="D87" s="15"/>
      <c r="E87" s="24">
        <v>0</v>
      </c>
      <c r="F87" s="24"/>
      <c r="G87" s="24">
        <v>0</v>
      </c>
      <c r="H87" s="24"/>
      <c r="I87" s="24">
        <v>0</v>
      </c>
      <c r="J87" s="24"/>
      <c r="K87" s="24">
        <v>0</v>
      </c>
      <c r="L87" s="24"/>
      <c r="M87" s="24">
        <v>0</v>
      </c>
      <c r="N87" s="24"/>
      <c r="O87" s="24">
        <v>0</v>
      </c>
      <c r="P87" s="24"/>
      <c r="Q87" s="24">
        <v>0</v>
      </c>
      <c r="R87" s="24"/>
      <c r="S87" s="24">
        <v>0</v>
      </c>
      <c r="T87" s="24"/>
      <c r="U87" s="24">
        <v>0</v>
      </c>
      <c r="V87" s="24"/>
      <c r="W87" s="24">
        <v>0</v>
      </c>
      <c r="X87" s="24"/>
      <c r="Y87" s="24">
        <v>0</v>
      </c>
      <c r="Z87" s="24"/>
      <c r="AA87" s="24">
        <v>0</v>
      </c>
      <c r="AB87" s="24"/>
      <c r="AC87" s="24">
        <v>0</v>
      </c>
      <c r="AD87" s="24"/>
      <c r="AE87" s="24">
        <f t="shared" si="2"/>
        <v>0</v>
      </c>
      <c r="AF87" s="24"/>
      <c r="AG87" s="65"/>
      <c r="AH87" s="65"/>
      <c r="AI87" s="65"/>
      <c r="AJ87" s="65"/>
      <c r="AK87" s="65"/>
      <c r="AM87" s="24">
        <f>+'Gov Rev'!AI87-'Gov Exp'!AE87+'Gov Exp'!AI87-'Gov Exp'!AK87</f>
        <v>0</v>
      </c>
    </row>
    <row r="88" spans="1:39" ht="12.6" customHeight="1">
      <c r="A88" s="15" t="s">
        <v>272</v>
      </c>
      <c r="C88" s="15" t="s">
        <v>271</v>
      </c>
      <c r="E88" s="24">
        <v>25600</v>
      </c>
      <c r="G88" s="24">
        <v>0</v>
      </c>
      <c r="I88" s="24">
        <v>5083</v>
      </c>
      <c r="K88" s="24">
        <v>0</v>
      </c>
      <c r="M88" s="24">
        <v>0</v>
      </c>
      <c r="O88" s="24">
        <v>17341</v>
      </c>
      <c r="Q88" s="24">
        <v>67484</v>
      </c>
      <c r="S88" s="24">
        <v>0</v>
      </c>
      <c r="U88" s="24">
        <v>0</v>
      </c>
      <c r="W88" s="24">
        <v>0</v>
      </c>
      <c r="Y88" s="24">
        <v>0</v>
      </c>
      <c r="AA88" s="24">
        <v>0</v>
      </c>
      <c r="AC88" s="24">
        <v>0</v>
      </c>
      <c r="AE88" s="24">
        <f t="shared" si="2"/>
        <v>115508</v>
      </c>
      <c r="AF88" s="24"/>
      <c r="AG88" s="64">
        <f>12317+29685</f>
        <v>42002</v>
      </c>
      <c r="AI88" s="64">
        <f>61527+34196</f>
        <v>95723</v>
      </c>
      <c r="AK88" s="64">
        <f>91212+46514</f>
        <v>137726</v>
      </c>
      <c r="AM88" s="24">
        <f>+'Gov Rev'!AI89-'Gov Exp'!AE88+'Gov Exp'!AI88-'Gov Exp'!AK88</f>
        <v>0</v>
      </c>
    </row>
    <row r="89" spans="1:39" ht="12.75" hidden="1">
      <c r="A89" s="15" t="s">
        <v>130</v>
      </c>
      <c r="C89" s="15" t="s">
        <v>790</v>
      </c>
      <c r="D89" s="28"/>
      <c r="E89" s="24">
        <v>0</v>
      </c>
      <c r="G89" s="24">
        <v>0</v>
      </c>
      <c r="I89" s="24">
        <v>0</v>
      </c>
      <c r="K89" s="24">
        <v>0</v>
      </c>
      <c r="M89" s="24">
        <v>0</v>
      </c>
      <c r="O89" s="24">
        <v>0</v>
      </c>
      <c r="Q89" s="24">
        <v>0</v>
      </c>
      <c r="S89" s="24">
        <v>0</v>
      </c>
      <c r="U89" s="24">
        <v>0</v>
      </c>
      <c r="W89" s="24">
        <v>0</v>
      </c>
      <c r="Y89" s="24">
        <v>0</v>
      </c>
      <c r="AA89" s="24">
        <v>0</v>
      </c>
      <c r="AC89" s="24">
        <v>0</v>
      </c>
      <c r="AE89" s="24">
        <f t="shared" si="2"/>
        <v>0</v>
      </c>
      <c r="AF89" s="24"/>
      <c r="AM89" s="24">
        <v>0</v>
      </c>
    </row>
    <row r="90" spans="1:39" ht="12.75" hidden="1">
      <c r="A90" s="15" t="s">
        <v>11</v>
      </c>
      <c r="C90" s="15" t="s">
        <v>754</v>
      </c>
      <c r="D90" s="28"/>
      <c r="E90" s="24">
        <v>0</v>
      </c>
      <c r="G90" s="24">
        <v>0</v>
      </c>
      <c r="I90" s="24">
        <v>0</v>
      </c>
      <c r="K90" s="24">
        <v>0</v>
      </c>
      <c r="M90" s="24">
        <v>0</v>
      </c>
      <c r="O90" s="24">
        <v>0</v>
      </c>
      <c r="Q90" s="24">
        <v>0</v>
      </c>
      <c r="S90" s="24">
        <v>0</v>
      </c>
      <c r="U90" s="24">
        <v>0</v>
      </c>
      <c r="W90" s="24">
        <v>0</v>
      </c>
      <c r="Y90" s="24">
        <v>0</v>
      </c>
      <c r="AA90" s="24">
        <v>0</v>
      </c>
      <c r="AC90" s="24">
        <v>0</v>
      </c>
      <c r="AE90" s="24">
        <f t="shared" si="2"/>
        <v>0</v>
      </c>
      <c r="AF90" s="24"/>
      <c r="AM90" s="24">
        <v>0</v>
      </c>
    </row>
    <row r="91" spans="1:39" ht="12.75" hidden="1">
      <c r="A91" s="15" t="s">
        <v>248</v>
      </c>
      <c r="C91" s="15" t="s">
        <v>828</v>
      </c>
      <c r="D91" s="28"/>
      <c r="E91" s="24">
        <v>0</v>
      </c>
      <c r="G91" s="24">
        <v>0</v>
      </c>
      <c r="I91" s="24">
        <v>0</v>
      </c>
      <c r="K91" s="24">
        <v>0</v>
      </c>
      <c r="M91" s="24">
        <v>0</v>
      </c>
      <c r="O91" s="24">
        <v>0</v>
      </c>
      <c r="Q91" s="24">
        <v>0</v>
      </c>
      <c r="S91" s="24">
        <v>0</v>
      </c>
      <c r="U91" s="24">
        <v>0</v>
      </c>
      <c r="W91" s="24">
        <v>0</v>
      </c>
      <c r="Y91" s="24">
        <v>0</v>
      </c>
      <c r="AA91" s="24">
        <v>0</v>
      </c>
      <c r="AC91" s="24">
        <v>0</v>
      </c>
      <c r="AE91" s="24">
        <f t="shared" si="2"/>
        <v>0</v>
      </c>
      <c r="AF91" s="24"/>
      <c r="AM91" s="24">
        <v>0</v>
      </c>
    </row>
    <row r="92" spans="1:39" s="31" customFormat="1">
      <c r="A92" s="15" t="s">
        <v>529</v>
      </c>
      <c r="B92" s="15"/>
      <c r="C92" s="15" t="s">
        <v>530</v>
      </c>
      <c r="D92" s="15"/>
      <c r="E92" s="24">
        <v>2472</v>
      </c>
      <c r="F92" s="24"/>
      <c r="G92" s="24">
        <v>68</v>
      </c>
      <c r="H92" s="24"/>
      <c r="I92" s="24">
        <v>2911</v>
      </c>
      <c r="J92" s="24"/>
      <c r="K92" s="24">
        <v>32</v>
      </c>
      <c r="L92" s="24"/>
      <c r="M92" s="24">
        <v>5410</v>
      </c>
      <c r="N92" s="24"/>
      <c r="O92" s="24">
        <f>15289+2275</f>
        <v>17564</v>
      </c>
      <c r="P92" s="24"/>
      <c r="Q92" s="24">
        <v>0</v>
      </c>
      <c r="R92" s="24"/>
      <c r="S92" s="24">
        <v>0</v>
      </c>
      <c r="T92" s="24"/>
      <c r="U92" s="24">
        <v>951</v>
      </c>
      <c r="V92" s="24"/>
      <c r="W92" s="24">
        <v>319</v>
      </c>
      <c r="X92" s="24"/>
      <c r="Y92" s="24">
        <v>0</v>
      </c>
      <c r="Z92" s="24"/>
      <c r="AA92" s="24">
        <v>0</v>
      </c>
      <c r="AB92" s="24"/>
      <c r="AC92" s="24">
        <v>0</v>
      </c>
      <c r="AD92" s="24"/>
      <c r="AE92" s="24">
        <f t="shared" si="2"/>
        <v>29727</v>
      </c>
      <c r="AF92" s="24"/>
      <c r="AG92" s="65">
        <f>6876+6573</f>
        <v>13449</v>
      </c>
      <c r="AH92" s="65"/>
      <c r="AI92" s="65">
        <f>22415+58531</f>
        <v>80946</v>
      </c>
      <c r="AJ92" s="65"/>
      <c r="AK92" s="65">
        <f>28988+56256</f>
        <v>85244</v>
      </c>
      <c r="AM92" s="24">
        <f>+'Gov Rev'!AI93-'Gov Exp'!AE92+'Gov Exp'!AI92-'Gov Exp'!AK92</f>
        <v>0</v>
      </c>
    </row>
    <row r="93" spans="1:39" s="31" customFormat="1">
      <c r="A93" s="15" t="s">
        <v>468</v>
      </c>
      <c r="B93" s="15"/>
      <c r="C93" s="15" t="s">
        <v>710</v>
      </c>
      <c r="D93" s="15"/>
      <c r="E93" s="24">
        <f>6533+8872</f>
        <v>15405</v>
      </c>
      <c r="F93" s="24"/>
      <c r="G93" s="24">
        <v>1638</v>
      </c>
      <c r="H93" s="24"/>
      <c r="I93" s="24">
        <f>12338+13072</f>
        <v>25410</v>
      </c>
      <c r="J93" s="24"/>
      <c r="K93" s="24">
        <v>0</v>
      </c>
      <c r="L93" s="24"/>
      <c r="M93" s="24">
        <v>26487</v>
      </c>
      <c r="N93" s="24"/>
      <c r="O93" s="24">
        <v>21452</v>
      </c>
      <c r="P93" s="24"/>
      <c r="Q93" s="24">
        <v>21079</v>
      </c>
      <c r="R93" s="24"/>
      <c r="S93" s="24">
        <v>0</v>
      </c>
      <c r="T93" s="24"/>
      <c r="U93" s="24">
        <v>0</v>
      </c>
      <c r="V93" s="24"/>
      <c r="W93" s="24">
        <v>0</v>
      </c>
      <c r="X93" s="24"/>
      <c r="Y93" s="24">
        <v>0</v>
      </c>
      <c r="Z93" s="24"/>
      <c r="AA93" s="24">
        <v>0</v>
      </c>
      <c r="AB93" s="24"/>
      <c r="AC93" s="24">
        <v>0</v>
      </c>
      <c r="AD93" s="24"/>
      <c r="AE93" s="24">
        <f t="shared" si="2"/>
        <v>111471</v>
      </c>
      <c r="AF93" s="24"/>
      <c r="AG93" s="65">
        <f>2074-742-7767</f>
        <v>-6435</v>
      </c>
      <c r="AH93" s="65"/>
      <c r="AI93" s="65">
        <f>22012+29206+2329</f>
        <v>53547</v>
      </c>
      <c r="AJ93" s="65"/>
      <c r="AK93" s="65">
        <f>14245+31280+1587</f>
        <v>47112</v>
      </c>
      <c r="AM93" s="24">
        <f>+'Gov Rev'!AI94-'Gov Exp'!AE93+'Gov Exp'!AI93-'Gov Exp'!AK93</f>
        <v>0</v>
      </c>
    </row>
    <row r="94" spans="1:39" s="31" customFormat="1" ht="12.6" customHeight="1">
      <c r="A94" s="15" t="s">
        <v>690</v>
      </c>
      <c r="B94" s="15"/>
      <c r="C94" s="15" t="s">
        <v>366</v>
      </c>
      <c r="D94" s="15"/>
      <c r="E94" s="24">
        <v>324603</v>
      </c>
      <c r="F94" s="24"/>
      <c r="G94" s="24">
        <v>14051</v>
      </c>
      <c r="H94" s="24"/>
      <c r="I94" s="24">
        <f>16819+7002</f>
        <v>23821</v>
      </c>
      <c r="J94" s="24"/>
      <c r="K94" s="24">
        <v>15827</v>
      </c>
      <c r="L94" s="24"/>
      <c r="M94" s="24">
        <v>0</v>
      </c>
      <c r="N94" s="24"/>
      <c r="O94" s="24">
        <v>251179</v>
      </c>
      <c r="P94" s="24"/>
      <c r="Q94" s="24">
        <f>196484+29768</f>
        <v>226252</v>
      </c>
      <c r="R94" s="24"/>
      <c r="S94" s="24">
        <f>18243+3123+64424</f>
        <v>85790</v>
      </c>
      <c r="T94" s="24"/>
      <c r="U94" s="24">
        <v>18480</v>
      </c>
      <c r="V94" s="24"/>
      <c r="W94" s="24">
        <v>0</v>
      </c>
      <c r="X94" s="24"/>
      <c r="Y94" s="24">
        <f>499980+54890</f>
        <v>554870</v>
      </c>
      <c r="Z94" s="24"/>
      <c r="AA94" s="24">
        <v>0</v>
      </c>
      <c r="AB94" s="24"/>
      <c r="AC94" s="24">
        <v>3700</v>
      </c>
      <c r="AD94" s="24"/>
      <c r="AE94" s="24">
        <f t="shared" si="2"/>
        <v>1518573</v>
      </c>
      <c r="AF94" s="24"/>
      <c r="AG94" s="65">
        <f>-23403+11521+35046</f>
        <v>23164</v>
      </c>
      <c r="AH94" s="65"/>
      <c r="AI94" s="65">
        <f>307438+336485+200462</f>
        <v>844385</v>
      </c>
      <c r="AJ94" s="65"/>
      <c r="AK94" s="65">
        <f>284035+348005+235508</f>
        <v>867548</v>
      </c>
      <c r="AM94" s="24">
        <f>+'Gov Rev'!AI95-'Gov Exp'!AE94+'Gov Exp'!AI94-'Gov Exp'!AK94</f>
        <v>0</v>
      </c>
    </row>
    <row r="95" spans="1:39" s="31" customFormat="1" hidden="1">
      <c r="A95" s="15" t="s">
        <v>522</v>
      </c>
      <c r="B95" s="15"/>
      <c r="C95" s="15" t="s">
        <v>523</v>
      </c>
      <c r="D95" s="15"/>
      <c r="E95" s="24">
        <v>0</v>
      </c>
      <c r="F95" s="24"/>
      <c r="G95" s="24">
        <v>0</v>
      </c>
      <c r="H95" s="24"/>
      <c r="I95" s="24">
        <v>0</v>
      </c>
      <c r="J95" s="24"/>
      <c r="K95" s="24">
        <v>0</v>
      </c>
      <c r="L95" s="24"/>
      <c r="M95" s="24">
        <v>0</v>
      </c>
      <c r="N95" s="24"/>
      <c r="O95" s="24">
        <v>0</v>
      </c>
      <c r="P95" s="24"/>
      <c r="Q95" s="24">
        <v>0</v>
      </c>
      <c r="R95" s="24"/>
      <c r="S95" s="24">
        <v>0</v>
      </c>
      <c r="T95" s="24"/>
      <c r="U95" s="24">
        <v>0</v>
      </c>
      <c r="V95" s="24"/>
      <c r="W95" s="24">
        <v>0</v>
      </c>
      <c r="X95" s="24"/>
      <c r="Y95" s="24">
        <v>0</v>
      </c>
      <c r="Z95" s="24"/>
      <c r="AA95" s="24">
        <v>0</v>
      </c>
      <c r="AB95" s="24"/>
      <c r="AC95" s="24">
        <v>0</v>
      </c>
      <c r="AD95" s="24"/>
      <c r="AE95" s="24">
        <f t="shared" si="2"/>
        <v>0</v>
      </c>
      <c r="AF95" s="24"/>
      <c r="AG95" s="65"/>
      <c r="AH95" s="65"/>
      <c r="AI95" s="65"/>
      <c r="AJ95" s="65"/>
      <c r="AK95" s="65"/>
      <c r="AM95" s="24">
        <f>+'Gov Rev'!AI96-'Gov Exp'!AE95+'Gov Exp'!AI95-'Gov Exp'!AK95</f>
        <v>0</v>
      </c>
    </row>
    <row r="96" spans="1:39" ht="12.75" hidden="1">
      <c r="A96" s="15" t="s">
        <v>241</v>
      </c>
      <c r="C96" s="15" t="s">
        <v>826</v>
      </c>
      <c r="D96" s="28"/>
      <c r="E96" s="24">
        <v>0</v>
      </c>
      <c r="G96" s="24">
        <v>0</v>
      </c>
      <c r="I96" s="24">
        <v>0</v>
      </c>
      <c r="K96" s="24">
        <v>0</v>
      </c>
      <c r="M96" s="24">
        <v>0</v>
      </c>
      <c r="O96" s="24">
        <v>0</v>
      </c>
      <c r="Q96" s="24">
        <v>0</v>
      </c>
      <c r="S96" s="24">
        <v>0</v>
      </c>
      <c r="U96" s="24">
        <v>0</v>
      </c>
      <c r="W96" s="24">
        <v>0</v>
      </c>
      <c r="Y96" s="24">
        <v>0</v>
      </c>
      <c r="AA96" s="24">
        <v>0</v>
      </c>
      <c r="AC96" s="24">
        <v>0</v>
      </c>
      <c r="AE96" s="24">
        <f t="shared" si="2"/>
        <v>0</v>
      </c>
      <c r="AF96" s="24"/>
      <c r="AM96" s="24">
        <f>+'Gov Rev'!AI97-'Gov Exp'!AE96+'Gov Exp'!AI96-'Gov Exp'!AK96</f>
        <v>0</v>
      </c>
    </row>
    <row r="97" spans="1:39" ht="12.75" hidden="1">
      <c r="A97" s="15" t="s">
        <v>86</v>
      </c>
      <c r="C97" s="15" t="s">
        <v>777</v>
      </c>
      <c r="D97" s="28"/>
      <c r="E97" s="24">
        <v>0</v>
      </c>
      <c r="G97" s="24">
        <v>0</v>
      </c>
      <c r="I97" s="24">
        <v>0</v>
      </c>
      <c r="K97" s="24">
        <v>0</v>
      </c>
      <c r="M97" s="24">
        <v>0</v>
      </c>
      <c r="O97" s="24">
        <v>0</v>
      </c>
      <c r="Q97" s="24">
        <v>0</v>
      </c>
      <c r="S97" s="24">
        <v>0</v>
      </c>
      <c r="U97" s="24">
        <v>0</v>
      </c>
      <c r="W97" s="24">
        <v>0</v>
      </c>
      <c r="Y97" s="24">
        <v>0</v>
      </c>
      <c r="AA97" s="24">
        <v>0</v>
      </c>
      <c r="AC97" s="24">
        <v>0</v>
      </c>
      <c r="AE97" s="24">
        <f t="shared" si="2"/>
        <v>0</v>
      </c>
      <c r="AF97" s="24"/>
      <c r="AM97" s="24">
        <f>+'Gov Rev'!AI98-'Gov Exp'!AE97+'Gov Exp'!AI97-'Gov Exp'!AK97</f>
        <v>0</v>
      </c>
    </row>
    <row r="98" spans="1:39" s="31" customFormat="1" hidden="1">
      <c r="A98" s="15" t="s">
        <v>100</v>
      </c>
      <c r="B98" s="15"/>
      <c r="C98" s="15" t="s">
        <v>403</v>
      </c>
      <c r="D98" s="15"/>
      <c r="E98" s="24">
        <v>0</v>
      </c>
      <c r="F98" s="24"/>
      <c r="G98" s="24">
        <v>0</v>
      </c>
      <c r="H98" s="24"/>
      <c r="I98" s="24">
        <v>0</v>
      </c>
      <c r="J98" s="24"/>
      <c r="K98" s="24">
        <v>0</v>
      </c>
      <c r="L98" s="24"/>
      <c r="M98" s="24">
        <v>0</v>
      </c>
      <c r="N98" s="24"/>
      <c r="O98" s="24">
        <v>0</v>
      </c>
      <c r="P98" s="24"/>
      <c r="Q98" s="24">
        <v>0</v>
      </c>
      <c r="R98" s="24"/>
      <c r="S98" s="24">
        <v>0</v>
      </c>
      <c r="T98" s="24"/>
      <c r="U98" s="24">
        <v>0</v>
      </c>
      <c r="V98" s="24"/>
      <c r="W98" s="24">
        <v>0</v>
      </c>
      <c r="X98" s="24"/>
      <c r="Y98" s="24">
        <v>0</v>
      </c>
      <c r="Z98" s="24"/>
      <c r="AA98" s="24">
        <v>0</v>
      </c>
      <c r="AB98" s="24"/>
      <c r="AC98" s="24">
        <v>0</v>
      </c>
      <c r="AD98" s="24"/>
      <c r="AE98" s="24">
        <f t="shared" si="2"/>
        <v>0</v>
      </c>
      <c r="AF98" s="24"/>
      <c r="AG98" s="65"/>
      <c r="AH98" s="65"/>
      <c r="AI98" s="65"/>
      <c r="AJ98" s="65"/>
      <c r="AK98" s="65"/>
      <c r="AM98" s="24">
        <f>+'Gov Rev'!AI99-'Gov Exp'!AE98+'Gov Exp'!AI98-'Gov Exp'!AK98</f>
        <v>0</v>
      </c>
    </row>
    <row r="99" spans="1:39" s="31" customFormat="1" ht="12.6" hidden="1" customHeight="1">
      <c r="A99" s="15" t="s">
        <v>713</v>
      </c>
      <c r="B99" s="15"/>
      <c r="C99" s="15" t="s">
        <v>714</v>
      </c>
      <c r="D99" s="15"/>
      <c r="E99" s="24">
        <v>0</v>
      </c>
      <c r="F99" s="24"/>
      <c r="G99" s="24">
        <v>0</v>
      </c>
      <c r="H99" s="24"/>
      <c r="I99" s="24">
        <v>0</v>
      </c>
      <c r="J99" s="24"/>
      <c r="K99" s="24">
        <v>0</v>
      </c>
      <c r="L99" s="24"/>
      <c r="M99" s="24">
        <v>0</v>
      </c>
      <c r="N99" s="24"/>
      <c r="O99" s="24">
        <v>0</v>
      </c>
      <c r="P99" s="24"/>
      <c r="Q99" s="24">
        <v>0</v>
      </c>
      <c r="R99" s="24"/>
      <c r="S99" s="24">
        <v>0</v>
      </c>
      <c r="T99" s="24"/>
      <c r="U99" s="24">
        <v>0</v>
      </c>
      <c r="V99" s="24"/>
      <c r="W99" s="24">
        <v>0</v>
      </c>
      <c r="X99" s="24"/>
      <c r="Y99" s="24">
        <v>0</v>
      </c>
      <c r="Z99" s="24"/>
      <c r="AA99" s="24">
        <v>0</v>
      </c>
      <c r="AB99" s="24"/>
      <c r="AC99" s="24">
        <v>0</v>
      </c>
      <c r="AD99" s="24"/>
      <c r="AE99" s="24">
        <f t="shared" si="2"/>
        <v>0</v>
      </c>
      <c r="AF99" s="41"/>
      <c r="AG99" s="65"/>
      <c r="AH99" s="65"/>
      <c r="AI99" s="65"/>
      <c r="AJ99" s="65"/>
      <c r="AK99" s="65"/>
      <c r="AM99" s="24">
        <f>+'Gov Rev'!AI100-'Gov Exp'!AE99+'Gov Exp'!AI99-'Gov Exp'!AK99</f>
        <v>0</v>
      </c>
    </row>
    <row r="100" spans="1:39" ht="12.75" hidden="1">
      <c r="A100" s="15" t="s">
        <v>177</v>
      </c>
      <c r="C100" s="15" t="s">
        <v>806</v>
      </c>
      <c r="D100" s="28"/>
      <c r="E100" s="24">
        <v>0</v>
      </c>
      <c r="G100" s="24">
        <v>0</v>
      </c>
      <c r="I100" s="24">
        <v>0</v>
      </c>
      <c r="K100" s="24">
        <v>0</v>
      </c>
      <c r="M100" s="24">
        <v>0</v>
      </c>
      <c r="O100" s="24">
        <v>0</v>
      </c>
      <c r="Q100" s="24">
        <v>0</v>
      </c>
      <c r="S100" s="24">
        <v>0</v>
      </c>
      <c r="U100" s="24">
        <v>0</v>
      </c>
      <c r="W100" s="24">
        <v>0</v>
      </c>
      <c r="Y100" s="24">
        <v>0</v>
      </c>
      <c r="AA100" s="24">
        <v>0</v>
      </c>
      <c r="AC100" s="24">
        <v>0</v>
      </c>
      <c r="AE100" s="24">
        <f t="shared" si="2"/>
        <v>0</v>
      </c>
      <c r="AF100" s="24"/>
      <c r="AM100" s="24">
        <f>+'Gov Rev'!AI101-'Gov Exp'!AE100+'Gov Exp'!AI100-'Gov Exp'!AK100</f>
        <v>0</v>
      </c>
    </row>
    <row r="101" spans="1:39" ht="12.75" hidden="1">
      <c r="A101" s="15" t="s">
        <v>147</v>
      </c>
      <c r="C101" s="15" t="s">
        <v>796</v>
      </c>
      <c r="D101" s="28"/>
      <c r="E101" s="24">
        <v>0</v>
      </c>
      <c r="G101" s="24">
        <v>0</v>
      </c>
      <c r="I101" s="24">
        <v>0</v>
      </c>
      <c r="K101" s="24">
        <v>0</v>
      </c>
      <c r="M101" s="24">
        <v>0</v>
      </c>
      <c r="O101" s="24">
        <v>0</v>
      </c>
      <c r="Q101" s="24">
        <v>0</v>
      </c>
      <c r="S101" s="24">
        <v>0</v>
      </c>
      <c r="U101" s="24">
        <v>0</v>
      </c>
      <c r="W101" s="24">
        <v>0</v>
      </c>
      <c r="Y101" s="24">
        <v>0</v>
      </c>
      <c r="AA101" s="24">
        <v>0</v>
      </c>
      <c r="AC101" s="24">
        <v>0</v>
      </c>
      <c r="AE101" s="24">
        <f t="shared" si="2"/>
        <v>0</v>
      </c>
      <c r="AF101" s="24"/>
      <c r="AM101" s="24">
        <f>+'Gov Rev'!AI102-'Gov Exp'!AE101+'Gov Exp'!AI101-'Gov Exp'!AK101</f>
        <v>0</v>
      </c>
    </row>
    <row r="102" spans="1:39" ht="12.75" hidden="1">
      <c r="A102" s="15" t="s">
        <v>198</v>
      </c>
      <c r="C102" s="15" t="s">
        <v>812</v>
      </c>
      <c r="D102" s="28"/>
      <c r="E102" s="24">
        <v>0</v>
      </c>
      <c r="G102" s="24">
        <v>0</v>
      </c>
      <c r="I102" s="24">
        <v>0</v>
      </c>
      <c r="K102" s="24">
        <v>0</v>
      </c>
      <c r="M102" s="24">
        <v>0</v>
      </c>
      <c r="O102" s="24">
        <v>0</v>
      </c>
      <c r="Q102" s="24">
        <v>0</v>
      </c>
      <c r="S102" s="24">
        <v>0</v>
      </c>
      <c r="U102" s="24">
        <v>0</v>
      </c>
      <c r="W102" s="24">
        <v>0</v>
      </c>
      <c r="Y102" s="24">
        <v>0</v>
      </c>
      <c r="AA102" s="24">
        <v>0</v>
      </c>
      <c r="AC102" s="24">
        <v>0</v>
      </c>
      <c r="AE102" s="24">
        <f t="shared" si="2"/>
        <v>0</v>
      </c>
      <c r="AF102" s="24"/>
      <c r="AM102" s="24">
        <f>+'Gov Rev'!AI103-'Gov Exp'!AE102+'Gov Exp'!AI102-'Gov Exp'!AK102</f>
        <v>0</v>
      </c>
    </row>
    <row r="103" spans="1:39" ht="12.6" customHeight="1">
      <c r="A103" s="15" t="s">
        <v>352</v>
      </c>
      <c r="C103" s="15" t="s">
        <v>353</v>
      </c>
      <c r="E103" s="24">
        <v>896463</v>
      </c>
      <c r="G103" s="24">
        <v>58173</v>
      </c>
      <c r="I103" s="24">
        <f>151677+240679</f>
        <v>392356</v>
      </c>
      <c r="K103" s="24">
        <v>607354</v>
      </c>
      <c r="M103" s="24">
        <v>618658</v>
      </c>
      <c r="O103" s="24">
        <v>1037025</v>
      </c>
      <c r="Q103" s="24">
        <v>1626516</v>
      </c>
      <c r="S103" s="24">
        <f>246607+1139923</f>
        <v>1386530</v>
      </c>
      <c r="U103" s="24">
        <f>2500000+533385+3433142</f>
        <v>6466527</v>
      </c>
      <c r="W103" s="24">
        <f>105955+241389+147617+9239</f>
        <v>504200</v>
      </c>
      <c r="Y103" s="24">
        <v>1340882</v>
      </c>
      <c r="AA103" s="24">
        <v>0</v>
      </c>
      <c r="AC103" s="24">
        <v>0</v>
      </c>
      <c r="AE103" s="24">
        <f t="shared" si="2"/>
        <v>14934684</v>
      </c>
      <c r="AF103" s="24"/>
      <c r="AG103" s="64">
        <f>-294656+5360+18813</f>
        <v>-270483</v>
      </c>
      <c r="AI103" s="64">
        <f>2879996+-4144+499221</f>
        <v>3375073</v>
      </c>
      <c r="AK103" s="64">
        <f>2585340+1216+518034</f>
        <v>3104590</v>
      </c>
      <c r="AM103" s="24">
        <f>+'Gov Rev'!AI104-'Gov Exp'!AE103+'Gov Exp'!AI103-'Gov Exp'!AK103</f>
        <v>0</v>
      </c>
    </row>
    <row r="104" spans="1:39" ht="12.75" hidden="1">
      <c r="A104" s="15" t="s">
        <v>170</v>
      </c>
      <c r="C104" s="15" t="s">
        <v>804</v>
      </c>
      <c r="D104" s="28"/>
      <c r="E104" s="24">
        <v>0</v>
      </c>
      <c r="G104" s="24">
        <v>0</v>
      </c>
      <c r="I104" s="24">
        <v>0</v>
      </c>
      <c r="K104" s="24">
        <v>0</v>
      </c>
      <c r="M104" s="24">
        <v>0</v>
      </c>
      <c r="O104" s="24">
        <v>0</v>
      </c>
      <c r="Q104" s="24">
        <v>0</v>
      </c>
      <c r="S104" s="24">
        <v>0</v>
      </c>
      <c r="U104" s="24">
        <v>0</v>
      </c>
      <c r="W104" s="24">
        <v>0</v>
      </c>
      <c r="Y104" s="24">
        <v>0</v>
      </c>
      <c r="AA104" s="24">
        <v>0</v>
      </c>
      <c r="AC104" s="24">
        <v>0</v>
      </c>
      <c r="AE104" s="24">
        <f t="shared" si="2"/>
        <v>0</v>
      </c>
      <c r="AF104" s="24"/>
      <c r="AM104" s="24">
        <f>+'Gov Rev'!AI105-'Gov Exp'!AE104+'Gov Exp'!AI104-'Gov Exp'!AK104</f>
        <v>0</v>
      </c>
    </row>
    <row r="105" spans="1:39">
      <c r="A105" s="15" t="s">
        <v>613</v>
      </c>
      <c r="C105" s="15" t="s">
        <v>614</v>
      </c>
      <c r="E105" s="24">
        <f>821512+1951</f>
        <v>823463</v>
      </c>
      <c r="G105" s="24">
        <f>9886+37326</f>
        <v>47212</v>
      </c>
      <c r="I105" s="24">
        <v>140190</v>
      </c>
      <c r="K105" s="24">
        <v>46925</v>
      </c>
      <c r="M105" s="24">
        <v>27439</v>
      </c>
      <c r="O105" s="24">
        <f>72687+116764</f>
        <v>189451</v>
      </c>
      <c r="Q105" s="24">
        <v>535756</v>
      </c>
      <c r="S105" s="24">
        <f>508010+53562</f>
        <v>561572</v>
      </c>
      <c r="U105" s="24">
        <f>45000+21404</f>
        <v>66404</v>
      </c>
      <c r="W105" s="24">
        <f>18730+1008</f>
        <v>19738</v>
      </c>
      <c r="Y105" s="24">
        <f>304918+533581</f>
        <v>838499</v>
      </c>
      <c r="AA105" s="24">
        <v>0</v>
      </c>
      <c r="AC105" s="24">
        <v>0</v>
      </c>
      <c r="AE105" s="24">
        <f t="shared" si="2"/>
        <v>3296649</v>
      </c>
      <c r="AF105" s="24"/>
      <c r="AG105" s="64">
        <f>-123677-508010-299279</f>
        <v>-930966</v>
      </c>
      <c r="AI105" s="64">
        <f>846606+518297+939756</f>
        <v>2304659</v>
      </c>
      <c r="AK105" s="64">
        <f>722929+10287+640477</f>
        <v>1373693</v>
      </c>
      <c r="AM105" s="24">
        <f>+'Gov Rev'!AI106-'Gov Exp'!AE105+'Gov Exp'!AI105-'Gov Exp'!AK105</f>
        <v>0</v>
      </c>
    </row>
    <row r="106" spans="1:39" ht="12.6" hidden="1" customHeight="1">
      <c r="A106" s="15" t="s">
        <v>62</v>
      </c>
      <c r="C106" s="15" t="s">
        <v>771</v>
      </c>
      <c r="D106" s="28"/>
      <c r="E106" s="24">
        <v>0</v>
      </c>
      <c r="G106" s="24">
        <v>0</v>
      </c>
      <c r="I106" s="24">
        <v>0</v>
      </c>
      <c r="K106" s="24">
        <v>0</v>
      </c>
      <c r="M106" s="24">
        <v>0</v>
      </c>
      <c r="O106" s="24">
        <v>0</v>
      </c>
      <c r="Q106" s="24">
        <v>0</v>
      </c>
      <c r="S106" s="24">
        <v>0</v>
      </c>
      <c r="U106" s="24">
        <v>0</v>
      </c>
      <c r="W106" s="24">
        <v>0</v>
      </c>
      <c r="Y106" s="24">
        <v>0</v>
      </c>
      <c r="AA106" s="24">
        <v>0</v>
      </c>
      <c r="AC106" s="24">
        <v>0</v>
      </c>
      <c r="AE106" s="24">
        <f t="shared" ref="AE106:AE140" si="3">SUM(E106:AC106)</f>
        <v>0</v>
      </c>
      <c r="AF106" s="24"/>
      <c r="AM106" s="24">
        <f>+'Gov Rev'!AI107-'Gov Exp'!AE106+'Gov Exp'!AI106-'Gov Exp'!AK106</f>
        <v>0</v>
      </c>
    </row>
    <row r="107" spans="1:39" ht="12.6" customHeight="1">
      <c r="A107" s="15" t="s">
        <v>285</v>
      </c>
      <c r="C107" s="15" t="s">
        <v>62</v>
      </c>
      <c r="E107" s="24">
        <f>501542+91351+42800</f>
        <v>635693</v>
      </c>
      <c r="G107" s="24">
        <v>19982</v>
      </c>
      <c r="I107" s="24">
        <f>4070+597</f>
        <v>4667</v>
      </c>
      <c r="K107" s="24">
        <v>5738</v>
      </c>
      <c r="M107" s="24">
        <v>0</v>
      </c>
      <c r="O107" s="24">
        <f>145834+119880+10673</f>
        <v>276387</v>
      </c>
      <c r="Q107" s="24">
        <f>300144+26035</f>
        <v>326179</v>
      </c>
      <c r="S107" s="24">
        <f>164585+25307+24799+1136</f>
        <v>215827</v>
      </c>
      <c r="U107" s="24">
        <f>45410+16447+30348+5516-1</f>
        <v>97720</v>
      </c>
      <c r="W107" s="24">
        <v>0</v>
      </c>
      <c r="Y107" s="24">
        <v>800000</v>
      </c>
      <c r="AA107" s="24">
        <v>0</v>
      </c>
      <c r="AC107" s="24">
        <v>16421</v>
      </c>
      <c r="AE107" s="24">
        <f t="shared" si="3"/>
        <v>2398614</v>
      </c>
      <c r="AF107" s="24"/>
      <c r="AG107" s="64">
        <f>67145-7871+16330+3187-41622+25000+63961</f>
        <v>126130</v>
      </c>
      <c r="AI107" s="64">
        <f>145361+46874+75722+31315+145566+240990+28536</f>
        <v>714364</v>
      </c>
      <c r="AK107" s="64">
        <f>212507+39004+92052+34501+103944+265990+92496</f>
        <v>840494</v>
      </c>
      <c r="AM107" s="24">
        <f>+'Gov Rev'!AI108-'Gov Exp'!AE107+'Gov Exp'!AI107-'Gov Exp'!AK107</f>
        <v>0</v>
      </c>
    </row>
    <row r="108" spans="1:39" ht="12.75" hidden="1">
      <c r="A108" s="15" t="s">
        <v>60</v>
      </c>
      <c r="C108" s="15" t="s">
        <v>770</v>
      </c>
      <c r="D108" s="28"/>
      <c r="E108" s="24">
        <v>0</v>
      </c>
      <c r="G108" s="24">
        <v>0</v>
      </c>
      <c r="I108" s="24">
        <v>0</v>
      </c>
      <c r="K108" s="24">
        <v>0</v>
      </c>
      <c r="M108" s="24">
        <v>0</v>
      </c>
      <c r="O108" s="24">
        <v>0</v>
      </c>
      <c r="Q108" s="24">
        <v>0</v>
      </c>
      <c r="S108" s="24">
        <v>0</v>
      </c>
      <c r="U108" s="24">
        <v>0</v>
      </c>
      <c r="W108" s="24">
        <v>0</v>
      </c>
      <c r="Y108" s="24">
        <v>0</v>
      </c>
      <c r="AA108" s="24">
        <v>0</v>
      </c>
      <c r="AC108" s="24">
        <v>0</v>
      </c>
      <c r="AE108" s="24">
        <f t="shared" si="3"/>
        <v>0</v>
      </c>
      <c r="AF108" s="24"/>
      <c r="AM108" s="24">
        <f>+'Gov Rev'!AI109-'Gov Exp'!AE108+'Gov Exp'!AI108-'Gov Exp'!AK108</f>
        <v>0</v>
      </c>
    </row>
    <row r="109" spans="1:39" ht="12.75" hidden="1">
      <c r="A109" s="15" t="s">
        <v>51</v>
      </c>
      <c r="C109" s="15" t="s">
        <v>767</v>
      </c>
      <c r="D109" s="28"/>
      <c r="E109" s="24">
        <v>0</v>
      </c>
      <c r="G109" s="24">
        <v>0</v>
      </c>
      <c r="I109" s="24">
        <v>0</v>
      </c>
      <c r="K109" s="24">
        <v>0</v>
      </c>
      <c r="M109" s="24">
        <v>0</v>
      </c>
      <c r="O109" s="24">
        <v>0</v>
      </c>
      <c r="Q109" s="24">
        <v>0</v>
      </c>
      <c r="S109" s="24">
        <v>0</v>
      </c>
      <c r="U109" s="24">
        <v>0</v>
      </c>
      <c r="W109" s="24">
        <v>0</v>
      </c>
      <c r="Y109" s="24">
        <v>0</v>
      </c>
      <c r="AA109" s="24">
        <v>0</v>
      </c>
      <c r="AC109" s="24">
        <v>0</v>
      </c>
      <c r="AE109" s="24">
        <f t="shared" si="3"/>
        <v>0</v>
      </c>
      <c r="AF109" s="24"/>
      <c r="AM109" s="24">
        <f>+'Gov Rev'!AI110-'Gov Exp'!AE109+'Gov Exp'!AI109-'Gov Exp'!AK109</f>
        <v>0</v>
      </c>
    </row>
    <row r="110" spans="1:39" ht="12.75" hidden="1">
      <c r="A110" s="15" t="s">
        <v>34</v>
      </c>
      <c r="C110" s="15" t="s">
        <v>760</v>
      </c>
      <c r="D110" s="28"/>
      <c r="E110" s="24">
        <v>0</v>
      </c>
      <c r="G110" s="24">
        <v>0</v>
      </c>
      <c r="I110" s="24">
        <v>0</v>
      </c>
      <c r="K110" s="24">
        <v>0</v>
      </c>
      <c r="M110" s="24">
        <v>0</v>
      </c>
      <c r="O110" s="24">
        <v>0</v>
      </c>
      <c r="Q110" s="24">
        <v>0</v>
      </c>
      <c r="S110" s="24">
        <v>0</v>
      </c>
      <c r="U110" s="24">
        <v>0</v>
      </c>
      <c r="W110" s="24">
        <v>0</v>
      </c>
      <c r="Y110" s="24">
        <v>0</v>
      </c>
      <c r="AA110" s="24">
        <v>0</v>
      </c>
      <c r="AC110" s="24">
        <v>0</v>
      </c>
      <c r="AE110" s="24">
        <f t="shared" si="3"/>
        <v>0</v>
      </c>
      <c r="AF110" s="24"/>
      <c r="AM110" s="24">
        <f>+'Gov Rev'!AI111-'Gov Exp'!AE110+'Gov Exp'!AI110-'Gov Exp'!AK110</f>
        <v>0</v>
      </c>
    </row>
    <row r="111" spans="1:39" s="24" customFormat="1" ht="12.75" hidden="1">
      <c r="A111" s="24" t="s">
        <v>182</v>
      </c>
      <c r="C111" s="24" t="s">
        <v>808</v>
      </c>
      <c r="D111" s="85"/>
      <c r="E111" s="24">
        <v>0</v>
      </c>
      <c r="G111" s="24">
        <v>0</v>
      </c>
      <c r="I111" s="24">
        <v>0</v>
      </c>
      <c r="K111" s="24">
        <v>0</v>
      </c>
      <c r="M111" s="24">
        <v>0</v>
      </c>
      <c r="O111" s="24">
        <v>0</v>
      </c>
      <c r="Q111" s="24">
        <v>0</v>
      </c>
      <c r="S111" s="24">
        <v>0</v>
      </c>
      <c r="U111" s="24">
        <v>0</v>
      </c>
      <c r="W111" s="24">
        <v>0</v>
      </c>
      <c r="Y111" s="24">
        <v>0</v>
      </c>
      <c r="AA111" s="24">
        <v>0</v>
      </c>
      <c r="AC111" s="24">
        <v>0</v>
      </c>
      <c r="AE111" s="24">
        <f t="shared" si="3"/>
        <v>0</v>
      </c>
      <c r="AG111" s="64"/>
      <c r="AH111" s="64"/>
      <c r="AI111" s="64"/>
      <c r="AJ111" s="64"/>
      <c r="AK111" s="64"/>
      <c r="AM111" s="24">
        <f>+'Gov Rev'!AI112-'Gov Exp'!AE111+'Gov Exp'!AI111-'Gov Exp'!AK111</f>
        <v>0</v>
      </c>
    </row>
    <row r="112" spans="1:39">
      <c r="A112" s="15" t="s">
        <v>370</v>
      </c>
      <c r="C112" s="15" t="s">
        <v>371</v>
      </c>
      <c r="E112" s="24">
        <f>32890+318235</f>
        <v>351125</v>
      </c>
      <c r="G112" s="24">
        <v>2317</v>
      </c>
      <c r="I112" s="24">
        <f>14999+11372</f>
        <v>26371</v>
      </c>
      <c r="K112" s="24">
        <v>4756</v>
      </c>
      <c r="M112" s="24">
        <v>0</v>
      </c>
      <c r="O112" s="24">
        <f>27010+67487</f>
        <v>94497</v>
      </c>
      <c r="Q112" s="24">
        <v>358251</v>
      </c>
      <c r="S112" s="24">
        <v>0</v>
      </c>
      <c r="U112" s="24">
        <v>0</v>
      </c>
      <c r="W112" s="24">
        <v>0</v>
      </c>
      <c r="Y112" s="24">
        <f>330200+3839</f>
        <v>334039</v>
      </c>
      <c r="AA112" s="24">
        <v>0</v>
      </c>
      <c r="AC112" s="24">
        <v>0</v>
      </c>
      <c r="AE112" s="24">
        <f t="shared" si="3"/>
        <v>1171356</v>
      </c>
      <c r="AF112" s="24"/>
      <c r="AG112" s="64">
        <f>48716+39501</f>
        <v>88217</v>
      </c>
      <c r="AI112" s="64">
        <f>309523+93358</f>
        <v>402881</v>
      </c>
      <c r="AK112" s="64">
        <f>358239+132859</f>
        <v>491098</v>
      </c>
      <c r="AM112" s="24">
        <f>+'Gov Rev'!AI113-'Gov Exp'!AE112+'Gov Exp'!AI112-'Gov Exp'!AK112</f>
        <v>0</v>
      </c>
    </row>
    <row r="113" spans="1:39" ht="12.75" hidden="1">
      <c r="A113" s="15" t="s">
        <v>121</v>
      </c>
      <c r="C113" s="15" t="s">
        <v>787</v>
      </c>
      <c r="D113" s="28"/>
      <c r="E113" s="24">
        <v>0</v>
      </c>
      <c r="G113" s="24">
        <v>0</v>
      </c>
      <c r="I113" s="24">
        <v>0</v>
      </c>
      <c r="K113" s="24">
        <v>0</v>
      </c>
      <c r="M113" s="24">
        <v>0</v>
      </c>
      <c r="O113" s="24">
        <v>0</v>
      </c>
      <c r="Q113" s="24">
        <v>0</v>
      </c>
      <c r="S113" s="24">
        <v>0</v>
      </c>
      <c r="U113" s="24">
        <v>0</v>
      </c>
      <c r="W113" s="24">
        <v>0</v>
      </c>
      <c r="Y113" s="24">
        <v>0</v>
      </c>
      <c r="AA113" s="24">
        <v>0</v>
      </c>
      <c r="AC113" s="24">
        <v>0</v>
      </c>
      <c r="AE113" s="24">
        <f t="shared" si="3"/>
        <v>0</v>
      </c>
      <c r="AF113" s="24"/>
      <c r="AM113" s="24">
        <f>+'Gov Rev'!AI114-'Gov Exp'!AE113+'Gov Exp'!AI113-'Gov Exp'!AK113</f>
        <v>0</v>
      </c>
    </row>
    <row r="114" spans="1:39" ht="12.75" hidden="1">
      <c r="A114" s="15" t="s">
        <v>844</v>
      </c>
      <c r="C114" s="15" t="s">
        <v>775</v>
      </c>
      <c r="D114" s="28"/>
      <c r="E114" s="24">
        <v>0</v>
      </c>
      <c r="G114" s="24">
        <v>0</v>
      </c>
      <c r="I114" s="24">
        <v>0</v>
      </c>
      <c r="K114" s="24">
        <v>0</v>
      </c>
      <c r="M114" s="24">
        <v>0</v>
      </c>
      <c r="O114" s="24">
        <v>0</v>
      </c>
      <c r="Q114" s="24">
        <v>0</v>
      </c>
      <c r="S114" s="24">
        <v>0</v>
      </c>
      <c r="U114" s="24">
        <v>0</v>
      </c>
      <c r="W114" s="24">
        <v>0</v>
      </c>
      <c r="Y114" s="24">
        <v>0</v>
      </c>
      <c r="AA114" s="24">
        <v>0</v>
      </c>
      <c r="AC114" s="24">
        <v>0</v>
      </c>
      <c r="AE114" s="24">
        <f t="shared" si="3"/>
        <v>0</v>
      </c>
      <c r="AF114" s="24"/>
      <c r="AM114" s="24">
        <f>+'Gov Rev'!AI115-'Gov Exp'!AE114+'Gov Exp'!AI114-'Gov Exp'!AK114</f>
        <v>0</v>
      </c>
    </row>
    <row r="115" spans="1:39" ht="12.6" customHeight="1">
      <c r="A115" s="15" t="s">
        <v>319</v>
      </c>
      <c r="C115" s="15" t="s">
        <v>316</v>
      </c>
      <c r="E115" s="24">
        <f>2354895+86471</f>
        <v>2441366</v>
      </c>
      <c r="G115" s="24">
        <f>463922+8502</f>
        <v>472424</v>
      </c>
      <c r="I115" s="24">
        <v>83886</v>
      </c>
      <c r="K115" s="24">
        <f>195368+1419</f>
        <v>196787</v>
      </c>
      <c r="M115" s="24">
        <v>426899</v>
      </c>
      <c r="O115" s="24">
        <f>22846+793039</f>
        <v>815885</v>
      </c>
      <c r="Q115" s="24">
        <f>1128743+54713</f>
        <v>1183456</v>
      </c>
      <c r="S115" s="24">
        <f>80315+131992+823959</f>
        <v>1036266</v>
      </c>
      <c r="U115" s="24">
        <f>440000+32339</f>
        <v>472339</v>
      </c>
      <c r="W115" s="24">
        <v>178851</v>
      </c>
      <c r="Y115" s="24">
        <f>130000+520000+602721</f>
        <v>1252721</v>
      </c>
      <c r="AA115" s="24">
        <v>0</v>
      </c>
      <c r="AC115" s="24">
        <f>2940+3840</f>
        <v>6780</v>
      </c>
      <c r="AE115" s="24">
        <f t="shared" si="3"/>
        <v>8567660</v>
      </c>
      <c r="AF115" s="24"/>
      <c r="AG115" s="64">
        <f>-73802-734410+3166-41759</f>
        <v>-846805</v>
      </c>
      <c r="AI115" s="64">
        <f>2279476+1497166+228349+708903</f>
        <v>4713894</v>
      </c>
      <c r="AK115" s="64">
        <f>2205674+762756+231515+667144</f>
        <v>3867089</v>
      </c>
      <c r="AM115" s="24">
        <f>+'Gov Rev'!AI116-'Gov Exp'!AE115+'Gov Exp'!AI115-'Gov Exp'!AK115</f>
        <v>0</v>
      </c>
    </row>
    <row r="116" spans="1:39" s="31" customFormat="1" ht="12.6" customHeight="1">
      <c r="A116" s="15" t="s">
        <v>311</v>
      </c>
      <c r="B116" s="15"/>
      <c r="C116" s="15" t="s">
        <v>312</v>
      </c>
      <c r="D116" s="15"/>
      <c r="E116" s="24">
        <v>3828</v>
      </c>
      <c r="F116" s="24"/>
      <c r="G116" s="24">
        <v>667</v>
      </c>
      <c r="H116" s="24"/>
      <c r="I116" s="24">
        <v>0</v>
      </c>
      <c r="J116" s="24"/>
      <c r="K116" s="24">
        <v>0</v>
      </c>
      <c r="L116" s="24"/>
      <c r="M116" s="24">
        <v>2720</v>
      </c>
      <c r="N116" s="24"/>
      <c r="O116" s="24">
        <v>1609</v>
      </c>
      <c r="P116" s="24"/>
      <c r="Q116" s="24">
        <v>16175</v>
      </c>
      <c r="R116" s="24"/>
      <c r="S116" s="24">
        <v>0</v>
      </c>
      <c r="T116" s="24"/>
      <c r="U116" s="24">
        <v>0</v>
      </c>
      <c r="V116" s="24"/>
      <c r="W116" s="24">
        <v>0</v>
      </c>
      <c r="X116" s="24"/>
      <c r="Y116" s="24">
        <v>0</v>
      </c>
      <c r="Z116" s="24"/>
      <c r="AA116" s="24">
        <v>0</v>
      </c>
      <c r="AB116" s="24"/>
      <c r="AC116" s="24">
        <v>0</v>
      </c>
      <c r="AD116" s="24"/>
      <c r="AE116" s="24">
        <f t="shared" si="3"/>
        <v>24999</v>
      </c>
      <c r="AF116" s="24"/>
      <c r="AG116" s="65">
        <f>-7906+3238</f>
        <v>-4668</v>
      </c>
      <c r="AH116" s="65"/>
      <c r="AI116" s="65">
        <f>41150+39848</f>
        <v>80998</v>
      </c>
      <c r="AJ116" s="65"/>
      <c r="AK116" s="65">
        <f>33244+43086</f>
        <v>76330</v>
      </c>
      <c r="AM116" s="24">
        <f>+'Gov Rev'!AI117-'Gov Exp'!AE116+'Gov Exp'!AI116-'Gov Exp'!AK116</f>
        <v>0</v>
      </c>
    </row>
    <row r="117" spans="1:39" ht="12.6" hidden="1" customHeight="1">
      <c r="A117" s="15" t="s">
        <v>273</v>
      </c>
      <c r="C117" s="15" t="s">
        <v>271</v>
      </c>
      <c r="E117" s="24">
        <v>0</v>
      </c>
      <c r="G117" s="24">
        <v>0</v>
      </c>
      <c r="I117" s="24">
        <v>0</v>
      </c>
      <c r="K117" s="24">
        <v>0</v>
      </c>
      <c r="M117" s="24">
        <v>0</v>
      </c>
      <c r="O117" s="24">
        <v>0</v>
      </c>
      <c r="Q117" s="24">
        <v>0</v>
      </c>
      <c r="S117" s="24">
        <v>0</v>
      </c>
      <c r="U117" s="24">
        <v>0</v>
      </c>
      <c r="W117" s="24">
        <v>0</v>
      </c>
      <c r="Y117" s="24">
        <v>0</v>
      </c>
      <c r="AA117" s="24">
        <v>0</v>
      </c>
      <c r="AC117" s="24">
        <v>0</v>
      </c>
      <c r="AE117" s="24">
        <f t="shared" si="3"/>
        <v>0</v>
      </c>
      <c r="AF117" s="24"/>
      <c r="AM117" s="24">
        <f>+'Gov Rev'!AI118-'Gov Exp'!AE117+'Gov Exp'!AI117-'Gov Exp'!AK117</f>
        <v>0</v>
      </c>
    </row>
    <row r="118" spans="1:39" s="31" customFormat="1" ht="12.75" hidden="1">
      <c r="A118" s="15" t="s">
        <v>666</v>
      </c>
      <c r="B118" s="15"/>
      <c r="C118" s="15" t="s">
        <v>667</v>
      </c>
      <c r="D118" s="28"/>
      <c r="E118" s="24">
        <v>0</v>
      </c>
      <c r="F118" s="24"/>
      <c r="G118" s="24">
        <v>0</v>
      </c>
      <c r="H118" s="24"/>
      <c r="I118" s="24">
        <v>0</v>
      </c>
      <c r="J118" s="24"/>
      <c r="K118" s="24">
        <v>0</v>
      </c>
      <c r="L118" s="24"/>
      <c r="M118" s="24">
        <v>0</v>
      </c>
      <c r="N118" s="24"/>
      <c r="O118" s="24">
        <v>0</v>
      </c>
      <c r="P118" s="24"/>
      <c r="Q118" s="24">
        <v>0</v>
      </c>
      <c r="R118" s="24"/>
      <c r="S118" s="24">
        <v>0</v>
      </c>
      <c r="T118" s="24"/>
      <c r="U118" s="24">
        <v>0</v>
      </c>
      <c r="V118" s="24"/>
      <c r="W118" s="24">
        <v>0</v>
      </c>
      <c r="X118" s="24"/>
      <c r="Y118" s="24">
        <v>0</v>
      </c>
      <c r="Z118" s="24"/>
      <c r="AA118" s="24">
        <v>0</v>
      </c>
      <c r="AB118" s="24"/>
      <c r="AC118" s="24">
        <v>0</v>
      </c>
      <c r="AD118" s="94"/>
      <c r="AE118" s="24">
        <f t="shared" si="3"/>
        <v>0</v>
      </c>
      <c r="AF118" s="24"/>
      <c r="AG118" s="65"/>
      <c r="AH118" s="65"/>
      <c r="AI118" s="65"/>
      <c r="AJ118" s="65"/>
      <c r="AK118" s="65"/>
      <c r="AM118" s="24">
        <f>+'Gov Rev'!AI119-'Gov Exp'!AE118+'Gov Exp'!AI118-'Gov Exp'!AK118</f>
        <v>0</v>
      </c>
    </row>
    <row r="119" spans="1:39" s="31" customFormat="1" hidden="1">
      <c r="A119" s="15" t="s">
        <v>436</v>
      </c>
      <c r="B119" s="15"/>
      <c r="C119" s="15" t="s">
        <v>437</v>
      </c>
      <c r="D119" s="15"/>
      <c r="E119" s="24">
        <v>0</v>
      </c>
      <c r="F119" s="24"/>
      <c r="G119" s="24">
        <v>0</v>
      </c>
      <c r="H119" s="24"/>
      <c r="I119" s="24">
        <v>0</v>
      </c>
      <c r="J119" s="24"/>
      <c r="K119" s="24">
        <v>0</v>
      </c>
      <c r="L119" s="24"/>
      <c r="M119" s="24">
        <v>0</v>
      </c>
      <c r="N119" s="24"/>
      <c r="O119" s="24">
        <v>0</v>
      </c>
      <c r="P119" s="24"/>
      <c r="Q119" s="24">
        <v>0</v>
      </c>
      <c r="R119" s="24"/>
      <c r="S119" s="24">
        <v>0</v>
      </c>
      <c r="T119" s="24"/>
      <c r="U119" s="24">
        <v>0</v>
      </c>
      <c r="V119" s="24"/>
      <c r="W119" s="24">
        <v>0</v>
      </c>
      <c r="X119" s="24"/>
      <c r="Y119" s="24">
        <v>0</v>
      </c>
      <c r="Z119" s="24"/>
      <c r="AA119" s="24">
        <v>0</v>
      </c>
      <c r="AB119" s="24"/>
      <c r="AC119" s="24">
        <v>0</v>
      </c>
      <c r="AD119" s="24"/>
      <c r="AE119" s="24">
        <f t="shared" si="3"/>
        <v>0</v>
      </c>
      <c r="AF119" s="24"/>
      <c r="AG119" s="65"/>
      <c r="AH119" s="65"/>
      <c r="AI119" s="65"/>
      <c r="AJ119" s="65"/>
      <c r="AK119" s="65"/>
      <c r="AM119" s="24">
        <f>+'Gov Rev'!AI120-'Gov Exp'!AE119+'Gov Exp'!AI119-'Gov Exp'!AK119</f>
        <v>0</v>
      </c>
    </row>
    <row r="120" spans="1:39" s="31" customFormat="1" ht="12.75" hidden="1">
      <c r="A120" s="15" t="s">
        <v>79</v>
      </c>
      <c r="B120" s="15"/>
      <c r="C120" s="15" t="s">
        <v>775</v>
      </c>
      <c r="D120" s="28"/>
      <c r="E120" s="24">
        <v>0</v>
      </c>
      <c r="F120" s="24"/>
      <c r="G120" s="24">
        <v>0</v>
      </c>
      <c r="H120" s="24"/>
      <c r="I120" s="24">
        <v>0</v>
      </c>
      <c r="J120" s="24"/>
      <c r="K120" s="24">
        <v>0</v>
      </c>
      <c r="L120" s="24"/>
      <c r="M120" s="24">
        <v>0</v>
      </c>
      <c r="N120" s="24"/>
      <c r="O120" s="24">
        <v>0</v>
      </c>
      <c r="P120" s="24"/>
      <c r="Q120" s="24">
        <v>0</v>
      </c>
      <c r="R120" s="24"/>
      <c r="S120" s="24">
        <v>0</v>
      </c>
      <c r="T120" s="24"/>
      <c r="U120" s="24">
        <v>0</v>
      </c>
      <c r="V120" s="24"/>
      <c r="W120" s="24">
        <v>0</v>
      </c>
      <c r="X120" s="24"/>
      <c r="Y120" s="24">
        <v>0</v>
      </c>
      <c r="Z120" s="24"/>
      <c r="AA120" s="24">
        <v>0</v>
      </c>
      <c r="AB120" s="24"/>
      <c r="AC120" s="24">
        <v>0</v>
      </c>
      <c r="AD120" s="24"/>
      <c r="AE120" s="24">
        <f t="shared" si="3"/>
        <v>0</v>
      </c>
      <c r="AF120" s="24"/>
      <c r="AG120" s="65"/>
      <c r="AH120" s="65"/>
      <c r="AI120" s="65"/>
      <c r="AJ120" s="65"/>
      <c r="AK120" s="65"/>
      <c r="AM120" s="24">
        <f>+'Gov Rev'!AI121-'Gov Exp'!AE120+'Gov Exp'!AI120-'Gov Exp'!AK120</f>
        <v>0</v>
      </c>
    </row>
    <row r="121" spans="1:39" ht="12.75">
      <c r="A121" s="15" t="s">
        <v>904</v>
      </c>
      <c r="C121" s="15" t="s">
        <v>905</v>
      </c>
      <c r="D121" s="28"/>
      <c r="E121" s="24">
        <f>4410+7212</f>
        <v>11622</v>
      </c>
      <c r="G121" s="24">
        <v>0</v>
      </c>
      <c r="I121" s="24">
        <f>4974+6354-1</f>
        <v>11327</v>
      </c>
      <c r="K121" s="24">
        <v>0</v>
      </c>
      <c r="M121" s="24">
        <f>24605+2571</f>
        <v>27176</v>
      </c>
      <c r="O121" s="24">
        <f>13998+40-1</f>
        <v>14037</v>
      </c>
      <c r="Q121" s="24">
        <v>17808</v>
      </c>
      <c r="S121" s="24">
        <v>0</v>
      </c>
      <c r="U121" s="24">
        <v>0</v>
      </c>
      <c r="W121" s="24">
        <v>0</v>
      </c>
      <c r="Y121" s="24">
        <v>1500</v>
      </c>
      <c r="AA121" s="24">
        <v>0</v>
      </c>
      <c r="AC121" s="24">
        <v>10692</v>
      </c>
      <c r="AE121" s="24">
        <f t="shared" si="3"/>
        <v>94162</v>
      </c>
      <c r="AF121" s="24"/>
      <c r="AG121" s="64">
        <f>-8398-5835</f>
        <v>-14233</v>
      </c>
      <c r="AI121" s="64">
        <f>10633+13153</f>
        <v>23786</v>
      </c>
      <c r="AK121" s="64">
        <f>2235+6946+374</f>
        <v>9555</v>
      </c>
      <c r="AM121" s="24">
        <f>+'Gov Rev'!AI122-'Gov Exp'!AE121+'Gov Exp'!AI121-'Gov Exp'!AK121</f>
        <v>0</v>
      </c>
    </row>
    <row r="122" spans="1:39" ht="12.75" hidden="1">
      <c r="A122" s="15" t="s">
        <v>171</v>
      </c>
      <c r="C122" s="15" t="s">
        <v>804</v>
      </c>
      <c r="D122" s="28"/>
      <c r="E122" s="24">
        <v>0</v>
      </c>
      <c r="G122" s="24">
        <v>0</v>
      </c>
      <c r="I122" s="24">
        <v>0</v>
      </c>
      <c r="K122" s="24">
        <v>0</v>
      </c>
      <c r="M122" s="24">
        <v>0</v>
      </c>
      <c r="O122" s="24">
        <v>0</v>
      </c>
      <c r="Q122" s="24">
        <v>0</v>
      </c>
      <c r="S122" s="24">
        <v>0</v>
      </c>
      <c r="U122" s="24">
        <v>0</v>
      </c>
      <c r="W122" s="24">
        <v>0</v>
      </c>
      <c r="Y122" s="24">
        <v>0</v>
      </c>
      <c r="AA122" s="24">
        <v>0</v>
      </c>
      <c r="AC122" s="24">
        <v>0</v>
      </c>
      <c r="AE122" s="24">
        <f t="shared" si="3"/>
        <v>0</v>
      </c>
      <c r="AF122" s="24"/>
      <c r="AM122" s="24">
        <f>+'Gov Rev'!AI123-'Gov Exp'!AE122+'Gov Exp'!AI122-'Gov Exp'!AK122</f>
        <v>0</v>
      </c>
    </row>
    <row r="123" spans="1:39" ht="12.75" hidden="1">
      <c r="A123" s="15" t="s">
        <v>856</v>
      </c>
      <c r="C123" s="15" t="s">
        <v>799</v>
      </c>
      <c r="D123" s="28"/>
      <c r="E123" s="24">
        <v>0</v>
      </c>
      <c r="G123" s="24">
        <v>0</v>
      </c>
      <c r="I123" s="24">
        <v>0</v>
      </c>
      <c r="K123" s="24">
        <v>0</v>
      </c>
      <c r="M123" s="24">
        <v>0</v>
      </c>
      <c r="O123" s="24">
        <v>0</v>
      </c>
      <c r="Q123" s="24">
        <v>0</v>
      </c>
      <c r="S123" s="24">
        <v>0</v>
      </c>
      <c r="U123" s="24">
        <v>0</v>
      </c>
      <c r="W123" s="24">
        <v>0</v>
      </c>
      <c r="Y123" s="24">
        <v>0</v>
      </c>
      <c r="AA123" s="24">
        <v>0</v>
      </c>
      <c r="AC123" s="24">
        <v>0</v>
      </c>
      <c r="AE123" s="24">
        <f t="shared" si="3"/>
        <v>0</v>
      </c>
      <c r="AF123" s="24"/>
      <c r="AM123" s="24">
        <f>+'Gov Rev'!AI124-'Gov Exp'!AE123+'Gov Exp'!AI123-'Gov Exp'!AK123</f>
        <v>0</v>
      </c>
    </row>
    <row r="124" spans="1:39" ht="12.75">
      <c r="A124" s="15" t="s">
        <v>906</v>
      </c>
      <c r="C124" s="15" t="s">
        <v>295</v>
      </c>
      <c r="D124" s="28"/>
      <c r="E124" s="24">
        <v>4093</v>
      </c>
      <c r="G124" s="24">
        <v>0</v>
      </c>
      <c r="I124" s="24">
        <v>124</v>
      </c>
      <c r="K124" s="24">
        <v>0</v>
      </c>
      <c r="M124" s="24">
        <v>8308</v>
      </c>
      <c r="O124" s="24">
        <f>160+15000</f>
        <v>15160</v>
      </c>
      <c r="Q124" s="24">
        <v>16020</v>
      </c>
      <c r="S124" s="24">
        <v>0</v>
      </c>
      <c r="U124" s="24">
        <v>0</v>
      </c>
      <c r="W124" s="24">
        <v>0</v>
      </c>
      <c r="Y124" s="24">
        <v>0</v>
      </c>
      <c r="AA124" s="24">
        <v>0</v>
      </c>
      <c r="AC124" s="24">
        <v>0</v>
      </c>
      <c r="AE124" s="24">
        <f t="shared" si="3"/>
        <v>43705</v>
      </c>
      <c r="AF124" s="24"/>
      <c r="AG124" s="64">
        <f>-5266-9749</f>
        <v>-15015</v>
      </c>
      <c r="AI124" s="64">
        <f>12342+29061</f>
        <v>41403</v>
      </c>
      <c r="AK124" s="64">
        <f>7076+19312</f>
        <v>26388</v>
      </c>
      <c r="AM124" s="24">
        <f>+'Gov Rev'!AI125-'Gov Exp'!AE124+'Gov Exp'!AI124-'Gov Exp'!AK124</f>
        <v>0</v>
      </c>
    </row>
    <row r="125" spans="1:39" ht="12.75" hidden="1">
      <c r="A125" s="15" t="s">
        <v>152</v>
      </c>
      <c r="C125" s="15" t="s">
        <v>797</v>
      </c>
      <c r="D125" s="28"/>
      <c r="E125" s="24">
        <v>0</v>
      </c>
      <c r="G125" s="24">
        <v>0</v>
      </c>
      <c r="I125" s="24">
        <v>0</v>
      </c>
      <c r="K125" s="24">
        <v>0</v>
      </c>
      <c r="M125" s="24">
        <v>0</v>
      </c>
      <c r="O125" s="24">
        <v>0</v>
      </c>
      <c r="Q125" s="24">
        <v>0</v>
      </c>
      <c r="S125" s="24">
        <v>0</v>
      </c>
      <c r="U125" s="24">
        <v>0</v>
      </c>
      <c r="W125" s="24">
        <v>0</v>
      </c>
      <c r="Y125" s="24">
        <v>0</v>
      </c>
      <c r="AA125" s="24">
        <v>0</v>
      </c>
      <c r="AC125" s="24">
        <v>0</v>
      </c>
      <c r="AE125" s="24">
        <f t="shared" si="3"/>
        <v>0</v>
      </c>
      <c r="AF125" s="24"/>
      <c r="AM125" s="24">
        <f>+'Gov Rev'!AI126-'Gov Exp'!AE125+'Gov Exp'!AI125-'Gov Exp'!AK125</f>
        <v>0</v>
      </c>
    </row>
    <row r="126" spans="1:39" ht="12.75" hidden="1">
      <c r="A126" s="15" t="s">
        <v>32</v>
      </c>
      <c r="C126" s="15" t="s">
        <v>759</v>
      </c>
      <c r="D126" s="28"/>
      <c r="E126" s="24">
        <v>0</v>
      </c>
      <c r="G126" s="24">
        <v>0</v>
      </c>
      <c r="I126" s="24">
        <v>0</v>
      </c>
      <c r="K126" s="24">
        <v>0</v>
      </c>
      <c r="M126" s="24">
        <v>0</v>
      </c>
      <c r="O126" s="24">
        <v>0</v>
      </c>
      <c r="Q126" s="24">
        <v>0</v>
      </c>
      <c r="S126" s="24">
        <v>0</v>
      </c>
      <c r="U126" s="24">
        <v>0</v>
      </c>
      <c r="W126" s="24">
        <v>0</v>
      </c>
      <c r="Y126" s="24">
        <v>0</v>
      </c>
      <c r="AA126" s="24">
        <v>0</v>
      </c>
      <c r="AC126" s="24">
        <v>0</v>
      </c>
      <c r="AE126" s="24">
        <f t="shared" si="3"/>
        <v>0</v>
      </c>
      <c r="AF126" s="24"/>
      <c r="AM126" s="24">
        <f>+'Gov Rev'!AI127-'Gov Exp'!AE126+'Gov Exp'!AI126-'Gov Exp'!AK126</f>
        <v>0</v>
      </c>
    </row>
    <row r="127" spans="1:39" ht="12.75" hidden="1">
      <c r="A127" s="15" t="s">
        <v>211</v>
      </c>
      <c r="C127" s="15" t="s">
        <v>815</v>
      </c>
      <c r="D127" s="28"/>
      <c r="E127" s="24">
        <v>0</v>
      </c>
      <c r="G127" s="24">
        <v>0</v>
      </c>
      <c r="I127" s="24">
        <v>0</v>
      </c>
      <c r="K127" s="24">
        <v>0</v>
      </c>
      <c r="M127" s="24">
        <v>0</v>
      </c>
      <c r="O127" s="24">
        <v>0</v>
      </c>
      <c r="Q127" s="24">
        <v>0</v>
      </c>
      <c r="S127" s="24">
        <v>0</v>
      </c>
      <c r="U127" s="24">
        <v>0</v>
      </c>
      <c r="W127" s="24">
        <v>0</v>
      </c>
      <c r="Y127" s="24">
        <v>0</v>
      </c>
      <c r="AA127" s="24">
        <v>0</v>
      </c>
      <c r="AC127" s="24">
        <v>0</v>
      </c>
      <c r="AE127" s="24">
        <f t="shared" si="3"/>
        <v>0</v>
      </c>
      <c r="AF127" s="24"/>
      <c r="AM127" s="24">
        <f>+'Gov Rev'!AI128-'Gov Exp'!AE127+'Gov Exp'!AI127-'Gov Exp'!AK127</f>
        <v>0</v>
      </c>
    </row>
    <row r="128" spans="1:39" s="31" customFormat="1" ht="12.6" hidden="1" customHeight="1">
      <c r="A128" s="15" t="s">
        <v>300</v>
      </c>
      <c r="B128" s="15"/>
      <c r="C128" s="15" t="s">
        <v>299</v>
      </c>
      <c r="D128" s="15"/>
      <c r="E128" s="24">
        <v>0</v>
      </c>
      <c r="F128" s="24"/>
      <c r="G128" s="24">
        <v>0</v>
      </c>
      <c r="H128" s="24"/>
      <c r="I128" s="24">
        <v>0</v>
      </c>
      <c r="J128" s="24"/>
      <c r="K128" s="24">
        <v>0</v>
      </c>
      <c r="L128" s="24"/>
      <c r="M128" s="24">
        <v>0</v>
      </c>
      <c r="N128" s="24"/>
      <c r="O128" s="24">
        <v>0</v>
      </c>
      <c r="P128" s="24"/>
      <c r="Q128" s="24">
        <v>0</v>
      </c>
      <c r="R128" s="24"/>
      <c r="S128" s="24">
        <v>0</v>
      </c>
      <c r="T128" s="24"/>
      <c r="U128" s="24">
        <v>0</v>
      </c>
      <c r="V128" s="24"/>
      <c r="W128" s="24">
        <v>0</v>
      </c>
      <c r="X128" s="24"/>
      <c r="Y128" s="24">
        <v>0</v>
      </c>
      <c r="Z128" s="24"/>
      <c r="AA128" s="24">
        <v>0</v>
      </c>
      <c r="AB128" s="24"/>
      <c r="AC128" s="24">
        <v>0</v>
      </c>
      <c r="AD128" s="24"/>
      <c r="AE128" s="24">
        <f t="shared" si="3"/>
        <v>0</v>
      </c>
      <c r="AF128" s="24"/>
      <c r="AG128" s="65"/>
      <c r="AH128" s="65"/>
      <c r="AI128" s="65"/>
      <c r="AJ128" s="65"/>
      <c r="AK128" s="65"/>
      <c r="AM128" s="24">
        <f>+'Gov Rev'!AI129-'Gov Exp'!AE128+'Gov Exp'!AI128-'Gov Exp'!AK128</f>
        <v>0</v>
      </c>
    </row>
    <row r="129" spans="1:39" ht="12.75" hidden="1">
      <c r="A129" s="15" t="s">
        <v>179</v>
      </c>
      <c r="C129" s="15" t="s">
        <v>807</v>
      </c>
      <c r="D129" s="28"/>
      <c r="E129" s="24">
        <v>0</v>
      </c>
      <c r="G129" s="24">
        <v>0</v>
      </c>
      <c r="I129" s="24">
        <v>0</v>
      </c>
      <c r="K129" s="24">
        <v>0</v>
      </c>
      <c r="M129" s="24">
        <v>0</v>
      </c>
      <c r="O129" s="24">
        <v>0</v>
      </c>
      <c r="Q129" s="24">
        <v>0</v>
      </c>
      <c r="S129" s="24">
        <v>0</v>
      </c>
      <c r="U129" s="24">
        <v>0</v>
      </c>
      <c r="W129" s="24">
        <v>0</v>
      </c>
      <c r="Y129" s="24">
        <v>0</v>
      </c>
      <c r="AA129" s="24">
        <v>0</v>
      </c>
      <c r="AC129" s="24">
        <v>0</v>
      </c>
      <c r="AE129" s="24">
        <f t="shared" si="3"/>
        <v>0</v>
      </c>
      <c r="AF129" s="24"/>
      <c r="AM129" s="24">
        <f>+'Gov Rev'!AI130-'Gov Exp'!AE129+'Gov Exp'!AI129-'Gov Exp'!AK129</f>
        <v>0</v>
      </c>
    </row>
    <row r="130" spans="1:39" ht="12.75" hidden="1">
      <c r="A130" s="15" t="s">
        <v>857</v>
      </c>
      <c r="C130" s="15" t="s">
        <v>778</v>
      </c>
      <c r="D130" s="28"/>
      <c r="E130" s="24">
        <v>0</v>
      </c>
      <c r="G130" s="24">
        <v>0</v>
      </c>
      <c r="I130" s="24">
        <v>0</v>
      </c>
      <c r="K130" s="24">
        <v>0</v>
      </c>
      <c r="M130" s="24">
        <v>0</v>
      </c>
      <c r="O130" s="24">
        <v>0</v>
      </c>
      <c r="Q130" s="24">
        <v>0</v>
      </c>
      <c r="S130" s="24">
        <v>0</v>
      </c>
      <c r="U130" s="24">
        <v>0</v>
      </c>
      <c r="W130" s="24">
        <v>0</v>
      </c>
      <c r="Y130" s="24">
        <v>0</v>
      </c>
      <c r="AA130" s="24">
        <v>0</v>
      </c>
      <c r="AC130" s="24">
        <v>0</v>
      </c>
      <c r="AE130" s="24">
        <f t="shared" si="3"/>
        <v>0</v>
      </c>
      <c r="AF130" s="24"/>
      <c r="AM130" s="24">
        <f>+'Gov Rev'!AI131-'Gov Exp'!AE130+'Gov Exp'!AI130-'Gov Exp'!AK130</f>
        <v>0</v>
      </c>
    </row>
    <row r="131" spans="1:39" s="31" customFormat="1">
      <c r="A131" s="15" t="s">
        <v>372</v>
      </c>
      <c r="B131" s="15"/>
      <c r="C131" s="15" t="s">
        <v>373</v>
      </c>
      <c r="D131" s="15"/>
      <c r="E131" s="24">
        <v>3833</v>
      </c>
      <c r="F131" s="24"/>
      <c r="G131" s="24">
        <v>61</v>
      </c>
      <c r="H131" s="24"/>
      <c r="I131" s="24">
        <v>7698</v>
      </c>
      <c r="J131" s="24"/>
      <c r="K131" s="24">
        <v>25</v>
      </c>
      <c r="L131" s="24"/>
      <c r="M131" s="24">
        <v>0</v>
      </c>
      <c r="N131" s="24"/>
      <c r="O131" s="24">
        <v>4016</v>
      </c>
      <c r="P131" s="24"/>
      <c r="Q131" s="24">
        <v>25595</v>
      </c>
      <c r="R131" s="24"/>
      <c r="S131" s="24">
        <v>0</v>
      </c>
      <c r="T131" s="24"/>
      <c r="U131" s="24">
        <v>0</v>
      </c>
      <c r="V131" s="24"/>
      <c r="W131" s="24">
        <v>0</v>
      </c>
      <c r="X131" s="24"/>
      <c r="Y131" s="24">
        <v>0</v>
      </c>
      <c r="Z131" s="24"/>
      <c r="AA131" s="24">
        <v>0</v>
      </c>
      <c r="AB131" s="24"/>
      <c r="AC131" s="24">
        <v>0</v>
      </c>
      <c r="AD131" s="24"/>
      <c r="AE131" s="24">
        <f t="shared" si="3"/>
        <v>41228</v>
      </c>
      <c r="AF131" s="24"/>
      <c r="AG131" s="65">
        <f>-2201+3069</f>
        <v>868</v>
      </c>
      <c r="AH131" s="65"/>
      <c r="AI131" s="65">
        <f>30112+35222</f>
        <v>65334</v>
      </c>
      <c r="AJ131" s="65"/>
      <c r="AK131" s="65">
        <f>27911+38291</f>
        <v>66202</v>
      </c>
      <c r="AM131" s="24">
        <f>+'Gov Rev'!AI132-'Gov Exp'!AE131+'Gov Exp'!AI131-'Gov Exp'!AK131</f>
        <v>0</v>
      </c>
    </row>
    <row r="132" spans="1:39" hidden="1">
      <c r="A132" s="15" t="s">
        <v>299</v>
      </c>
      <c r="C132" s="15" t="s">
        <v>554</v>
      </c>
      <c r="E132" s="24">
        <v>0</v>
      </c>
      <c r="G132" s="24">
        <v>0</v>
      </c>
      <c r="I132" s="24">
        <v>0</v>
      </c>
      <c r="K132" s="24">
        <v>0</v>
      </c>
      <c r="M132" s="24">
        <v>0</v>
      </c>
      <c r="O132" s="24">
        <v>0</v>
      </c>
      <c r="Q132" s="24">
        <v>0</v>
      </c>
      <c r="S132" s="24">
        <v>0</v>
      </c>
      <c r="U132" s="24">
        <v>0</v>
      </c>
      <c r="W132" s="24">
        <v>0</v>
      </c>
      <c r="Y132" s="24">
        <v>0</v>
      </c>
      <c r="AA132" s="24">
        <v>0</v>
      </c>
      <c r="AC132" s="24">
        <v>0</v>
      </c>
      <c r="AE132" s="24">
        <f t="shared" si="3"/>
        <v>0</v>
      </c>
      <c r="AF132" s="24"/>
      <c r="AM132" s="24">
        <f>+'Gov Rev'!AI133-'Gov Exp'!AE132+'Gov Exp'!AI132-'Gov Exp'!AK132</f>
        <v>0</v>
      </c>
    </row>
    <row r="133" spans="1:39" hidden="1">
      <c r="A133" s="15" t="s">
        <v>668</v>
      </c>
      <c r="C133" s="15" t="s">
        <v>517</v>
      </c>
      <c r="E133" s="24">
        <v>0</v>
      </c>
      <c r="G133" s="24">
        <v>0</v>
      </c>
      <c r="I133" s="24">
        <v>0</v>
      </c>
      <c r="K133" s="24">
        <v>0</v>
      </c>
      <c r="M133" s="24">
        <v>0</v>
      </c>
      <c r="O133" s="24">
        <v>6554</v>
      </c>
      <c r="Q133" s="24">
        <v>0</v>
      </c>
      <c r="S133" s="24">
        <v>0</v>
      </c>
      <c r="U133" s="24">
        <v>0</v>
      </c>
      <c r="W133" s="24">
        <v>0</v>
      </c>
      <c r="Y133" s="24">
        <v>0</v>
      </c>
      <c r="AA133" s="24">
        <v>0</v>
      </c>
      <c r="AC133" s="24">
        <v>0</v>
      </c>
      <c r="AE133" s="24">
        <f t="shared" si="3"/>
        <v>6554</v>
      </c>
      <c r="AF133" s="24"/>
      <c r="AG133" s="64">
        <v>3242</v>
      </c>
      <c r="AK133" s="64">
        <v>67255</v>
      </c>
      <c r="AM133" s="24">
        <f>+'Gov Rev'!AI134-'Gov Exp'!AE133+'Gov Exp'!AI133-'Gov Exp'!AK133</f>
        <v>-64013</v>
      </c>
    </row>
    <row r="134" spans="1:39" ht="12.75" hidden="1">
      <c r="A134" s="15" t="s">
        <v>125</v>
      </c>
      <c r="C134" s="15" t="s">
        <v>789</v>
      </c>
      <c r="D134" s="28"/>
      <c r="E134" s="24">
        <v>0</v>
      </c>
      <c r="G134" s="24">
        <v>0</v>
      </c>
      <c r="I134" s="24">
        <v>0</v>
      </c>
      <c r="K134" s="24">
        <v>0</v>
      </c>
      <c r="M134" s="24">
        <v>0</v>
      </c>
      <c r="O134" s="24">
        <v>0</v>
      </c>
      <c r="Q134" s="24">
        <v>0</v>
      </c>
      <c r="S134" s="24">
        <v>0</v>
      </c>
      <c r="U134" s="24">
        <v>0</v>
      </c>
      <c r="W134" s="24">
        <v>0</v>
      </c>
      <c r="Y134" s="24">
        <v>0</v>
      </c>
      <c r="AA134" s="24">
        <v>0</v>
      </c>
      <c r="AC134" s="24">
        <v>0</v>
      </c>
      <c r="AE134" s="24">
        <f t="shared" si="3"/>
        <v>0</v>
      </c>
      <c r="AF134" s="24"/>
      <c r="AM134" s="24">
        <f>+'Gov Rev'!AI135-'Gov Exp'!AE134+'Gov Exp'!AI134-'Gov Exp'!AK134</f>
        <v>0</v>
      </c>
    </row>
    <row r="135" spans="1:39" s="31" customFormat="1" ht="12.75" hidden="1">
      <c r="A135" s="15" t="s">
        <v>670</v>
      </c>
      <c r="B135" s="15"/>
      <c r="C135" s="15" t="s">
        <v>669</v>
      </c>
      <c r="D135" s="28"/>
      <c r="E135" s="24">
        <v>0</v>
      </c>
      <c r="F135" s="24"/>
      <c r="G135" s="24">
        <v>0</v>
      </c>
      <c r="H135" s="24"/>
      <c r="I135" s="24">
        <v>0</v>
      </c>
      <c r="J135" s="24"/>
      <c r="K135" s="24">
        <v>0</v>
      </c>
      <c r="L135" s="24"/>
      <c r="M135" s="24">
        <v>0</v>
      </c>
      <c r="N135" s="24"/>
      <c r="O135" s="24">
        <v>0</v>
      </c>
      <c r="P135" s="24"/>
      <c r="Q135" s="24">
        <v>0</v>
      </c>
      <c r="R135" s="24"/>
      <c r="S135" s="24">
        <v>0</v>
      </c>
      <c r="T135" s="24"/>
      <c r="U135" s="24">
        <v>0</v>
      </c>
      <c r="V135" s="24"/>
      <c r="W135" s="24">
        <v>0</v>
      </c>
      <c r="X135" s="24"/>
      <c r="Y135" s="24">
        <v>0</v>
      </c>
      <c r="Z135" s="24"/>
      <c r="AA135" s="24">
        <v>0</v>
      </c>
      <c r="AB135" s="24"/>
      <c r="AC135" s="24">
        <v>0</v>
      </c>
      <c r="AD135" s="24"/>
      <c r="AE135" s="24">
        <f t="shared" si="3"/>
        <v>0</v>
      </c>
      <c r="AF135" s="24"/>
      <c r="AG135" s="65"/>
      <c r="AH135" s="65"/>
      <c r="AI135" s="65"/>
      <c r="AJ135" s="65"/>
      <c r="AK135" s="65"/>
      <c r="AM135" s="24">
        <f>+'Gov Rev'!AI136-'Gov Exp'!AE135+'Gov Exp'!AI135-'Gov Exp'!AK135</f>
        <v>0</v>
      </c>
    </row>
    <row r="136" spans="1:39" ht="12.75">
      <c r="A136" s="15" t="s">
        <v>907</v>
      </c>
      <c r="C136" s="15" t="s">
        <v>469</v>
      </c>
      <c r="D136" s="28"/>
      <c r="E136" s="24">
        <f>586799+224046</f>
        <v>810845</v>
      </c>
      <c r="G136" s="24">
        <v>21158</v>
      </c>
      <c r="I136" s="24">
        <v>0</v>
      </c>
      <c r="K136" s="24">
        <v>17191</v>
      </c>
      <c r="M136" s="24">
        <v>0</v>
      </c>
      <c r="O136" s="24">
        <v>533594</v>
      </c>
      <c r="Q136" s="24">
        <f>360289+195333</f>
        <v>555622</v>
      </c>
      <c r="S136" s="24">
        <f>23525+303205+132105+42222</f>
        <v>501057</v>
      </c>
      <c r="U136" s="24">
        <f>421944+20500</f>
        <v>442444</v>
      </c>
      <c r="W136" s="24">
        <v>0</v>
      </c>
      <c r="Y136" s="24">
        <v>0</v>
      </c>
      <c r="AA136" s="24">
        <v>0</v>
      </c>
      <c r="AC136" s="24">
        <f>838978+5275+26750</f>
        <v>871003</v>
      </c>
      <c r="AE136" s="24">
        <f t="shared" si="3"/>
        <v>3752914</v>
      </c>
      <c r="AF136" s="24"/>
      <c r="AG136" s="64">
        <f>37889-39734-9693-8231-20+30484+84202</f>
        <v>94897</v>
      </c>
      <c r="AI136" s="64">
        <f>88065+140+19177+8231+32+125264+69778</f>
        <v>310687</v>
      </c>
      <c r="AK136" s="64">
        <f>125954-39594+9484+12+155748+153979</f>
        <v>405583</v>
      </c>
      <c r="AM136" s="24">
        <f>+'Gov Rev'!AI137-'Gov Exp'!AE136+'Gov Exp'!AI136-'Gov Exp'!AK136</f>
        <v>0</v>
      </c>
    </row>
    <row r="137" spans="1:39" ht="12.75" hidden="1">
      <c r="A137" s="15" t="s">
        <v>199</v>
      </c>
      <c r="C137" s="15" t="s">
        <v>812</v>
      </c>
      <c r="D137" s="28"/>
      <c r="E137" s="24">
        <v>0</v>
      </c>
      <c r="G137" s="24">
        <v>0</v>
      </c>
      <c r="I137" s="24">
        <v>0</v>
      </c>
      <c r="K137" s="24">
        <v>0</v>
      </c>
      <c r="M137" s="24">
        <v>0</v>
      </c>
      <c r="O137" s="24">
        <v>0</v>
      </c>
      <c r="Q137" s="24">
        <v>0</v>
      </c>
      <c r="S137" s="24">
        <v>0</v>
      </c>
      <c r="U137" s="24">
        <v>0</v>
      </c>
      <c r="W137" s="24">
        <v>0</v>
      </c>
      <c r="Y137" s="24">
        <v>0</v>
      </c>
      <c r="AA137" s="24">
        <v>0</v>
      </c>
      <c r="AC137" s="24">
        <v>0</v>
      </c>
      <c r="AE137" s="24">
        <f t="shared" si="3"/>
        <v>0</v>
      </c>
      <c r="AF137" s="24"/>
      <c r="AM137" s="24">
        <f>+'Gov Rev'!AI138-'Gov Exp'!AE137+'Gov Exp'!AI137-'Gov Exp'!AK137</f>
        <v>0</v>
      </c>
    </row>
    <row r="138" spans="1:39">
      <c r="A138" s="15" t="s">
        <v>518</v>
      </c>
      <c r="C138" s="15" t="s">
        <v>517</v>
      </c>
      <c r="E138" s="24">
        <f>155996+138347</f>
        <v>294343</v>
      </c>
      <c r="G138" s="24">
        <v>4163</v>
      </c>
      <c r="I138" s="24">
        <f>129714+15786</f>
        <v>145500</v>
      </c>
      <c r="K138" s="24">
        <v>1772</v>
      </c>
      <c r="M138" s="24">
        <f>1670+10329</f>
        <v>11999</v>
      </c>
      <c r="O138" s="24">
        <f>19845+153811</f>
        <v>173656</v>
      </c>
      <c r="Q138" s="24">
        <f>143241+28659</f>
        <v>171900</v>
      </c>
      <c r="S138" s="24">
        <f>21979+256402</f>
        <v>278381</v>
      </c>
      <c r="U138" s="24">
        <f>54107+116416+69225</f>
        <v>239748</v>
      </c>
      <c r="W138" s="24">
        <f>1705+30194+5114</f>
        <v>37013</v>
      </c>
      <c r="Y138" s="24">
        <f>219782+60000</f>
        <v>279782</v>
      </c>
      <c r="AA138" s="24">
        <v>0</v>
      </c>
      <c r="AC138" s="24">
        <f>6147+501+12250</f>
        <v>18898</v>
      </c>
      <c r="AE138" s="24">
        <f t="shared" si="3"/>
        <v>1657155</v>
      </c>
      <c r="AF138" s="24"/>
      <c r="AG138" s="64">
        <f>-28958+46239+44798-40545</f>
        <v>21534</v>
      </c>
      <c r="AI138" s="64">
        <f>146815+169855+28915+63623</f>
        <v>409208</v>
      </c>
      <c r="AK138" s="64">
        <f>117857+216094+73713+23078</f>
        <v>430742</v>
      </c>
      <c r="AM138" s="24">
        <f>+'Gov Rev'!AI139-'Gov Exp'!AE138+'Gov Exp'!AI138-'Gov Exp'!AK138</f>
        <v>0</v>
      </c>
    </row>
    <row r="139" spans="1:39" ht="12.75" hidden="1">
      <c r="A139" s="15" t="s">
        <v>188</v>
      </c>
      <c r="C139" s="15" t="s">
        <v>809</v>
      </c>
      <c r="D139" s="28"/>
      <c r="E139" s="24">
        <v>0</v>
      </c>
      <c r="G139" s="24">
        <v>0</v>
      </c>
      <c r="I139" s="24">
        <v>0</v>
      </c>
      <c r="K139" s="24">
        <v>0</v>
      </c>
      <c r="M139" s="24">
        <v>0</v>
      </c>
      <c r="O139" s="24">
        <v>0</v>
      </c>
      <c r="Q139" s="24">
        <v>0</v>
      </c>
      <c r="S139" s="24">
        <v>0</v>
      </c>
      <c r="U139" s="24">
        <v>0</v>
      </c>
      <c r="W139" s="24">
        <v>0</v>
      </c>
      <c r="Y139" s="24">
        <v>0</v>
      </c>
      <c r="AA139" s="24">
        <v>0</v>
      </c>
      <c r="AC139" s="24">
        <v>0</v>
      </c>
      <c r="AE139" s="24">
        <f t="shared" si="3"/>
        <v>0</v>
      </c>
      <c r="AF139" s="24"/>
      <c r="AM139" s="24">
        <f>+'Gov Rev'!AI140-'Gov Exp'!AE139+'Gov Exp'!AI139-'Gov Exp'!AK139</f>
        <v>0</v>
      </c>
    </row>
    <row r="140" spans="1:39" ht="12.6" hidden="1" customHeight="1">
      <c r="A140" s="15" t="s">
        <v>307</v>
      </c>
      <c r="C140" s="15" t="s">
        <v>308</v>
      </c>
      <c r="E140" s="24">
        <v>0</v>
      </c>
      <c r="G140" s="24">
        <v>0</v>
      </c>
      <c r="I140" s="24">
        <v>0</v>
      </c>
      <c r="K140" s="24">
        <v>0</v>
      </c>
      <c r="M140" s="24">
        <v>0</v>
      </c>
      <c r="O140" s="24">
        <v>0</v>
      </c>
      <c r="Q140" s="24">
        <v>0</v>
      </c>
      <c r="S140" s="24">
        <v>0</v>
      </c>
      <c r="U140" s="24">
        <v>0</v>
      </c>
      <c r="W140" s="24">
        <v>0</v>
      </c>
      <c r="Y140" s="24">
        <v>0</v>
      </c>
      <c r="AA140" s="24">
        <v>0</v>
      </c>
      <c r="AC140" s="24">
        <v>0</v>
      </c>
      <c r="AE140" s="24">
        <f t="shared" si="3"/>
        <v>0</v>
      </c>
      <c r="AF140" s="24"/>
      <c r="AM140" s="24">
        <f>+'Gov Rev'!AI141-'Gov Exp'!AE140+'Gov Exp'!AI140-'Gov Exp'!AK140</f>
        <v>0</v>
      </c>
    </row>
    <row r="141" spans="1:39" ht="12.6" hidden="1" customHeight="1">
      <c r="AE141" s="24" t="s">
        <v>869</v>
      </c>
      <c r="AF141" s="24"/>
      <c r="AM141" s="24"/>
    </row>
    <row r="142" spans="1:39" s="41" customFormat="1" ht="12.75" hidden="1">
      <c r="A142" s="41" t="s">
        <v>202</v>
      </c>
      <c r="C142" s="41" t="s">
        <v>813</v>
      </c>
      <c r="D142" s="83"/>
      <c r="E142" s="41">
        <v>0</v>
      </c>
      <c r="G142" s="41">
        <v>0</v>
      </c>
      <c r="I142" s="41">
        <v>0</v>
      </c>
      <c r="K142" s="41">
        <v>0</v>
      </c>
      <c r="M142" s="41">
        <v>0</v>
      </c>
      <c r="O142" s="41">
        <v>0</v>
      </c>
      <c r="Q142" s="41">
        <v>0</v>
      </c>
      <c r="S142" s="41">
        <v>0</v>
      </c>
      <c r="U142" s="41">
        <v>0</v>
      </c>
      <c r="W142" s="41">
        <v>0</v>
      </c>
      <c r="Y142" s="41">
        <v>0</v>
      </c>
      <c r="AA142" s="41">
        <v>0</v>
      </c>
      <c r="AC142" s="41">
        <v>0</v>
      </c>
      <c r="AE142" s="41">
        <f t="shared" ref="AE142:AE173" si="4">SUM(E142:AC142)</f>
        <v>0</v>
      </c>
      <c r="AG142" s="64"/>
      <c r="AH142" s="64"/>
      <c r="AI142" s="64"/>
      <c r="AJ142" s="64"/>
      <c r="AK142" s="64"/>
      <c r="AM142" s="24">
        <f>+'Gov Rev'!AI142-'Gov Exp'!AE142+'Gov Exp'!AI142-'Gov Exp'!AK142</f>
        <v>0</v>
      </c>
    </row>
    <row r="143" spans="1:39" ht="12.75" hidden="1">
      <c r="A143" s="15" t="s">
        <v>239</v>
      </c>
      <c r="C143" s="15" t="s">
        <v>825</v>
      </c>
      <c r="D143" s="28"/>
      <c r="E143" s="24">
        <v>0</v>
      </c>
      <c r="G143" s="24">
        <v>0</v>
      </c>
      <c r="I143" s="24">
        <v>0</v>
      </c>
      <c r="K143" s="24">
        <v>0</v>
      </c>
      <c r="M143" s="24">
        <v>0</v>
      </c>
      <c r="O143" s="24">
        <v>0</v>
      </c>
      <c r="Q143" s="24">
        <v>0</v>
      </c>
      <c r="S143" s="24">
        <v>0</v>
      </c>
      <c r="U143" s="24">
        <v>0</v>
      </c>
      <c r="W143" s="24">
        <v>0</v>
      </c>
      <c r="Y143" s="24">
        <v>0</v>
      </c>
      <c r="AA143" s="24">
        <v>0</v>
      </c>
      <c r="AC143" s="24">
        <v>0</v>
      </c>
      <c r="AE143" s="24">
        <f t="shared" si="4"/>
        <v>0</v>
      </c>
      <c r="AF143" s="24"/>
      <c r="AM143" s="24">
        <f>+'Gov Rev'!AI143-'Gov Exp'!AE143+'Gov Exp'!AI143-'Gov Exp'!AK143</f>
        <v>0</v>
      </c>
    </row>
    <row r="144" spans="1:39" ht="12.75" hidden="1">
      <c r="A144" s="15" t="s">
        <v>186</v>
      </c>
      <c r="C144" s="15" t="s">
        <v>433</v>
      </c>
      <c r="D144" s="28"/>
      <c r="E144" s="24">
        <v>0</v>
      </c>
      <c r="G144" s="24">
        <v>0</v>
      </c>
      <c r="I144" s="24">
        <v>0</v>
      </c>
      <c r="K144" s="24">
        <v>0</v>
      </c>
      <c r="M144" s="24">
        <v>0</v>
      </c>
      <c r="O144" s="24">
        <v>0</v>
      </c>
      <c r="Q144" s="24">
        <v>0</v>
      </c>
      <c r="S144" s="24">
        <v>0</v>
      </c>
      <c r="U144" s="24">
        <v>0</v>
      </c>
      <c r="W144" s="24">
        <v>0</v>
      </c>
      <c r="Y144" s="24">
        <v>0</v>
      </c>
      <c r="AA144" s="24">
        <v>0</v>
      </c>
      <c r="AC144" s="24">
        <v>0</v>
      </c>
      <c r="AE144" s="24">
        <f t="shared" si="4"/>
        <v>0</v>
      </c>
      <c r="AF144" s="24"/>
      <c r="AM144" s="24">
        <f>+'Gov Rev'!AI144-'Gov Exp'!AE144+'Gov Exp'!AI144-'Gov Exp'!AK144</f>
        <v>0</v>
      </c>
    </row>
    <row r="145" spans="1:39">
      <c r="A145" s="15" t="s">
        <v>584</v>
      </c>
      <c r="C145" s="15" t="s">
        <v>586</v>
      </c>
      <c r="E145" s="24">
        <v>3836</v>
      </c>
      <c r="G145" s="24">
        <v>0</v>
      </c>
      <c r="I145" s="24">
        <v>0</v>
      </c>
      <c r="K145" s="24">
        <v>0</v>
      </c>
      <c r="M145" s="24">
        <v>0</v>
      </c>
      <c r="O145" s="24">
        <v>3484</v>
      </c>
      <c r="Q145" s="24">
        <v>22917</v>
      </c>
      <c r="S145" s="24">
        <v>0</v>
      </c>
      <c r="U145" s="24">
        <v>0</v>
      </c>
      <c r="W145" s="24">
        <v>0</v>
      </c>
      <c r="Y145" s="24">
        <v>0</v>
      </c>
      <c r="AA145" s="24">
        <v>0</v>
      </c>
      <c r="AC145" s="24">
        <v>0</v>
      </c>
      <c r="AE145" s="24">
        <f t="shared" si="4"/>
        <v>30237</v>
      </c>
      <c r="AF145" s="24"/>
      <c r="AG145" s="64">
        <f>28705+14443</f>
        <v>43148</v>
      </c>
      <c r="AI145" s="64">
        <f>157740+38499+3405</f>
        <v>199644</v>
      </c>
      <c r="AK145" s="64">
        <f>186445+51946+4401</f>
        <v>242792</v>
      </c>
      <c r="AM145" s="24">
        <f>+'Gov Rev'!AI145-'Gov Exp'!AE145+'Gov Exp'!AI145-'Gov Exp'!AK145</f>
        <v>0</v>
      </c>
    </row>
    <row r="146" spans="1:39" ht="12.75">
      <c r="A146" s="15" t="s">
        <v>908</v>
      </c>
      <c r="C146" s="15" t="s">
        <v>473</v>
      </c>
      <c r="D146" s="28"/>
      <c r="E146" s="24">
        <v>614148</v>
      </c>
      <c r="G146" s="24">
        <v>0</v>
      </c>
      <c r="I146" s="24">
        <v>20982</v>
      </c>
      <c r="K146" s="24">
        <v>1127</v>
      </c>
      <c r="M146" s="24">
        <v>0</v>
      </c>
      <c r="O146" s="24">
        <v>311404</v>
      </c>
      <c r="Q146" s="24">
        <f>237038+78142+44024</f>
        <v>359204</v>
      </c>
      <c r="S146" s="24">
        <f>236571+61165</f>
        <v>297736</v>
      </c>
      <c r="U146" s="24">
        <v>0</v>
      </c>
      <c r="W146" s="24">
        <v>0</v>
      </c>
      <c r="Y146" s="24">
        <f>80000+600000</f>
        <v>680000</v>
      </c>
      <c r="AA146" s="24">
        <v>0</v>
      </c>
      <c r="AC146" s="24">
        <v>0</v>
      </c>
      <c r="AE146" s="24">
        <f t="shared" si="4"/>
        <v>2284601</v>
      </c>
      <c r="AF146" s="41"/>
      <c r="AG146" s="64">
        <f>-38983-13610-20440+79102</f>
        <v>6069</v>
      </c>
      <c r="AI146" s="64">
        <f>66832+25502+123152+404316</f>
        <v>619802</v>
      </c>
      <c r="AK146" s="64">
        <f>27849+16892+102712+483419</f>
        <v>630872</v>
      </c>
      <c r="AM146" s="24">
        <f>+'Gov Rev'!AI146-'Gov Exp'!AE146+'Gov Exp'!AI146-'Gov Exp'!AK146</f>
        <v>0</v>
      </c>
    </row>
    <row r="147" spans="1:39" ht="12.75" hidden="1">
      <c r="A147" s="15" t="s">
        <v>144</v>
      </c>
      <c r="C147" s="15" t="s">
        <v>795</v>
      </c>
      <c r="D147" s="28"/>
      <c r="E147" s="24">
        <v>0</v>
      </c>
      <c r="G147" s="24">
        <v>0</v>
      </c>
      <c r="I147" s="24">
        <v>0</v>
      </c>
      <c r="K147" s="24">
        <v>0</v>
      </c>
      <c r="M147" s="24">
        <v>0</v>
      </c>
      <c r="O147" s="24">
        <v>0</v>
      </c>
      <c r="Q147" s="24">
        <v>0</v>
      </c>
      <c r="S147" s="24">
        <v>0</v>
      </c>
      <c r="U147" s="24">
        <v>0</v>
      </c>
      <c r="W147" s="24">
        <v>0</v>
      </c>
      <c r="Y147" s="24">
        <v>0</v>
      </c>
      <c r="AA147" s="24">
        <v>0</v>
      </c>
      <c r="AC147" s="24">
        <v>0</v>
      </c>
      <c r="AE147" s="24">
        <f t="shared" si="4"/>
        <v>0</v>
      </c>
      <c r="AF147" s="41"/>
      <c r="AM147" s="24">
        <f>+'Gov Rev'!AI147-'Gov Exp'!AE147+'Gov Exp'!AI147-'Gov Exp'!AK147</f>
        <v>0</v>
      </c>
    </row>
    <row r="148" spans="1:39">
      <c r="A148" s="15" t="s">
        <v>594</v>
      </c>
      <c r="C148" s="15" t="s">
        <v>595</v>
      </c>
      <c r="E148" s="24">
        <f>12322+185336</f>
        <v>197658</v>
      </c>
      <c r="G148" s="24">
        <f>6343+25030</f>
        <v>31373</v>
      </c>
      <c r="I148" s="24">
        <v>21592</v>
      </c>
      <c r="K148" s="24">
        <f>130+14780</f>
        <v>14910</v>
      </c>
      <c r="M148" s="24">
        <v>100</v>
      </c>
      <c r="O148" s="24">
        <v>91930</v>
      </c>
      <c r="Q148" s="24">
        <v>202525</v>
      </c>
      <c r="S148" s="24">
        <v>0</v>
      </c>
      <c r="U148" s="24">
        <v>155242</v>
      </c>
      <c r="W148" s="24">
        <v>0</v>
      </c>
      <c r="Y148" s="24">
        <v>113512</v>
      </c>
      <c r="AA148" s="24">
        <v>0</v>
      </c>
      <c r="AC148" s="24">
        <v>0</v>
      </c>
      <c r="AE148" s="24">
        <f t="shared" si="4"/>
        <v>828842</v>
      </c>
      <c r="AF148" s="24"/>
      <c r="AG148" s="64">
        <f>105357+28415-26019</f>
        <v>107753</v>
      </c>
      <c r="AI148" s="64">
        <f>302743+294678+330703+3720</f>
        <v>931844</v>
      </c>
      <c r="AK148" s="64">
        <f>408101+323093+304683+3720</f>
        <v>1039597</v>
      </c>
      <c r="AM148" s="24">
        <f>+'Gov Rev'!AI148-'Gov Exp'!AE148+'Gov Exp'!AI148-'Gov Exp'!AK148</f>
        <v>0</v>
      </c>
    </row>
    <row r="149" spans="1:39" ht="12.6" customHeight="1">
      <c r="A149" s="15" t="s">
        <v>274</v>
      </c>
      <c r="C149" s="15" t="s">
        <v>275</v>
      </c>
      <c r="E149" s="24">
        <f>339553+85920</f>
        <v>425473</v>
      </c>
      <c r="G149" s="24">
        <v>0</v>
      </c>
      <c r="I149" s="24">
        <v>9995</v>
      </c>
      <c r="K149" s="24">
        <v>18431</v>
      </c>
      <c r="M149" s="24">
        <v>15023</v>
      </c>
      <c r="O149" s="24">
        <f>9111+138541</f>
        <v>147652</v>
      </c>
      <c r="Q149" s="24">
        <v>151183</v>
      </c>
      <c r="S149" s="24">
        <f>75520+17812+5498</f>
        <v>98830</v>
      </c>
      <c r="U149" s="24">
        <v>16593</v>
      </c>
      <c r="W149" s="24">
        <v>0</v>
      </c>
      <c r="Y149" s="24">
        <f>40935+828+17315</f>
        <v>59078</v>
      </c>
      <c r="AA149" s="24">
        <v>0</v>
      </c>
      <c r="AC149" s="24">
        <v>0</v>
      </c>
      <c r="AE149" s="24">
        <f t="shared" si="4"/>
        <v>942258</v>
      </c>
      <c r="AF149" s="24"/>
      <c r="AG149" s="64">
        <f>-6869-22360-2829-22813</f>
        <v>-54871</v>
      </c>
      <c r="AI149" s="64">
        <f>342792+104804+2829+22813</f>
        <v>473238</v>
      </c>
      <c r="AK149" s="64">
        <f>335923+82444</f>
        <v>418367</v>
      </c>
      <c r="AM149" s="24">
        <f>+'Gov Rev'!AI149-'Gov Exp'!AE149+'Gov Exp'!AI149-'Gov Exp'!AK149</f>
        <v>0</v>
      </c>
    </row>
    <row r="150" spans="1:39">
      <c r="A150" s="15" t="s">
        <v>503</v>
      </c>
      <c r="C150" s="15" t="s">
        <v>504</v>
      </c>
      <c r="E150" s="24">
        <f>308425+2610+63642+42368</f>
        <v>417045</v>
      </c>
      <c r="G150" s="24">
        <v>0</v>
      </c>
      <c r="I150" s="24">
        <v>99421</v>
      </c>
      <c r="K150" s="24">
        <v>0</v>
      </c>
      <c r="M150" s="24">
        <v>0</v>
      </c>
      <c r="O150" s="24">
        <v>172882</v>
      </c>
      <c r="Q150" s="24">
        <f>302721+9049+49080+2024</f>
        <v>362874</v>
      </c>
      <c r="S150" s="24">
        <f>1146+130771</f>
        <v>131917</v>
      </c>
      <c r="U150" s="24">
        <f>1006342+252399</f>
        <v>1258741</v>
      </c>
      <c r="W150" s="24">
        <v>0</v>
      </c>
      <c r="Y150" s="24">
        <v>0</v>
      </c>
      <c r="AA150" s="24">
        <v>0</v>
      </c>
      <c r="AC150" s="24">
        <f>14888+1540+63018+504814+55425</f>
        <v>639685</v>
      </c>
      <c r="AD150" s="38"/>
      <c r="AE150" s="24">
        <f t="shared" si="4"/>
        <v>3082565</v>
      </c>
      <c r="AF150" s="24"/>
      <c r="AG150" s="64">
        <f>2948-9049+18839+5132+38553-52113-1</f>
        <v>4309</v>
      </c>
      <c r="AI150" s="64">
        <f>42404+32153+52416+135042+17965+275476+1</f>
        <v>555457</v>
      </c>
      <c r="AK150" s="64">
        <f>45353+23104+71255+140174+56519+223365-2</f>
        <v>559768</v>
      </c>
      <c r="AM150" s="24">
        <f>+'Gov Rev'!AI150-'Gov Exp'!AE150+'Gov Exp'!AI150-'Gov Exp'!AK150</f>
        <v>0</v>
      </c>
    </row>
    <row r="151" spans="1:39" s="31" customFormat="1" ht="12.75" hidden="1">
      <c r="A151" s="15" t="s">
        <v>80</v>
      </c>
      <c r="B151" s="15"/>
      <c r="C151" s="15" t="s">
        <v>775</v>
      </c>
      <c r="D151" s="28"/>
      <c r="E151" s="24">
        <v>0</v>
      </c>
      <c r="F151" s="24"/>
      <c r="G151" s="24">
        <v>0</v>
      </c>
      <c r="H151" s="24"/>
      <c r="I151" s="24">
        <v>0</v>
      </c>
      <c r="J151" s="24"/>
      <c r="K151" s="24">
        <v>0</v>
      </c>
      <c r="L151" s="24"/>
      <c r="M151" s="24">
        <v>0</v>
      </c>
      <c r="N151" s="24"/>
      <c r="O151" s="24">
        <v>0</v>
      </c>
      <c r="P151" s="24"/>
      <c r="Q151" s="24">
        <v>0</v>
      </c>
      <c r="R151" s="24"/>
      <c r="S151" s="24">
        <v>0</v>
      </c>
      <c r="T151" s="24"/>
      <c r="U151" s="24">
        <v>0</v>
      </c>
      <c r="V151" s="24"/>
      <c r="W151" s="24">
        <v>0</v>
      </c>
      <c r="X151" s="24"/>
      <c r="Y151" s="24">
        <v>0</v>
      </c>
      <c r="Z151" s="24"/>
      <c r="AA151" s="24">
        <v>0</v>
      </c>
      <c r="AB151" s="24"/>
      <c r="AC151" s="24">
        <v>0</v>
      </c>
      <c r="AD151" s="24"/>
      <c r="AE151" s="24">
        <f t="shared" si="4"/>
        <v>0</v>
      </c>
      <c r="AF151" s="24"/>
      <c r="AG151" s="65"/>
      <c r="AH151" s="65"/>
      <c r="AI151" s="65"/>
      <c r="AJ151" s="65"/>
      <c r="AK151" s="65"/>
      <c r="AM151" s="24">
        <f>+'Gov Rev'!AI151-'Gov Exp'!AE151+'Gov Exp'!AI151-'Gov Exp'!AK151</f>
        <v>0</v>
      </c>
    </row>
    <row r="152" spans="1:39" s="31" customFormat="1" ht="12.75" hidden="1">
      <c r="A152" s="15" t="s">
        <v>87</v>
      </c>
      <c r="B152" s="15"/>
      <c r="C152" s="15" t="s">
        <v>777</v>
      </c>
      <c r="D152" s="28"/>
      <c r="E152" s="24">
        <v>0</v>
      </c>
      <c r="F152" s="24"/>
      <c r="G152" s="24">
        <v>0</v>
      </c>
      <c r="H152" s="24"/>
      <c r="I152" s="24">
        <v>0</v>
      </c>
      <c r="J152" s="24"/>
      <c r="K152" s="24">
        <v>0</v>
      </c>
      <c r="L152" s="24"/>
      <c r="M152" s="24">
        <v>0</v>
      </c>
      <c r="N152" s="24"/>
      <c r="O152" s="24">
        <v>0</v>
      </c>
      <c r="P152" s="24"/>
      <c r="Q152" s="24">
        <v>0</v>
      </c>
      <c r="R152" s="24"/>
      <c r="S152" s="24">
        <v>0</v>
      </c>
      <c r="T152" s="24"/>
      <c r="U152" s="24">
        <v>0</v>
      </c>
      <c r="V152" s="24"/>
      <c r="W152" s="24">
        <v>0</v>
      </c>
      <c r="X152" s="24"/>
      <c r="Y152" s="24">
        <v>0</v>
      </c>
      <c r="Z152" s="24"/>
      <c r="AA152" s="24">
        <v>0</v>
      </c>
      <c r="AB152" s="24"/>
      <c r="AC152" s="24">
        <v>0</v>
      </c>
      <c r="AD152" s="24"/>
      <c r="AE152" s="24">
        <f t="shared" si="4"/>
        <v>0</v>
      </c>
      <c r="AF152" s="24"/>
      <c r="AG152" s="65"/>
      <c r="AH152" s="65"/>
      <c r="AI152" s="65"/>
      <c r="AJ152" s="65"/>
      <c r="AK152" s="65"/>
      <c r="AM152" s="24">
        <f>+'Gov Rev'!AI152-'Gov Exp'!AE152+'Gov Exp'!AI152-'Gov Exp'!AK152</f>
        <v>0</v>
      </c>
    </row>
    <row r="153" spans="1:39" ht="12.75" hidden="1">
      <c r="A153" s="15" t="s">
        <v>254</v>
      </c>
      <c r="C153" s="15" t="s">
        <v>830</v>
      </c>
      <c r="D153" s="28"/>
      <c r="E153" s="24">
        <v>0</v>
      </c>
      <c r="G153" s="24">
        <v>0</v>
      </c>
      <c r="I153" s="24">
        <v>0</v>
      </c>
      <c r="K153" s="24">
        <v>0</v>
      </c>
      <c r="M153" s="24">
        <v>0</v>
      </c>
      <c r="O153" s="24">
        <v>0</v>
      </c>
      <c r="Q153" s="24">
        <v>0</v>
      </c>
      <c r="S153" s="24">
        <v>0</v>
      </c>
      <c r="U153" s="24">
        <v>0</v>
      </c>
      <c r="W153" s="24">
        <v>0</v>
      </c>
      <c r="Y153" s="24">
        <v>0</v>
      </c>
      <c r="AA153" s="24">
        <v>0</v>
      </c>
      <c r="AC153" s="24">
        <v>0</v>
      </c>
      <c r="AE153" s="24">
        <f t="shared" si="4"/>
        <v>0</v>
      </c>
      <c r="AF153" s="24"/>
      <c r="AM153" s="24">
        <f>+'Gov Rev'!AI153-'Gov Exp'!AE153+'Gov Exp'!AI153-'Gov Exp'!AK153</f>
        <v>0</v>
      </c>
    </row>
    <row r="154" spans="1:39" ht="12.75" hidden="1">
      <c r="A154" s="15" t="s">
        <v>848</v>
      </c>
      <c r="C154" s="15" t="s">
        <v>830</v>
      </c>
      <c r="D154" s="28"/>
      <c r="E154" s="24">
        <v>0</v>
      </c>
      <c r="G154" s="24">
        <v>0</v>
      </c>
      <c r="I154" s="24">
        <v>0</v>
      </c>
      <c r="K154" s="24">
        <v>0</v>
      </c>
      <c r="M154" s="24">
        <v>0</v>
      </c>
      <c r="O154" s="24">
        <v>0</v>
      </c>
      <c r="Q154" s="24">
        <v>0</v>
      </c>
      <c r="S154" s="24">
        <v>0</v>
      </c>
      <c r="U154" s="24">
        <v>0</v>
      </c>
      <c r="W154" s="24">
        <v>0</v>
      </c>
      <c r="Y154" s="24">
        <v>0</v>
      </c>
      <c r="AA154" s="24">
        <v>0</v>
      </c>
      <c r="AC154" s="24">
        <v>0</v>
      </c>
      <c r="AE154" s="24">
        <f t="shared" si="4"/>
        <v>0</v>
      </c>
      <c r="AF154" s="24"/>
      <c r="AM154" s="24">
        <f>+'Gov Rev'!AI154-'Gov Exp'!AE154+'Gov Exp'!AI154-'Gov Exp'!AK154</f>
        <v>0</v>
      </c>
    </row>
    <row r="155" spans="1:39" s="31" customFormat="1">
      <c r="A155" s="15" t="s">
        <v>596</v>
      </c>
      <c r="B155" s="15"/>
      <c r="C155" s="15" t="s">
        <v>593</v>
      </c>
      <c r="D155" s="15"/>
      <c r="E155" s="24">
        <f>301699+1000</f>
        <v>302699</v>
      </c>
      <c r="F155" s="24"/>
      <c r="G155" s="24">
        <f>8453+13152</f>
        <v>21605</v>
      </c>
      <c r="H155" s="24"/>
      <c r="I155" s="24">
        <v>10239</v>
      </c>
      <c r="J155" s="24"/>
      <c r="K155" s="24">
        <v>0</v>
      </c>
      <c r="L155" s="24"/>
      <c r="M155" s="24">
        <v>2962</v>
      </c>
      <c r="N155" s="24"/>
      <c r="O155" s="24">
        <f>58877+147500</f>
        <v>206377</v>
      </c>
      <c r="P155" s="24"/>
      <c r="Q155" s="24">
        <v>111679</v>
      </c>
      <c r="R155" s="24"/>
      <c r="S155" s="24">
        <f>5030+217820</f>
        <v>222850</v>
      </c>
      <c r="T155" s="24"/>
      <c r="U155" s="24">
        <f>44700+12500</f>
        <v>57200</v>
      </c>
      <c r="V155" s="24"/>
      <c r="W155" s="24">
        <v>19094</v>
      </c>
      <c r="X155" s="24"/>
      <c r="Y155" s="24">
        <v>206719</v>
      </c>
      <c r="Z155" s="24"/>
      <c r="AA155" s="24">
        <v>0</v>
      </c>
      <c r="AB155" s="24"/>
      <c r="AC155" s="24">
        <v>13867</v>
      </c>
      <c r="AD155" s="24"/>
      <c r="AE155" s="24">
        <f t="shared" si="4"/>
        <v>1175291</v>
      </c>
      <c r="AF155" s="24"/>
      <c r="AG155" s="65">
        <f>-2761-19999+3207-112416</f>
        <v>-131969</v>
      </c>
      <c r="AH155" s="65"/>
      <c r="AI155" s="65">
        <f>184667+63769+525+284499</f>
        <v>533460</v>
      </c>
      <c r="AJ155" s="65"/>
      <c r="AK155" s="65">
        <f>181906+43771+3731+172082</f>
        <v>401490</v>
      </c>
      <c r="AM155" s="24">
        <f>+'Gov Rev'!AI155-'Gov Exp'!AE155+'Gov Exp'!AI155-'Gov Exp'!AK155</f>
        <v>0</v>
      </c>
    </row>
    <row r="156" spans="1:39" s="31" customFormat="1" hidden="1">
      <c r="A156" s="15" t="s">
        <v>426</v>
      </c>
      <c r="B156" s="15"/>
      <c r="C156" s="15" t="s">
        <v>427</v>
      </c>
      <c r="D156" s="15"/>
      <c r="E156" s="24">
        <v>0</v>
      </c>
      <c r="F156" s="24"/>
      <c r="G156" s="24">
        <v>0</v>
      </c>
      <c r="H156" s="24"/>
      <c r="I156" s="24">
        <v>0</v>
      </c>
      <c r="J156" s="24"/>
      <c r="K156" s="24">
        <v>0</v>
      </c>
      <c r="L156" s="24"/>
      <c r="M156" s="24">
        <v>0</v>
      </c>
      <c r="N156" s="24"/>
      <c r="O156" s="24">
        <v>0</v>
      </c>
      <c r="P156" s="24"/>
      <c r="Q156" s="24">
        <v>0</v>
      </c>
      <c r="R156" s="24"/>
      <c r="S156" s="24">
        <v>0</v>
      </c>
      <c r="T156" s="24"/>
      <c r="U156" s="24">
        <v>0</v>
      </c>
      <c r="V156" s="24"/>
      <c r="W156" s="24">
        <v>0</v>
      </c>
      <c r="X156" s="24"/>
      <c r="Y156" s="24">
        <v>0</v>
      </c>
      <c r="Z156" s="24"/>
      <c r="AA156" s="24">
        <v>0</v>
      </c>
      <c r="AB156" s="24"/>
      <c r="AC156" s="24">
        <v>0</v>
      </c>
      <c r="AD156" s="24"/>
      <c r="AE156" s="24">
        <f t="shared" si="4"/>
        <v>0</v>
      </c>
      <c r="AF156" s="24"/>
      <c r="AG156" s="65"/>
      <c r="AH156" s="65"/>
      <c r="AI156" s="65"/>
      <c r="AJ156" s="65"/>
      <c r="AK156" s="65"/>
      <c r="AM156" s="24">
        <f>+'Gov Rev'!AI156-'Gov Exp'!AE156+'Gov Exp'!AI156-'Gov Exp'!AK156</f>
        <v>0</v>
      </c>
    </row>
    <row r="157" spans="1:39" s="31" customFormat="1" ht="12.6" customHeight="1">
      <c r="A157" s="15" t="s">
        <v>404</v>
      </c>
      <c r="B157" s="15"/>
      <c r="C157" s="15" t="s">
        <v>403</v>
      </c>
      <c r="D157" s="15"/>
      <c r="E157" s="24">
        <v>600</v>
      </c>
      <c r="F157" s="24"/>
      <c r="G157" s="24">
        <v>800</v>
      </c>
      <c r="H157" s="24"/>
      <c r="I157" s="24">
        <v>0</v>
      </c>
      <c r="J157" s="24"/>
      <c r="K157" s="24">
        <v>0</v>
      </c>
      <c r="L157" s="24"/>
      <c r="M157" s="24">
        <v>1170</v>
      </c>
      <c r="N157" s="24"/>
      <c r="O157" s="24">
        <v>127</v>
      </c>
      <c r="P157" s="24"/>
      <c r="Q157" s="24">
        <f>14293+183</f>
        <v>14476</v>
      </c>
      <c r="R157" s="24"/>
      <c r="S157" s="24">
        <v>0</v>
      </c>
      <c r="T157" s="24"/>
      <c r="U157" s="24">
        <v>0</v>
      </c>
      <c r="V157" s="24"/>
      <c r="W157" s="24">
        <v>0</v>
      </c>
      <c r="X157" s="24"/>
      <c r="Y157" s="24">
        <v>407</v>
      </c>
      <c r="Z157" s="24"/>
      <c r="AA157" s="24">
        <v>0</v>
      </c>
      <c r="AB157" s="24"/>
      <c r="AC157" s="24">
        <v>0</v>
      </c>
      <c r="AD157" s="24"/>
      <c r="AE157" s="24">
        <f t="shared" si="4"/>
        <v>17580</v>
      </c>
      <c r="AF157" s="24"/>
      <c r="AG157" s="65">
        <f>-1859+4269</f>
        <v>2410</v>
      </c>
      <c r="AH157" s="65"/>
      <c r="AI157" s="65">
        <f>28788+8542</f>
        <v>37330</v>
      </c>
      <c r="AJ157" s="65"/>
      <c r="AK157" s="65">
        <f>26929+12811</f>
        <v>39740</v>
      </c>
      <c r="AM157" s="24">
        <f>+'Gov Rev'!AI157-'Gov Exp'!AE157+'Gov Exp'!AI157-'Gov Exp'!AK157</f>
        <v>0</v>
      </c>
    </row>
    <row r="158" spans="1:39" s="31" customFormat="1" hidden="1">
      <c r="A158" s="15" t="s">
        <v>446</v>
      </c>
      <c r="B158" s="15"/>
      <c r="C158" s="15" t="s">
        <v>447</v>
      </c>
      <c r="D158" s="15"/>
      <c r="E158" s="24">
        <v>0</v>
      </c>
      <c r="F158" s="24"/>
      <c r="G158" s="24">
        <v>0</v>
      </c>
      <c r="H158" s="24"/>
      <c r="I158" s="24">
        <v>0</v>
      </c>
      <c r="J158" s="24"/>
      <c r="K158" s="24">
        <v>0</v>
      </c>
      <c r="L158" s="24"/>
      <c r="M158" s="24">
        <v>0</v>
      </c>
      <c r="N158" s="24"/>
      <c r="O158" s="24">
        <v>0</v>
      </c>
      <c r="P158" s="24"/>
      <c r="Q158" s="24">
        <v>0</v>
      </c>
      <c r="R158" s="24"/>
      <c r="S158" s="24">
        <v>0</v>
      </c>
      <c r="T158" s="24"/>
      <c r="U158" s="24">
        <v>0</v>
      </c>
      <c r="V158" s="24"/>
      <c r="W158" s="24">
        <v>0</v>
      </c>
      <c r="X158" s="24"/>
      <c r="Y158" s="24">
        <v>0</v>
      </c>
      <c r="Z158" s="24"/>
      <c r="AA158" s="24">
        <v>0</v>
      </c>
      <c r="AB158" s="24"/>
      <c r="AC158" s="24">
        <v>0</v>
      </c>
      <c r="AD158" s="24"/>
      <c r="AE158" s="24">
        <f t="shared" si="4"/>
        <v>0</v>
      </c>
      <c r="AF158" s="24"/>
      <c r="AG158" s="65"/>
      <c r="AH158" s="65"/>
      <c r="AI158" s="65"/>
      <c r="AJ158" s="65"/>
      <c r="AK158" s="65"/>
      <c r="AM158" s="24">
        <f>+'Gov Rev'!AI158-'Gov Exp'!AE158+'Gov Exp'!AI158-'Gov Exp'!AK158</f>
        <v>0</v>
      </c>
    </row>
    <row r="159" spans="1:39" s="24" customFormat="1" ht="12.75" hidden="1">
      <c r="A159" s="24" t="s">
        <v>28</v>
      </c>
      <c r="C159" s="24" t="s">
        <v>758</v>
      </c>
      <c r="D159" s="85"/>
      <c r="E159" s="24">
        <v>0</v>
      </c>
      <c r="G159" s="24">
        <v>0</v>
      </c>
      <c r="I159" s="24">
        <v>0</v>
      </c>
      <c r="K159" s="24">
        <v>0</v>
      </c>
      <c r="M159" s="24">
        <v>0</v>
      </c>
      <c r="O159" s="24">
        <v>0</v>
      </c>
      <c r="Q159" s="24">
        <v>0</v>
      </c>
      <c r="S159" s="24">
        <v>0</v>
      </c>
      <c r="U159" s="24">
        <v>0</v>
      </c>
      <c r="W159" s="24">
        <v>0</v>
      </c>
      <c r="Y159" s="24">
        <v>0</v>
      </c>
      <c r="AA159" s="24">
        <v>0</v>
      </c>
      <c r="AC159" s="24">
        <v>0</v>
      </c>
      <c r="AE159" s="24">
        <f t="shared" si="4"/>
        <v>0</v>
      </c>
      <c r="AG159" s="64"/>
      <c r="AH159" s="64"/>
      <c r="AI159" s="64"/>
      <c r="AJ159" s="64"/>
      <c r="AK159" s="64"/>
      <c r="AM159" s="24">
        <f>+'Gov Rev'!AI159-'Gov Exp'!AE159+'Gov Exp'!AI159-'Gov Exp'!AK159</f>
        <v>0</v>
      </c>
    </row>
    <row r="160" spans="1:39" ht="12.6" hidden="1" customHeight="1">
      <c r="A160" s="15" t="s">
        <v>28</v>
      </c>
      <c r="C160" s="15" t="s">
        <v>292</v>
      </c>
      <c r="E160" s="24">
        <v>0</v>
      </c>
      <c r="G160" s="24">
        <v>0</v>
      </c>
      <c r="I160" s="24">
        <v>0</v>
      </c>
      <c r="K160" s="24">
        <v>0</v>
      </c>
      <c r="M160" s="24">
        <v>0</v>
      </c>
      <c r="O160" s="24">
        <v>0</v>
      </c>
      <c r="Q160" s="24">
        <v>0</v>
      </c>
      <c r="S160" s="24">
        <v>0</v>
      </c>
      <c r="U160" s="24">
        <v>0</v>
      </c>
      <c r="W160" s="24">
        <v>0</v>
      </c>
      <c r="Y160" s="24">
        <v>0</v>
      </c>
      <c r="AA160" s="24">
        <v>0</v>
      </c>
      <c r="AC160" s="24">
        <v>0</v>
      </c>
      <c r="AE160" s="24">
        <f t="shared" si="4"/>
        <v>0</v>
      </c>
      <c r="AF160" s="24"/>
      <c r="AM160" s="24">
        <f>+'Gov Rev'!AI159-'Gov Exp'!AE160+'Gov Exp'!AI160-'Gov Exp'!AK160</f>
        <v>0</v>
      </c>
    </row>
    <row r="161" spans="1:39" s="31" customFormat="1" hidden="1">
      <c r="A161" s="15" t="s">
        <v>359</v>
      </c>
      <c r="B161" s="15"/>
      <c r="C161" s="15" t="s">
        <v>358</v>
      </c>
      <c r="D161" s="15"/>
      <c r="E161" s="24">
        <f>212443+2090</f>
        <v>214533</v>
      </c>
      <c r="F161" s="24"/>
      <c r="G161" s="24">
        <v>0</v>
      </c>
      <c r="H161" s="24"/>
      <c r="I161" s="24">
        <v>125867</v>
      </c>
      <c r="J161" s="24"/>
      <c r="K161" s="24">
        <v>0</v>
      </c>
      <c r="L161" s="24"/>
      <c r="M161" s="24">
        <v>0</v>
      </c>
      <c r="N161" s="24"/>
      <c r="O161" s="24">
        <v>204571</v>
      </c>
      <c r="P161" s="24"/>
      <c r="Q161" s="24">
        <v>0</v>
      </c>
      <c r="R161" s="24"/>
      <c r="S161" s="24">
        <v>208082</v>
      </c>
      <c r="T161" s="24"/>
      <c r="U161" s="24">
        <f>172725+1438</f>
        <v>174163</v>
      </c>
      <c r="V161" s="24"/>
      <c r="W161" s="24">
        <v>0</v>
      </c>
      <c r="X161" s="24"/>
      <c r="Y161" s="24">
        <v>66982</v>
      </c>
      <c r="Z161" s="24"/>
      <c r="AA161" s="24">
        <v>0</v>
      </c>
      <c r="AB161" s="24"/>
      <c r="AC161" s="24">
        <v>0</v>
      </c>
      <c r="AD161" s="24"/>
      <c r="AE161" s="24">
        <f t="shared" si="4"/>
        <v>994198</v>
      </c>
      <c r="AF161" s="24"/>
      <c r="AG161" s="65"/>
      <c r="AH161" s="65"/>
      <c r="AI161" s="65">
        <f>222419+35524+268742+19696</f>
        <v>546381</v>
      </c>
      <c r="AJ161" s="65"/>
      <c r="AK161" s="65">
        <f>331157+13832+242946+19405</f>
        <v>607340</v>
      </c>
      <c r="AM161" s="24">
        <f>+'Gov Rev'!AI160-'Gov Exp'!AE161+'Gov Exp'!AI161-'Gov Exp'!AK161</f>
        <v>-243352</v>
      </c>
    </row>
    <row r="162" spans="1:39" ht="12.75" hidden="1">
      <c r="A162" s="15" t="s">
        <v>232</v>
      </c>
      <c r="C162" s="15" t="s">
        <v>823</v>
      </c>
      <c r="D162" s="28"/>
      <c r="E162" s="24">
        <v>0</v>
      </c>
      <c r="G162" s="24">
        <v>0</v>
      </c>
      <c r="I162" s="24">
        <v>0</v>
      </c>
      <c r="K162" s="24">
        <v>0</v>
      </c>
      <c r="M162" s="24">
        <v>0</v>
      </c>
      <c r="O162" s="24">
        <v>0</v>
      </c>
      <c r="Q162" s="24">
        <v>0</v>
      </c>
      <c r="S162" s="24">
        <v>0</v>
      </c>
      <c r="U162" s="24">
        <v>0</v>
      </c>
      <c r="W162" s="24">
        <v>0</v>
      </c>
      <c r="Y162" s="24">
        <v>0</v>
      </c>
      <c r="AA162" s="24">
        <v>0</v>
      </c>
      <c r="AC162" s="24">
        <v>0</v>
      </c>
      <c r="AE162" s="24">
        <f t="shared" si="4"/>
        <v>0</v>
      </c>
      <c r="AF162" s="24"/>
      <c r="AM162" s="24">
        <f>+'Gov Rev'!AI161-'Gov Exp'!AE162+'Gov Exp'!AI162-'Gov Exp'!AK162</f>
        <v>0</v>
      </c>
    </row>
    <row r="163" spans="1:39" ht="12.75" hidden="1">
      <c r="A163" s="15" t="s">
        <v>104</v>
      </c>
      <c r="C163" s="15" t="s">
        <v>782</v>
      </c>
      <c r="D163" s="28"/>
      <c r="E163" s="24">
        <v>0</v>
      </c>
      <c r="G163" s="24">
        <v>0</v>
      </c>
      <c r="I163" s="24">
        <v>0</v>
      </c>
      <c r="K163" s="24">
        <v>0</v>
      </c>
      <c r="M163" s="24">
        <v>0</v>
      </c>
      <c r="O163" s="24">
        <v>0</v>
      </c>
      <c r="Q163" s="24">
        <v>0</v>
      </c>
      <c r="S163" s="24">
        <v>0</v>
      </c>
      <c r="U163" s="24">
        <v>0</v>
      </c>
      <c r="W163" s="24">
        <v>0</v>
      </c>
      <c r="Y163" s="24">
        <v>0</v>
      </c>
      <c r="AA163" s="24">
        <v>0</v>
      </c>
      <c r="AC163" s="24">
        <v>0</v>
      </c>
      <c r="AE163" s="24">
        <f t="shared" si="4"/>
        <v>0</v>
      </c>
      <c r="AF163" s="24"/>
      <c r="AM163" s="24">
        <f>+'Gov Rev'!AI162-'Gov Exp'!AE163+'Gov Exp'!AI163-'Gov Exp'!AK163</f>
        <v>0</v>
      </c>
    </row>
    <row r="164" spans="1:39" s="31" customFormat="1">
      <c r="A164" s="15" t="s">
        <v>496</v>
      </c>
      <c r="B164" s="15"/>
      <c r="C164" s="15" t="s">
        <v>494</v>
      </c>
      <c r="D164" s="15"/>
      <c r="E164" s="24">
        <v>3470</v>
      </c>
      <c r="F164" s="24"/>
      <c r="G164" s="24">
        <v>0</v>
      </c>
      <c r="H164" s="24"/>
      <c r="I164" s="24">
        <v>3443</v>
      </c>
      <c r="J164" s="24"/>
      <c r="K164" s="24">
        <v>0</v>
      </c>
      <c r="L164" s="24"/>
      <c r="M164" s="24">
        <v>3155</v>
      </c>
      <c r="N164" s="24"/>
      <c r="O164" s="24">
        <f>18835+753+1209-2</f>
        <v>20795</v>
      </c>
      <c r="P164" s="24"/>
      <c r="Q164" s="24">
        <v>9953</v>
      </c>
      <c r="R164" s="24"/>
      <c r="S164" s="24">
        <v>0</v>
      </c>
      <c r="T164" s="24"/>
      <c r="U164" s="24">
        <v>0</v>
      </c>
      <c r="V164" s="24"/>
      <c r="W164" s="24">
        <v>0</v>
      </c>
      <c r="X164" s="24"/>
      <c r="Y164" s="24">
        <v>4000</v>
      </c>
      <c r="Z164" s="24"/>
      <c r="AA164" s="24">
        <v>0</v>
      </c>
      <c r="AB164" s="24"/>
      <c r="AC164" s="24">
        <v>0</v>
      </c>
      <c r="AD164" s="24"/>
      <c r="AE164" s="24">
        <f t="shared" si="4"/>
        <v>44816</v>
      </c>
      <c r="AF164" s="24"/>
      <c r="AG164" s="65">
        <f>1450-6601+178+73</f>
        <v>-4900</v>
      </c>
      <c r="AH164" s="65"/>
      <c r="AI164" s="65">
        <f>-1710+34430+495+3673</f>
        <v>36888</v>
      </c>
      <c r="AJ164" s="65"/>
      <c r="AK164" s="65">
        <f>-260+27828+674+3746</f>
        <v>31988</v>
      </c>
      <c r="AM164" s="24">
        <f>+'Gov Rev'!AI163-'Gov Exp'!AE164+'Gov Exp'!AI164-'Gov Exp'!AK164</f>
        <v>0</v>
      </c>
    </row>
    <row r="165" spans="1:39" s="31" customFormat="1" ht="12.75" hidden="1">
      <c r="A165" s="15" t="s">
        <v>116</v>
      </c>
      <c r="B165" s="15"/>
      <c r="C165" s="15" t="s">
        <v>786</v>
      </c>
      <c r="D165" s="28"/>
      <c r="E165" s="24">
        <v>0</v>
      </c>
      <c r="F165" s="24"/>
      <c r="G165" s="24">
        <v>0</v>
      </c>
      <c r="H165" s="24"/>
      <c r="I165" s="24">
        <v>0</v>
      </c>
      <c r="J165" s="24"/>
      <c r="K165" s="24">
        <v>0</v>
      </c>
      <c r="L165" s="24"/>
      <c r="M165" s="24">
        <v>0</v>
      </c>
      <c r="N165" s="24"/>
      <c r="O165" s="24">
        <v>0</v>
      </c>
      <c r="P165" s="24"/>
      <c r="Q165" s="24">
        <v>0</v>
      </c>
      <c r="R165" s="24"/>
      <c r="S165" s="24">
        <v>0</v>
      </c>
      <c r="T165" s="24"/>
      <c r="U165" s="24">
        <v>0</v>
      </c>
      <c r="V165" s="24"/>
      <c r="W165" s="24">
        <v>0</v>
      </c>
      <c r="X165" s="24"/>
      <c r="Y165" s="24">
        <v>0</v>
      </c>
      <c r="Z165" s="24"/>
      <c r="AA165" s="24">
        <v>0</v>
      </c>
      <c r="AB165" s="24"/>
      <c r="AC165" s="24">
        <v>0</v>
      </c>
      <c r="AD165" s="24"/>
      <c r="AE165" s="24">
        <f t="shared" si="4"/>
        <v>0</v>
      </c>
      <c r="AF165" s="24"/>
      <c r="AG165" s="65"/>
      <c r="AH165" s="65"/>
      <c r="AI165" s="65"/>
      <c r="AJ165" s="65"/>
      <c r="AK165" s="65"/>
      <c r="AM165" s="24">
        <f>+'Gov Rev'!AI164-'Gov Exp'!AE165+'Gov Exp'!AI165-'Gov Exp'!AK165</f>
        <v>0</v>
      </c>
    </row>
    <row r="166" spans="1:39" ht="12.6" hidden="1" customHeight="1">
      <c r="A166" s="15" t="s">
        <v>834</v>
      </c>
      <c r="C166" s="15" t="s">
        <v>292</v>
      </c>
      <c r="E166" s="24">
        <v>0</v>
      </c>
      <c r="G166" s="24">
        <v>0</v>
      </c>
      <c r="I166" s="24">
        <v>0</v>
      </c>
      <c r="K166" s="24">
        <v>0</v>
      </c>
      <c r="M166" s="24">
        <v>0</v>
      </c>
      <c r="O166" s="24">
        <v>0</v>
      </c>
      <c r="Q166" s="24">
        <v>0</v>
      </c>
      <c r="S166" s="24">
        <v>0</v>
      </c>
      <c r="U166" s="24">
        <v>0</v>
      </c>
      <c r="W166" s="24">
        <v>0</v>
      </c>
      <c r="Y166" s="24">
        <v>0</v>
      </c>
      <c r="AA166" s="24">
        <v>0</v>
      </c>
      <c r="AC166" s="24">
        <v>0</v>
      </c>
      <c r="AE166" s="24">
        <f t="shared" si="4"/>
        <v>0</v>
      </c>
      <c r="AF166" s="24"/>
      <c r="AM166" s="24">
        <f>+'Gov Rev'!AI165-'Gov Exp'!AE166+'Gov Exp'!AI166-'Gov Exp'!AK166</f>
        <v>0</v>
      </c>
    </row>
    <row r="167" spans="1:39" s="31" customFormat="1" hidden="1">
      <c r="A167" s="15" t="s">
        <v>597</v>
      </c>
      <c r="B167" s="15"/>
      <c r="C167" s="15" t="s">
        <v>593</v>
      </c>
      <c r="D167" s="15"/>
      <c r="E167" s="24">
        <v>0</v>
      </c>
      <c r="F167" s="24"/>
      <c r="G167" s="24">
        <v>0</v>
      </c>
      <c r="H167" s="24"/>
      <c r="I167" s="24">
        <v>0</v>
      </c>
      <c r="J167" s="24"/>
      <c r="K167" s="24">
        <v>0</v>
      </c>
      <c r="L167" s="24"/>
      <c r="M167" s="24">
        <v>0</v>
      </c>
      <c r="N167" s="24"/>
      <c r="O167" s="24">
        <v>0</v>
      </c>
      <c r="P167" s="24"/>
      <c r="Q167" s="24">
        <v>0</v>
      </c>
      <c r="R167" s="24"/>
      <c r="S167" s="24">
        <v>0</v>
      </c>
      <c r="T167" s="24"/>
      <c r="U167" s="24">
        <v>0</v>
      </c>
      <c r="V167" s="24"/>
      <c r="W167" s="24">
        <v>0</v>
      </c>
      <c r="X167" s="24"/>
      <c r="Y167" s="24">
        <v>0</v>
      </c>
      <c r="Z167" s="24"/>
      <c r="AA167" s="24">
        <v>0</v>
      </c>
      <c r="AB167" s="24"/>
      <c r="AC167" s="24">
        <v>0</v>
      </c>
      <c r="AD167" s="24"/>
      <c r="AE167" s="24">
        <f t="shared" si="4"/>
        <v>0</v>
      </c>
      <c r="AF167" s="24"/>
      <c r="AG167" s="65"/>
      <c r="AH167" s="65"/>
      <c r="AI167" s="65"/>
      <c r="AJ167" s="65"/>
      <c r="AK167" s="65"/>
      <c r="AM167" s="24">
        <f>+'Gov Rev'!AI166-'Gov Exp'!AE167+'Gov Exp'!AI167-'Gov Exp'!AK167</f>
        <v>0</v>
      </c>
    </row>
    <row r="168" spans="1:39" ht="12.75" hidden="1">
      <c r="A168" s="15" t="s">
        <v>174</v>
      </c>
      <c r="C168" s="15" t="s">
        <v>805</v>
      </c>
      <c r="D168" s="28"/>
      <c r="E168" s="24">
        <v>0</v>
      </c>
      <c r="G168" s="24">
        <v>0</v>
      </c>
      <c r="I168" s="24">
        <v>0</v>
      </c>
      <c r="K168" s="24">
        <v>0</v>
      </c>
      <c r="M168" s="24">
        <v>0</v>
      </c>
      <c r="O168" s="24">
        <v>0</v>
      </c>
      <c r="Q168" s="24">
        <v>0</v>
      </c>
      <c r="S168" s="24">
        <v>0</v>
      </c>
      <c r="U168" s="24">
        <v>0</v>
      </c>
      <c r="W168" s="24">
        <v>0</v>
      </c>
      <c r="Y168" s="24">
        <v>0</v>
      </c>
      <c r="AA168" s="24">
        <v>0</v>
      </c>
      <c r="AC168" s="24">
        <v>0</v>
      </c>
      <c r="AE168" s="24">
        <f t="shared" si="4"/>
        <v>0</v>
      </c>
      <c r="AF168" s="24"/>
      <c r="AM168" s="24">
        <f>+'Gov Rev'!AI167-'Gov Exp'!AE168+'Gov Exp'!AI168-'Gov Exp'!AK168</f>
        <v>0</v>
      </c>
    </row>
    <row r="169" spans="1:39" s="29" customFormat="1" hidden="1">
      <c r="A169" s="24" t="s">
        <v>397</v>
      </c>
      <c r="B169" s="24"/>
      <c r="C169" s="24" t="s">
        <v>396</v>
      </c>
      <c r="D169" s="24"/>
      <c r="E169" s="24">
        <v>0</v>
      </c>
      <c r="F169" s="24"/>
      <c r="G169" s="24">
        <v>0</v>
      </c>
      <c r="H169" s="24"/>
      <c r="I169" s="24">
        <v>0</v>
      </c>
      <c r="J169" s="24"/>
      <c r="K169" s="24">
        <v>0</v>
      </c>
      <c r="L169" s="24"/>
      <c r="M169" s="24">
        <v>0</v>
      </c>
      <c r="N169" s="24"/>
      <c r="O169" s="24">
        <v>0</v>
      </c>
      <c r="P169" s="24"/>
      <c r="Q169" s="24">
        <v>0</v>
      </c>
      <c r="R169" s="24"/>
      <c r="S169" s="24">
        <v>0</v>
      </c>
      <c r="T169" s="24"/>
      <c r="U169" s="24">
        <v>0</v>
      </c>
      <c r="V169" s="24"/>
      <c r="W169" s="24">
        <v>0</v>
      </c>
      <c r="X169" s="24"/>
      <c r="Y169" s="24">
        <v>0</v>
      </c>
      <c r="Z169" s="24"/>
      <c r="AA169" s="24">
        <v>0</v>
      </c>
      <c r="AB169" s="24"/>
      <c r="AC169" s="24">
        <v>0</v>
      </c>
      <c r="AD169" s="24"/>
      <c r="AE169" s="24">
        <f t="shared" si="4"/>
        <v>0</v>
      </c>
      <c r="AF169" s="24"/>
      <c r="AG169" s="65"/>
      <c r="AH169" s="65"/>
      <c r="AI169" s="65"/>
      <c r="AJ169" s="65"/>
      <c r="AK169" s="65"/>
      <c r="AM169" s="24">
        <f>+'Gov Rev'!AI168-'Gov Exp'!AE169+'Gov Exp'!AI169-'Gov Exp'!AK169</f>
        <v>0</v>
      </c>
    </row>
    <row r="170" spans="1:39" ht="12.75" hidden="1">
      <c r="A170" s="15" t="s">
        <v>203</v>
      </c>
      <c r="C170" s="15" t="s">
        <v>813</v>
      </c>
      <c r="D170" s="28"/>
      <c r="E170" s="24">
        <v>0</v>
      </c>
      <c r="G170" s="24">
        <v>0</v>
      </c>
      <c r="I170" s="24">
        <v>0</v>
      </c>
      <c r="K170" s="24">
        <v>0</v>
      </c>
      <c r="M170" s="24">
        <v>0</v>
      </c>
      <c r="O170" s="24">
        <v>0</v>
      </c>
      <c r="Q170" s="24">
        <v>0</v>
      </c>
      <c r="S170" s="24">
        <v>0</v>
      </c>
      <c r="U170" s="24">
        <v>0</v>
      </c>
      <c r="W170" s="24">
        <v>0</v>
      </c>
      <c r="Y170" s="24">
        <v>0</v>
      </c>
      <c r="AA170" s="24">
        <v>0</v>
      </c>
      <c r="AC170" s="24">
        <v>0</v>
      </c>
      <c r="AE170" s="24">
        <f t="shared" si="4"/>
        <v>0</v>
      </c>
      <c r="AF170" s="24"/>
      <c r="AM170" s="24">
        <f>+'Gov Rev'!AI169-'Gov Exp'!AE170+'Gov Exp'!AI170-'Gov Exp'!AK170</f>
        <v>0</v>
      </c>
    </row>
    <row r="171" spans="1:39" s="29" customFormat="1" hidden="1">
      <c r="A171" s="24" t="s">
        <v>547</v>
      </c>
      <c r="B171" s="24"/>
      <c r="C171" s="24" t="s">
        <v>545</v>
      </c>
      <c r="D171" s="24"/>
      <c r="E171" s="24">
        <v>0</v>
      </c>
      <c r="F171" s="24"/>
      <c r="G171" s="24">
        <v>0</v>
      </c>
      <c r="H171" s="24"/>
      <c r="I171" s="24">
        <v>0</v>
      </c>
      <c r="J171" s="24"/>
      <c r="K171" s="24">
        <v>0</v>
      </c>
      <c r="L171" s="24"/>
      <c r="M171" s="24">
        <v>0</v>
      </c>
      <c r="N171" s="24"/>
      <c r="O171" s="24">
        <v>0</v>
      </c>
      <c r="P171" s="24"/>
      <c r="Q171" s="24">
        <v>0</v>
      </c>
      <c r="R171" s="24"/>
      <c r="S171" s="24">
        <v>0</v>
      </c>
      <c r="T171" s="24"/>
      <c r="U171" s="24">
        <v>0</v>
      </c>
      <c r="V171" s="24"/>
      <c r="W171" s="24">
        <v>0</v>
      </c>
      <c r="X171" s="24"/>
      <c r="Y171" s="24">
        <v>0</v>
      </c>
      <c r="Z171" s="24"/>
      <c r="AA171" s="24">
        <v>0</v>
      </c>
      <c r="AB171" s="24"/>
      <c r="AC171" s="24">
        <v>0</v>
      </c>
      <c r="AD171" s="24"/>
      <c r="AE171" s="24">
        <f t="shared" si="4"/>
        <v>0</v>
      </c>
      <c r="AF171" s="24"/>
      <c r="AG171" s="65"/>
      <c r="AH171" s="65"/>
      <c r="AI171" s="65"/>
      <c r="AJ171" s="65"/>
      <c r="AK171" s="65"/>
      <c r="AM171" s="24">
        <f>+'Gov Rev'!AI170-'Gov Exp'!AE171+'Gov Exp'!AI171-'Gov Exp'!AK171</f>
        <v>0</v>
      </c>
    </row>
    <row r="172" spans="1:39" ht="12.75" hidden="1">
      <c r="A172" s="15" t="s">
        <v>224</v>
      </c>
      <c r="C172" s="15" t="s">
        <v>820</v>
      </c>
      <c r="D172" s="28"/>
      <c r="E172" s="24">
        <v>0</v>
      </c>
      <c r="G172" s="24">
        <v>0</v>
      </c>
      <c r="I172" s="24">
        <v>0</v>
      </c>
      <c r="K172" s="24">
        <v>0</v>
      </c>
      <c r="M172" s="24">
        <v>0</v>
      </c>
      <c r="O172" s="24">
        <v>0</v>
      </c>
      <c r="Q172" s="24">
        <v>0</v>
      </c>
      <c r="S172" s="24">
        <v>0</v>
      </c>
      <c r="U172" s="24">
        <v>0</v>
      </c>
      <c r="W172" s="24">
        <v>0</v>
      </c>
      <c r="Y172" s="24">
        <v>0</v>
      </c>
      <c r="AA172" s="24">
        <v>0</v>
      </c>
      <c r="AC172" s="24">
        <v>0</v>
      </c>
      <c r="AE172" s="24">
        <f t="shared" si="4"/>
        <v>0</v>
      </c>
      <c r="AF172" s="24"/>
      <c r="AM172" s="24">
        <f>+'Gov Rev'!AI172-'Gov Exp'!AE172+'Gov Exp'!AI172-'Gov Exp'!AK172</f>
        <v>0</v>
      </c>
    </row>
    <row r="173" spans="1:39" s="31" customFormat="1" hidden="1">
      <c r="A173" s="15" t="s">
        <v>600</v>
      </c>
      <c r="B173" s="15"/>
      <c r="C173" s="15" t="s">
        <v>601</v>
      </c>
      <c r="D173" s="15"/>
      <c r="E173" s="24">
        <v>0</v>
      </c>
      <c r="F173" s="24"/>
      <c r="G173" s="24">
        <v>0</v>
      </c>
      <c r="H173" s="24"/>
      <c r="I173" s="24">
        <v>0</v>
      </c>
      <c r="J173" s="24"/>
      <c r="K173" s="24">
        <v>0</v>
      </c>
      <c r="L173" s="24"/>
      <c r="M173" s="24">
        <v>0</v>
      </c>
      <c r="N173" s="24"/>
      <c r="O173" s="24">
        <v>0</v>
      </c>
      <c r="P173" s="24"/>
      <c r="Q173" s="24">
        <v>0</v>
      </c>
      <c r="R173" s="24"/>
      <c r="S173" s="24">
        <v>0</v>
      </c>
      <c r="T173" s="24"/>
      <c r="U173" s="24">
        <v>0</v>
      </c>
      <c r="V173" s="24"/>
      <c r="W173" s="24">
        <v>0</v>
      </c>
      <c r="X173" s="24"/>
      <c r="Y173" s="24">
        <v>0</v>
      </c>
      <c r="Z173" s="24"/>
      <c r="AA173" s="24">
        <v>0</v>
      </c>
      <c r="AB173" s="24"/>
      <c r="AC173" s="24">
        <v>0</v>
      </c>
      <c r="AD173" s="24"/>
      <c r="AE173" s="24">
        <f t="shared" si="4"/>
        <v>0</v>
      </c>
      <c r="AF173" s="24"/>
      <c r="AG173" s="65"/>
      <c r="AH173" s="65"/>
      <c r="AI173" s="65"/>
      <c r="AJ173" s="65"/>
      <c r="AK173" s="65"/>
      <c r="AM173" s="24">
        <f>+'Gov Rev'!AI173-'Gov Exp'!AE173+'Gov Exp'!AI173-'Gov Exp'!AK173</f>
        <v>0</v>
      </c>
    </row>
    <row r="174" spans="1:39" ht="12.75" hidden="1">
      <c r="A174" s="15" t="s">
        <v>172</v>
      </c>
      <c r="C174" s="15" t="s">
        <v>804</v>
      </c>
      <c r="D174" s="28"/>
      <c r="E174" s="24">
        <v>0</v>
      </c>
      <c r="G174" s="24">
        <v>0</v>
      </c>
      <c r="I174" s="24">
        <v>0</v>
      </c>
      <c r="K174" s="24">
        <v>0</v>
      </c>
      <c r="M174" s="24">
        <v>0</v>
      </c>
      <c r="O174" s="24">
        <v>0</v>
      </c>
      <c r="Q174" s="24">
        <v>0</v>
      </c>
      <c r="S174" s="24">
        <v>0</v>
      </c>
      <c r="U174" s="24">
        <v>0</v>
      </c>
      <c r="W174" s="24">
        <v>0</v>
      </c>
      <c r="Y174" s="24">
        <v>0</v>
      </c>
      <c r="AA174" s="24">
        <v>0</v>
      </c>
      <c r="AC174" s="24">
        <v>0</v>
      </c>
      <c r="AE174" s="24">
        <f t="shared" ref="AE174:AE210" si="5">SUM(E174:AC174)</f>
        <v>0</v>
      </c>
      <c r="AF174" s="24"/>
      <c r="AM174" s="24">
        <f>+'Gov Rev'!AI174-'Gov Exp'!AE174+'Gov Exp'!AI174-'Gov Exp'!AK174</f>
        <v>0</v>
      </c>
    </row>
    <row r="175" spans="1:39" ht="12.75" hidden="1">
      <c r="A175" s="15" t="s">
        <v>253</v>
      </c>
      <c r="C175" s="15" t="s">
        <v>829</v>
      </c>
      <c r="D175" s="28"/>
      <c r="E175" s="24">
        <v>0</v>
      </c>
      <c r="G175" s="24">
        <v>0</v>
      </c>
      <c r="I175" s="24">
        <v>0</v>
      </c>
      <c r="K175" s="24">
        <v>0</v>
      </c>
      <c r="M175" s="24">
        <v>0</v>
      </c>
      <c r="O175" s="24">
        <v>0</v>
      </c>
      <c r="Q175" s="24">
        <v>0</v>
      </c>
      <c r="S175" s="24">
        <v>0</v>
      </c>
      <c r="U175" s="24">
        <v>0</v>
      </c>
      <c r="W175" s="24">
        <v>0</v>
      </c>
      <c r="Y175" s="24">
        <v>0</v>
      </c>
      <c r="AA175" s="24">
        <v>0</v>
      </c>
      <c r="AC175" s="24">
        <v>0</v>
      </c>
      <c r="AE175" s="24">
        <f t="shared" si="5"/>
        <v>0</v>
      </c>
      <c r="AF175" s="24"/>
      <c r="AM175" s="24">
        <f>+'Gov Rev'!AI174-'Gov Exp'!AE175+'Gov Exp'!AI175-'Gov Exp'!AK175</f>
        <v>0</v>
      </c>
    </row>
    <row r="176" spans="1:39" ht="12.75" hidden="1">
      <c r="A176" s="15" t="s">
        <v>200</v>
      </c>
      <c r="C176" s="15" t="s">
        <v>812</v>
      </c>
      <c r="D176" s="28"/>
      <c r="E176" s="24">
        <v>0</v>
      </c>
      <c r="G176" s="24">
        <v>0</v>
      </c>
      <c r="I176" s="24">
        <v>0</v>
      </c>
      <c r="K176" s="24">
        <v>0</v>
      </c>
      <c r="M176" s="24">
        <v>0</v>
      </c>
      <c r="O176" s="24">
        <v>0</v>
      </c>
      <c r="Q176" s="24">
        <v>0</v>
      </c>
      <c r="S176" s="24">
        <v>0</v>
      </c>
      <c r="U176" s="24">
        <v>0</v>
      </c>
      <c r="W176" s="24">
        <v>0</v>
      </c>
      <c r="Y176" s="24">
        <v>0</v>
      </c>
      <c r="AA176" s="24">
        <v>0</v>
      </c>
      <c r="AC176" s="24">
        <v>0</v>
      </c>
      <c r="AE176" s="24">
        <f t="shared" si="5"/>
        <v>0</v>
      </c>
      <c r="AF176" s="24"/>
      <c r="AM176" s="24">
        <f>+'Gov Rev'!AI175-'Gov Exp'!AE176+'Gov Exp'!AI176-'Gov Exp'!AK176</f>
        <v>0</v>
      </c>
    </row>
    <row r="177" spans="1:39" s="31" customFormat="1" hidden="1">
      <c r="A177" s="15" t="s">
        <v>576</v>
      </c>
      <c r="B177" s="15"/>
      <c r="C177" s="15" t="s">
        <v>577</v>
      </c>
      <c r="D177" s="15"/>
      <c r="E177" s="24">
        <v>0</v>
      </c>
      <c r="F177" s="24"/>
      <c r="G177" s="24">
        <v>0</v>
      </c>
      <c r="H177" s="24"/>
      <c r="I177" s="24">
        <v>0</v>
      </c>
      <c r="J177" s="24"/>
      <c r="K177" s="24">
        <v>0</v>
      </c>
      <c r="L177" s="24"/>
      <c r="M177" s="24">
        <v>0</v>
      </c>
      <c r="N177" s="24"/>
      <c r="O177" s="24">
        <v>0</v>
      </c>
      <c r="P177" s="24"/>
      <c r="Q177" s="24">
        <v>0</v>
      </c>
      <c r="R177" s="24"/>
      <c r="S177" s="24">
        <v>0</v>
      </c>
      <c r="T177" s="24"/>
      <c r="U177" s="24">
        <v>0</v>
      </c>
      <c r="V177" s="24"/>
      <c r="W177" s="24">
        <v>0</v>
      </c>
      <c r="X177" s="24"/>
      <c r="Y177" s="24">
        <v>0</v>
      </c>
      <c r="Z177" s="24"/>
      <c r="AA177" s="24">
        <v>0</v>
      </c>
      <c r="AB177" s="24"/>
      <c r="AC177" s="24">
        <v>0</v>
      </c>
      <c r="AD177" s="24"/>
      <c r="AE177" s="24">
        <f t="shared" si="5"/>
        <v>0</v>
      </c>
      <c r="AF177" s="24"/>
      <c r="AG177" s="65">
        <f>3037+247+174</f>
        <v>3458</v>
      </c>
      <c r="AH177" s="65"/>
      <c r="AI177" s="65"/>
      <c r="AJ177" s="65"/>
      <c r="AK177" s="65"/>
      <c r="AM177" s="24">
        <f>+'Gov Rev'!AI176-'Gov Exp'!AE177+'Gov Exp'!AI177-'Gov Exp'!AK177</f>
        <v>3458</v>
      </c>
    </row>
    <row r="178" spans="1:39" ht="12.75" hidden="1">
      <c r="A178" s="15" t="s">
        <v>3</v>
      </c>
      <c r="C178" s="15" t="s">
        <v>751</v>
      </c>
      <c r="D178" s="28"/>
      <c r="E178" s="24">
        <v>0</v>
      </c>
      <c r="G178" s="24">
        <v>0</v>
      </c>
      <c r="I178" s="24">
        <v>0</v>
      </c>
      <c r="K178" s="24">
        <v>0</v>
      </c>
      <c r="M178" s="24">
        <v>0</v>
      </c>
      <c r="O178" s="24">
        <v>0</v>
      </c>
      <c r="Q178" s="24">
        <v>0</v>
      </c>
      <c r="S178" s="24">
        <v>0</v>
      </c>
      <c r="U178" s="24">
        <v>0</v>
      </c>
      <c r="W178" s="24">
        <v>0</v>
      </c>
      <c r="Y178" s="24">
        <v>0</v>
      </c>
      <c r="AA178" s="24">
        <v>0</v>
      </c>
      <c r="AC178" s="24">
        <v>0</v>
      </c>
      <c r="AE178" s="24">
        <f t="shared" si="5"/>
        <v>0</v>
      </c>
      <c r="AF178" s="24"/>
      <c r="AM178" s="24">
        <f>+'Gov Rev'!AI177-'Gov Exp'!AE178+'Gov Exp'!AI178-'Gov Exp'!AK178</f>
        <v>0</v>
      </c>
    </row>
    <row r="179" spans="1:39" ht="12.75" hidden="1">
      <c r="A179" s="15" t="s">
        <v>180</v>
      </c>
      <c r="C179" s="15" t="s">
        <v>807</v>
      </c>
      <c r="D179" s="28"/>
      <c r="E179" s="24">
        <v>0</v>
      </c>
      <c r="G179" s="24">
        <v>0</v>
      </c>
      <c r="I179" s="24">
        <v>0</v>
      </c>
      <c r="K179" s="24">
        <v>0</v>
      </c>
      <c r="M179" s="24">
        <v>0</v>
      </c>
      <c r="O179" s="24">
        <v>0</v>
      </c>
      <c r="Q179" s="24">
        <v>0</v>
      </c>
      <c r="S179" s="24">
        <v>0</v>
      </c>
      <c r="U179" s="24">
        <v>0</v>
      </c>
      <c r="W179" s="24">
        <v>0</v>
      </c>
      <c r="Y179" s="24">
        <v>0</v>
      </c>
      <c r="AA179" s="24">
        <v>0</v>
      </c>
      <c r="AC179" s="24">
        <v>0</v>
      </c>
      <c r="AE179" s="24">
        <f t="shared" si="5"/>
        <v>0</v>
      </c>
      <c r="AF179" s="24"/>
      <c r="AM179" s="24">
        <f>+'Gov Rev'!AI178-'Gov Exp'!AE179+'Gov Exp'!AI179-'Gov Exp'!AK179</f>
        <v>0</v>
      </c>
    </row>
    <row r="180" spans="1:39" s="31" customFormat="1" hidden="1">
      <c r="A180" s="15" t="s">
        <v>92</v>
      </c>
      <c r="B180" s="15"/>
      <c r="C180" s="15" t="s">
        <v>378</v>
      </c>
      <c r="D180" s="15"/>
      <c r="E180" s="24">
        <v>0</v>
      </c>
      <c r="F180" s="24"/>
      <c r="G180" s="24">
        <v>0</v>
      </c>
      <c r="H180" s="24"/>
      <c r="I180" s="24">
        <v>0</v>
      </c>
      <c r="J180" s="24"/>
      <c r="K180" s="24">
        <v>0</v>
      </c>
      <c r="L180" s="24"/>
      <c r="M180" s="24">
        <v>0</v>
      </c>
      <c r="N180" s="24"/>
      <c r="O180" s="24">
        <v>0</v>
      </c>
      <c r="P180" s="24"/>
      <c r="Q180" s="24">
        <v>0</v>
      </c>
      <c r="R180" s="24"/>
      <c r="S180" s="24">
        <v>0</v>
      </c>
      <c r="T180" s="24"/>
      <c r="U180" s="24">
        <v>0</v>
      </c>
      <c r="V180" s="24"/>
      <c r="W180" s="24">
        <v>0</v>
      </c>
      <c r="X180" s="24"/>
      <c r="Y180" s="24">
        <v>0</v>
      </c>
      <c r="Z180" s="24"/>
      <c r="AA180" s="24">
        <v>0</v>
      </c>
      <c r="AB180" s="24"/>
      <c r="AC180" s="24">
        <v>0</v>
      </c>
      <c r="AD180" s="24"/>
      <c r="AE180" s="24">
        <f t="shared" si="5"/>
        <v>0</v>
      </c>
      <c r="AF180" s="24"/>
      <c r="AG180" s="65"/>
      <c r="AH180" s="65"/>
      <c r="AI180" s="65"/>
      <c r="AJ180" s="65"/>
      <c r="AK180" s="65"/>
      <c r="AM180" s="24">
        <f>+'Gov Rev'!AI179-'Gov Exp'!AE180+'Gov Exp'!AI180-'Gov Exp'!AK180</f>
        <v>0</v>
      </c>
    </row>
    <row r="181" spans="1:39" s="31" customFormat="1" ht="12.75" hidden="1">
      <c r="A181" s="15" t="s">
        <v>117</v>
      </c>
      <c r="B181" s="15"/>
      <c r="C181" s="15" t="s">
        <v>786</v>
      </c>
      <c r="D181" s="28"/>
      <c r="E181" s="24">
        <v>0</v>
      </c>
      <c r="F181" s="24"/>
      <c r="G181" s="24">
        <v>0</v>
      </c>
      <c r="H181" s="24"/>
      <c r="I181" s="24">
        <v>0</v>
      </c>
      <c r="J181" s="24"/>
      <c r="K181" s="24">
        <v>0</v>
      </c>
      <c r="L181" s="24"/>
      <c r="M181" s="24">
        <v>0</v>
      </c>
      <c r="N181" s="24"/>
      <c r="O181" s="24">
        <v>0</v>
      </c>
      <c r="P181" s="24"/>
      <c r="Q181" s="24">
        <v>0</v>
      </c>
      <c r="R181" s="24"/>
      <c r="S181" s="24">
        <v>0</v>
      </c>
      <c r="T181" s="24"/>
      <c r="U181" s="24">
        <v>0</v>
      </c>
      <c r="V181" s="24"/>
      <c r="W181" s="24">
        <v>0</v>
      </c>
      <c r="X181" s="24"/>
      <c r="Y181" s="24">
        <v>0</v>
      </c>
      <c r="Z181" s="24"/>
      <c r="AA181" s="24">
        <v>0</v>
      </c>
      <c r="AB181" s="24"/>
      <c r="AC181" s="24">
        <v>0</v>
      </c>
      <c r="AD181" s="24"/>
      <c r="AE181" s="24">
        <f t="shared" si="5"/>
        <v>0</v>
      </c>
      <c r="AF181" s="24"/>
      <c r="AG181" s="65"/>
      <c r="AH181" s="65"/>
      <c r="AI181" s="65"/>
      <c r="AJ181" s="65"/>
      <c r="AK181" s="65"/>
      <c r="AM181" s="24">
        <f>+'Gov Rev'!AI180-'Gov Exp'!AE181+'Gov Exp'!AI181-'Gov Exp'!AK181</f>
        <v>0</v>
      </c>
    </row>
    <row r="182" spans="1:39" ht="12.6" customHeight="1">
      <c r="A182" s="15" t="s">
        <v>291</v>
      </c>
      <c r="C182" s="15" t="s">
        <v>292</v>
      </c>
      <c r="E182" s="24">
        <f>68384+3700</f>
        <v>72084</v>
      </c>
      <c r="G182" s="24">
        <v>0</v>
      </c>
      <c r="I182" s="24">
        <v>4429</v>
      </c>
      <c r="K182" s="24">
        <v>0</v>
      </c>
      <c r="M182" s="24">
        <v>0</v>
      </c>
      <c r="O182" s="24">
        <v>33185</v>
      </c>
      <c r="Q182" s="24">
        <v>212490</v>
      </c>
      <c r="S182" s="24">
        <f>15920+51980+109403+117475+24843+28487</f>
        <v>348108</v>
      </c>
      <c r="U182" s="24">
        <v>0</v>
      </c>
      <c r="W182" s="24">
        <v>0</v>
      </c>
      <c r="Y182" s="24">
        <v>0</v>
      </c>
      <c r="AA182" s="24">
        <v>0</v>
      </c>
      <c r="AC182" s="24">
        <v>0</v>
      </c>
      <c r="AE182" s="24">
        <f t="shared" si="5"/>
        <v>670296</v>
      </c>
      <c r="AF182" s="24"/>
      <c r="AG182" s="64">
        <f>14880+24471</f>
        <v>39351</v>
      </c>
      <c r="AI182" s="64">
        <f>224254+140377</f>
        <v>364631</v>
      </c>
      <c r="AK182" s="64">
        <f>239134+164848</f>
        <v>403982</v>
      </c>
      <c r="AM182" s="24">
        <f>+'Gov Rev'!AI181-'Gov Exp'!AE182+'Gov Exp'!AI182-'Gov Exp'!AK182</f>
        <v>0</v>
      </c>
    </row>
    <row r="183" spans="1:39" s="31" customFormat="1">
      <c r="A183" s="15" t="s">
        <v>380</v>
      </c>
      <c r="B183" s="15"/>
      <c r="C183" s="15" t="s">
        <v>378</v>
      </c>
      <c r="D183" s="15"/>
      <c r="E183" s="24">
        <v>5352324</v>
      </c>
      <c r="F183" s="24"/>
      <c r="G183" s="24">
        <v>14404</v>
      </c>
      <c r="H183" s="24"/>
      <c r="I183" s="24">
        <f>1493662+300000</f>
        <v>1793662</v>
      </c>
      <c r="J183" s="24"/>
      <c r="K183" s="24">
        <v>257907</v>
      </c>
      <c r="L183" s="24"/>
      <c r="M183" s="24">
        <v>245921</v>
      </c>
      <c r="N183" s="24"/>
      <c r="O183" s="24">
        <v>1014216</v>
      </c>
      <c r="P183" s="24"/>
      <c r="Q183" s="24">
        <v>2587957</v>
      </c>
      <c r="R183" s="24"/>
      <c r="S183" s="24">
        <f>612879+417084+633184</f>
        <v>1663147</v>
      </c>
      <c r="T183" s="24"/>
      <c r="U183" s="24">
        <v>4325000</v>
      </c>
      <c r="V183" s="24"/>
      <c r="W183" s="24">
        <v>193623</v>
      </c>
      <c r="X183" s="24"/>
      <c r="Y183" s="24">
        <v>1462822</v>
      </c>
      <c r="Z183" s="24"/>
      <c r="AA183" s="24">
        <v>0</v>
      </c>
      <c r="AB183" s="24"/>
      <c r="AC183" s="24">
        <v>0</v>
      </c>
      <c r="AD183" s="24"/>
      <c r="AE183" s="24">
        <f t="shared" si="5"/>
        <v>18910983</v>
      </c>
      <c r="AF183" s="24"/>
      <c r="AG183" s="65">
        <f>1367309-417084+1502-350403</f>
        <v>601324</v>
      </c>
      <c r="AH183" s="65"/>
      <c r="AI183" s="65">
        <f>12410633+3086559+27230+1331116</f>
        <v>16855538</v>
      </c>
      <c r="AJ183" s="65"/>
      <c r="AK183" s="65">
        <f>13777942+2669475+28732+980713</f>
        <v>17456862</v>
      </c>
      <c r="AM183" s="24">
        <f>+'Gov Rev'!AI182-'Gov Exp'!AE183+'Gov Exp'!AI183-'Gov Exp'!AK183</f>
        <v>0</v>
      </c>
    </row>
    <row r="184" spans="1:39" ht="12.75" hidden="1">
      <c r="A184" s="15" t="s">
        <v>93</v>
      </c>
      <c r="C184" s="15" t="s">
        <v>778</v>
      </c>
      <c r="D184" s="28"/>
      <c r="E184" s="24">
        <v>0</v>
      </c>
      <c r="G184" s="24">
        <v>0</v>
      </c>
      <c r="I184" s="24">
        <v>0</v>
      </c>
      <c r="K184" s="24">
        <v>0</v>
      </c>
      <c r="M184" s="24">
        <v>0</v>
      </c>
      <c r="O184" s="24">
        <v>0</v>
      </c>
      <c r="Q184" s="24">
        <v>0</v>
      </c>
      <c r="S184" s="24">
        <v>0</v>
      </c>
      <c r="U184" s="24">
        <v>0</v>
      </c>
      <c r="W184" s="24">
        <v>0</v>
      </c>
      <c r="Y184" s="24">
        <v>0</v>
      </c>
      <c r="AA184" s="24">
        <v>0</v>
      </c>
      <c r="AC184" s="24">
        <v>0</v>
      </c>
      <c r="AE184" s="24">
        <f t="shared" si="5"/>
        <v>0</v>
      </c>
      <c r="AF184" s="24"/>
      <c r="AM184" s="24">
        <f>+'Gov Rev'!AI183-'Gov Exp'!AE184+'Gov Exp'!AI184-'Gov Exp'!AK184</f>
        <v>0</v>
      </c>
    </row>
    <row r="185" spans="1:39">
      <c r="A185" s="15" t="s">
        <v>429</v>
      </c>
      <c r="C185" s="15" t="s">
        <v>430</v>
      </c>
      <c r="E185" s="24">
        <f>975313+7514</f>
        <v>982827</v>
      </c>
      <c r="G185" s="24">
        <v>22458</v>
      </c>
      <c r="I185" s="24">
        <v>2010</v>
      </c>
      <c r="K185" s="24">
        <f>50994+720</f>
        <v>51714</v>
      </c>
      <c r="M185" s="24">
        <v>0</v>
      </c>
      <c r="O185" s="24">
        <f>209582+272653</f>
        <v>482235</v>
      </c>
      <c r="Q185" s="24">
        <v>517905</v>
      </c>
      <c r="S185" s="24">
        <f>102620+57603+445687</f>
        <v>605910</v>
      </c>
      <c r="U185" s="24">
        <f>149043+10200</f>
        <v>159243</v>
      </c>
      <c r="W185" s="24">
        <v>52105</v>
      </c>
      <c r="Y185" s="24">
        <f>129000+30243</f>
        <v>159243</v>
      </c>
      <c r="AA185" s="24">
        <v>10000</v>
      </c>
      <c r="AC185" s="24">
        <v>0</v>
      </c>
      <c r="AE185" s="24">
        <f t="shared" si="5"/>
        <v>3045650</v>
      </c>
      <c r="AF185" s="24"/>
      <c r="AG185" s="64">
        <f>798+-16304-694+98994</f>
        <v>82794</v>
      </c>
      <c r="AI185" s="64">
        <f>843594+110481+4814+4707</f>
        <v>963596</v>
      </c>
      <c r="AK185" s="64">
        <f>844392+94176+4120+103702</f>
        <v>1046390</v>
      </c>
      <c r="AM185" s="24">
        <f>+'Gov Rev'!AI184-'Gov Exp'!AE185+'Gov Exp'!AI185-'Gov Exp'!AK185</f>
        <v>0</v>
      </c>
    </row>
    <row r="186" spans="1:39" ht="12.75">
      <c r="A186" s="15" t="s">
        <v>909</v>
      </c>
      <c r="C186" s="15" t="s">
        <v>777</v>
      </c>
      <c r="D186" s="28"/>
      <c r="E186" s="24">
        <v>3544</v>
      </c>
      <c r="G186" s="24">
        <v>6066</v>
      </c>
      <c r="I186" s="24">
        <v>0</v>
      </c>
      <c r="K186" s="24">
        <v>0</v>
      </c>
      <c r="M186" s="24">
        <v>487</v>
      </c>
      <c r="O186" s="24">
        <v>8345</v>
      </c>
      <c r="Q186" s="24">
        <f>13749+69</f>
        <v>13818</v>
      </c>
      <c r="S186" s="24">
        <v>0</v>
      </c>
      <c r="U186" s="24">
        <v>0</v>
      </c>
      <c r="W186" s="24">
        <v>0</v>
      </c>
      <c r="Y186" s="24">
        <v>0</v>
      </c>
      <c r="AA186" s="24">
        <v>0</v>
      </c>
      <c r="AC186" s="24">
        <v>0</v>
      </c>
      <c r="AE186" s="24">
        <f t="shared" si="5"/>
        <v>32260</v>
      </c>
      <c r="AF186" s="24"/>
      <c r="AG186" s="64">
        <f>-143-205</f>
        <v>-348</v>
      </c>
      <c r="AI186" s="64">
        <f>3930+8898</f>
        <v>12828</v>
      </c>
      <c r="AK186" s="64">
        <f>3786+8694</f>
        <v>12480</v>
      </c>
      <c r="AM186" s="24">
        <f>+'Gov Rev'!AI185-'Gov Exp'!AE186+'Gov Exp'!AI186-'Gov Exp'!AK186</f>
        <v>0</v>
      </c>
    </row>
    <row r="187" spans="1:39" ht="12.75" hidden="1">
      <c r="A187" s="15" t="s">
        <v>167</v>
      </c>
      <c r="C187" s="15" t="s">
        <v>802</v>
      </c>
      <c r="D187" s="28"/>
      <c r="E187" s="24">
        <v>0</v>
      </c>
      <c r="G187" s="24">
        <v>0</v>
      </c>
      <c r="I187" s="24">
        <v>0</v>
      </c>
      <c r="K187" s="24">
        <v>0</v>
      </c>
      <c r="M187" s="24">
        <v>0</v>
      </c>
      <c r="Q187" s="24">
        <v>0</v>
      </c>
      <c r="S187" s="24">
        <v>0</v>
      </c>
      <c r="U187" s="24">
        <v>0</v>
      </c>
      <c r="W187" s="24">
        <v>0</v>
      </c>
      <c r="Y187" s="24">
        <v>0</v>
      </c>
      <c r="AA187" s="24">
        <v>0</v>
      </c>
      <c r="AC187" s="24">
        <v>0</v>
      </c>
      <c r="AE187" s="24">
        <f t="shared" si="5"/>
        <v>0</v>
      </c>
      <c r="AF187" s="24"/>
      <c r="AM187" s="24">
        <f>+'Gov Rev'!AI186-'Gov Exp'!AE187+'Gov Exp'!AI187-'Gov Exp'!AK187</f>
        <v>0</v>
      </c>
    </row>
    <row r="188" spans="1:39" s="31" customFormat="1">
      <c r="A188" s="15" t="s">
        <v>360</v>
      </c>
      <c r="B188" s="15"/>
      <c r="C188" s="15" t="s">
        <v>358</v>
      </c>
      <c r="D188" s="15"/>
      <c r="E188" s="24">
        <v>193909</v>
      </c>
      <c r="F188" s="24"/>
      <c r="G188" s="24">
        <v>0</v>
      </c>
      <c r="H188" s="24"/>
      <c r="I188" s="24">
        <v>55801</v>
      </c>
      <c r="J188" s="24"/>
      <c r="K188" s="24">
        <v>3354</v>
      </c>
      <c r="L188" s="24"/>
      <c r="M188" s="24">
        <v>0</v>
      </c>
      <c r="N188" s="24"/>
      <c r="O188" s="24">
        <f>47293+54662</f>
        <v>101955</v>
      </c>
      <c r="P188" s="24"/>
      <c r="Q188" s="24">
        <f>230002+633</f>
        <v>230635</v>
      </c>
      <c r="R188" s="24"/>
      <c r="S188" s="24">
        <f>2034+8600+2080</f>
        <v>12714</v>
      </c>
      <c r="T188" s="24"/>
      <c r="U188" s="24">
        <f>4378+13117+4228</f>
        <v>21723</v>
      </c>
      <c r="V188" s="24"/>
      <c r="W188" s="24">
        <f>4998+3263+3139</f>
        <v>11400</v>
      </c>
      <c r="X188" s="24"/>
      <c r="Y188" s="24">
        <f>2536+20465</f>
        <v>23001</v>
      </c>
      <c r="Z188" s="24"/>
      <c r="AA188" s="24">
        <v>26000</v>
      </c>
      <c r="AB188" s="24"/>
      <c r="AC188" s="24">
        <v>42172</v>
      </c>
      <c r="AD188" s="24"/>
      <c r="AE188" s="24">
        <f t="shared" si="5"/>
        <v>722664</v>
      </c>
      <c r="AF188" s="24"/>
      <c r="AG188" s="65">
        <f>23325+39909+64768-11222</f>
        <v>116780</v>
      </c>
      <c r="AH188" s="65"/>
      <c r="AI188" s="65">
        <f>473799+176899+148479+185261+978</f>
        <v>985416</v>
      </c>
      <c r="AJ188" s="65"/>
      <c r="AK188" s="65">
        <f>497123+216808+213247+174039+978</f>
        <v>1102195</v>
      </c>
      <c r="AM188" s="24">
        <f>+'Gov Rev'!AI187-'Gov Exp'!AE188+'Gov Exp'!AI188-'Gov Exp'!AK188</f>
        <v>0</v>
      </c>
    </row>
    <row r="189" spans="1:39" ht="12.75" hidden="1">
      <c r="A189" s="15" t="s">
        <v>21</v>
      </c>
      <c r="C189" s="15" t="s">
        <v>756</v>
      </c>
      <c r="D189" s="28"/>
      <c r="E189" s="24">
        <v>0</v>
      </c>
      <c r="G189" s="24">
        <v>0</v>
      </c>
      <c r="I189" s="24">
        <v>0</v>
      </c>
      <c r="K189" s="24">
        <v>0</v>
      </c>
      <c r="M189" s="24">
        <v>0</v>
      </c>
      <c r="O189" s="24">
        <v>0</v>
      </c>
      <c r="Q189" s="24">
        <v>0</v>
      </c>
      <c r="S189" s="24">
        <v>0</v>
      </c>
      <c r="U189" s="24">
        <v>0</v>
      </c>
      <c r="W189" s="24">
        <v>0</v>
      </c>
      <c r="Y189" s="24">
        <v>0</v>
      </c>
      <c r="AA189" s="24">
        <v>0</v>
      </c>
      <c r="AC189" s="24">
        <v>0</v>
      </c>
      <c r="AE189" s="24">
        <f t="shared" si="5"/>
        <v>0</v>
      </c>
      <c r="AF189" s="24"/>
      <c r="AM189" s="24">
        <f>+'Gov Rev'!AI188-'Gov Exp'!AE189+'Gov Exp'!AI189-'Gov Exp'!AK189</f>
        <v>0</v>
      </c>
    </row>
    <row r="190" spans="1:39" ht="12.6" hidden="1" customHeight="1">
      <c r="A190" s="15" t="s">
        <v>297</v>
      </c>
      <c r="C190" s="15" t="s">
        <v>295</v>
      </c>
      <c r="E190" s="24">
        <v>0</v>
      </c>
      <c r="G190" s="24">
        <v>0</v>
      </c>
      <c r="I190" s="24">
        <v>0</v>
      </c>
      <c r="K190" s="24">
        <v>0</v>
      </c>
      <c r="M190" s="24">
        <v>0</v>
      </c>
      <c r="O190" s="24">
        <v>0</v>
      </c>
      <c r="Q190" s="24">
        <v>0</v>
      </c>
      <c r="S190" s="24">
        <v>0</v>
      </c>
      <c r="U190" s="24">
        <v>0</v>
      </c>
      <c r="W190" s="24">
        <v>0</v>
      </c>
      <c r="Y190" s="24">
        <v>0</v>
      </c>
      <c r="AA190" s="24">
        <v>0</v>
      </c>
      <c r="AC190" s="24">
        <v>0</v>
      </c>
      <c r="AE190" s="24">
        <f t="shared" si="5"/>
        <v>0</v>
      </c>
      <c r="AF190" s="24"/>
      <c r="AM190" s="24">
        <f>+'Gov Rev'!AI189-'Gov Exp'!AE190+'Gov Exp'!AI190-'Gov Exp'!AK190</f>
        <v>0</v>
      </c>
    </row>
    <row r="191" spans="1:39" ht="12.75" hidden="1">
      <c r="A191" s="15" t="s">
        <v>105</v>
      </c>
      <c r="C191" s="15" t="s">
        <v>782</v>
      </c>
      <c r="D191" s="28"/>
      <c r="E191" s="24">
        <v>0</v>
      </c>
      <c r="G191" s="24">
        <v>0</v>
      </c>
      <c r="I191" s="24">
        <v>0</v>
      </c>
      <c r="K191" s="24">
        <v>0</v>
      </c>
      <c r="M191" s="24">
        <v>0</v>
      </c>
      <c r="O191" s="24">
        <v>0</v>
      </c>
      <c r="Q191" s="24">
        <v>0</v>
      </c>
      <c r="S191" s="24">
        <v>0</v>
      </c>
      <c r="U191" s="24">
        <v>0</v>
      </c>
      <c r="W191" s="24">
        <v>0</v>
      </c>
      <c r="Y191" s="24">
        <v>0</v>
      </c>
      <c r="AA191" s="24">
        <v>0</v>
      </c>
      <c r="AC191" s="24">
        <v>0</v>
      </c>
      <c r="AE191" s="24">
        <f t="shared" si="5"/>
        <v>0</v>
      </c>
      <c r="AF191" s="41"/>
      <c r="AM191" s="24">
        <f>+'Gov Rev'!AI190-'Gov Exp'!AE191+'Gov Exp'!AI191-'Gov Exp'!AK191</f>
        <v>0</v>
      </c>
    </row>
    <row r="192" spans="1:39" s="31" customFormat="1">
      <c r="A192" s="15"/>
      <c r="B192" s="15"/>
      <c r="C192" s="15"/>
      <c r="D192" s="15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 t="s">
        <v>869</v>
      </c>
      <c r="AF192" s="24"/>
      <c r="AG192" s="65"/>
      <c r="AH192" s="65"/>
      <c r="AI192" s="65"/>
      <c r="AJ192" s="65"/>
      <c r="AK192" s="65"/>
    </row>
    <row r="193" spans="1:39" s="84" customFormat="1">
      <c r="A193" s="41" t="s">
        <v>398</v>
      </c>
      <c r="B193" s="41"/>
      <c r="C193" s="41" t="s">
        <v>396</v>
      </c>
      <c r="D193" s="41"/>
      <c r="E193" s="41">
        <v>204888</v>
      </c>
      <c r="F193" s="41"/>
      <c r="G193" s="41">
        <v>9854</v>
      </c>
      <c r="H193" s="41"/>
      <c r="I193" s="41">
        <f>350+67891</f>
        <v>68241</v>
      </c>
      <c r="J193" s="41"/>
      <c r="K193" s="41">
        <v>5397</v>
      </c>
      <c r="L193" s="41"/>
      <c r="M193" s="41">
        <v>0</v>
      </c>
      <c r="N193" s="41"/>
      <c r="O193" s="41">
        <f>722+59503</f>
        <v>60225</v>
      </c>
      <c r="P193" s="41"/>
      <c r="Q193" s="41">
        <v>249660</v>
      </c>
      <c r="R193" s="41"/>
      <c r="S193" s="41">
        <f>-11012+2500+22763</f>
        <v>14251</v>
      </c>
      <c r="T193" s="41"/>
      <c r="U193" s="41">
        <v>12168</v>
      </c>
      <c r="V193" s="41"/>
      <c r="W193" s="41">
        <v>5379</v>
      </c>
      <c r="X193" s="41"/>
      <c r="Y193" s="41">
        <v>0</v>
      </c>
      <c r="Z193" s="41"/>
      <c r="AA193" s="41">
        <v>0</v>
      </c>
      <c r="AB193" s="41"/>
      <c r="AC193" s="41">
        <v>0</v>
      </c>
      <c r="AD193" s="41"/>
      <c r="AE193" s="41">
        <f t="shared" si="5"/>
        <v>630063</v>
      </c>
      <c r="AF193" s="41"/>
      <c r="AG193" s="84">
        <f>125985+43133-9345-21361</f>
        <v>138412</v>
      </c>
      <c r="AI193" s="84">
        <f>215329+151431+31845+58379</f>
        <v>456984</v>
      </c>
      <c r="AK193" s="84">
        <f>341314+194564+41190+51238</f>
        <v>628306</v>
      </c>
      <c r="AM193" s="41">
        <f>+'Gov Rev'!AI191-'Gov Exp'!AE193+'Gov Exp'!AI193-'Gov Exp'!AK193</f>
        <v>0</v>
      </c>
    </row>
    <row r="194" spans="1:39" ht="12.75" hidden="1">
      <c r="A194" s="15" t="s">
        <v>204</v>
      </c>
      <c r="C194" s="15" t="s">
        <v>813</v>
      </c>
      <c r="D194" s="28"/>
      <c r="E194" s="24">
        <v>0</v>
      </c>
      <c r="G194" s="24">
        <v>0</v>
      </c>
      <c r="I194" s="24">
        <v>0</v>
      </c>
      <c r="K194" s="24">
        <v>0</v>
      </c>
      <c r="M194" s="24">
        <v>0</v>
      </c>
      <c r="O194" s="24">
        <v>0</v>
      </c>
      <c r="Q194" s="24">
        <v>0</v>
      </c>
      <c r="S194" s="24">
        <v>0</v>
      </c>
      <c r="U194" s="24">
        <v>0</v>
      </c>
      <c r="W194" s="24">
        <v>0</v>
      </c>
      <c r="Y194" s="24">
        <v>0</v>
      </c>
      <c r="AA194" s="24">
        <v>0</v>
      </c>
      <c r="AC194" s="24">
        <v>0</v>
      </c>
      <c r="AE194" s="24">
        <f t="shared" si="5"/>
        <v>0</v>
      </c>
      <c r="AF194" s="24"/>
      <c r="AM194" s="24">
        <f>+'Gov Rev'!AI192-'Gov Exp'!AE194+'Gov Exp'!AI194-'Gov Exp'!AK194</f>
        <v>0</v>
      </c>
    </row>
    <row r="195" spans="1:39" ht="12.75" hidden="1">
      <c r="A195" s="15" t="s">
        <v>222</v>
      </c>
      <c r="C195" s="15" t="s">
        <v>819</v>
      </c>
      <c r="D195" s="28"/>
      <c r="E195" s="24">
        <v>0</v>
      </c>
      <c r="G195" s="24">
        <v>0</v>
      </c>
      <c r="I195" s="24">
        <v>0</v>
      </c>
      <c r="K195" s="24">
        <v>0</v>
      </c>
      <c r="M195" s="24">
        <v>0</v>
      </c>
      <c r="O195" s="24">
        <v>0</v>
      </c>
      <c r="Q195" s="24">
        <v>0</v>
      </c>
      <c r="S195" s="24">
        <v>0</v>
      </c>
      <c r="U195" s="24">
        <v>0</v>
      </c>
      <c r="W195" s="24">
        <v>0</v>
      </c>
      <c r="Y195" s="24">
        <v>0</v>
      </c>
      <c r="AA195" s="24">
        <v>0</v>
      </c>
      <c r="AC195" s="24">
        <v>0</v>
      </c>
      <c r="AE195" s="24">
        <f t="shared" si="5"/>
        <v>0</v>
      </c>
      <c r="AF195" s="24"/>
      <c r="AM195" s="24">
        <f>+'Gov Rev'!AI193-'Gov Exp'!AE195+'Gov Exp'!AI195-'Gov Exp'!AK195</f>
        <v>0</v>
      </c>
    </row>
    <row r="196" spans="1:39" s="31" customFormat="1">
      <c r="A196" s="15" t="s">
        <v>470</v>
      </c>
      <c r="B196" s="15"/>
      <c r="C196" s="15" t="s">
        <v>469</v>
      </c>
      <c r="D196" s="15"/>
      <c r="E196" s="24">
        <f>203728+100</f>
        <v>203828</v>
      </c>
      <c r="F196" s="24"/>
      <c r="G196" s="24">
        <f>6893+21057</f>
        <v>27950</v>
      </c>
      <c r="H196" s="24"/>
      <c r="I196" s="24">
        <v>52889</v>
      </c>
      <c r="J196" s="24"/>
      <c r="K196" s="24">
        <v>3152</v>
      </c>
      <c r="L196" s="24"/>
      <c r="M196" s="24">
        <v>170</v>
      </c>
      <c r="N196" s="24"/>
      <c r="O196" s="24">
        <v>140561</v>
      </c>
      <c r="P196" s="24"/>
      <c r="Q196" s="24">
        <f>228827+49537</f>
        <v>278364</v>
      </c>
      <c r="R196" s="24"/>
      <c r="S196" s="24">
        <f>130330+176203</f>
        <v>306533</v>
      </c>
      <c r="T196" s="24"/>
      <c r="U196" s="24">
        <f>23553+41511</f>
        <v>65064</v>
      </c>
      <c r="V196" s="24"/>
      <c r="W196" s="24">
        <v>9818</v>
      </c>
      <c r="X196" s="24"/>
      <c r="Y196" s="24">
        <f>1108+340176</f>
        <v>341284</v>
      </c>
      <c r="Z196" s="24"/>
      <c r="AA196" s="24">
        <f>21223+13223</f>
        <v>34446</v>
      </c>
      <c r="AB196" s="24"/>
      <c r="AC196" s="24">
        <v>44754</v>
      </c>
      <c r="AD196" s="24"/>
      <c r="AE196" s="24">
        <f t="shared" si="5"/>
        <v>1508813</v>
      </c>
      <c r="AF196" s="24"/>
      <c r="AG196" s="65">
        <f>41569+191435-97+45289+94</f>
        <v>278290</v>
      </c>
      <c r="AH196" s="65"/>
      <c r="AI196" s="65">
        <f>2676+351941+31597+86751+3903</f>
        <v>476868</v>
      </c>
      <c r="AJ196" s="65"/>
      <c r="AK196" s="65">
        <f>44246+543376+31500+132039+3997</f>
        <v>755158</v>
      </c>
      <c r="AM196" s="24">
        <f>+'Gov Rev'!AI194-'Gov Exp'!AE196+'Gov Exp'!AI196-'Gov Exp'!AK196</f>
        <v>0</v>
      </c>
    </row>
    <row r="197" spans="1:39" ht="12.75" hidden="1">
      <c r="A197" s="15" t="s">
        <v>212</v>
      </c>
      <c r="C197" s="15" t="s">
        <v>815</v>
      </c>
      <c r="D197" s="28"/>
      <c r="E197" s="24">
        <v>0</v>
      </c>
      <c r="G197" s="24">
        <v>0</v>
      </c>
      <c r="I197" s="24">
        <v>0</v>
      </c>
      <c r="K197" s="24">
        <v>0</v>
      </c>
      <c r="M197" s="24">
        <v>0</v>
      </c>
      <c r="O197" s="24">
        <v>0</v>
      </c>
      <c r="Q197" s="24">
        <v>0</v>
      </c>
      <c r="S197" s="24">
        <v>0</v>
      </c>
      <c r="U197" s="24">
        <v>0</v>
      </c>
      <c r="W197" s="24">
        <v>0</v>
      </c>
      <c r="Y197" s="24">
        <v>0</v>
      </c>
      <c r="AA197" s="24">
        <v>0</v>
      </c>
      <c r="AC197" s="24">
        <v>0</v>
      </c>
      <c r="AE197" s="24">
        <f t="shared" si="5"/>
        <v>0</v>
      </c>
      <c r="AF197" s="24"/>
      <c r="AM197" s="24">
        <f>+'Gov Rev'!AI195-'Gov Exp'!AE197+'Gov Exp'!AI197-'Gov Exp'!AK197</f>
        <v>0</v>
      </c>
    </row>
    <row r="198" spans="1:39" ht="12.75" hidden="1">
      <c r="A198" s="15" t="s">
        <v>175</v>
      </c>
      <c r="C198" s="15" t="s">
        <v>805</v>
      </c>
      <c r="D198" s="28"/>
      <c r="E198" s="24">
        <v>0</v>
      </c>
      <c r="G198" s="24">
        <v>0</v>
      </c>
      <c r="I198" s="24">
        <v>0</v>
      </c>
      <c r="K198" s="24">
        <v>0</v>
      </c>
      <c r="M198" s="24">
        <v>0</v>
      </c>
      <c r="O198" s="24">
        <v>0</v>
      </c>
      <c r="Q198" s="24">
        <v>0</v>
      </c>
      <c r="S198" s="24">
        <v>0</v>
      </c>
      <c r="U198" s="24">
        <v>0</v>
      </c>
      <c r="W198" s="24">
        <v>0</v>
      </c>
      <c r="Y198" s="24">
        <v>0</v>
      </c>
      <c r="AA198" s="24">
        <v>0</v>
      </c>
      <c r="AC198" s="24">
        <v>0</v>
      </c>
      <c r="AE198" s="24">
        <f t="shared" si="5"/>
        <v>0</v>
      </c>
      <c r="AF198" s="24"/>
      <c r="AM198" s="24">
        <f>+'Gov Rev'!AI196-'Gov Exp'!AE198+'Gov Exp'!AI198-'Gov Exp'!AK198</f>
        <v>0</v>
      </c>
    </row>
    <row r="199" spans="1:39" s="31" customFormat="1">
      <c r="A199" s="15" t="s">
        <v>598</v>
      </c>
      <c r="B199" s="15"/>
      <c r="C199" s="15" t="s">
        <v>593</v>
      </c>
      <c r="D199" s="15"/>
      <c r="E199" s="24">
        <f>36409+25615</f>
        <v>62024</v>
      </c>
      <c r="F199" s="24"/>
      <c r="G199" s="24">
        <v>1592</v>
      </c>
      <c r="H199" s="24"/>
      <c r="I199" s="24">
        <v>996</v>
      </c>
      <c r="J199" s="24"/>
      <c r="K199" s="24">
        <v>0</v>
      </c>
      <c r="L199" s="24"/>
      <c r="M199" s="24">
        <v>0</v>
      </c>
      <c r="N199" s="24"/>
      <c r="O199" s="24">
        <v>31571</v>
      </c>
      <c r="P199" s="24"/>
      <c r="Q199" s="24">
        <v>33066</v>
      </c>
      <c r="R199" s="24"/>
      <c r="S199" s="24">
        <v>0</v>
      </c>
      <c r="T199" s="24"/>
      <c r="U199" s="24">
        <v>0</v>
      </c>
      <c r="V199" s="24"/>
      <c r="W199" s="24">
        <v>0</v>
      </c>
      <c r="X199" s="24"/>
      <c r="Y199" s="24">
        <v>0</v>
      </c>
      <c r="Z199" s="24"/>
      <c r="AA199" s="24">
        <v>0</v>
      </c>
      <c r="AB199" s="24"/>
      <c r="AC199" s="24">
        <v>7198</v>
      </c>
      <c r="AD199" s="24"/>
      <c r="AE199" s="24">
        <f t="shared" si="5"/>
        <v>136447</v>
      </c>
      <c r="AF199" s="24"/>
      <c r="AG199" s="65">
        <f>-14351-6145</f>
        <v>-20496</v>
      </c>
      <c r="AH199" s="65"/>
      <c r="AI199" s="65">
        <f>23199+95231</f>
        <v>118430</v>
      </c>
      <c r="AJ199" s="65"/>
      <c r="AK199" s="65">
        <f>8848+89086</f>
        <v>97934</v>
      </c>
      <c r="AM199" s="24">
        <f>+'Gov Rev'!AI197-'Gov Exp'!AE199+'Gov Exp'!AI199-'Gov Exp'!AK199</f>
        <v>0</v>
      </c>
    </row>
    <row r="200" spans="1:39" s="31" customFormat="1">
      <c r="A200" s="15" t="s">
        <v>428</v>
      </c>
      <c r="B200" s="15"/>
      <c r="C200" s="15" t="s">
        <v>427</v>
      </c>
      <c r="D200" s="15"/>
      <c r="E200" s="24">
        <v>290780</v>
      </c>
      <c r="F200" s="24"/>
      <c r="G200" s="24">
        <v>1655</v>
      </c>
      <c r="H200" s="24"/>
      <c r="I200" s="24">
        <v>233</v>
      </c>
      <c r="J200" s="24"/>
      <c r="K200" s="24">
        <v>3691</v>
      </c>
      <c r="L200" s="24"/>
      <c r="M200" s="24">
        <v>5265</v>
      </c>
      <c r="N200" s="24"/>
      <c r="O200" s="24">
        <v>136508</v>
      </c>
      <c r="P200" s="24"/>
      <c r="Q200" s="24">
        <f>228240+441</f>
        <v>228681</v>
      </c>
      <c r="R200" s="24"/>
      <c r="S200" s="24">
        <f>17089+55720</f>
        <v>72809</v>
      </c>
      <c r="T200" s="24"/>
      <c r="U200" s="24">
        <v>0</v>
      </c>
      <c r="V200" s="24"/>
      <c r="W200" s="24">
        <v>0</v>
      </c>
      <c r="X200" s="24"/>
      <c r="Y200" s="24">
        <v>0</v>
      </c>
      <c r="Z200" s="24"/>
      <c r="AA200" s="24">
        <v>0</v>
      </c>
      <c r="AB200" s="24"/>
      <c r="AC200" s="24">
        <v>0</v>
      </c>
      <c r="AD200" s="24"/>
      <c r="AE200" s="24">
        <f t="shared" si="5"/>
        <v>739622</v>
      </c>
      <c r="AF200" s="24"/>
      <c r="AG200" s="65">
        <f>-16575+88237</f>
        <v>71662</v>
      </c>
      <c r="AH200" s="65"/>
      <c r="AI200" s="65">
        <f>131134+129709</f>
        <v>260843</v>
      </c>
      <c r="AJ200" s="65"/>
      <c r="AK200" s="65">
        <f>114559+218036</f>
        <v>332595</v>
      </c>
      <c r="AM200" s="24">
        <f>+'Gov Rev'!AI198-'Gov Exp'!AE200+'Gov Exp'!AI200-'Gov Exp'!AK200</f>
        <v>0</v>
      </c>
    </row>
    <row r="201" spans="1:39" s="31" customFormat="1">
      <c r="A201" s="15" t="s">
        <v>405</v>
      </c>
      <c r="B201" s="15"/>
      <c r="C201" s="15" t="s">
        <v>403</v>
      </c>
      <c r="D201" s="15"/>
      <c r="E201" s="24">
        <v>58</v>
      </c>
      <c r="F201" s="24"/>
      <c r="G201" s="24">
        <v>60</v>
      </c>
      <c r="H201" s="24"/>
      <c r="I201" s="24">
        <v>1404</v>
      </c>
      <c r="J201" s="24"/>
      <c r="K201" s="24">
        <v>0</v>
      </c>
      <c r="L201" s="24"/>
      <c r="M201" s="24">
        <f>8687+3083</f>
        <v>11770</v>
      </c>
      <c r="N201" s="24"/>
      <c r="O201" s="24">
        <v>0</v>
      </c>
      <c r="P201" s="24"/>
      <c r="Q201" s="24">
        <f>96719+27136</f>
        <v>123855</v>
      </c>
      <c r="R201" s="24"/>
      <c r="S201" s="24">
        <v>0</v>
      </c>
      <c r="T201" s="24"/>
      <c r="U201" s="24">
        <v>0</v>
      </c>
      <c r="V201" s="24"/>
      <c r="W201" s="24">
        <v>0</v>
      </c>
      <c r="X201" s="24"/>
      <c r="Y201" s="24">
        <v>0</v>
      </c>
      <c r="Z201" s="24"/>
      <c r="AA201" s="24">
        <v>0</v>
      </c>
      <c r="AB201" s="24"/>
      <c r="AC201" s="24">
        <v>0</v>
      </c>
      <c r="AD201" s="24"/>
      <c r="AE201" s="24">
        <f t="shared" si="5"/>
        <v>137147</v>
      </c>
      <c r="AF201" s="24"/>
      <c r="AG201" s="65">
        <f>101408+697</f>
        <v>102105</v>
      </c>
      <c r="AH201" s="65"/>
      <c r="AI201" s="65">
        <f>204314+41429</f>
        <v>245743</v>
      </c>
      <c r="AJ201" s="65"/>
      <c r="AK201" s="65">
        <f>235721+42127</f>
        <v>277848</v>
      </c>
      <c r="AM201" s="24">
        <f>+'Gov Rev'!AI199-'Gov Exp'!AE201+'Gov Exp'!AI201-'Gov Exp'!AK201</f>
        <v>0</v>
      </c>
    </row>
    <row r="202" spans="1:39" s="31" customFormat="1" hidden="1">
      <c r="A202" s="15" t="s">
        <v>358</v>
      </c>
      <c r="B202" s="15"/>
      <c r="C202" s="15" t="s">
        <v>243</v>
      </c>
      <c r="D202" s="15"/>
      <c r="E202" s="24">
        <v>0</v>
      </c>
      <c r="F202" s="24"/>
      <c r="G202" s="24">
        <v>0</v>
      </c>
      <c r="H202" s="24"/>
      <c r="I202" s="24">
        <v>0</v>
      </c>
      <c r="J202" s="24"/>
      <c r="K202" s="24">
        <v>0</v>
      </c>
      <c r="L202" s="24"/>
      <c r="M202" s="24">
        <v>0</v>
      </c>
      <c r="N202" s="24"/>
      <c r="O202" s="24">
        <v>0</v>
      </c>
      <c r="P202" s="24"/>
      <c r="Q202" s="24">
        <v>0</v>
      </c>
      <c r="R202" s="24"/>
      <c r="S202" s="24">
        <v>0</v>
      </c>
      <c r="T202" s="24"/>
      <c r="U202" s="24">
        <v>0</v>
      </c>
      <c r="V202" s="24"/>
      <c r="W202" s="24">
        <v>0</v>
      </c>
      <c r="X202" s="24"/>
      <c r="Y202" s="24">
        <v>0</v>
      </c>
      <c r="Z202" s="24"/>
      <c r="AA202" s="24">
        <v>0</v>
      </c>
      <c r="AB202" s="24"/>
      <c r="AC202" s="24">
        <v>0</v>
      </c>
      <c r="AD202" s="24"/>
      <c r="AE202" s="24">
        <f t="shared" si="5"/>
        <v>0</v>
      </c>
      <c r="AF202" s="24"/>
      <c r="AG202" s="65"/>
      <c r="AH202" s="65"/>
      <c r="AI202" s="65"/>
      <c r="AJ202" s="65"/>
      <c r="AK202" s="65"/>
      <c r="AM202" s="24">
        <f>+'Gov Rev'!AI200-'Gov Exp'!AE202+'Gov Exp'!AI202-'Gov Exp'!AK202</f>
        <v>0</v>
      </c>
    </row>
    <row r="203" spans="1:39" s="31" customFormat="1" hidden="1">
      <c r="A203" s="15" t="s">
        <v>489</v>
      </c>
      <c r="B203" s="15"/>
      <c r="C203" s="15" t="s">
        <v>488</v>
      </c>
      <c r="D203" s="15"/>
      <c r="E203" s="24">
        <v>0</v>
      </c>
      <c r="F203" s="24"/>
      <c r="G203" s="24">
        <v>0</v>
      </c>
      <c r="H203" s="24"/>
      <c r="I203" s="24">
        <v>0</v>
      </c>
      <c r="J203" s="24"/>
      <c r="K203" s="24">
        <v>0</v>
      </c>
      <c r="L203" s="24"/>
      <c r="M203" s="24">
        <v>0</v>
      </c>
      <c r="N203" s="24"/>
      <c r="O203" s="24">
        <v>0</v>
      </c>
      <c r="P203" s="24"/>
      <c r="Q203" s="24">
        <v>0</v>
      </c>
      <c r="R203" s="24"/>
      <c r="S203" s="24">
        <v>0</v>
      </c>
      <c r="T203" s="24"/>
      <c r="U203" s="24">
        <v>0</v>
      </c>
      <c r="V203" s="24"/>
      <c r="W203" s="24">
        <v>0</v>
      </c>
      <c r="X203" s="24"/>
      <c r="Y203" s="24">
        <v>0</v>
      </c>
      <c r="Z203" s="24"/>
      <c r="AA203" s="24">
        <v>0</v>
      </c>
      <c r="AB203" s="24"/>
      <c r="AC203" s="24">
        <v>0</v>
      </c>
      <c r="AD203" s="24"/>
      <c r="AE203" s="24">
        <f t="shared" si="5"/>
        <v>0</v>
      </c>
      <c r="AF203" s="24"/>
      <c r="AG203" s="65"/>
      <c r="AH203" s="65"/>
      <c r="AI203" s="65"/>
      <c r="AJ203" s="65"/>
      <c r="AK203" s="65"/>
      <c r="AM203" s="24">
        <f>+'Gov Rev'!AI201-'Gov Exp'!AE203+'Gov Exp'!AI203-'Gov Exp'!AK203</f>
        <v>0</v>
      </c>
    </row>
    <row r="204" spans="1:39" s="31" customFormat="1" ht="12.75" hidden="1">
      <c r="A204" s="15" t="s">
        <v>57</v>
      </c>
      <c r="B204" s="15"/>
      <c r="C204" s="15" t="s">
        <v>769</v>
      </c>
      <c r="D204" s="28"/>
      <c r="E204" s="24">
        <v>0</v>
      </c>
      <c r="F204" s="24"/>
      <c r="G204" s="24">
        <v>0</v>
      </c>
      <c r="H204" s="24"/>
      <c r="I204" s="24">
        <v>0</v>
      </c>
      <c r="J204" s="24"/>
      <c r="K204" s="24">
        <v>0</v>
      </c>
      <c r="L204" s="24"/>
      <c r="M204" s="24">
        <v>0</v>
      </c>
      <c r="N204" s="24"/>
      <c r="O204" s="24">
        <v>0</v>
      </c>
      <c r="P204" s="24"/>
      <c r="Q204" s="24">
        <v>0</v>
      </c>
      <c r="R204" s="24"/>
      <c r="S204" s="24">
        <v>0</v>
      </c>
      <c r="T204" s="24"/>
      <c r="U204" s="24">
        <v>0</v>
      </c>
      <c r="V204" s="24"/>
      <c r="W204" s="24">
        <v>0</v>
      </c>
      <c r="X204" s="24"/>
      <c r="Y204" s="24">
        <v>0</v>
      </c>
      <c r="Z204" s="24"/>
      <c r="AA204" s="24">
        <v>0</v>
      </c>
      <c r="AB204" s="24"/>
      <c r="AC204" s="24">
        <v>0</v>
      </c>
      <c r="AD204" s="24"/>
      <c r="AE204" s="24">
        <f t="shared" si="5"/>
        <v>0</v>
      </c>
      <c r="AF204" s="24"/>
      <c r="AG204" s="65"/>
      <c r="AH204" s="65"/>
      <c r="AI204" s="65"/>
      <c r="AJ204" s="65"/>
      <c r="AK204" s="65"/>
      <c r="AM204" s="24">
        <f>+'Gov Rev'!AI202-'Gov Exp'!AE204+'Gov Exp'!AI204-'Gov Exp'!AK204</f>
        <v>0</v>
      </c>
    </row>
    <row r="205" spans="1:39" s="31" customFormat="1">
      <c r="A205" s="15" t="s">
        <v>363</v>
      </c>
      <c r="B205" s="15"/>
      <c r="C205" s="15" t="s">
        <v>364</v>
      </c>
      <c r="D205" s="15"/>
      <c r="E205" s="24">
        <f>1093444+50040+12107</f>
        <v>1155591</v>
      </c>
      <c r="F205" s="24"/>
      <c r="G205" s="24">
        <f>23695+138925</f>
        <v>162620</v>
      </c>
      <c r="H205" s="24"/>
      <c r="I205" s="24">
        <f>150852+194172</f>
        <v>345024</v>
      </c>
      <c r="J205" s="24"/>
      <c r="K205" s="24">
        <f>148408+30836</f>
        <v>179244</v>
      </c>
      <c r="L205" s="24"/>
      <c r="M205" s="24">
        <v>0</v>
      </c>
      <c r="N205" s="24"/>
      <c r="O205" s="24">
        <f>40675+5826+324809</f>
        <v>371310</v>
      </c>
      <c r="P205" s="24"/>
      <c r="Q205" s="24">
        <f>1288738+226455+67455+230443</f>
        <v>1813091</v>
      </c>
      <c r="R205" s="24"/>
      <c r="S205" s="24">
        <v>15000</v>
      </c>
      <c r="T205" s="24"/>
      <c r="U205" s="24">
        <v>220799</v>
      </c>
      <c r="V205" s="24"/>
      <c r="W205" s="24">
        <v>107196</v>
      </c>
      <c r="X205" s="24"/>
      <c r="Y205" s="24">
        <f>332304+51465+140808</f>
        <v>524577</v>
      </c>
      <c r="Z205" s="24"/>
      <c r="AA205" s="24">
        <f>3837+16364</f>
        <v>20201</v>
      </c>
      <c r="AB205" s="24"/>
      <c r="AC205" s="24">
        <v>0</v>
      </c>
      <c r="AD205" s="24"/>
      <c r="AE205" s="24">
        <f t="shared" si="5"/>
        <v>4914653</v>
      </c>
      <c r="AF205" s="24"/>
      <c r="AG205" s="65">
        <f>-127005+65054+65538-50194</f>
        <v>-46607</v>
      </c>
      <c r="AH205" s="65"/>
      <c r="AI205" s="65">
        <f>1199557+229557+315697+947425</f>
        <v>2692236</v>
      </c>
      <c r="AJ205" s="65"/>
      <c r="AK205" s="65">
        <f>1072552+294611+381235+897231</f>
        <v>2645629</v>
      </c>
      <c r="AM205" s="24">
        <f>+'Gov Rev'!AI203-'Gov Exp'!AE205+'Gov Exp'!AI205-'Gov Exp'!AK205</f>
        <v>0</v>
      </c>
    </row>
    <row r="206" spans="1:39" ht="12.75">
      <c r="A206" s="15" t="s">
        <v>910</v>
      </c>
      <c r="C206" s="15" t="s">
        <v>787</v>
      </c>
      <c r="D206" s="28"/>
      <c r="E206" s="24">
        <v>137498</v>
      </c>
      <c r="G206" s="24">
        <v>4324</v>
      </c>
      <c r="I206" s="24">
        <v>5989</v>
      </c>
      <c r="K206" s="24">
        <v>3933</v>
      </c>
      <c r="M206" s="24">
        <v>37372</v>
      </c>
      <c r="O206" s="24">
        <f>24511+11737</f>
        <v>36248</v>
      </c>
      <c r="Q206" s="24">
        <v>329798</v>
      </c>
      <c r="S206" s="24">
        <f>39511+11250+20000</f>
        <v>70761</v>
      </c>
      <c r="U206" s="24">
        <v>10500</v>
      </c>
      <c r="W206" s="24">
        <v>0</v>
      </c>
      <c r="Y206" s="24">
        <f>20000+2112</f>
        <v>22112</v>
      </c>
      <c r="AA206" s="24">
        <v>0</v>
      </c>
      <c r="AC206" s="24">
        <v>0</v>
      </c>
      <c r="AE206" s="24">
        <f t="shared" si="5"/>
        <v>658535</v>
      </c>
      <c r="AF206" s="24"/>
      <c r="AG206" s="64">
        <f>268221-754-12612</f>
        <v>254855</v>
      </c>
      <c r="AI206" s="64">
        <f>282870+1056+12612</f>
        <v>296538</v>
      </c>
      <c r="AK206" s="64">
        <f>551090+302</f>
        <v>551392</v>
      </c>
      <c r="AM206" s="24">
        <f>+'Gov Rev'!AI204-'Gov Exp'!AE206+'Gov Exp'!AI206-'Gov Exp'!AK206</f>
        <v>0</v>
      </c>
    </row>
    <row r="207" spans="1:39" ht="12.75" hidden="1">
      <c r="A207" s="15" t="s">
        <v>122</v>
      </c>
      <c r="C207" s="15" t="s">
        <v>787</v>
      </c>
      <c r="D207" s="28"/>
      <c r="E207" s="24">
        <v>0</v>
      </c>
      <c r="G207" s="24">
        <v>0</v>
      </c>
      <c r="I207" s="24">
        <v>0</v>
      </c>
      <c r="K207" s="24">
        <v>0</v>
      </c>
      <c r="M207" s="24">
        <v>0</v>
      </c>
      <c r="O207" s="24">
        <v>0</v>
      </c>
      <c r="Q207" s="24">
        <v>0</v>
      </c>
      <c r="S207" s="24">
        <v>0</v>
      </c>
      <c r="U207" s="24">
        <v>0</v>
      </c>
      <c r="W207" s="24">
        <v>0</v>
      </c>
      <c r="Y207" s="24">
        <v>0</v>
      </c>
      <c r="AA207" s="24">
        <v>0</v>
      </c>
      <c r="AC207" s="24">
        <v>0</v>
      </c>
      <c r="AE207" s="24">
        <f t="shared" si="5"/>
        <v>0</v>
      </c>
      <c r="AF207" s="24"/>
      <c r="AM207" s="24">
        <f>+'Gov Rev'!AI205-'Gov Exp'!AE207+'Gov Exp'!AI207-'Gov Exp'!AK207</f>
        <v>0</v>
      </c>
    </row>
    <row r="208" spans="1:39" s="31" customFormat="1">
      <c r="A208" s="15" t="s">
        <v>511</v>
      </c>
      <c r="B208" s="15"/>
      <c r="C208" s="15" t="s">
        <v>259</v>
      </c>
      <c r="D208" s="15"/>
      <c r="E208" s="24">
        <f>763224+225</f>
        <v>763449</v>
      </c>
      <c r="F208" s="24"/>
      <c r="G208" s="24">
        <v>2202</v>
      </c>
      <c r="H208" s="24"/>
      <c r="I208" s="24">
        <v>61138</v>
      </c>
      <c r="J208" s="24"/>
      <c r="K208" s="24">
        <f>12487+75</f>
        <v>12562</v>
      </c>
      <c r="L208" s="24"/>
      <c r="M208" s="24">
        <v>0</v>
      </c>
      <c r="N208" s="24"/>
      <c r="O208" s="24">
        <f>10009+256826</f>
        <v>266835</v>
      </c>
      <c r="P208" s="24"/>
      <c r="Q208" s="24">
        <v>290686</v>
      </c>
      <c r="R208" s="24"/>
      <c r="S208" s="24">
        <f>57833+60337+9127</f>
        <v>127297</v>
      </c>
      <c r="T208" s="24"/>
      <c r="U208" s="24">
        <v>24632</v>
      </c>
      <c r="V208" s="24"/>
      <c r="W208" s="24">
        <v>0</v>
      </c>
      <c r="X208" s="24"/>
      <c r="Y208" s="24">
        <v>3613</v>
      </c>
      <c r="Z208" s="24"/>
      <c r="AA208" s="24">
        <v>0</v>
      </c>
      <c r="AB208" s="24"/>
      <c r="AC208" s="24">
        <v>12892</v>
      </c>
      <c r="AD208" s="24"/>
      <c r="AE208" s="24">
        <f t="shared" si="5"/>
        <v>1565306</v>
      </c>
      <c r="AF208" s="24"/>
      <c r="AG208" s="65">
        <f>82974+34920-1738+765</f>
        <v>116921</v>
      </c>
      <c r="AH208" s="65"/>
      <c r="AI208" s="65">
        <f>355524+355740+1738+42480</f>
        <v>755482</v>
      </c>
      <c r="AJ208" s="65"/>
      <c r="AK208" s="65">
        <f>438498+390660+43245</f>
        <v>872403</v>
      </c>
      <c r="AM208" s="24">
        <f>+'Gov Rev'!AI206-'Gov Exp'!AE208+'Gov Exp'!AI208-'Gov Exp'!AK208</f>
        <v>0</v>
      </c>
    </row>
    <row r="209" spans="1:39" s="31" customFormat="1" ht="12.6" customHeight="1">
      <c r="A209" s="15" t="s">
        <v>320</v>
      </c>
      <c r="B209" s="15"/>
      <c r="C209" s="15" t="s">
        <v>316</v>
      </c>
      <c r="D209" s="15"/>
      <c r="E209" s="24">
        <f>1427539+155363</f>
        <v>1582902</v>
      </c>
      <c r="F209" s="24"/>
      <c r="G209" s="24">
        <v>9608</v>
      </c>
      <c r="H209" s="24"/>
      <c r="I209" s="24">
        <f>9743+291398</f>
        <v>301141</v>
      </c>
      <c r="J209" s="24"/>
      <c r="K209" s="24">
        <v>3626</v>
      </c>
      <c r="L209" s="24"/>
      <c r="M209" s="24">
        <v>322377</v>
      </c>
      <c r="N209" s="24"/>
      <c r="O209" s="24">
        <f>962566+103800</f>
        <v>1066366</v>
      </c>
      <c r="P209" s="24"/>
      <c r="Q209" s="24">
        <f>1462780+22230</f>
        <v>1485010</v>
      </c>
      <c r="R209" s="24"/>
      <c r="S209" s="24">
        <f>2191742+364537</f>
        <v>2556279</v>
      </c>
      <c r="T209" s="24"/>
      <c r="U209" s="24">
        <f>2538891+815000+50000</f>
        <v>3403891</v>
      </c>
      <c r="V209" s="24"/>
      <c r="W209" s="24">
        <f>35061+24464</f>
        <v>59525</v>
      </c>
      <c r="X209" s="24"/>
      <c r="Y209" s="24">
        <v>1518443</v>
      </c>
      <c r="Z209" s="24"/>
      <c r="AA209" s="24">
        <v>50000</v>
      </c>
      <c r="AB209" s="24"/>
      <c r="AC209" s="24">
        <v>0</v>
      </c>
      <c r="AD209" s="24"/>
      <c r="AE209" s="24">
        <f t="shared" si="5"/>
        <v>12359168</v>
      </c>
      <c r="AF209" s="24"/>
      <c r="AG209" s="65">
        <f>-334138+23386-1550459-37043</f>
        <v>-1898254</v>
      </c>
      <c r="AH209" s="65"/>
      <c r="AI209" s="65">
        <f>1437126+6621+1709556+228580</f>
        <v>3381883</v>
      </c>
      <c r="AJ209" s="65"/>
      <c r="AK209" s="65">
        <f>1102988+30007+159097+191537</f>
        <v>1483629</v>
      </c>
      <c r="AM209" s="24">
        <f>+'Gov Rev'!AI208-'Gov Exp'!AE209+'Gov Exp'!AI209-'Gov Exp'!AK209</f>
        <v>0</v>
      </c>
    </row>
    <row r="210" spans="1:39" ht="12.75" hidden="1">
      <c r="A210" s="15" t="s">
        <v>269</v>
      </c>
      <c r="C210" s="15" t="s">
        <v>752</v>
      </c>
      <c r="D210" s="28"/>
      <c r="E210" s="24">
        <v>0</v>
      </c>
      <c r="G210" s="24">
        <v>0</v>
      </c>
      <c r="I210" s="24">
        <v>0</v>
      </c>
      <c r="K210" s="24">
        <v>0</v>
      </c>
      <c r="M210" s="24">
        <v>0</v>
      </c>
      <c r="O210" s="24">
        <v>0</v>
      </c>
      <c r="Q210" s="24">
        <v>0</v>
      </c>
      <c r="S210" s="24">
        <v>0</v>
      </c>
      <c r="U210" s="24">
        <v>0</v>
      </c>
      <c r="W210" s="24">
        <v>0</v>
      </c>
      <c r="Y210" s="24">
        <v>0</v>
      </c>
      <c r="AA210" s="24">
        <v>0</v>
      </c>
      <c r="AC210" s="24">
        <v>0</v>
      </c>
      <c r="AE210" s="24">
        <f t="shared" si="5"/>
        <v>0</v>
      </c>
      <c r="AF210" s="24"/>
      <c r="AM210" s="24">
        <f>+'Gov Rev'!AI209-'Gov Exp'!AE210+'Gov Exp'!AI210-'Gov Exp'!AK210</f>
        <v>0</v>
      </c>
    </row>
    <row r="211" spans="1:39" ht="12.75" hidden="1">
      <c r="D211" s="28"/>
      <c r="AE211" s="24" t="s">
        <v>869</v>
      </c>
      <c r="AF211" s="24"/>
      <c r="AM211" s="24"/>
    </row>
    <row r="212" spans="1:39" s="29" customFormat="1">
      <c r="A212" s="24" t="s">
        <v>497</v>
      </c>
      <c r="B212" s="24"/>
      <c r="C212" s="24" t="s">
        <v>207</v>
      </c>
      <c r="D212" s="24"/>
      <c r="E212" s="24">
        <v>354904</v>
      </c>
      <c r="F212" s="24"/>
      <c r="G212" s="24">
        <v>6863</v>
      </c>
      <c r="H212" s="24"/>
      <c r="I212" s="24">
        <v>80391</v>
      </c>
      <c r="J212" s="24"/>
      <c r="K212" s="24">
        <v>4003</v>
      </c>
      <c r="L212" s="24"/>
      <c r="M212" s="24">
        <v>0</v>
      </c>
      <c r="N212" s="24"/>
      <c r="O212" s="24">
        <v>123769</v>
      </c>
      <c r="P212" s="24"/>
      <c r="Q212" s="24">
        <f>229351+69849</f>
        <v>299200</v>
      </c>
      <c r="R212" s="24"/>
      <c r="S212" s="24">
        <f>31882+17569+216647</f>
        <v>266098</v>
      </c>
      <c r="T212" s="24"/>
      <c r="U212" s="24">
        <v>545969</v>
      </c>
      <c r="V212" s="24"/>
      <c r="W212" s="24">
        <v>0</v>
      </c>
      <c r="X212" s="24"/>
      <c r="Y212" s="24">
        <f>133954+860593+10000</f>
        <v>1004547</v>
      </c>
      <c r="Z212" s="24"/>
      <c r="AA212" s="24">
        <v>0</v>
      </c>
      <c r="AB212" s="24"/>
      <c r="AC212" s="24">
        <v>0</v>
      </c>
      <c r="AD212" s="24"/>
      <c r="AE212" s="24">
        <f t="shared" ref="AE212:AE243" si="6">SUM(E212:AC212)</f>
        <v>2685744</v>
      </c>
      <c r="AF212" s="24"/>
      <c r="AG212" s="29">
        <f>268571+6187+19331+233780+45</f>
        <v>527914</v>
      </c>
      <c r="AI212" s="29">
        <f>508805+196104+67428+152519+183</f>
        <v>925039</v>
      </c>
      <c r="AK212" s="29">
        <f>777376+202291+86759+386299+228</f>
        <v>1452953</v>
      </c>
      <c r="AM212" s="24">
        <f>+'Gov Rev'!AI210-'Gov Exp'!AE212+'Gov Exp'!AI212-'Gov Exp'!AK212</f>
        <v>0</v>
      </c>
    </row>
    <row r="213" spans="1:39" ht="12.75" hidden="1">
      <c r="A213" s="15" t="s">
        <v>22</v>
      </c>
      <c r="C213" s="15" t="s">
        <v>756</v>
      </c>
      <c r="D213" s="28"/>
      <c r="E213" s="24">
        <v>0</v>
      </c>
      <c r="G213" s="24">
        <v>0</v>
      </c>
      <c r="I213" s="24">
        <v>0</v>
      </c>
      <c r="K213" s="24">
        <v>0</v>
      </c>
      <c r="M213" s="24">
        <v>0</v>
      </c>
      <c r="O213" s="24">
        <v>0</v>
      </c>
      <c r="Q213" s="24">
        <v>0</v>
      </c>
      <c r="S213" s="24">
        <v>0</v>
      </c>
      <c r="U213" s="24">
        <v>0</v>
      </c>
      <c r="W213" s="24">
        <v>0</v>
      </c>
      <c r="Y213" s="24">
        <v>0</v>
      </c>
      <c r="AA213" s="24">
        <v>0</v>
      </c>
      <c r="AC213" s="24">
        <v>0</v>
      </c>
      <c r="AE213" s="24">
        <f t="shared" si="6"/>
        <v>0</v>
      </c>
      <c r="AF213" s="24"/>
      <c r="AM213" s="24">
        <f>+'Gov Rev'!AI211-'Gov Exp'!AE213+'Gov Exp'!AI213-'Gov Exp'!AK213</f>
        <v>0</v>
      </c>
    </row>
    <row r="214" spans="1:39" s="31" customFormat="1">
      <c r="A214" s="15" t="s">
        <v>483</v>
      </c>
      <c r="B214" s="15"/>
      <c r="C214" s="15" t="s">
        <v>482</v>
      </c>
      <c r="D214" s="15"/>
      <c r="E214" s="24">
        <f>795087+597063</f>
        <v>1392150</v>
      </c>
      <c r="F214" s="24"/>
      <c r="G214" s="24">
        <f>300+191100</f>
        <v>191400</v>
      </c>
      <c r="H214" s="24"/>
      <c r="I214" s="24">
        <v>1786</v>
      </c>
      <c r="J214" s="24"/>
      <c r="K214" s="24">
        <v>58869</v>
      </c>
      <c r="L214" s="24"/>
      <c r="M214" s="24">
        <v>0</v>
      </c>
      <c r="N214" s="24"/>
      <c r="O214" s="24">
        <f>309968+28821</f>
        <v>338789</v>
      </c>
      <c r="P214" s="24"/>
      <c r="Q214" s="24">
        <f>535823+78254+150+3843</f>
        <v>618070</v>
      </c>
      <c r="R214" s="24"/>
      <c r="S214" s="24">
        <f>812+375127+347470</f>
        <v>723409</v>
      </c>
      <c r="T214" s="24"/>
      <c r="U214" s="24">
        <f>831226+156500+106708</f>
        <v>1094434</v>
      </c>
      <c r="V214" s="24"/>
      <c r="W214" s="24">
        <f>65525+48079+75845</f>
        <v>189449</v>
      </c>
      <c r="X214" s="24"/>
      <c r="Y214" s="24">
        <f>14160+6600+45361</f>
        <v>66121</v>
      </c>
      <c r="Z214" s="24"/>
      <c r="AA214" s="24">
        <f>243030+81500+102000+82623</f>
        <v>509153</v>
      </c>
      <c r="AB214" s="24"/>
      <c r="AC214" s="24">
        <v>0</v>
      </c>
      <c r="AD214" s="24"/>
      <c r="AE214" s="24">
        <f t="shared" si="6"/>
        <v>5183630</v>
      </c>
      <c r="AF214" s="24"/>
      <c r="AG214" s="65">
        <f>219097-129482+60335-208547</f>
        <v>-58597</v>
      </c>
      <c r="AH214" s="65"/>
      <c r="AI214" s="65">
        <f>327246+445339+144705+508532</f>
        <v>1425822</v>
      </c>
      <c r="AJ214" s="65"/>
      <c r="AK214" s="65">
        <f>546343+315856+205040+299985</f>
        <v>1367224</v>
      </c>
      <c r="AM214" s="24">
        <f>+'Gov Rev'!AI212-'Gov Exp'!AE214+'Gov Exp'!AI214-'Gov Exp'!AK214</f>
        <v>0</v>
      </c>
    </row>
    <row r="215" spans="1:39" s="31" customFormat="1" ht="12.75" hidden="1">
      <c r="A215" s="15" t="s">
        <v>52</v>
      </c>
      <c r="B215" s="15"/>
      <c r="C215" s="15" t="s">
        <v>767</v>
      </c>
      <c r="D215" s="28"/>
      <c r="E215" s="24">
        <v>0</v>
      </c>
      <c r="F215" s="24"/>
      <c r="G215" s="24">
        <v>0</v>
      </c>
      <c r="H215" s="24"/>
      <c r="I215" s="24">
        <v>0</v>
      </c>
      <c r="J215" s="24"/>
      <c r="K215" s="24">
        <v>0</v>
      </c>
      <c r="L215" s="24"/>
      <c r="M215" s="24">
        <v>0</v>
      </c>
      <c r="N215" s="24"/>
      <c r="O215" s="24">
        <v>0</v>
      </c>
      <c r="P215" s="24"/>
      <c r="Q215" s="24">
        <v>0</v>
      </c>
      <c r="R215" s="24"/>
      <c r="S215" s="24">
        <v>0</v>
      </c>
      <c r="T215" s="24"/>
      <c r="U215" s="24">
        <v>0</v>
      </c>
      <c r="V215" s="24"/>
      <c r="W215" s="24">
        <v>0</v>
      </c>
      <c r="X215" s="24"/>
      <c r="Y215" s="24">
        <v>0</v>
      </c>
      <c r="Z215" s="24"/>
      <c r="AA215" s="24">
        <v>0</v>
      </c>
      <c r="AB215" s="24"/>
      <c r="AC215" s="24">
        <v>0</v>
      </c>
      <c r="AD215" s="24"/>
      <c r="AE215" s="24">
        <f t="shared" si="6"/>
        <v>0</v>
      </c>
      <c r="AF215" s="24"/>
      <c r="AG215" s="65"/>
      <c r="AH215" s="65"/>
      <c r="AI215" s="65"/>
      <c r="AJ215" s="65"/>
      <c r="AK215" s="65"/>
      <c r="AM215" s="24">
        <f>+'Gov Rev'!AI213-'Gov Exp'!AE215+'Gov Exp'!AI215-'Gov Exp'!AK215</f>
        <v>0</v>
      </c>
    </row>
    <row r="216" spans="1:39" hidden="1">
      <c r="A216" s="15" t="s">
        <v>531</v>
      </c>
      <c r="C216" s="15" t="s">
        <v>530</v>
      </c>
      <c r="E216" s="24">
        <v>0</v>
      </c>
      <c r="G216" s="24">
        <v>0</v>
      </c>
      <c r="I216" s="24">
        <v>0</v>
      </c>
      <c r="K216" s="24">
        <v>0</v>
      </c>
      <c r="M216" s="24">
        <v>0</v>
      </c>
      <c r="O216" s="24">
        <v>0</v>
      </c>
      <c r="Q216" s="24">
        <v>0</v>
      </c>
      <c r="S216" s="24">
        <v>0</v>
      </c>
      <c r="U216" s="24">
        <v>0</v>
      </c>
      <c r="W216" s="24">
        <v>0</v>
      </c>
      <c r="Y216" s="24">
        <v>0</v>
      </c>
      <c r="AA216" s="24">
        <v>0</v>
      </c>
      <c r="AC216" s="24">
        <v>0</v>
      </c>
      <c r="AE216" s="24">
        <f t="shared" si="6"/>
        <v>0</v>
      </c>
      <c r="AF216" s="24"/>
      <c r="AM216" s="24">
        <f>+'Gov Rev'!AI214-'Gov Exp'!AE216+'Gov Exp'!AI216-'Gov Exp'!AK216</f>
        <v>0</v>
      </c>
    </row>
    <row r="217" spans="1:39" ht="12.75" hidden="1">
      <c r="A217" s="15" t="s">
        <v>205</v>
      </c>
      <c r="C217" s="15" t="s">
        <v>813</v>
      </c>
      <c r="D217" s="28"/>
      <c r="E217" s="24">
        <v>0</v>
      </c>
      <c r="G217" s="24">
        <v>0</v>
      </c>
      <c r="I217" s="24">
        <v>0</v>
      </c>
      <c r="K217" s="24">
        <v>0</v>
      </c>
      <c r="M217" s="24">
        <v>0</v>
      </c>
      <c r="O217" s="24">
        <v>0</v>
      </c>
      <c r="Q217" s="24">
        <v>0</v>
      </c>
      <c r="S217" s="24">
        <v>0</v>
      </c>
      <c r="U217" s="24">
        <v>0</v>
      </c>
      <c r="W217" s="24">
        <v>0</v>
      </c>
      <c r="Y217" s="24">
        <v>0</v>
      </c>
      <c r="AA217" s="24">
        <v>0</v>
      </c>
      <c r="AC217" s="24">
        <v>0</v>
      </c>
      <c r="AE217" s="24">
        <f t="shared" si="6"/>
        <v>0</v>
      </c>
      <c r="AF217" s="24"/>
      <c r="AM217" s="24">
        <f>+'Gov Rev'!AI215-'Gov Exp'!AE217+'Gov Exp'!AI217-'Gov Exp'!AK217</f>
        <v>0</v>
      </c>
    </row>
    <row r="218" spans="1:39" hidden="1">
      <c r="A218" s="15" t="s">
        <v>519</v>
      </c>
      <c r="C218" s="15" t="s">
        <v>517</v>
      </c>
      <c r="E218" s="24">
        <v>0</v>
      </c>
      <c r="G218" s="24">
        <v>0</v>
      </c>
      <c r="I218" s="24">
        <v>0</v>
      </c>
      <c r="K218" s="24">
        <v>0</v>
      </c>
      <c r="M218" s="24">
        <v>0</v>
      </c>
      <c r="O218" s="24">
        <v>0</v>
      </c>
      <c r="Q218" s="24">
        <v>0</v>
      </c>
      <c r="S218" s="24">
        <v>0</v>
      </c>
      <c r="U218" s="24">
        <v>0</v>
      </c>
      <c r="W218" s="24">
        <v>0</v>
      </c>
      <c r="Y218" s="24">
        <v>0</v>
      </c>
      <c r="AA218" s="24">
        <v>0</v>
      </c>
      <c r="AC218" s="24">
        <v>0</v>
      </c>
      <c r="AE218" s="24">
        <f t="shared" si="6"/>
        <v>0</v>
      </c>
      <c r="AF218" s="24"/>
      <c r="AM218" s="24">
        <f>+'Gov Rev'!AI216-'Gov Exp'!AE218+'Gov Exp'!AI218-'Gov Exp'!AK218</f>
        <v>0</v>
      </c>
    </row>
    <row r="219" spans="1:39" s="31" customFormat="1">
      <c r="A219" s="15" t="s">
        <v>381</v>
      </c>
      <c r="B219" s="15"/>
      <c r="C219" s="15" t="s">
        <v>378</v>
      </c>
      <c r="D219" s="15"/>
      <c r="E219" s="24">
        <f>982891+36390</f>
        <v>1019281</v>
      </c>
      <c r="F219" s="24"/>
      <c r="G219" s="24">
        <v>5877</v>
      </c>
      <c r="H219" s="24"/>
      <c r="I219" s="24">
        <f>33671+20895</f>
        <v>54566</v>
      </c>
      <c r="J219" s="24"/>
      <c r="K219" s="24">
        <v>9306</v>
      </c>
      <c r="L219" s="24"/>
      <c r="M219" s="24">
        <f>468286+7578</f>
        <v>475864</v>
      </c>
      <c r="N219" s="24"/>
      <c r="O219" s="24">
        <f>278132+30521</f>
        <v>308653</v>
      </c>
      <c r="P219" s="24"/>
      <c r="Q219" s="24">
        <f>466563+18584</f>
        <v>485147</v>
      </c>
      <c r="R219" s="24"/>
      <c r="S219" s="24">
        <f>12238+172530+470036</f>
        <v>654804</v>
      </c>
      <c r="T219" s="24"/>
      <c r="U219" s="24">
        <v>110000</v>
      </c>
      <c r="V219" s="24"/>
      <c r="W219" s="24">
        <f>193+9213</f>
        <v>9406</v>
      </c>
      <c r="X219" s="24"/>
      <c r="Y219" s="24">
        <v>253146</v>
      </c>
      <c r="Z219" s="24"/>
      <c r="AA219" s="24">
        <v>0</v>
      </c>
      <c r="AB219" s="24"/>
      <c r="AC219" s="24">
        <v>0</v>
      </c>
      <c r="AD219" s="24"/>
      <c r="AE219" s="24">
        <f t="shared" si="6"/>
        <v>3386050</v>
      </c>
      <c r="AF219" s="24"/>
      <c r="AG219" s="65">
        <f>39988-35116+245211+117082</f>
        <v>367165</v>
      </c>
      <c r="AH219" s="65"/>
      <c r="AI219" s="65">
        <f>722486+218705+495816+1703270</f>
        <v>3140277</v>
      </c>
      <c r="AJ219" s="65"/>
      <c r="AK219" s="65">
        <f>762474+183589+741027+1820352</f>
        <v>3507442</v>
      </c>
      <c r="AM219" s="24">
        <f>+'Gov Rev'!AI218-'Gov Exp'!AE219+'Gov Exp'!AI219-'Gov Exp'!AK219</f>
        <v>0</v>
      </c>
    </row>
    <row r="220" spans="1:39" s="31" customFormat="1">
      <c r="A220" s="15" t="s">
        <v>505</v>
      </c>
      <c r="B220" s="15"/>
      <c r="C220" s="15" t="s">
        <v>504</v>
      </c>
      <c r="D220" s="15"/>
      <c r="E220" s="24">
        <f>1779+161</f>
        <v>1940</v>
      </c>
      <c r="F220" s="24"/>
      <c r="G220" s="24">
        <v>0</v>
      </c>
      <c r="H220" s="24"/>
      <c r="I220" s="24">
        <v>1427</v>
      </c>
      <c r="J220" s="24"/>
      <c r="K220" s="24">
        <v>1975</v>
      </c>
      <c r="L220" s="24"/>
      <c r="M220" s="24">
        <v>408</v>
      </c>
      <c r="N220" s="24"/>
      <c r="O220" s="24">
        <v>176</v>
      </c>
      <c r="P220" s="24"/>
      <c r="Q220" s="24">
        <f>23615+1987+188</f>
        <v>25790</v>
      </c>
      <c r="R220" s="24"/>
      <c r="S220" s="24">
        <v>0</v>
      </c>
      <c r="T220" s="24"/>
      <c r="U220" s="24">
        <v>0</v>
      </c>
      <c r="V220" s="24"/>
      <c r="W220" s="24">
        <v>0</v>
      </c>
      <c r="X220" s="24"/>
      <c r="Y220" s="24">
        <v>0</v>
      </c>
      <c r="Z220" s="24"/>
      <c r="AA220" s="24">
        <v>0</v>
      </c>
      <c r="AB220" s="24"/>
      <c r="AC220" s="24">
        <v>0</v>
      </c>
      <c r="AD220" s="24"/>
      <c r="AE220" s="24">
        <f t="shared" si="6"/>
        <v>31716</v>
      </c>
      <c r="AF220" s="24"/>
      <c r="AG220" s="65">
        <f>8937+5148+555+87</f>
        <v>14727</v>
      </c>
      <c r="AH220" s="65"/>
      <c r="AI220" s="65">
        <f>6079+50429</f>
        <v>56508</v>
      </c>
      <c r="AJ220" s="65"/>
      <c r="AK220" s="65">
        <f>15016+50429+5790</f>
        <v>71235</v>
      </c>
      <c r="AM220" s="24">
        <f>+'Gov Rev'!AI219-'Gov Exp'!AE220+'Gov Exp'!AI220-'Gov Exp'!AK220</f>
        <v>0</v>
      </c>
    </row>
    <row r="221" spans="1:39" s="31" customFormat="1">
      <c r="A221" s="15" t="s">
        <v>870</v>
      </c>
      <c r="B221" s="15"/>
      <c r="C221" s="15" t="s">
        <v>412</v>
      </c>
      <c r="D221" s="15"/>
      <c r="E221" s="24">
        <v>21205</v>
      </c>
      <c r="F221" s="24"/>
      <c r="G221" s="24">
        <v>297</v>
      </c>
      <c r="H221" s="24"/>
      <c r="I221" s="24">
        <v>0</v>
      </c>
      <c r="J221" s="24"/>
      <c r="K221" s="24">
        <v>0</v>
      </c>
      <c r="L221" s="24"/>
      <c r="M221" s="24">
        <v>684</v>
      </c>
      <c r="N221" s="24"/>
      <c r="O221" s="24">
        <v>3474</v>
      </c>
      <c r="P221" s="24"/>
      <c r="Q221" s="24">
        <v>41603</v>
      </c>
      <c r="R221" s="24"/>
      <c r="S221" s="24">
        <v>2000</v>
      </c>
      <c r="T221" s="24"/>
      <c r="U221" s="24">
        <v>0</v>
      </c>
      <c r="V221" s="24"/>
      <c r="W221" s="24">
        <v>0</v>
      </c>
      <c r="X221" s="24"/>
      <c r="Y221" s="24">
        <v>0</v>
      </c>
      <c r="Z221" s="24"/>
      <c r="AA221" s="24">
        <v>0</v>
      </c>
      <c r="AB221" s="24"/>
      <c r="AC221" s="24">
        <v>0</v>
      </c>
      <c r="AD221" s="24"/>
      <c r="AE221" s="24">
        <f t="shared" si="6"/>
        <v>69263</v>
      </c>
      <c r="AF221" s="24"/>
      <c r="AG221" s="65">
        <f>-14865+11939</f>
        <v>-2926</v>
      </c>
      <c r="AH221" s="65"/>
      <c r="AI221" s="65">
        <f>106053+35441</f>
        <v>141494</v>
      </c>
      <c r="AJ221" s="65"/>
      <c r="AK221" s="65">
        <f>91188+47380</f>
        <v>138568</v>
      </c>
      <c r="AM221" s="24">
        <f>+'Gov Rev'!AI220-'Gov Exp'!AE221+'Gov Exp'!AI221-'Gov Exp'!AK221</f>
        <v>0</v>
      </c>
    </row>
    <row r="222" spans="1:39" s="31" customFormat="1" hidden="1">
      <c r="A222" s="15" t="s">
        <v>372</v>
      </c>
      <c r="B222" s="15"/>
      <c r="C222" s="15" t="s">
        <v>373</v>
      </c>
      <c r="D222" s="15"/>
      <c r="E222" s="24">
        <v>0</v>
      </c>
      <c r="F222" s="24"/>
      <c r="G222" s="24">
        <v>0</v>
      </c>
      <c r="H222" s="24"/>
      <c r="I222" s="24">
        <v>0</v>
      </c>
      <c r="J222" s="24"/>
      <c r="K222" s="24">
        <v>0</v>
      </c>
      <c r="L222" s="24"/>
      <c r="M222" s="24">
        <v>0</v>
      </c>
      <c r="N222" s="24"/>
      <c r="O222" s="24">
        <v>0</v>
      </c>
      <c r="P222" s="24"/>
      <c r="Q222" s="24">
        <v>0</v>
      </c>
      <c r="R222" s="24"/>
      <c r="S222" s="24">
        <v>0</v>
      </c>
      <c r="T222" s="24"/>
      <c r="U222" s="24">
        <v>0</v>
      </c>
      <c r="V222" s="24"/>
      <c r="W222" s="24">
        <v>0</v>
      </c>
      <c r="X222" s="24"/>
      <c r="Y222" s="24">
        <v>0</v>
      </c>
      <c r="Z222" s="24"/>
      <c r="AA222" s="24">
        <v>0</v>
      </c>
      <c r="AB222" s="24"/>
      <c r="AC222" s="24">
        <v>0</v>
      </c>
      <c r="AD222" s="24"/>
      <c r="AE222" s="24">
        <f t="shared" si="6"/>
        <v>0</v>
      </c>
      <c r="AF222" s="24"/>
      <c r="AG222" s="65"/>
      <c r="AH222" s="65"/>
      <c r="AI222" s="65"/>
      <c r="AJ222" s="65"/>
      <c r="AK222" s="65"/>
      <c r="AM222" s="24">
        <f>+'Gov Rev'!AI221-'Gov Exp'!AE222+'Gov Exp'!AI222-'Gov Exp'!AK222</f>
        <v>0</v>
      </c>
    </row>
    <row r="223" spans="1:39" ht="12.75" hidden="1">
      <c r="A223" s="15" t="s">
        <v>49</v>
      </c>
      <c r="C223" s="15" t="s">
        <v>766</v>
      </c>
      <c r="D223" s="28"/>
      <c r="E223" s="24">
        <v>0</v>
      </c>
      <c r="G223" s="24">
        <v>0</v>
      </c>
      <c r="I223" s="24">
        <v>0</v>
      </c>
      <c r="K223" s="24">
        <v>0</v>
      </c>
      <c r="M223" s="24">
        <v>0</v>
      </c>
      <c r="O223" s="24">
        <v>0</v>
      </c>
      <c r="Q223" s="24">
        <v>0</v>
      </c>
      <c r="S223" s="24">
        <v>0</v>
      </c>
      <c r="U223" s="24">
        <v>0</v>
      </c>
      <c r="W223" s="24">
        <v>0</v>
      </c>
      <c r="Y223" s="24">
        <v>0</v>
      </c>
      <c r="AA223" s="24">
        <v>0</v>
      </c>
      <c r="AC223" s="24">
        <v>0</v>
      </c>
      <c r="AE223" s="24">
        <f t="shared" si="6"/>
        <v>0</v>
      </c>
      <c r="AF223" s="24"/>
      <c r="AM223" s="24">
        <f>+'Gov Rev'!AI222-'Gov Exp'!AE223+'Gov Exp'!AI223-'Gov Exp'!AK223</f>
        <v>0</v>
      </c>
    </row>
    <row r="224" spans="1:39" s="24" customFormat="1" ht="12.75" hidden="1">
      <c r="A224" s="24" t="s">
        <v>153</v>
      </c>
      <c r="C224" s="24" t="s">
        <v>797</v>
      </c>
      <c r="D224" s="85"/>
      <c r="E224" s="24">
        <v>0</v>
      </c>
      <c r="G224" s="24">
        <v>0</v>
      </c>
      <c r="I224" s="24">
        <v>0</v>
      </c>
      <c r="K224" s="24">
        <v>0</v>
      </c>
      <c r="M224" s="24">
        <v>0</v>
      </c>
      <c r="O224" s="24">
        <v>0</v>
      </c>
      <c r="Q224" s="24">
        <v>0</v>
      </c>
      <c r="S224" s="24">
        <v>0</v>
      </c>
      <c r="U224" s="24">
        <v>0</v>
      </c>
      <c r="W224" s="24">
        <v>0</v>
      </c>
      <c r="Y224" s="24">
        <v>0</v>
      </c>
      <c r="AA224" s="24">
        <v>0</v>
      </c>
      <c r="AC224" s="24">
        <v>0</v>
      </c>
      <c r="AE224" s="24">
        <f t="shared" si="6"/>
        <v>0</v>
      </c>
      <c r="AG224" s="64"/>
      <c r="AH224" s="64"/>
      <c r="AI224" s="64"/>
      <c r="AJ224" s="64"/>
      <c r="AK224" s="64"/>
      <c r="AM224" s="24">
        <f>+'Gov Rev'!AI223-'Gov Exp'!AE224+'Gov Exp'!AI224-'Gov Exp'!AK224</f>
        <v>0</v>
      </c>
    </row>
    <row r="225" spans="1:39" ht="12.75" hidden="1">
      <c r="A225" s="15" t="s">
        <v>10</v>
      </c>
      <c r="C225" s="15" t="s">
        <v>753</v>
      </c>
      <c r="D225" s="28"/>
      <c r="E225" s="24">
        <v>0</v>
      </c>
      <c r="G225" s="24">
        <v>0</v>
      </c>
      <c r="I225" s="24">
        <v>0</v>
      </c>
      <c r="K225" s="24">
        <v>0</v>
      </c>
      <c r="M225" s="24">
        <v>0</v>
      </c>
      <c r="O225" s="24">
        <v>0</v>
      </c>
      <c r="Q225" s="24">
        <v>0</v>
      </c>
      <c r="S225" s="24">
        <v>0</v>
      </c>
      <c r="U225" s="24">
        <v>0</v>
      </c>
      <c r="W225" s="24">
        <v>0</v>
      </c>
      <c r="Y225" s="24">
        <v>0</v>
      </c>
      <c r="AA225" s="24">
        <v>0</v>
      </c>
      <c r="AC225" s="24">
        <v>0</v>
      </c>
      <c r="AE225" s="24">
        <f t="shared" si="6"/>
        <v>0</v>
      </c>
      <c r="AF225" s="24"/>
      <c r="AM225" s="24">
        <f>+'Gov Rev'!AI223-'Gov Exp'!AE225+'Gov Exp'!AI225-'Gov Exp'!AK225</f>
        <v>0</v>
      </c>
    </row>
    <row r="226" spans="1:39" s="31" customFormat="1">
      <c r="A226" s="15" t="s">
        <v>568</v>
      </c>
      <c r="B226" s="15"/>
      <c r="C226" s="15" t="s">
        <v>565</v>
      </c>
      <c r="D226" s="15"/>
      <c r="E226" s="24">
        <f>30339+148559</f>
        <v>178898</v>
      </c>
      <c r="F226" s="24"/>
      <c r="G226" s="24">
        <f>651+323</f>
        <v>974</v>
      </c>
      <c r="H226" s="24"/>
      <c r="I226" s="24">
        <v>15597</v>
      </c>
      <c r="J226" s="24"/>
      <c r="K226" s="24">
        <f>924+8093</f>
        <v>9017</v>
      </c>
      <c r="L226" s="24"/>
      <c r="M226" s="24">
        <f>164736+75993</f>
        <v>240729</v>
      </c>
      <c r="N226" s="24"/>
      <c r="O226" s="24">
        <f>29942+36339</f>
        <v>66281</v>
      </c>
      <c r="P226" s="24"/>
      <c r="Q226" s="24">
        <f>84972+15278</f>
        <v>100250</v>
      </c>
      <c r="R226" s="24"/>
      <c r="S226" s="24">
        <f>18335+9085</f>
        <v>27420</v>
      </c>
      <c r="T226" s="24"/>
      <c r="U226" s="24">
        <v>193126</v>
      </c>
      <c r="V226" s="24"/>
      <c r="W226" s="24">
        <v>0</v>
      </c>
      <c r="X226" s="24"/>
      <c r="Y226" s="24">
        <v>0</v>
      </c>
      <c r="Z226" s="24"/>
      <c r="AA226" s="24">
        <v>0</v>
      </c>
      <c r="AB226" s="24"/>
      <c r="AC226" s="24">
        <v>0</v>
      </c>
      <c r="AD226" s="24"/>
      <c r="AE226" s="24">
        <f t="shared" si="6"/>
        <v>832292</v>
      </c>
      <c r="AF226" s="24"/>
      <c r="AG226" s="65">
        <f>23529-3371-27607+1299</f>
        <v>-6150</v>
      </c>
      <c r="AH226" s="65"/>
      <c r="AI226" s="65">
        <f>52211+181791+92765+9511</f>
        <v>336278</v>
      </c>
      <c r="AJ226" s="65"/>
      <c r="AK226" s="65">
        <f>75740+148070+65158+10810</f>
        <v>299778</v>
      </c>
      <c r="AM226" s="24">
        <f>+'Gov Rev'!AI224-'Gov Exp'!AE226+'Gov Exp'!AI226-'Gov Exp'!AK226</f>
        <v>0</v>
      </c>
    </row>
    <row r="227" spans="1:39">
      <c r="A227" s="15" t="s">
        <v>382</v>
      </c>
      <c r="C227" s="15" t="s">
        <v>378</v>
      </c>
      <c r="E227" s="24">
        <f>2118070+523645</f>
        <v>2641715</v>
      </c>
      <c r="G227" s="24">
        <f>2990+3911</f>
        <v>6901</v>
      </c>
      <c r="I227" s="24">
        <v>0</v>
      </c>
      <c r="K227" s="24">
        <f>23140+799538+32924</f>
        <v>855602</v>
      </c>
      <c r="M227" s="24">
        <f>65559+16422</f>
        <v>81981</v>
      </c>
      <c r="O227" s="24">
        <v>637</v>
      </c>
      <c r="Q227" s="24">
        <f>106603+258266</f>
        <v>364869</v>
      </c>
      <c r="S227" s="24">
        <f>36077+9285</f>
        <v>45362</v>
      </c>
      <c r="U227" s="24">
        <v>235071</v>
      </c>
      <c r="W227" s="24">
        <v>76444</v>
      </c>
      <c r="Y227" s="24">
        <v>610000</v>
      </c>
      <c r="AA227" s="24">
        <v>0</v>
      </c>
      <c r="AC227" s="24">
        <v>0</v>
      </c>
      <c r="AE227" s="24">
        <f t="shared" si="6"/>
        <v>4918582</v>
      </c>
      <c r="AF227" s="24"/>
      <c r="AG227" s="64">
        <f>136392-462604-32924</f>
        <v>-359136</v>
      </c>
      <c r="AI227" s="64">
        <f>-38850+1723405+10080+4188</f>
        <v>1698823</v>
      </c>
      <c r="AK227" s="64">
        <f>97542+1260801-22844+4188</f>
        <v>1339687</v>
      </c>
      <c r="AM227" s="24">
        <f>+'Gov Rev'!AI225-'Gov Exp'!AE227+'Gov Exp'!AI227-'Gov Exp'!AK227</f>
        <v>0</v>
      </c>
    </row>
    <row r="228" spans="1:39" s="31" customFormat="1" ht="12.6" hidden="1" customHeight="1">
      <c r="A228" s="15" t="s">
        <v>331</v>
      </c>
      <c r="B228" s="15"/>
      <c r="C228" s="15" t="s">
        <v>329</v>
      </c>
      <c r="D228" s="15"/>
      <c r="E228" s="24">
        <v>0</v>
      </c>
      <c r="F228" s="24"/>
      <c r="G228" s="24">
        <v>0</v>
      </c>
      <c r="H228" s="24"/>
      <c r="I228" s="24">
        <v>0</v>
      </c>
      <c r="J228" s="24"/>
      <c r="K228" s="24">
        <v>0</v>
      </c>
      <c r="L228" s="24"/>
      <c r="M228" s="24">
        <v>0</v>
      </c>
      <c r="N228" s="24"/>
      <c r="O228" s="24">
        <v>0</v>
      </c>
      <c r="P228" s="24"/>
      <c r="Q228" s="24">
        <v>0</v>
      </c>
      <c r="R228" s="24"/>
      <c r="S228" s="24">
        <v>0</v>
      </c>
      <c r="T228" s="24"/>
      <c r="U228" s="24">
        <v>0</v>
      </c>
      <c r="V228" s="24"/>
      <c r="W228" s="24">
        <v>0</v>
      </c>
      <c r="X228" s="24"/>
      <c r="Y228" s="24">
        <v>0</v>
      </c>
      <c r="Z228" s="24"/>
      <c r="AA228" s="24">
        <v>0</v>
      </c>
      <c r="AB228" s="24"/>
      <c r="AC228" s="24">
        <v>0</v>
      </c>
      <c r="AD228" s="24"/>
      <c r="AE228" s="24">
        <f t="shared" si="6"/>
        <v>0</v>
      </c>
      <c r="AF228" s="24"/>
      <c r="AG228" s="65"/>
      <c r="AH228" s="65"/>
      <c r="AI228" s="65"/>
      <c r="AJ228" s="65"/>
      <c r="AK228" s="65"/>
      <c r="AM228" s="24">
        <f>+'Gov Rev'!AI226-'Gov Exp'!AE228+'Gov Exp'!AI228-'Gov Exp'!AK228</f>
        <v>0</v>
      </c>
    </row>
    <row r="229" spans="1:39" s="31" customFormat="1">
      <c r="A229" s="15" t="s">
        <v>451</v>
      </c>
      <c r="B229" s="15"/>
      <c r="C229" s="15" t="s">
        <v>452</v>
      </c>
      <c r="D229" s="15"/>
      <c r="E229" s="24">
        <f>622014+21845</f>
        <v>643859</v>
      </c>
      <c r="F229" s="24"/>
      <c r="G229" s="24">
        <v>65408</v>
      </c>
      <c r="H229" s="24"/>
      <c r="I229" s="24">
        <v>27871</v>
      </c>
      <c r="J229" s="24"/>
      <c r="K229" s="24">
        <f>5148+40000</f>
        <v>45148</v>
      </c>
      <c r="L229" s="24"/>
      <c r="M229" s="24">
        <v>156560</v>
      </c>
      <c r="N229" s="24"/>
      <c r="O229" s="24">
        <v>169136</v>
      </c>
      <c r="P229" s="24"/>
      <c r="Q229" s="24">
        <f>456657+4896</f>
        <v>461553</v>
      </c>
      <c r="R229" s="24"/>
      <c r="S229" s="24">
        <f>99057+30000+904889</f>
        <v>1033946</v>
      </c>
      <c r="T229" s="24"/>
      <c r="U229" s="24">
        <v>78585</v>
      </c>
      <c r="V229" s="24"/>
      <c r="W229" s="24">
        <v>37664</v>
      </c>
      <c r="X229" s="24"/>
      <c r="Y229" s="24">
        <v>425139</v>
      </c>
      <c r="Z229" s="24"/>
      <c r="AA229" s="24">
        <v>0</v>
      </c>
      <c r="AB229" s="24"/>
      <c r="AC229" s="24">
        <v>214891</v>
      </c>
      <c r="AD229" s="24"/>
      <c r="AE229" s="24">
        <f t="shared" si="6"/>
        <v>3359760</v>
      </c>
      <c r="AF229" s="24"/>
      <c r="AG229" s="65">
        <f>92845+7847-265167</f>
        <v>-164475</v>
      </c>
      <c r="AH229" s="65"/>
      <c r="AI229" s="65">
        <f>1653793+51830+934200</f>
        <v>2639823</v>
      </c>
      <c r="AJ229" s="65"/>
      <c r="AK229" s="65">
        <f>1749638+59677+669033</f>
        <v>2478348</v>
      </c>
      <c r="AM229" s="24">
        <f>+'Gov Rev'!AI227-'Gov Exp'!AE229+'Gov Exp'!AI229-'Gov Exp'!AK229</f>
        <v>0</v>
      </c>
    </row>
    <row r="230" spans="1:39" ht="12.75" hidden="1">
      <c r="A230" s="15" t="s">
        <v>255</v>
      </c>
      <c r="C230" s="15" t="s">
        <v>830</v>
      </c>
      <c r="D230" s="28"/>
      <c r="E230" s="24">
        <v>0</v>
      </c>
      <c r="G230" s="24">
        <v>0</v>
      </c>
      <c r="I230" s="24">
        <v>0</v>
      </c>
      <c r="K230" s="24">
        <v>0</v>
      </c>
      <c r="M230" s="24">
        <v>0</v>
      </c>
      <c r="O230" s="24">
        <v>0</v>
      </c>
      <c r="Q230" s="24">
        <v>0</v>
      </c>
      <c r="S230" s="24">
        <v>0</v>
      </c>
      <c r="U230" s="24">
        <v>0</v>
      </c>
      <c r="W230" s="24">
        <v>0</v>
      </c>
      <c r="Y230" s="24">
        <v>0</v>
      </c>
      <c r="AA230" s="24">
        <v>0</v>
      </c>
      <c r="AC230" s="24">
        <v>0</v>
      </c>
      <c r="AE230" s="24">
        <f t="shared" si="6"/>
        <v>0</v>
      </c>
      <c r="AF230" s="24"/>
      <c r="AM230" s="24">
        <f>+'Gov Rev'!AI228-'Gov Exp'!AE230+'Gov Exp'!AI230-'Gov Exp'!AK230</f>
        <v>0</v>
      </c>
    </row>
    <row r="231" spans="1:39" s="31" customFormat="1">
      <c r="A231" s="15" t="s">
        <v>431</v>
      </c>
      <c r="B231" s="15"/>
      <c r="C231" s="15" t="s">
        <v>430</v>
      </c>
      <c r="D231" s="15"/>
      <c r="E231" s="24">
        <f>425577+7700</f>
        <v>433277</v>
      </c>
      <c r="F231" s="24"/>
      <c r="G231" s="24">
        <v>4977</v>
      </c>
      <c r="H231" s="24"/>
      <c r="I231" s="24">
        <v>2605</v>
      </c>
      <c r="J231" s="24"/>
      <c r="K231" s="24">
        <f>8461+140488+130+33476</f>
        <v>182555</v>
      </c>
      <c r="L231" s="24"/>
      <c r="M231" s="24">
        <v>0</v>
      </c>
      <c r="N231" s="24"/>
      <c r="O231" s="24">
        <f>20319+30450</f>
        <v>50769</v>
      </c>
      <c r="P231" s="24"/>
      <c r="Q231" s="24">
        <f>149613+2501</f>
        <v>152114</v>
      </c>
      <c r="R231" s="24"/>
      <c r="S231" s="24">
        <v>0</v>
      </c>
      <c r="T231" s="24"/>
      <c r="U231" s="24">
        <v>0</v>
      </c>
      <c r="V231" s="24"/>
      <c r="W231" s="24">
        <v>0</v>
      </c>
      <c r="X231" s="24"/>
      <c r="Y231" s="24">
        <f>949+12</f>
        <v>961</v>
      </c>
      <c r="Z231" s="24"/>
      <c r="AA231" s="24">
        <f>77843+76794</f>
        <v>154637</v>
      </c>
      <c r="AB231" s="24"/>
      <c r="AC231" s="24">
        <v>10000</v>
      </c>
      <c r="AD231" s="24"/>
      <c r="AE231" s="24">
        <f t="shared" si="6"/>
        <v>991895</v>
      </c>
      <c r="AF231" s="24"/>
      <c r="AG231" s="65">
        <f>-100607+9886+12603-9713</f>
        <v>-87831</v>
      </c>
      <c r="AH231" s="65"/>
      <c r="AI231" s="65">
        <f>144210+37224+272+19475+13679</f>
        <v>214860</v>
      </c>
      <c r="AJ231" s="65"/>
      <c r="AK231" s="65">
        <f>43603+47110+272+32078+3966</f>
        <v>127029</v>
      </c>
      <c r="AM231" s="24">
        <f>+'Gov Rev'!AI229-'Gov Exp'!AE231+'Gov Exp'!AI231-'Gov Exp'!AK231</f>
        <v>0</v>
      </c>
    </row>
    <row r="232" spans="1:39" s="31" customFormat="1">
      <c r="A232" s="15" t="s">
        <v>438</v>
      </c>
      <c r="B232" s="15"/>
      <c r="C232" s="15" t="s">
        <v>439</v>
      </c>
      <c r="D232" s="15"/>
      <c r="E232" s="24">
        <v>1004898</v>
      </c>
      <c r="F232" s="24"/>
      <c r="G232" s="24">
        <v>24269</v>
      </c>
      <c r="H232" s="24"/>
      <c r="I232" s="24">
        <v>0</v>
      </c>
      <c r="J232" s="24"/>
      <c r="K232" s="24">
        <v>66356</v>
      </c>
      <c r="L232" s="24"/>
      <c r="M232" s="24">
        <v>0</v>
      </c>
      <c r="N232" s="24"/>
      <c r="O232" s="24">
        <f>684971+189653</f>
        <v>874624</v>
      </c>
      <c r="P232" s="24"/>
      <c r="Q232" s="24">
        <v>960725</v>
      </c>
      <c r="R232" s="24"/>
      <c r="S232" s="24">
        <f>573260+106507</f>
        <v>679767</v>
      </c>
      <c r="T232" s="24"/>
      <c r="U232" s="24">
        <f>30986+99173+25664+520000+1</f>
        <v>675824</v>
      </c>
      <c r="V232" s="24"/>
      <c r="W232" s="24">
        <v>0</v>
      </c>
      <c r="X232" s="24"/>
      <c r="Y232" s="24">
        <v>373400</v>
      </c>
      <c r="Z232" s="24"/>
      <c r="AA232" s="24">
        <v>0</v>
      </c>
      <c r="AB232" s="24"/>
      <c r="AC232" s="24">
        <v>0</v>
      </c>
      <c r="AD232" s="24"/>
      <c r="AE232" s="24">
        <f t="shared" si="6"/>
        <v>4659863</v>
      </c>
      <c r="AF232" s="24"/>
      <c r="AG232" s="65">
        <f>178784+89597-6261+58716</f>
        <v>320836</v>
      </c>
      <c r="AH232" s="65"/>
      <c r="AI232" s="65">
        <f>1335163+231264+38683+649282+110</f>
        <v>2254502</v>
      </c>
      <c r="AJ232" s="65"/>
      <c r="AK232" s="65">
        <f>1513947+320861+32422+707999+110</f>
        <v>2575339</v>
      </c>
      <c r="AM232" s="24">
        <f>+'Gov Rev'!AI230-'Gov Exp'!AE232+'Gov Exp'!AI232-'Gov Exp'!AK232</f>
        <v>0</v>
      </c>
    </row>
    <row r="233" spans="1:39" s="31" customFormat="1">
      <c r="A233" s="15" t="s">
        <v>440</v>
      </c>
      <c r="B233" s="15"/>
      <c r="C233" s="15" t="s">
        <v>439</v>
      </c>
      <c r="D233" s="15"/>
      <c r="E233" s="24">
        <v>3621</v>
      </c>
      <c r="F233" s="24"/>
      <c r="G233" s="24">
        <v>0</v>
      </c>
      <c r="H233" s="24"/>
      <c r="I233" s="24">
        <v>0</v>
      </c>
      <c r="J233" s="24"/>
      <c r="K233" s="24">
        <v>0</v>
      </c>
      <c r="L233" s="24"/>
      <c r="M233" s="24">
        <v>0</v>
      </c>
      <c r="N233" s="24"/>
      <c r="O233" s="24">
        <v>1476</v>
      </c>
      <c r="P233" s="24"/>
      <c r="Q233" s="24">
        <v>25743</v>
      </c>
      <c r="R233" s="24"/>
      <c r="S233" s="24">
        <v>0</v>
      </c>
      <c r="T233" s="24"/>
      <c r="U233" s="24">
        <v>0</v>
      </c>
      <c r="V233" s="24"/>
      <c r="W233" s="24">
        <v>0</v>
      </c>
      <c r="X233" s="24"/>
      <c r="Y233" s="24">
        <v>0</v>
      </c>
      <c r="Z233" s="24"/>
      <c r="AA233" s="24">
        <v>0</v>
      </c>
      <c r="AB233" s="24"/>
      <c r="AC233" s="24">
        <v>0</v>
      </c>
      <c r="AD233" s="24"/>
      <c r="AE233" s="24">
        <f t="shared" si="6"/>
        <v>30840</v>
      </c>
      <c r="AF233" s="24"/>
      <c r="AG233" s="65">
        <f>-1358+13464</f>
        <v>12106</v>
      </c>
      <c r="AH233" s="65"/>
      <c r="AI233" s="65">
        <f>52374+16524</f>
        <v>68898</v>
      </c>
      <c r="AJ233" s="65"/>
      <c r="AK233" s="65">
        <f>51016+29988</f>
        <v>81004</v>
      </c>
      <c r="AM233" s="24">
        <f>+'Gov Rev'!AI231-'Gov Exp'!AE233+'Gov Exp'!AI233-'Gov Exp'!AK233</f>
        <v>0</v>
      </c>
    </row>
    <row r="234" spans="1:39" ht="12.75" hidden="1">
      <c r="A234" s="15" t="s">
        <v>201</v>
      </c>
      <c r="C234" s="15" t="s">
        <v>812</v>
      </c>
      <c r="D234" s="28"/>
      <c r="E234" s="24">
        <v>0</v>
      </c>
      <c r="G234" s="24">
        <v>0</v>
      </c>
      <c r="I234" s="24">
        <v>0</v>
      </c>
      <c r="K234" s="24">
        <v>0</v>
      </c>
      <c r="M234" s="24">
        <v>0</v>
      </c>
      <c r="O234" s="24">
        <v>0</v>
      </c>
      <c r="Q234" s="24">
        <v>0</v>
      </c>
      <c r="S234" s="24">
        <v>0</v>
      </c>
      <c r="U234" s="24">
        <v>0</v>
      </c>
      <c r="W234" s="24">
        <v>0</v>
      </c>
      <c r="Y234" s="24">
        <v>0</v>
      </c>
      <c r="AA234" s="24">
        <v>0</v>
      </c>
      <c r="AC234" s="24">
        <v>0</v>
      </c>
      <c r="AE234" s="24">
        <f t="shared" si="6"/>
        <v>0</v>
      </c>
      <c r="AF234" s="24"/>
      <c r="AM234" s="24">
        <f>+'Gov Rev'!AI233-'Gov Exp'!AE234+'Gov Exp'!AI234-'Gov Exp'!AK234</f>
        <v>0</v>
      </c>
    </row>
    <row r="235" spans="1:39" s="31" customFormat="1">
      <c r="A235" s="15" t="s">
        <v>478</v>
      </c>
      <c r="B235" s="15"/>
      <c r="C235" s="15" t="s">
        <v>477</v>
      </c>
      <c r="D235" s="15"/>
      <c r="E235" s="24">
        <v>1588</v>
      </c>
      <c r="F235" s="24"/>
      <c r="G235" s="24">
        <v>1172</v>
      </c>
      <c r="H235" s="24"/>
      <c r="I235" s="24">
        <v>0</v>
      </c>
      <c r="J235" s="24"/>
      <c r="K235" s="24">
        <v>0</v>
      </c>
      <c r="L235" s="24"/>
      <c r="M235" s="24">
        <v>0</v>
      </c>
      <c r="N235" s="24"/>
      <c r="O235" s="24">
        <v>4198</v>
      </c>
      <c r="P235" s="24"/>
      <c r="Q235" s="24">
        <v>3874</v>
      </c>
      <c r="R235" s="24"/>
      <c r="S235" s="24">
        <v>0</v>
      </c>
      <c r="T235" s="24"/>
      <c r="U235" s="24">
        <v>0</v>
      </c>
      <c r="V235" s="24"/>
      <c r="W235" s="24">
        <v>0</v>
      </c>
      <c r="X235" s="24"/>
      <c r="Y235" s="24">
        <v>0</v>
      </c>
      <c r="Z235" s="24"/>
      <c r="AA235" s="24">
        <v>0</v>
      </c>
      <c r="AB235" s="24"/>
      <c r="AC235" s="24">
        <v>0</v>
      </c>
      <c r="AD235" s="24"/>
      <c r="AE235" s="24">
        <f t="shared" si="6"/>
        <v>10832</v>
      </c>
      <c r="AF235" s="24"/>
      <c r="AG235" s="65">
        <f>1101-988</f>
        <v>113</v>
      </c>
      <c r="AH235" s="65"/>
      <c r="AI235" s="65">
        <f>1416+13201</f>
        <v>14617</v>
      </c>
      <c r="AJ235" s="65"/>
      <c r="AK235" s="65">
        <f>2517+12213</f>
        <v>14730</v>
      </c>
      <c r="AM235" s="24">
        <f>+'Gov Rev'!AI234-'Gov Exp'!AE235+'Gov Exp'!AI235-'Gov Exp'!AK235</f>
        <v>0</v>
      </c>
    </row>
    <row r="236" spans="1:39" ht="12.75" hidden="1">
      <c r="A236" s="15" t="s">
        <v>148</v>
      </c>
      <c r="C236" s="15" t="s">
        <v>796</v>
      </c>
      <c r="D236" s="28"/>
      <c r="E236" s="24">
        <v>0</v>
      </c>
      <c r="G236" s="24">
        <v>0</v>
      </c>
      <c r="I236" s="24">
        <v>0</v>
      </c>
      <c r="K236" s="24">
        <v>0</v>
      </c>
      <c r="M236" s="24">
        <v>0</v>
      </c>
      <c r="O236" s="24">
        <v>0</v>
      </c>
      <c r="Q236" s="24">
        <v>0</v>
      </c>
      <c r="S236" s="24">
        <v>0</v>
      </c>
      <c r="U236" s="24">
        <v>0</v>
      </c>
      <c r="W236" s="24">
        <v>0</v>
      </c>
      <c r="Y236" s="24">
        <v>0</v>
      </c>
      <c r="AA236" s="24">
        <v>0</v>
      </c>
      <c r="AC236" s="24">
        <v>0</v>
      </c>
      <c r="AE236" s="24">
        <f t="shared" si="6"/>
        <v>0</v>
      </c>
      <c r="AF236" s="24"/>
      <c r="AM236" s="24">
        <v>0</v>
      </c>
    </row>
    <row r="237" spans="1:39" s="24" customFormat="1" ht="12.75" hidden="1">
      <c r="A237" s="24" t="s">
        <v>219</v>
      </c>
      <c r="C237" s="24" t="s">
        <v>818</v>
      </c>
      <c r="D237" s="85"/>
      <c r="E237" s="24">
        <v>0</v>
      </c>
      <c r="G237" s="24">
        <v>0</v>
      </c>
      <c r="I237" s="24">
        <v>0</v>
      </c>
      <c r="K237" s="24">
        <v>0</v>
      </c>
      <c r="M237" s="24">
        <v>0</v>
      </c>
      <c r="O237" s="24">
        <v>0</v>
      </c>
      <c r="Q237" s="24">
        <v>0</v>
      </c>
      <c r="S237" s="24">
        <v>0</v>
      </c>
      <c r="U237" s="24">
        <v>0</v>
      </c>
      <c r="W237" s="24">
        <v>0</v>
      </c>
      <c r="Y237" s="24">
        <v>0</v>
      </c>
      <c r="AA237" s="24">
        <v>0</v>
      </c>
      <c r="AC237" s="24">
        <v>0</v>
      </c>
      <c r="AE237" s="24">
        <f t="shared" si="6"/>
        <v>0</v>
      </c>
      <c r="AG237" s="64"/>
      <c r="AH237" s="64"/>
      <c r="AI237" s="64"/>
      <c r="AJ237" s="64"/>
      <c r="AK237" s="64"/>
      <c r="AM237" s="24">
        <f>+'Gov Rev'!AI235-'Gov Exp'!AE237+'Gov Exp'!AI237-'Gov Exp'!AK237</f>
        <v>0</v>
      </c>
    </row>
    <row r="238" spans="1:39" hidden="1">
      <c r="A238" s="15" t="s">
        <v>383</v>
      </c>
      <c r="C238" s="15" t="s">
        <v>378</v>
      </c>
      <c r="E238" s="24">
        <v>0</v>
      </c>
      <c r="G238" s="24">
        <v>0</v>
      </c>
      <c r="I238" s="24">
        <v>0</v>
      </c>
      <c r="K238" s="24">
        <v>0</v>
      </c>
      <c r="M238" s="24">
        <v>0</v>
      </c>
      <c r="O238" s="24">
        <v>0</v>
      </c>
      <c r="Q238" s="24">
        <v>0</v>
      </c>
      <c r="S238" s="24">
        <v>0</v>
      </c>
      <c r="U238" s="24">
        <v>0</v>
      </c>
      <c r="W238" s="24">
        <v>0</v>
      </c>
      <c r="Y238" s="24">
        <v>0</v>
      </c>
      <c r="AA238" s="24">
        <v>0</v>
      </c>
      <c r="AC238" s="24">
        <v>0</v>
      </c>
      <c r="AE238" s="24">
        <f t="shared" si="6"/>
        <v>0</v>
      </c>
      <c r="AF238" s="24"/>
      <c r="AM238" s="24">
        <f>+'Gov Rev'!AI236-'Gov Exp'!AE238+'Gov Exp'!AI238-'Gov Exp'!AK238</f>
        <v>0</v>
      </c>
    </row>
    <row r="239" spans="1:39" s="31" customFormat="1" ht="12.75" hidden="1">
      <c r="A239" s="15" t="s">
        <v>94</v>
      </c>
      <c r="B239" s="15"/>
      <c r="C239" s="15" t="s">
        <v>778</v>
      </c>
      <c r="D239" s="28"/>
      <c r="E239" s="24">
        <v>0</v>
      </c>
      <c r="F239" s="24"/>
      <c r="G239" s="24">
        <v>0</v>
      </c>
      <c r="H239" s="24"/>
      <c r="I239" s="24">
        <v>0</v>
      </c>
      <c r="J239" s="24"/>
      <c r="K239" s="24">
        <v>0</v>
      </c>
      <c r="L239" s="24"/>
      <c r="M239" s="24">
        <v>0</v>
      </c>
      <c r="N239" s="24"/>
      <c r="O239" s="24">
        <v>0</v>
      </c>
      <c r="P239" s="24"/>
      <c r="Q239" s="24">
        <v>0</v>
      </c>
      <c r="R239" s="24"/>
      <c r="S239" s="24">
        <v>0</v>
      </c>
      <c r="T239" s="24"/>
      <c r="U239" s="24">
        <v>0</v>
      </c>
      <c r="V239" s="24"/>
      <c r="W239" s="24">
        <v>0</v>
      </c>
      <c r="X239" s="24"/>
      <c r="Y239" s="24">
        <v>0</v>
      </c>
      <c r="Z239" s="24"/>
      <c r="AA239" s="24">
        <v>0</v>
      </c>
      <c r="AB239" s="24"/>
      <c r="AC239" s="24">
        <v>0</v>
      </c>
      <c r="AD239" s="24"/>
      <c r="AE239" s="24">
        <f t="shared" si="6"/>
        <v>0</v>
      </c>
      <c r="AF239" s="24"/>
      <c r="AG239" s="65"/>
      <c r="AH239" s="65"/>
      <c r="AI239" s="65"/>
      <c r="AJ239" s="65"/>
      <c r="AK239" s="65"/>
      <c r="AM239" s="24">
        <f>+'Gov Rev'!AI237-'Gov Exp'!AE239+'Gov Exp'!AI239-'Gov Exp'!AK239</f>
        <v>0</v>
      </c>
    </row>
    <row r="240" spans="1:39" ht="12.75" hidden="1">
      <c r="A240" s="15" t="s">
        <v>113</v>
      </c>
      <c r="C240" s="15" t="s">
        <v>785</v>
      </c>
      <c r="D240" s="28"/>
      <c r="E240" s="24">
        <v>0</v>
      </c>
      <c r="G240" s="24">
        <v>0</v>
      </c>
      <c r="I240" s="24">
        <v>0</v>
      </c>
      <c r="K240" s="24">
        <v>0</v>
      </c>
      <c r="M240" s="24">
        <v>0</v>
      </c>
      <c r="O240" s="24">
        <v>0</v>
      </c>
      <c r="Q240" s="24">
        <v>0</v>
      </c>
      <c r="S240" s="24">
        <v>0</v>
      </c>
      <c r="U240" s="24">
        <v>0</v>
      </c>
      <c r="W240" s="24">
        <v>0</v>
      </c>
      <c r="Y240" s="24">
        <v>0</v>
      </c>
      <c r="AA240" s="24">
        <v>0</v>
      </c>
      <c r="AC240" s="24">
        <v>0</v>
      </c>
      <c r="AE240" s="24">
        <f t="shared" si="6"/>
        <v>0</v>
      </c>
      <c r="AF240" s="41"/>
      <c r="AM240" s="24">
        <f>+'Gov Rev'!AI238-'Gov Exp'!AE240+'Gov Exp'!AI240-'Gov Exp'!AK240</f>
        <v>0</v>
      </c>
    </row>
    <row r="241" spans="1:39" s="31" customFormat="1" ht="12.6" customHeight="1">
      <c r="A241" s="15" t="s">
        <v>354</v>
      </c>
      <c r="B241" s="15"/>
      <c r="C241" s="15" t="s">
        <v>353</v>
      </c>
      <c r="D241" s="15"/>
      <c r="E241" s="24">
        <f>2103763+321</f>
        <v>2104084</v>
      </c>
      <c r="F241" s="24"/>
      <c r="G241" s="24">
        <v>54943</v>
      </c>
      <c r="H241" s="24"/>
      <c r="I241" s="24">
        <f>4036215+230552</f>
        <v>4266767</v>
      </c>
      <c r="J241" s="24"/>
      <c r="K241" s="24">
        <f>618028+15075</f>
        <v>633103</v>
      </c>
      <c r="L241" s="24"/>
      <c r="M241" s="24">
        <v>0</v>
      </c>
      <c r="N241" s="24"/>
      <c r="O241" s="24">
        <f>131718+840915</f>
        <v>972633</v>
      </c>
      <c r="P241" s="24"/>
      <c r="Q241" s="24">
        <f>2574792+59883</f>
        <v>2634675</v>
      </c>
      <c r="R241" s="24"/>
      <c r="S241" s="24">
        <v>2231476</v>
      </c>
      <c r="T241" s="24"/>
      <c r="U241" s="24">
        <v>5757555</v>
      </c>
      <c r="V241" s="24"/>
      <c r="W241" s="24">
        <f>844918+18165</f>
        <v>863083</v>
      </c>
      <c r="X241" s="24"/>
      <c r="Y241" s="24">
        <v>624124</v>
      </c>
      <c r="Z241" s="24"/>
      <c r="AA241" s="24">
        <v>0</v>
      </c>
      <c r="AB241" s="24"/>
      <c r="AC241" s="24">
        <v>0</v>
      </c>
      <c r="AD241" s="24"/>
      <c r="AE241" s="24">
        <f t="shared" si="6"/>
        <v>20142443</v>
      </c>
      <c r="AF241" s="24"/>
      <c r="AG241" s="65">
        <f>1905558+-44749-1162490-105224</f>
        <v>593095</v>
      </c>
      <c r="AH241" s="65"/>
      <c r="AI241" s="65">
        <f>1792420+50359+1558577+663167</f>
        <v>4064523</v>
      </c>
      <c r="AJ241" s="65"/>
      <c r="AK241" s="65">
        <f>3697978+5610+396087+557943</f>
        <v>4657618</v>
      </c>
      <c r="AM241" s="24">
        <f>+'Gov Rev'!AI239-'Gov Exp'!AE241+'Gov Exp'!AI241-'Gov Exp'!AK241</f>
        <v>0</v>
      </c>
    </row>
    <row r="242" spans="1:39" s="31" customFormat="1">
      <c r="A242" s="15" t="s">
        <v>693</v>
      </c>
      <c r="B242" s="15"/>
      <c r="C242" s="15" t="s">
        <v>500</v>
      </c>
      <c r="D242" s="15"/>
      <c r="E242" s="24">
        <f>5068+48097</f>
        <v>53165</v>
      </c>
      <c r="F242" s="24"/>
      <c r="G242" s="24">
        <v>93</v>
      </c>
      <c r="H242" s="24"/>
      <c r="I242" s="24">
        <v>0</v>
      </c>
      <c r="J242" s="24"/>
      <c r="K242" s="24">
        <v>0</v>
      </c>
      <c r="L242" s="24"/>
      <c r="M242" s="24">
        <v>0</v>
      </c>
      <c r="N242" s="24"/>
      <c r="O242" s="24">
        <f>753+10096</f>
        <v>10849</v>
      </c>
      <c r="P242" s="24"/>
      <c r="Q242" s="24">
        <f>51793+249</f>
        <v>52042</v>
      </c>
      <c r="R242" s="24"/>
      <c r="S242" s="24">
        <f>16950+34698</f>
        <v>51648</v>
      </c>
      <c r="T242" s="24"/>
      <c r="U242" s="24">
        <v>0</v>
      </c>
      <c r="V242" s="24"/>
      <c r="W242" s="24">
        <v>0</v>
      </c>
      <c r="X242" s="24"/>
      <c r="Y242" s="24">
        <v>0</v>
      </c>
      <c r="Z242" s="24"/>
      <c r="AA242" s="24">
        <v>0</v>
      </c>
      <c r="AB242" s="24"/>
      <c r="AC242" s="24">
        <v>0</v>
      </c>
      <c r="AD242" s="24"/>
      <c r="AE242" s="24">
        <f t="shared" si="6"/>
        <v>167797</v>
      </c>
      <c r="AF242" s="24"/>
      <c r="AG242" s="65">
        <f>-22331+1284</f>
        <v>-21047</v>
      </c>
      <c r="AH242" s="65"/>
      <c r="AI242" s="65">
        <f>24690+187390</f>
        <v>212080</v>
      </c>
      <c r="AJ242" s="65"/>
      <c r="AK242" s="65">
        <f>2359+188674</f>
        <v>191033</v>
      </c>
      <c r="AM242" s="24">
        <f>+'Gov Rev'!AI240-'Gov Exp'!AE242+'Gov Exp'!AI242-'Gov Exp'!AK242</f>
        <v>0</v>
      </c>
    </row>
    <row r="243" spans="1:39" hidden="1">
      <c r="A243" s="15" t="s">
        <v>365</v>
      </c>
      <c r="C243" s="15" t="s">
        <v>82</v>
      </c>
      <c r="E243" s="24">
        <v>0</v>
      </c>
      <c r="G243" s="24">
        <v>0</v>
      </c>
      <c r="I243" s="24">
        <v>0</v>
      </c>
      <c r="K243" s="24">
        <v>0</v>
      </c>
      <c r="M243" s="24">
        <v>0</v>
      </c>
      <c r="O243" s="24">
        <v>0</v>
      </c>
      <c r="Q243" s="24">
        <v>0</v>
      </c>
      <c r="S243" s="24">
        <v>0</v>
      </c>
      <c r="U243" s="24">
        <v>0</v>
      </c>
      <c r="W243" s="24">
        <v>0</v>
      </c>
      <c r="Y243" s="24">
        <v>0</v>
      </c>
      <c r="AA243" s="24">
        <v>0</v>
      </c>
      <c r="AC243" s="24">
        <v>0</v>
      </c>
      <c r="AE243" s="24">
        <f t="shared" si="6"/>
        <v>0</v>
      </c>
      <c r="AF243" s="24"/>
      <c r="AM243" s="24">
        <f>+'Gov Rev'!AI241-'Gov Exp'!AE243+'Gov Exp'!AI243-'Gov Exp'!AK243</f>
        <v>0</v>
      </c>
    </row>
    <row r="244" spans="1:39" ht="12.75" hidden="1">
      <c r="A244" s="15" t="s">
        <v>23</v>
      </c>
      <c r="C244" s="15" t="s">
        <v>756</v>
      </c>
      <c r="D244" s="28"/>
      <c r="E244" s="24">
        <v>0</v>
      </c>
      <c r="G244" s="24">
        <v>0</v>
      </c>
      <c r="I244" s="24">
        <v>0</v>
      </c>
      <c r="K244" s="24">
        <v>0</v>
      </c>
      <c r="M244" s="24">
        <v>0</v>
      </c>
      <c r="O244" s="24">
        <v>0</v>
      </c>
      <c r="Q244" s="24">
        <v>0</v>
      </c>
      <c r="S244" s="24">
        <v>0</v>
      </c>
      <c r="U244" s="24">
        <v>0</v>
      </c>
      <c r="W244" s="24">
        <v>0</v>
      </c>
      <c r="Y244" s="24">
        <v>0</v>
      </c>
      <c r="AA244" s="24">
        <v>0</v>
      </c>
      <c r="AC244" s="24">
        <v>0</v>
      </c>
      <c r="AE244" s="24">
        <f t="shared" ref="AE244:AE278" si="7">SUM(E244:AC244)</f>
        <v>0</v>
      </c>
      <c r="AF244" s="24"/>
      <c r="AM244" s="24">
        <f>+'Gov Rev'!AI242-'Gov Exp'!AE244+'Gov Exp'!AI244-'Gov Exp'!AK244</f>
        <v>0</v>
      </c>
    </row>
    <row r="245" spans="1:39" s="31" customFormat="1" hidden="1">
      <c r="A245" s="15" t="s">
        <v>441</v>
      </c>
      <c r="B245" s="15"/>
      <c r="C245" s="15" t="s">
        <v>439</v>
      </c>
      <c r="D245" s="15"/>
      <c r="E245" s="24">
        <v>0</v>
      </c>
      <c r="F245" s="24"/>
      <c r="G245" s="24">
        <v>0</v>
      </c>
      <c r="H245" s="24"/>
      <c r="I245" s="24">
        <v>0</v>
      </c>
      <c r="J245" s="24"/>
      <c r="K245" s="24">
        <v>0</v>
      </c>
      <c r="L245" s="24"/>
      <c r="M245" s="24">
        <v>0</v>
      </c>
      <c r="N245" s="24"/>
      <c r="O245" s="24">
        <v>0</v>
      </c>
      <c r="P245" s="24"/>
      <c r="Q245" s="24">
        <v>0</v>
      </c>
      <c r="R245" s="24"/>
      <c r="S245" s="24">
        <v>0</v>
      </c>
      <c r="T245" s="24"/>
      <c r="U245" s="24">
        <v>0</v>
      </c>
      <c r="V245" s="24"/>
      <c r="W245" s="24">
        <v>0</v>
      </c>
      <c r="X245" s="24"/>
      <c r="Y245" s="24">
        <v>0</v>
      </c>
      <c r="Z245" s="24"/>
      <c r="AA245" s="24">
        <v>0</v>
      </c>
      <c r="AB245" s="24"/>
      <c r="AC245" s="24">
        <v>0</v>
      </c>
      <c r="AD245" s="24"/>
      <c r="AE245" s="24">
        <f t="shared" si="7"/>
        <v>0</v>
      </c>
      <c r="AF245" s="24"/>
      <c r="AG245" s="65"/>
      <c r="AH245" s="65"/>
      <c r="AI245" s="65"/>
      <c r="AJ245" s="65"/>
      <c r="AK245" s="65"/>
      <c r="AM245" s="24">
        <f>+'Gov Rev'!AI243-'Gov Exp'!AE245+'Gov Exp'!AI245-'Gov Exp'!AK245</f>
        <v>0</v>
      </c>
    </row>
    <row r="246" spans="1:39" s="31" customFormat="1" ht="12.75" hidden="1">
      <c r="A246" s="15" t="s">
        <v>126</v>
      </c>
      <c r="B246" s="15"/>
      <c r="C246" s="15" t="s">
        <v>789</v>
      </c>
      <c r="D246" s="28"/>
      <c r="E246" s="24">
        <v>0</v>
      </c>
      <c r="F246" s="24"/>
      <c r="G246" s="24">
        <v>0</v>
      </c>
      <c r="H246" s="24"/>
      <c r="I246" s="24">
        <v>0</v>
      </c>
      <c r="J246" s="24"/>
      <c r="K246" s="24">
        <v>0</v>
      </c>
      <c r="L246" s="24"/>
      <c r="M246" s="24">
        <v>0</v>
      </c>
      <c r="N246" s="24"/>
      <c r="O246" s="24">
        <v>0</v>
      </c>
      <c r="P246" s="24"/>
      <c r="Q246" s="24">
        <v>0</v>
      </c>
      <c r="R246" s="24"/>
      <c r="S246" s="24">
        <v>0</v>
      </c>
      <c r="T246" s="24"/>
      <c r="U246" s="24">
        <v>0</v>
      </c>
      <c r="V246" s="24"/>
      <c r="W246" s="24">
        <v>0</v>
      </c>
      <c r="X246" s="24"/>
      <c r="Y246" s="24">
        <v>0</v>
      </c>
      <c r="Z246" s="24"/>
      <c r="AA246" s="24">
        <v>0</v>
      </c>
      <c r="AB246" s="24"/>
      <c r="AC246" s="24">
        <v>0</v>
      </c>
      <c r="AD246" s="24"/>
      <c r="AE246" s="24">
        <f t="shared" si="7"/>
        <v>0</v>
      </c>
      <c r="AF246" s="24"/>
      <c r="AG246" s="65"/>
      <c r="AH246" s="65"/>
      <c r="AI246" s="65"/>
      <c r="AJ246" s="65"/>
      <c r="AK246" s="65"/>
      <c r="AM246" s="24">
        <f>+'Gov Rev'!AI244-'Gov Exp'!AE246+'Gov Exp'!AI246-'Gov Exp'!AK246</f>
        <v>0</v>
      </c>
    </row>
    <row r="247" spans="1:39" s="31" customFormat="1" ht="12.75" hidden="1">
      <c r="A247" s="15" t="s">
        <v>42</v>
      </c>
      <c r="B247" s="15"/>
      <c r="C247" s="15" t="s">
        <v>763</v>
      </c>
      <c r="D247" s="28"/>
      <c r="E247" s="24">
        <v>0</v>
      </c>
      <c r="F247" s="24"/>
      <c r="G247" s="24">
        <v>0</v>
      </c>
      <c r="H247" s="24"/>
      <c r="I247" s="24">
        <v>0</v>
      </c>
      <c r="J247" s="24"/>
      <c r="K247" s="24">
        <v>0</v>
      </c>
      <c r="L247" s="24"/>
      <c r="M247" s="24">
        <v>0</v>
      </c>
      <c r="N247" s="24"/>
      <c r="O247" s="24">
        <v>0</v>
      </c>
      <c r="P247" s="24"/>
      <c r="Q247" s="24">
        <v>0</v>
      </c>
      <c r="R247" s="24"/>
      <c r="S247" s="24">
        <v>0</v>
      </c>
      <c r="T247" s="24"/>
      <c r="U247" s="24">
        <v>0</v>
      </c>
      <c r="V247" s="24"/>
      <c r="W247" s="24">
        <v>0</v>
      </c>
      <c r="X247" s="24"/>
      <c r="Y247" s="24">
        <v>0</v>
      </c>
      <c r="Z247" s="24"/>
      <c r="AA247" s="24">
        <v>0</v>
      </c>
      <c r="AB247" s="24"/>
      <c r="AC247" s="24">
        <v>0</v>
      </c>
      <c r="AD247" s="24"/>
      <c r="AE247" s="24">
        <f t="shared" si="7"/>
        <v>0</v>
      </c>
      <c r="AF247" s="24"/>
      <c r="AG247" s="65"/>
      <c r="AH247" s="65"/>
      <c r="AI247" s="65"/>
      <c r="AJ247" s="65"/>
      <c r="AK247" s="65"/>
      <c r="AM247" s="24">
        <f>+'Gov Rev'!AI245-'Gov Exp'!AE247+'Gov Exp'!AI247-'Gov Exp'!AK247</f>
        <v>0</v>
      </c>
    </row>
    <row r="248" spans="1:39" s="31" customFormat="1" ht="12.75" hidden="1">
      <c r="A248" s="15" t="s">
        <v>140</v>
      </c>
      <c r="B248" s="15"/>
      <c r="C248" s="15" t="s">
        <v>793</v>
      </c>
      <c r="D248" s="28"/>
      <c r="E248" s="24">
        <v>0</v>
      </c>
      <c r="F248" s="24"/>
      <c r="G248" s="24">
        <v>0</v>
      </c>
      <c r="H248" s="24"/>
      <c r="I248" s="24">
        <v>0</v>
      </c>
      <c r="J248" s="24"/>
      <c r="K248" s="24">
        <v>0</v>
      </c>
      <c r="L248" s="24"/>
      <c r="M248" s="24">
        <v>0</v>
      </c>
      <c r="N248" s="24"/>
      <c r="O248" s="24">
        <v>0</v>
      </c>
      <c r="P248" s="24"/>
      <c r="Q248" s="24">
        <v>0</v>
      </c>
      <c r="R248" s="24"/>
      <c r="S248" s="24">
        <v>0</v>
      </c>
      <c r="T248" s="24"/>
      <c r="U248" s="24">
        <v>0</v>
      </c>
      <c r="V248" s="24"/>
      <c r="W248" s="24">
        <v>0</v>
      </c>
      <c r="X248" s="24"/>
      <c r="Y248" s="24">
        <v>0</v>
      </c>
      <c r="Z248" s="24"/>
      <c r="AA248" s="24">
        <v>0</v>
      </c>
      <c r="AB248" s="24"/>
      <c r="AC248" s="24">
        <v>0</v>
      </c>
      <c r="AD248" s="24"/>
      <c r="AE248" s="24">
        <f t="shared" si="7"/>
        <v>0</v>
      </c>
      <c r="AF248" s="24"/>
      <c r="AG248" s="65"/>
      <c r="AH248" s="65"/>
      <c r="AI248" s="65"/>
      <c r="AJ248" s="65"/>
      <c r="AK248" s="65"/>
      <c r="AM248" s="24">
        <f>+'Gov Rev'!AI246-'Gov Exp'!AE248+'Gov Exp'!AI248-'Gov Exp'!AK248</f>
        <v>0</v>
      </c>
    </row>
    <row r="249" spans="1:39" ht="12.75" hidden="1">
      <c r="A249" s="15" t="s">
        <v>264</v>
      </c>
      <c r="C249" s="15" t="s">
        <v>831</v>
      </c>
      <c r="D249" s="28"/>
      <c r="E249" s="24">
        <v>0</v>
      </c>
      <c r="G249" s="24">
        <v>0</v>
      </c>
      <c r="I249" s="24">
        <v>0</v>
      </c>
      <c r="K249" s="24">
        <v>0</v>
      </c>
      <c r="M249" s="24">
        <v>0</v>
      </c>
      <c r="O249" s="24">
        <v>0</v>
      </c>
      <c r="Q249" s="24">
        <v>0</v>
      </c>
      <c r="S249" s="24">
        <v>0</v>
      </c>
      <c r="U249" s="24">
        <v>0</v>
      </c>
      <c r="W249" s="24">
        <v>0</v>
      </c>
      <c r="Y249" s="24">
        <v>0</v>
      </c>
      <c r="AA249" s="24">
        <v>0</v>
      </c>
      <c r="AC249" s="24">
        <v>0</v>
      </c>
      <c r="AE249" s="24">
        <f t="shared" si="7"/>
        <v>0</v>
      </c>
      <c r="AF249" s="24"/>
      <c r="AM249" s="24">
        <f>+'Gov Rev'!AI248-'Gov Exp'!AE249+'Gov Exp'!AI249-'Gov Exp'!AK249</f>
        <v>0</v>
      </c>
    </row>
    <row r="250" spans="1:39" ht="12.75" hidden="1">
      <c r="A250" s="15" t="s">
        <v>850</v>
      </c>
      <c r="C250" s="15" t="s">
        <v>781</v>
      </c>
      <c r="D250" s="28"/>
      <c r="E250" s="24">
        <v>0</v>
      </c>
      <c r="G250" s="24">
        <v>0</v>
      </c>
      <c r="I250" s="24">
        <v>0</v>
      </c>
      <c r="K250" s="24">
        <v>0</v>
      </c>
      <c r="M250" s="24">
        <v>0</v>
      </c>
      <c r="O250" s="24">
        <v>0</v>
      </c>
      <c r="Q250" s="24">
        <v>0</v>
      </c>
      <c r="S250" s="24">
        <v>0</v>
      </c>
      <c r="U250" s="24">
        <v>0</v>
      </c>
      <c r="W250" s="24">
        <v>0</v>
      </c>
      <c r="Y250" s="24">
        <v>0</v>
      </c>
      <c r="AA250" s="24">
        <v>0</v>
      </c>
      <c r="AC250" s="24">
        <v>0</v>
      </c>
      <c r="AE250" s="24">
        <f t="shared" si="7"/>
        <v>0</v>
      </c>
      <c r="AF250" s="24"/>
      <c r="AM250" s="24">
        <f>+'Gov Rev'!AI249-'Gov Exp'!AE250+'Gov Exp'!AI250-'Gov Exp'!AK250</f>
        <v>0</v>
      </c>
    </row>
    <row r="251" spans="1:39" ht="12.75" hidden="1">
      <c r="A251" s="15" t="s">
        <v>4</v>
      </c>
      <c r="C251" s="15" t="s">
        <v>751</v>
      </c>
      <c r="D251" s="28"/>
      <c r="E251" s="24">
        <v>0</v>
      </c>
      <c r="G251" s="24">
        <v>0</v>
      </c>
      <c r="I251" s="24">
        <v>0</v>
      </c>
      <c r="K251" s="24">
        <v>0</v>
      </c>
      <c r="M251" s="24">
        <v>0</v>
      </c>
      <c r="O251" s="24">
        <v>0</v>
      </c>
      <c r="Q251" s="24">
        <v>0</v>
      </c>
      <c r="S251" s="24">
        <v>0</v>
      </c>
      <c r="U251" s="24">
        <v>0</v>
      </c>
      <c r="W251" s="24">
        <v>0</v>
      </c>
      <c r="Y251" s="24">
        <v>0</v>
      </c>
      <c r="AA251" s="24">
        <v>0</v>
      </c>
      <c r="AC251" s="24">
        <v>0</v>
      </c>
      <c r="AE251" s="24">
        <f t="shared" si="7"/>
        <v>0</v>
      </c>
      <c r="AF251" s="24"/>
      <c r="AM251" s="24">
        <f>+'Gov Rev'!AI249-'Gov Exp'!AE251+'Gov Exp'!AI251-'Gov Exp'!AK251</f>
        <v>0</v>
      </c>
    </row>
    <row r="252" spans="1:39" s="31" customFormat="1">
      <c r="A252" s="15" t="s">
        <v>442</v>
      </c>
      <c r="B252" s="15"/>
      <c r="C252" s="15" t="s">
        <v>439</v>
      </c>
      <c r="D252" s="15"/>
      <c r="E252" s="24">
        <v>28800</v>
      </c>
      <c r="F252" s="24"/>
      <c r="G252" s="24">
        <v>825</v>
      </c>
      <c r="H252" s="24"/>
      <c r="I252" s="24">
        <v>0</v>
      </c>
      <c r="J252" s="24"/>
      <c r="K252" s="24">
        <v>0</v>
      </c>
      <c r="L252" s="24"/>
      <c r="M252" s="24">
        <v>0</v>
      </c>
      <c r="N252" s="24"/>
      <c r="O252" s="24">
        <v>38440</v>
      </c>
      <c r="P252" s="24"/>
      <c r="Q252" s="24">
        <v>35587</v>
      </c>
      <c r="R252" s="24"/>
      <c r="S252" s="24">
        <v>0</v>
      </c>
      <c r="T252" s="24"/>
      <c r="U252" s="24">
        <v>0</v>
      </c>
      <c r="V252" s="24"/>
      <c r="W252" s="24">
        <v>0</v>
      </c>
      <c r="X252" s="24"/>
      <c r="Y252" s="24">
        <v>0</v>
      </c>
      <c r="Z252" s="24"/>
      <c r="AA252" s="24">
        <v>0</v>
      </c>
      <c r="AB252" s="24"/>
      <c r="AC252" s="24">
        <v>0</v>
      </c>
      <c r="AD252" s="24"/>
      <c r="AE252" s="24">
        <f t="shared" si="7"/>
        <v>103652</v>
      </c>
      <c r="AF252" s="24"/>
      <c r="AG252" s="65">
        <f>-9288-23095</f>
        <v>-32383</v>
      </c>
      <c r="AH252" s="65"/>
      <c r="AI252" s="65">
        <f>43835+50031</f>
        <v>93866</v>
      </c>
      <c r="AJ252" s="65"/>
      <c r="AK252" s="65">
        <f>34547+26936</f>
        <v>61483</v>
      </c>
      <c r="AM252" s="24">
        <f>+'Gov Rev'!AI250-'Gov Exp'!AE252+'Gov Exp'!AI252-'Gov Exp'!AK252</f>
        <v>0</v>
      </c>
    </row>
    <row r="253" spans="1:39" s="31" customFormat="1">
      <c r="A253" s="15" t="s">
        <v>548</v>
      </c>
      <c r="B253" s="15"/>
      <c r="C253" s="15" t="s">
        <v>545</v>
      </c>
      <c r="D253" s="15"/>
      <c r="E253" s="24">
        <f>576756+423091</f>
        <v>999847</v>
      </c>
      <c r="F253" s="24"/>
      <c r="G253" s="24">
        <v>17897</v>
      </c>
      <c r="H253" s="24"/>
      <c r="I253" s="24">
        <v>4168</v>
      </c>
      <c r="J253" s="24"/>
      <c r="K253" s="24">
        <v>7145</v>
      </c>
      <c r="L253" s="24"/>
      <c r="M253" s="24">
        <v>0</v>
      </c>
      <c r="N253" s="24"/>
      <c r="O253" s="24">
        <f>149719+236215</f>
        <v>385934</v>
      </c>
      <c r="P253" s="24"/>
      <c r="Q253" s="24">
        <f>260988+37158</f>
        <v>298146</v>
      </c>
      <c r="R253" s="24"/>
      <c r="S253" s="24">
        <v>205640</v>
      </c>
      <c r="T253" s="24"/>
      <c r="U253" s="24">
        <v>0</v>
      </c>
      <c r="V253" s="24"/>
      <c r="W253" s="24">
        <v>0</v>
      </c>
      <c r="X253" s="24"/>
      <c r="Y253" s="24">
        <v>790000</v>
      </c>
      <c r="Z253" s="24"/>
      <c r="AA253" s="24">
        <v>0</v>
      </c>
      <c r="AB253" s="24"/>
      <c r="AC253" s="24">
        <f>300+9579</f>
        <v>9879</v>
      </c>
      <c r="AD253" s="24"/>
      <c r="AE253" s="24">
        <f t="shared" si="7"/>
        <v>2718656</v>
      </c>
      <c r="AF253" s="24"/>
      <c r="AG253" s="65">
        <f>16109-43905+107764</f>
        <v>79968</v>
      </c>
      <c r="AH253" s="65"/>
      <c r="AI253" s="65">
        <f>28386+207776+49056+352553</f>
        <v>637771</v>
      </c>
      <c r="AJ253" s="65"/>
      <c r="AK253" s="65">
        <f>44495+163871+49056+460317</f>
        <v>717739</v>
      </c>
      <c r="AM253" s="24">
        <f>+'Gov Rev'!AI251-'Gov Exp'!AE253+'Gov Exp'!AI253-'Gov Exp'!AK253</f>
        <v>0</v>
      </c>
    </row>
    <row r="254" spans="1:39" s="31" customFormat="1" hidden="1">
      <c r="A254" s="15" t="s">
        <v>585</v>
      </c>
      <c r="B254" s="15"/>
      <c r="C254" s="15" t="s">
        <v>586</v>
      </c>
      <c r="D254" s="15"/>
      <c r="E254" s="24">
        <v>0</v>
      </c>
      <c r="F254" s="24"/>
      <c r="G254" s="24">
        <v>0</v>
      </c>
      <c r="H254" s="24"/>
      <c r="I254" s="24">
        <v>0</v>
      </c>
      <c r="J254" s="24"/>
      <c r="K254" s="24">
        <v>0</v>
      </c>
      <c r="L254" s="24"/>
      <c r="M254" s="24">
        <v>0</v>
      </c>
      <c r="N254" s="24"/>
      <c r="O254" s="24">
        <v>0</v>
      </c>
      <c r="P254" s="24"/>
      <c r="Q254" s="24">
        <v>0</v>
      </c>
      <c r="R254" s="24"/>
      <c r="S254" s="24">
        <v>0</v>
      </c>
      <c r="T254" s="24"/>
      <c r="U254" s="24">
        <v>0</v>
      </c>
      <c r="V254" s="24"/>
      <c r="W254" s="24">
        <v>0</v>
      </c>
      <c r="X254" s="24"/>
      <c r="Y254" s="24">
        <v>0</v>
      </c>
      <c r="Z254" s="24"/>
      <c r="AA254" s="24">
        <v>0</v>
      </c>
      <c r="AB254" s="24"/>
      <c r="AC254" s="24">
        <v>0</v>
      </c>
      <c r="AD254" s="24"/>
      <c r="AE254" s="24">
        <f t="shared" si="7"/>
        <v>0</v>
      </c>
      <c r="AF254" s="24"/>
      <c r="AG254" s="65"/>
      <c r="AH254" s="65"/>
      <c r="AI254" s="65"/>
      <c r="AJ254" s="65"/>
      <c r="AK254" s="65"/>
      <c r="AM254" s="24">
        <f>+'Gov Rev'!AI252-'Gov Exp'!AE254+'Gov Exp'!AI254-'Gov Exp'!AK254</f>
        <v>0</v>
      </c>
    </row>
    <row r="255" spans="1:39" s="24" customFormat="1" ht="12.75" hidden="1">
      <c r="A255" s="24" t="s">
        <v>256</v>
      </c>
      <c r="C255" s="24" t="s">
        <v>830</v>
      </c>
      <c r="D255" s="85"/>
      <c r="E255" s="24">
        <v>0</v>
      </c>
      <c r="G255" s="24">
        <v>0</v>
      </c>
      <c r="I255" s="24">
        <v>0</v>
      </c>
      <c r="K255" s="24">
        <v>0</v>
      </c>
      <c r="M255" s="24">
        <v>0</v>
      </c>
      <c r="O255" s="24">
        <v>0</v>
      </c>
      <c r="Q255" s="24">
        <v>0</v>
      </c>
      <c r="S255" s="24">
        <v>0</v>
      </c>
      <c r="U255" s="24">
        <v>0</v>
      </c>
      <c r="W255" s="24">
        <v>0</v>
      </c>
      <c r="Y255" s="24">
        <v>0</v>
      </c>
      <c r="AA255" s="24">
        <v>0</v>
      </c>
      <c r="AC255" s="24">
        <v>0</v>
      </c>
      <c r="AE255" s="24">
        <f t="shared" si="7"/>
        <v>0</v>
      </c>
      <c r="AG255" s="64"/>
      <c r="AH255" s="64"/>
      <c r="AI255" s="64"/>
      <c r="AJ255" s="64"/>
      <c r="AK255" s="64"/>
      <c r="AM255" s="24">
        <f>+'Gov Rev'!AI253-'Gov Exp'!AE255+'Gov Exp'!AI255-'Gov Exp'!AK255</f>
        <v>0</v>
      </c>
    </row>
    <row r="256" spans="1:39" ht="12.75" hidden="1">
      <c r="A256" s="15" t="s">
        <v>183</v>
      </c>
      <c r="C256" s="15" t="s">
        <v>808</v>
      </c>
      <c r="D256" s="28"/>
      <c r="E256" s="24">
        <v>0</v>
      </c>
      <c r="G256" s="24">
        <v>0</v>
      </c>
      <c r="I256" s="24">
        <v>0</v>
      </c>
      <c r="K256" s="24">
        <v>0</v>
      </c>
      <c r="M256" s="24">
        <v>0</v>
      </c>
      <c r="O256" s="24">
        <v>0</v>
      </c>
      <c r="Q256" s="24">
        <v>0</v>
      </c>
      <c r="S256" s="24">
        <v>0</v>
      </c>
      <c r="U256" s="24">
        <v>0</v>
      </c>
      <c r="W256" s="24">
        <v>0</v>
      </c>
      <c r="Y256" s="24">
        <v>0</v>
      </c>
      <c r="AA256" s="24">
        <v>0</v>
      </c>
      <c r="AC256" s="24">
        <v>0</v>
      </c>
      <c r="AE256" s="24">
        <f t="shared" si="7"/>
        <v>0</v>
      </c>
      <c r="AF256" s="24"/>
      <c r="AM256" s="24">
        <f>+'Gov Rev'!AI254-'Gov Exp'!AE256+'Gov Exp'!AI256-'Gov Exp'!AK256</f>
        <v>0</v>
      </c>
    </row>
    <row r="257" spans="1:39" ht="12.75" hidden="1">
      <c r="A257" s="15" t="s">
        <v>7</v>
      </c>
      <c r="C257" s="15" t="s">
        <v>672</v>
      </c>
      <c r="D257" s="28"/>
      <c r="E257" s="24">
        <v>0</v>
      </c>
      <c r="G257" s="24">
        <v>0</v>
      </c>
      <c r="I257" s="24">
        <v>0</v>
      </c>
      <c r="K257" s="24">
        <v>0</v>
      </c>
      <c r="M257" s="24">
        <v>0</v>
      </c>
      <c r="O257" s="24">
        <v>0</v>
      </c>
      <c r="Q257" s="24">
        <v>0</v>
      </c>
      <c r="S257" s="24">
        <v>0</v>
      </c>
      <c r="U257" s="24">
        <v>0</v>
      </c>
      <c r="W257" s="24">
        <v>0</v>
      </c>
      <c r="Y257" s="24">
        <v>0</v>
      </c>
      <c r="AA257" s="24">
        <v>0</v>
      </c>
      <c r="AC257" s="24">
        <v>0</v>
      </c>
      <c r="AE257" s="24">
        <f t="shared" si="7"/>
        <v>0</v>
      </c>
      <c r="AF257" s="24"/>
      <c r="AM257" s="24">
        <f>+'Gov Rev'!AI255-'Gov Exp'!AE257+'Gov Exp'!AI257-'Gov Exp'!AK257</f>
        <v>0</v>
      </c>
    </row>
    <row r="258" spans="1:39" s="31" customFormat="1">
      <c r="A258" s="15" t="s">
        <v>443</v>
      </c>
      <c r="B258" s="15"/>
      <c r="C258" s="15" t="s">
        <v>439</v>
      </c>
      <c r="D258" s="15"/>
      <c r="E258" s="24">
        <f>38992+1524289</f>
        <v>1563281</v>
      </c>
      <c r="F258" s="24"/>
      <c r="G258" s="24">
        <v>92</v>
      </c>
      <c r="H258" s="24"/>
      <c r="I258" s="24">
        <v>27677</v>
      </c>
      <c r="J258" s="24"/>
      <c r="K258" s="24">
        <v>66839</v>
      </c>
      <c r="L258" s="24"/>
      <c r="M258" s="24">
        <v>0</v>
      </c>
      <c r="N258" s="24"/>
      <c r="O258" s="24">
        <v>300359</v>
      </c>
      <c r="P258" s="24"/>
      <c r="Q258" s="24">
        <v>314625</v>
      </c>
      <c r="R258" s="24"/>
      <c r="S258" s="24">
        <f>122329+42660+103103</f>
        <v>268092</v>
      </c>
      <c r="T258" s="24"/>
      <c r="U258" s="24">
        <v>62015</v>
      </c>
      <c r="V258" s="24"/>
      <c r="W258" s="24">
        <v>0</v>
      </c>
      <c r="X258" s="24"/>
      <c r="Y258" s="24">
        <f>1045926+80275+393258</f>
        <v>1519459</v>
      </c>
      <c r="Z258" s="24"/>
      <c r="AA258" s="24">
        <v>0</v>
      </c>
      <c r="AB258" s="24"/>
      <c r="AC258" s="24">
        <v>46898</v>
      </c>
      <c r="AD258" s="24"/>
      <c r="AE258" s="24">
        <f t="shared" si="7"/>
        <v>4169337</v>
      </c>
      <c r="AF258" s="24"/>
      <c r="AG258" s="65">
        <f>17628+187426-7392</f>
        <v>197662</v>
      </c>
      <c r="AH258" s="65"/>
      <c r="AI258" s="65">
        <f>907572+679340+1097059</f>
        <v>2683971</v>
      </c>
      <c r="AJ258" s="65"/>
      <c r="AK258" s="65">
        <f>925200+866766+1089668</f>
        <v>2881634</v>
      </c>
      <c r="AM258" s="24">
        <f>+'Gov Rev'!AI256-'Gov Exp'!AE258+'Gov Exp'!AI258-'Gov Exp'!AK258</f>
        <v>0</v>
      </c>
    </row>
    <row r="259" spans="1:39" ht="12.75" hidden="1">
      <c r="A259" s="15" t="s">
        <v>214</v>
      </c>
      <c r="C259" s="15" t="s">
        <v>816</v>
      </c>
      <c r="D259" s="28"/>
      <c r="E259" s="24">
        <v>0</v>
      </c>
      <c r="G259" s="24">
        <v>0</v>
      </c>
      <c r="I259" s="24">
        <v>0</v>
      </c>
      <c r="K259" s="24">
        <v>0</v>
      </c>
      <c r="M259" s="24">
        <v>0</v>
      </c>
      <c r="O259" s="24">
        <v>0</v>
      </c>
      <c r="Q259" s="24">
        <v>0</v>
      </c>
      <c r="S259" s="24">
        <v>0</v>
      </c>
      <c r="U259" s="24">
        <v>0</v>
      </c>
      <c r="W259" s="24">
        <v>0</v>
      </c>
      <c r="Y259" s="24">
        <v>0</v>
      </c>
      <c r="AA259" s="24">
        <v>0</v>
      </c>
      <c r="AC259" s="24">
        <v>0</v>
      </c>
      <c r="AE259" s="24">
        <f t="shared" si="7"/>
        <v>0</v>
      </c>
      <c r="AF259" s="24"/>
      <c r="AM259" s="24">
        <f>+'Gov Rev'!AI257-'Gov Exp'!AE259+'Gov Exp'!AI259-'Gov Exp'!AK259</f>
        <v>0</v>
      </c>
    </row>
    <row r="260" spans="1:39" s="31" customFormat="1" ht="12.6" customHeight="1">
      <c r="A260" s="15" t="s">
        <v>911</v>
      </c>
      <c r="B260" s="15"/>
      <c r="C260" s="15" t="s">
        <v>504</v>
      </c>
      <c r="D260" s="15"/>
      <c r="E260" s="24">
        <v>698</v>
      </c>
      <c r="F260" s="24"/>
      <c r="G260" s="24">
        <v>0</v>
      </c>
      <c r="H260" s="24"/>
      <c r="I260" s="24">
        <v>81</v>
      </c>
      <c r="J260" s="24"/>
      <c r="K260" s="24">
        <v>0</v>
      </c>
      <c r="L260" s="24"/>
      <c r="M260" s="24">
        <v>0</v>
      </c>
      <c r="N260" s="24"/>
      <c r="O260" s="24">
        <v>5095</v>
      </c>
      <c r="P260" s="24"/>
      <c r="Q260" s="24">
        <v>10929</v>
      </c>
      <c r="R260" s="24"/>
      <c r="S260" s="24">
        <v>0</v>
      </c>
      <c r="T260" s="24"/>
      <c r="U260" s="24">
        <v>0</v>
      </c>
      <c r="V260" s="24"/>
      <c r="W260" s="24">
        <v>0</v>
      </c>
      <c r="X260" s="24"/>
      <c r="Y260" s="24">
        <v>0</v>
      </c>
      <c r="Z260" s="24"/>
      <c r="AA260" s="24">
        <v>0</v>
      </c>
      <c r="AB260" s="24"/>
      <c r="AC260" s="24">
        <v>0</v>
      </c>
      <c r="AD260" s="24"/>
      <c r="AE260" s="24">
        <f t="shared" si="7"/>
        <v>16803</v>
      </c>
      <c r="AF260" s="24"/>
      <c r="AG260" s="65">
        <f>-2455+2102</f>
        <v>-353</v>
      </c>
      <c r="AH260" s="65"/>
      <c r="AI260" s="65">
        <f>22792+8986</f>
        <v>31778</v>
      </c>
      <c r="AJ260" s="65"/>
      <c r="AK260" s="65">
        <f>20298+11088</f>
        <v>31386</v>
      </c>
      <c r="AM260" s="24">
        <f>+'Gov Rev'!AI258-'Gov Exp'!AE260+'Gov Exp'!AI260-'Gov Exp'!AK260</f>
        <v>0</v>
      </c>
    </row>
    <row r="261" spans="1:39" s="31" customFormat="1" ht="12.6" customHeight="1">
      <c r="A261" s="15" t="s">
        <v>341</v>
      </c>
      <c r="B261" s="15"/>
      <c r="C261" s="15" t="s">
        <v>342</v>
      </c>
      <c r="D261" s="15"/>
      <c r="E261" s="24">
        <f>707835+153380</f>
        <v>861215</v>
      </c>
      <c r="F261" s="24"/>
      <c r="G261" s="24">
        <v>25900</v>
      </c>
      <c r="H261" s="24"/>
      <c r="I261" s="24">
        <v>106591</v>
      </c>
      <c r="J261" s="24"/>
      <c r="K261" s="24">
        <f>12332+17113</f>
        <v>29445</v>
      </c>
      <c r="L261" s="24"/>
      <c r="M261" s="24">
        <v>14738</v>
      </c>
      <c r="N261" s="24"/>
      <c r="O261" s="24">
        <v>229426</v>
      </c>
      <c r="P261" s="24"/>
      <c r="Q261" s="24">
        <v>345613</v>
      </c>
      <c r="R261" s="24"/>
      <c r="S261" s="24">
        <f>134173+120831+526684</f>
        <v>781688</v>
      </c>
      <c r="T261" s="24"/>
      <c r="U261" s="24">
        <v>24956</v>
      </c>
      <c r="V261" s="24"/>
      <c r="W261" s="24">
        <v>0</v>
      </c>
      <c r="X261" s="24"/>
      <c r="Y261" s="24">
        <v>509553</v>
      </c>
      <c r="Z261" s="24"/>
      <c r="AA261" s="24">
        <v>0</v>
      </c>
      <c r="AB261" s="24"/>
      <c r="AC261" s="24">
        <f>4139+70183</f>
        <v>74322</v>
      </c>
      <c r="AD261" s="24"/>
      <c r="AE261" s="24">
        <f t="shared" si="7"/>
        <v>3003447</v>
      </c>
      <c r="AF261" s="24"/>
      <c r="AG261" s="65">
        <f>-115621+88521+39823+6860</f>
        <v>19583</v>
      </c>
      <c r="AH261" s="65"/>
      <c r="AI261" s="65">
        <f>1141839+622647+1377362</f>
        <v>3141848</v>
      </c>
      <c r="AJ261" s="65"/>
      <c r="AK261" s="65">
        <f>1026217+711169+1417185+6860</f>
        <v>3161431</v>
      </c>
      <c r="AM261" s="24">
        <f>+'Gov Rev'!AI259-'Gov Exp'!AE261+'Gov Exp'!AI261-'Gov Exp'!AK261</f>
        <v>0</v>
      </c>
    </row>
    <row r="262" spans="1:39" s="31" customFormat="1">
      <c r="A262" s="15" t="s">
        <v>409</v>
      </c>
      <c r="B262" s="15"/>
      <c r="C262" s="15" t="s">
        <v>409</v>
      </c>
      <c r="D262" s="15"/>
      <c r="E262" s="24">
        <v>3513</v>
      </c>
      <c r="F262" s="24"/>
      <c r="G262" s="24">
        <v>360</v>
      </c>
      <c r="H262" s="24"/>
      <c r="I262" s="24">
        <v>4109</v>
      </c>
      <c r="J262" s="24"/>
      <c r="K262" s="24">
        <v>0</v>
      </c>
      <c r="L262" s="24"/>
      <c r="M262" s="24">
        <v>3786</v>
      </c>
      <c r="N262" s="24"/>
      <c r="O262" s="24">
        <v>28478</v>
      </c>
      <c r="P262" s="24"/>
      <c r="Q262" s="24">
        <v>22604</v>
      </c>
      <c r="R262" s="24"/>
      <c r="S262" s="24">
        <v>0</v>
      </c>
      <c r="T262" s="24"/>
      <c r="U262" s="24">
        <v>1950</v>
      </c>
      <c r="V262" s="24"/>
      <c r="W262" s="24">
        <v>0</v>
      </c>
      <c r="X262" s="24"/>
      <c r="Y262" s="24">
        <v>0</v>
      </c>
      <c r="Z262" s="24"/>
      <c r="AA262" s="24">
        <v>0</v>
      </c>
      <c r="AB262" s="24"/>
      <c r="AC262" s="24">
        <v>0</v>
      </c>
      <c r="AD262" s="24"/>
      <c r="AE262" s="24">
        <f t="shared" si="7"/>
        <v>64800</v>
      </c>
      <c r="AF262" s="24"/>
      <c r="AG262" s="65">
        <f>808+15164</f>
        <v>15972</v>
      </c>
      <c r="AH262" s="65"/>
      <c r="AI262" s="65">
        <f>15009+49237+5211+5963</f>
        <v>75420</v>
      </c>
      <c r="AJ262" s="65"/>
      <c r="AK262" s="65">
        <f>15817+-15165+60410</f>
        <v>61062</v>
      </c>
      <c r="AM262" s="24">
        <f>+'Gov Rev'!AI260-'Gov Exp'!AE262+'Gov Exp'!AI262-'Gov Exp'!AK262</f>
        <v>0</v>
      </c>
    </row>
    <row r="263" spans="1:39" ht="12.75" hidden="1">
      <c r="A263" s="15" t="s">
        <v>225</v>
      </c>
      <c r="C263" s="15" t="s">
        <v>820</v>
      </c>
      <c r="D263" s="28"/>
      <c r="E263" s="24">
        <v>0</v>
      </c>
      <c r="G263" s="24">
        <v>0</v>
      </c>
      <c r="I263" s="24">
        <v>0</v>
      </c>
      <c r="K263" s="24">
        <v>0</v>
      </c>
      <c r="M263" s="24">
        <v>0</v>
      </c>
      <c r="O263" s="24">
        <v>0</v>
      </c>
      <c r="Q263" s="24">
        <v>0</v>
      </c>
      <c r="S263" s="24">
        <v>0</v>
      </c>
      <c r="U263" s="24">
        <v>0</v>
      </c>
      <c r="W263" s="24">
        <v>0</v>
      </c>
      <c r="Y263" s="24">
        <v>0</v>
      </c>
      <c r="AA263" s="24">
        <v>0</v>
      </c>
      <c r="AC263" s="24">
        <v>0</v>
      </c>
      <c r="AE263" s="24">
        <f t="shared" si="7"/>
        <v>0</v>
      </c>
      <c r="AF263" s="24"/>
      <c r="AM263" s="24">
        <f>+'Gov Rev'!AI261-'Gov Exp'!AE263+'Gov Exp'!AI263-'Gov Exp'!AK263</f>
        <v>0</v>
      </c>
    </row>
    <row r="264" spans="1:39" ht="12.75" hidden="1">
      <c r="A264" s="15" t="s">
        <v>194</v>
      </c>
      <c r="C264" s="15" t="s">
        <v>811</v>
      </c>
      <c r="D264" s="28"/>
      <c r="E264" s="24">
        <v>0</v>
      </c>
      <c r="G264" s="24">
        <v>0</v>
      </c>
      <c r="I264" s="24">
        <v>0</v>
      </c>
      <c r="K264" s="24">
        <v>0</v>
      </c>
      <c r="M264" s="24">
        <v>0</v>
      </c>
      <c r="O264" s="24">
        <v>0</v>
      </c>
      <c r="Q264" s="24">
        <v>0</v>
      </c>
      <c r="S264" s="24">
        <v>0</v>
      </c>
      <c r="U264" s="24">
        <v>0</v>
      </c>
      <c r="W264" s="24">
        <v>0</v>
      </c>
      <c r="Y264" s="24">
        <v>0</v>
      </c>
      <c r="AA264" s="24">
        <v>0</v>
      </c>
      <c r="AC264" s="24">
        <v>0</v>
      </c>
      <c r="AE264" s="24">
        <f t="shared" si="7"/>
        <v>0</v>
      </c>
      <c r="AF264" s="24"/>
      <c r="AM264" s="24">
        <f>+'Gov Rev'!AI262-'Gov Exp'!AE264+'Gov Exp'!AI264-'Gov Exp'!AK264</f>
        <v>0</v>
      </c>
    </row>
    <row r="265" spans="1:39" s="31" customFormat="1">
      <c r="A265" s="15" t="s">
        <v>408</v>
      </c>
      <c r="B265" s="15"/>
      <c r="C265" s="15" t="s">
        <v>407</v>
      </c>
      <c r="D265" s="15"/>
      <c r="E265" s="24">
        <f>107788+19310</f>
        <v>127098</v>
      </c>
      <c r="F265" s="24"/>
      <c r="G265" s="24">
        <v>0</v>
      </c>
      <c r="H265" s="24"/>
      <c r="I265" s="24">
        <v>27420</v>
      </c>
      <c r="J265" s="24"/>
      <c r="K265" s="24">
        <v>3951</v>
      </c>
      <c r="L265" s="24"/>
      <c r="M265" s="24">
        <v>0</v>
      </c>
      <c r="N265" s="24"/>
      <c r="O265" s="24">
        <f>586+70944</f>
        <v>71530</v>
      </c>
      <c r="P265" s="24"/>
      <c r="Q265" s="24">
        <f>138814+414</f>
        <v>139228</v>
      </c>
      <c r="R265" s="24"/>
      <c r="S265" s="24">
        <f>4960+70+15426</f>
        <v>20456</v>
      </c>
      <c r="T265" s="24"/>
      <c r="U265" s="24">
        <v>0</v>
      </c>
      <c r="V265" s="24"/>
      <c r="W265" s="24">
        <v>0</v>
      </c>
      <c r="X265" s="24"/>
      <c r="Y265" s="24">
        <v>0</v>
      </c>
      <c r="Z265" s="24"/>
      <c r="AA265" s="24">
        <v>0</v>
      </c>
      <c r="AB265" s="24"/>
      <c r="AC265" s="24">
        <v>9225</v>
      </c>
      <c r="AD265" s="24"/>
      <c r="AE265" s="24">
        <f t="shared" si="7"/>
        <v>398908</v>
      </c>
      <c r="AF265" s="24"/>
      <c r="AG265" s="65">
        <f>-11644-29468+71934</f>
        <v>30822</v>
      </c>
      <c r="AH265" s="65"/>
      <c r="AI265" s="65">
        <f>56258+184358+53212+195503</f>
        <v>489331</v>
      </c>
      <c r="AJ265" s="65"/>
      <c r="AK265" s="65">
        <f>44614+154890+53212+267437</f>
        <v>520153</v>
      </c>
      <c r="AM265" s="24">
        <f>+'Gov Rev'!AI263-'Gov Exp'!AE265+'Gov Exp'!AI265-'Gov Exp'!AK265</f>
        <v>0</v>
      </c>
    </row>
    <row r="266" spans="1:39" s="31" customFormat="1">
      <c r="A266" s="15" t="s">
        <v>455</v>
      </c>
      <c r="B266" s="15"/>
      <c r="C266" s="15" t="s">
        <v>456</v>
      </c>
      <c r="D266" s="15"/>
      <c r="E266" s="24">
        <f>846946+1450</f>
        <v>848396</v>
      </c>
      <c r="F266" s="24"/>
      <c r="G266" s="24">
        <v>9655</v>
      </c>
      <c r="H266" s="24"/>
      <c r="I266" s="24">
        <v>18815</v>
      </c>
      <c r="J266" s="24"/>
      <c r="K266" s="24">
        <v>64670</v>
      </c>
      <c r="L266" s="24"/>
      <c r="M266" s="24">
        <v>47679</v>
      </c>
      <c r="N266" s="24"/>
      <c r="O266" s="24">
        <v>331058</v>
      </c>
      <c r="P266" s="24"/>
      <c r="Q266" s="24">
        <v>489868</v>
      </c>
      <c r="R266" s="24"/>
      <c r="S266" s="24">
        <f>92453+107006+3116775</f>
        <v>3316234</v>
      </c>
      <c r="T266" s="24"/>
      <c r="U266" s="24">
        <f>120521+21613</f>
        <v>142134</v>
      </c>
      <c r="V266" s="24"/>
      <c r="W266" s="24">
        <v>21988</v>
      </c>
      <c r="X266" s="24"/>
      <c r="Y266" s="24">
        <f>1260970+694005</f>
        <v>1954975</v>
      </c>
      <c r="Z266" s="24"/>
      <c r="AA266" s="24">
        <v>0</v>
      </c>
      <c r="AB266" s="24"/>
      <c r="AC266" s="24">
        <v>100382</v>
      </c>
      <c r="AD266" s="24"/>
      <c r="AE266" s="24">
        <f t="shared" si="7"/>
        <v>7345854</v>
      </c>
      <c r="AF266" s="24"/>
      <c r="AG266" s="65">
        <f>-305201+51366+230763-708524</f>
        <v>-731596</v>
      </c>
      <c r="AH266" s="65"/>
      <c r="AI266" s="65">
        <f>5713259+674727+199738+1734583</f>
        <v>8322307</v>
      </c>
      <c r="AJ266" s="65"/>
      <c r="AK266" s="65">
        <f>5408058+726093+430500+1026059</f>
        <v>7590710</v>
      </c>
      <c r="AM266" s="24">
        <f>+'Gov Rev'!AI264-'Gov Exp'!AE266+'Gov Exp'!AI266-'Gov Exp'!AK266</f>
        <v>0</v>
      </c>
    </row>
    <row r="267" spans="1:39" s="31" customFormat="1" ht="12.6" customHeight="1">
      <c r="A267" s="15" t="s">
        <v>332</v>
      </c>
      <c r="B267" s="15"/>
      <c r="C267" s="15" t="s">
        <v>329</v>
      </c>
      <c r="D267" s="15"/>
      <c r="E267" s="24">
        <f>17597+6356</f>
        <v>23953</v>
      </c>
      <c r="F267" s="24"/>
      <c r="G267" s="24">
        <v>787</v>
      </c>
      <c r="H267" s="24"/>
      <c r="I267" s="24">
        <v>8744</v>
      </c>
      <c r="J267" s="24"/>
      <c r="K267" s="24">
        <v>10740</v>
      </c>
      <c r="L267" s="24"/>
      <c r="M267" s="24">
        <v>18865</v>
      </c>
      <c r="N267" s="24"/>
      <c r="O267" s="24">
        <f>12630+13188</f>
        <v>25818</v>
      </c>
      <c r="P267" s="24"/>
      <c r="Q267" s="24">
        <v>22271</v>
      </c>
      <c r="R267" s="24"/>
      <c r="S267" s="24">
        <v>0</v>
      </c>
      <c r="T267" s="24"/>
      <c r="U267" s="24">
        <v>0</v>
      </c>
      <c r="V267" s="24"/>
      <c r="W267" s="24">
        <v>0</v>
      </c>
      <c r="X267" s="24"/>
      <c r="Y267" s="24">
        <v>0</v>
      </c>
      <c r="Z267" s="24"/>
      <c r="AA267" s="24">
        <v>0</v>
      </c>
      <c r="AB267" s="24"/>
      <c r="AC267" s="24">
        <v>0</v>
      </c>
      <c r="AD267" s="24"/>
      <c r="AE267" s="24">
        <f t="shared" si="7"/>
        <v>111178</v>
      </c>
      <c r="AF267" s="24"/>
      <c r="AG267" s="65">
        <f>-24358+3015</f>
        <v>-21343</v>
      </c>
      <c r="AH267" s="65"/>
      <c r="AI267" s="65">
        <f>35237+14727</f>
        <v>49964</v>
      </c>
      <c r="AJ267" s="65"/>
      <c r="AK267" s="65">
        <f>10879+17742</f>
        <v>28621</v>
      </c>
      <c r="AM267" s="24">
        <f>+'Gov Rev'!AI265-'Gov Exp'!AE267+'Gov Exp'!AI267-'Gov Exp'!AK267</f>
        <v>0</v>
      </c>
    </row>
    <row r="268" spans="1:39" ht="12.75" hidden="1">
      <c r="A268" s="15" t="s">
        <v>17</v>
      </c>
      <c r="C268" s="15" t="s">
        <v>755</v>
      </c>
      <c r="D268" s="28"/>
      <c r="E268" s="24">
        <v>0</v>
      </c>
      <c r="G268" s="24">
        <v>0</v>
      </c>
      <c r="I268" s="24">
        <v>0</v>
      </c>
      <c r="K268" s="24">
        <v>0</v>
      </c>
      <c r="M268" s="24">
        <v>0</v>
      </c>
      <c r="O268" s="24">
        <v>0</v>
      </c>
      <c r="Q268" s="24">
        <v>0</v>
      </c>
      <c r="S268" s="24">
        <v>0</v>
      </c>
      <c r="U268" s="24">
        <v>0</v>
      </c>
      <c r="W268" s="24">
        <v>0</v>
      </c>
      <c r="Y268" s="24">
        <v>0</v>
      </c>
      <c r="AA268" s="24">
        <v>0</v>
      </c>
      <c r="AC268" s="24">
        <v>0</v>
      </c>
      <c r="AE268" s="24">
        <f t="shared" si="7"/>
        <v>0</v>
      </c>
      <c r="AF268" s="24"/>
      <c r="AM268" s="24">
        <f>+'Gov Rev'!AI266-'Gov Exp'!AE268+'Gov Exp'!AI268-'Gov Exp'!AK268</f>
        <v>0</v>
      </c>
    </row>
    <row r="269" spans="1:39" hidden="1">
      <c r="A269" s="15" t="s">
        <v>413</v>
      </c>
      <c r="C269" s="15" t="s">
        <v>412</v>
      </c>
      <c r="E269" s="24">
        <v>0</v>
      </c>
      <c r="G269" s="24">
        <v>0</v>
      </c>
      <c r="I269" s="24">
        <v>0</v>
      </c>
      <c r="K269" s="24">
        <v>0</v>
      </c>
      <c r="M269" s="24">
        <v>0</v>
      </c>
      <c r="O269" s="24">
        <v>0</v>
      </c>
      <c r="Q269" s="24">
        <v>0</v>
      </c>
      <c r="S269" s="24">
        <v>0</v>
      </c>
      <c r="U269" s="24">
        <v>0</v>
      </c>
      <c r="W269" s="24">
        <v>0</v>
      </c>
      <c r="Y269" s="24">
        <v>0</v>
      </c>
      <c r="AA269" s="24">
        <v>0</v>
      </c>
      <c r="AC269" s="24">
        <v>0</v>
      </c>
      <c r="AE269" s="24">
        <f t="shared" si="7"/>
        <v>0</v>
      </c>
      <c r="AF269" s="24"/>
      <c r="AM269" s="24">
        <f>+'Gov Rev'!AI267-'Gov Exp'!AE269+'Gov Exp'!AI269-'Gov Exp'!AK269</f>
        <v>0</v>
      </c>
    </row>
    <row r="270" spans="1:39" s="31" customFormat="1" ht="12.75" hidden="1">
      <c r="A270" s="15" t="s">
        <v>101</v>
      </c>
      <c r="B270" s="15"/>
      <c r="C270" s="15" t="s">
        <v>781</v>
      </c>
      <c r="D270" s="28"/>
      <c r="E270" s="24">
        <v>0</v>
      </c>
      <c r="F270" s="24"/>
      <c r="G270" s="24">
        <v>0</v>
      </c>
      <c r="H270" s="24"/>
      <c r="I270" s="24">
        <v>0</v>
      </c>
      <c r="J270" s="24"/>
      <c r="K270" s="24">
        <v>0</v>
      </c>
      <c r="L270" s="24"/>
      <c r="M270" s="24">
        <v>0</v>
      </c>
      <c r="N270" s="24"/>
      <c r="O270" s="24">
        <v>0</v>
      </c>
      <c r="P270" s="24"/>
      <c r="Q270" s="24">
        <v>0</v>
      </c>
      <c r="R270" s="24"/>
      <c r="S270" s="24">
        <v>0</v>
      </c>
      <c r="T270" s="24"/>
      <c r="U270" s="24">
        <v>0</v>
      </c>
      <c r="V270" s="24"/>
      <c r="W270" s="24">
        <v>0</v>
      </c>
      <c r="X270" s="24"/>
      <c r="Y270" s="24">
        <v>0</v>
      </c>
      <c r="Z270" s="24"/>
      <c r="AA270" s="24">
        <v>0</v>
      </c>
      <c r="AB270" s="24"/>
      <c r="AC270" s="24">
        <v>0</v>
      </c>
      <c r="AD270" s="24"/>
      <c r="AE270" s="24">
        <f t="shared" si="7"/>
        <v>0</v>
      </c>
      <c r="AF270" s="24"/>
      <c r="AG270" s="65"/>
      <c r="AH270" s="65"/>
      <c r="AI270" s="65"/>
      <c r="AJ270" s="65"/>
      <c r="AK270" s="65"/>
      <c r="AM270" s="24">
        <f>+'Gov Rev'!AI268-'Gov Exp'!AE270+'Gov Exp'!AI270-'Gov Exp'!AK270</f>
        <v>0</v>
      </c>
    </row>
    <row r="271" spans="1:39" ht="12.75" hidden="1">
      <c r="A271" s="15" t="s">
        <v>257</v>
      </c>
      <c r="C271" s="15" t="s">
        <v>830</v>
      </c>
      <c r="D271" s="28"/>
      <c r="E271" s="24">
        <v>0</v>
      </c>
      <c r="G271" s="24">
        <v>0</v>
      </c>
      <c r="I271" s="24">
        <v>0</v>
      </c>
      <c r="K271" s="24">
        <v>0</v>
      </c>
      <c r="M271" s="24">
        <v>0</v>
      </c>
      <c r="O271" s="24">
        <v>0</v>
      </c>
      <c r="Q271" s="24">
        <v>0</v>
      </c>
      <c r="S271" s="24">
        <v>0</v>
      </c>
      <c r="U271" s="24">
        <v>0</v>
      </c>
      <c r="W271" s="24">
        <v>0</v>
      </c>
      <c r="Y271" s="24">
        <v>0</v>
      </c>
      <c r="AA271" s="24">
        <v>0</v>
      </c>
      <c r="AC271" s="24">
        <v>0</v>
      </c>
      <c r="AE271" s="24">
        <f t="shared" si="7"/>
        <v>0</v>
      </c>
      <c r="AF271" s="24"/>
      <c r="AM271" s="24">
        <f>+'Gov Rev'!AI269-'Gov Exp'!AE271+'Gov Exp'!AI271-'Gov Exp'!AK271</f>
        <v>0</v>
      </c>
    </row>
    <row r="272" spans="1:39" s="31" customFormat="1" ht="12.6" customHeight="1">
      <c r="A272" s="15" t="s">
        <v>321</v>
      </c>
      <c r="B272" s="15"/>
      <c r="C272" s="15" t="s">
        <v>316</v>
      </c>
      <c r="D272" s="15"/>
      <c r="E272" s="24">
        <f>1471913+44447</f>
        <v>1516360</v>
      </c>
      <c r="F272" s="24"/>
      <c r="G272" s="24">
        <v>1800</v>
      </c>
      <c r="H272" s="24"/>
      <c r="I272" s="24">
        <v>0</v>
      </c>
      <c r="J272" s="24"/>
      <c r="K272" s="24">
        <v>224120</v>
      </c>
      <c r="L272" s="24"/>
      <c r="M272" s="24">
        <v>91724</v>
      </c>
      <c r="N272" s="24"/>
      <c r="O272" s="24">
        <f>732967+39759</f>
        <v>772726</v>
      </c>
      <c r="P272" s="24"/>
      <c r="Q272" s="24">
        <v>671493</v>
      </c>
      <c r="R272" s="24"/>
      <c r="S272" s="24">
        <v>3976361</v>
      </c>
      <c r="T272" s="24"/>
      <c r="U272" s="24">
        <v>4250000</v>
      </c>
      <c r="V272" s="24"/>
      <c r="W272" s="24">
        <v>175313</v>
      </c>
      <c r="X272" s="24"/>
      <c r="Y272" s="24">
        <v>243000</v>
      </c>
      <c r="Z272" s="24"/>
      <c r="AA272" s="24">
        <v>0</v>
      </c>
      <c r="AB272" s="24"/>
      <c r="AC272" s="24">
        <v>14550</v>
      </c>
      <c r="AD272" s="24"/>
      <c r="AE272" s="24">
        <f t="shared" si="7"/>
        <v>11937447</v>
      </c>
      <c r="AF272" s="24"/>
      <c r="AG272" s="65">
        <f>-2523312-8966+3120</f>
        <v>-2529158</v>
      </c>
      <c r="AH272" s="65"/>
      <c r="AI272" s="65">
        <f>18187398+12972+3823</f>
        <v>18204193</v>
      </c>
      <c r="AJ272" s="65"/>
      <c r="AK272" s="65">
        <f>15664086+4006+703</f>
        <v>15668795</v>
      </c>
      <c r="AM272" s="24">
        <f>+'Gov Rev'!AI270-'Gov Exp'!AE272+'Gov Exp'!AI272-'Gov Exp'!AK272</f>
        <v>0</v>
      </c>
    </row>
    <row r="273" spans="1:39" ht="12.75" hidden="1">
      <c r="A273" s="15" t="s">
        <v>133</v>
      </c>
      <c r="C273" s="15" t="s">
        <v>791</v>
      </c>
      <c r="D273" s="28"/>
      <c r="E273" s="24">
        <v>0</v>
      </c>
      <c r="G273" s="24">
        <v>0</v>
      </c>
      <c r="I273" s="24">
        <v>0</v>
      </c>
      <c r="K273" s="24">
        <v>0</v>
      </c>
      <c r="M273" s="24">
        <v>0</v>
      </c>
      <c r="O273" s="24">
        <v>0</v>
      </c>
      <c r="Q273" s="24">
        <v>0</v>
      </c>
      <c r="S273" s="24">
        <v>0</v>
      </c>
      <c r="U273" s="24">
        <v>0</v>
      </c>
      <c r="W273" s="24">
        <v>0</v>
      </c>
      <c r="Y273" s="24">
        <v>0</v>
      </c>
      <c r="AA273" s="24">
        <v>0</v>
      </c>
      <c r="AC273" s="24">
        <v>0</v>
      </c>
      <c r="AE273" s="24">
        <f t="shared" si="7"/>
        <v>0</v>
      </c>
      <c r="AF273" s="24"/>
      <c r="AM273" s="24">
        <f>+'Gov Rev'!AI271-'Gov Exp'!AE273+'Gov Exp'!AI273-'Gov Exp'!AK273</f>
        <v>0</v>
      </c>
    </row>
    <row r="274" spans="1:39" ht="12.75" hidden="1">
      <c r="A274" s="15" t="s">
        <v>118</v>
      </c>
      <c r="C274" s="15" t="s">
        <v>786</v>
      </c>
      <c r="D274" s="28"/>
      <c r="E274" s="24">
        <v>0</v>
      </c>
      <c r="G274" s="24">
        <v>0</v>
      </c>
      <c r="I274" s="24">
        <v>0</v>
      </c>
      <c r="K274" s="24">
        <v>0</v>
      </c>
      <c r="M274" s="24">
        <v>0</v>
      </c>
      <c r="O274" s="24">
        <v>0</v>
      </c>
      <c r="Q274" s="24">
        <v>0</v>
      </c>
      <c r="S274" s="24">
        <v>0</v>
      </c>
      <c r="U274" s="24">
        <v>0</v>
      </c>
      <c r="W274" s="24">
        <v>0</v>
      </c>
      <c r="Y274" s="24">
        <v>0</v>
      </c>
      <c r="AA274" s="24">
        <v>0</v>
      </c>
      <c r="AC274" s="24">
        <v>0</v>
      </c>
      <c r="AE274" s="24">
        <f t="shared" si="7"/>
        <v>0</v>
      </c>
      <c r="AF274" s="24"/>
      <c r="AM274" s="24">
        <f>+'Gov Rev'!AI272-'Gov Exp'!AE274+'Gov Exp'!AI274-'Gov Exp'!AK274</f>
        <v>0</v>
      </c>
    </row>
    <row r="275" spans="1:39" s="31" customFormat="1" ht="12.6" hidden="1" customHeight="1">
      <c r="A275" s="15" t="s">
        <v>695</v>
      </c>
      <c r="B275" s="15"/>
      <c r="C275" s="15" t="s">
        <v>329</v>
      </c>
      <c r="D275" s="15"/>
      <c r="E275" s="24">
        <v>280</v>
      </c>
      <c r="F275" s="24"/>
      <c r="G275" s="24">
        <v>0</v>
      </c>
      <c r="H275" s="24"/>
      <c r="I275" s="24">
        <v>0</v>
      </c>
      <c r="J275" s="24"/>
      <c r="K275" s="24">
        <v>198</v>
      </c>
      <c r="L275" s="24"/>
      <c r="M275" s="24">
        <v>0</v>
      </c>
      <c r="N275" s="24"/>
      <c r="O275" s="24">
        <f>810+559+148+160</f>
        <v>1677</v>
      </c>
      <c r="P275" s="24"/>
      <c r="Q275" s="24">
        <v>0</v>
      </c>
      <c r="R275" s="24"/>
      <c r="S275" s="24">
        <v>0</v>
      </c>
      <c r="T275" s="24"/>
      <c r="U275" s="24">
        <v>0</v>
      </c>
      <c r="V275" s="24"/>
      <c r="W275" s="24">
        <v>0</v>
      </c>
      <c r="X275" s="24"/>
      <c r="Y275" s="24">
        <v>0</v>
      </c>
      <c r="Z275" s="24"/>
      <c r="AA275" s="24">
        <v>0</v>
      </c>
      <c r="AB275" s="24"/>
      <c r="AC275" s="24">
        <v>0</v>
      </c>
      <c r="AD275" s="24"/>
      <c r="AE275" s="24">
        <f t="shared" si="7"/>
        <v>2155</v>
      </c>
      <c r="AF275" s="24"/>
      <c r="AG275" s="65">
        <f>4453-2155</f>
        <v>2298</v>
      </c>
      <c r="AH275" s="65"/>
      <c r="AI275" s="65">
        <v>0</v>
      </c>
      <c r="AJ275" s="65"/>
      <c r="AK275" s="65">
        <v>0</v>
      </c>
      <c r="AM275" s="24">
        <f>+'Gov Rev'!AI273-'Gov Exp'!AE275+'Gov Exp'!AI275-'Gov Exp'!AK275</f>
        <v>2669</v>
      </c>
    </row>
    <row r="276" spans="1:39" ht="12.75" hidden="1">
      <c r="A276" s="15" t="s">
        <v>223</v>
      </c>
      <c r="C276" s="15" t="s">
        <v>819</v>
      </c>
      <c r="D276" s="28"/>
      <c r="E276" s="24">
        <v>0</v>
      </c>
      <c r="G276" s="24">
        <v>0</v>
      </c>
      <c r="I276" s="24">
        <v>0</v>
      </c>
      <c r="K276" s="24">
        <v>0</v>
      </c>
      <c r="M276" s="24">
        <v>0</v>
      </c>
      <c r="O276" s="24">
        <v>0</v>
      </c>
      <c r="Q276" s="24">
        <v>0</v>
      </c>
      <c r="S276" s="24">
        <v>0</v>
      </c>
      <c r="U276" s="24">
        <v>0</v>
      </c>
      <c r="W276" s="24">
        <v>0</v>
      </c>
      <c r="Y276" s="24">
        <v>0</v>
      </c>
      <c r="AA276" s="24">
        <v>0</v>
      </c>
      <c r="AC276" s="24">
        <v>0</v>
      </c>
      <c r="AE276" s="24">
        <f t="shared" si="7"/>
        <v>0</v>
      </c>
      <c r="AF276" s="24"/>
      <c r="AM276" s="24">
        <f>+'Gov Rev'!AI274-'Gov Exp'!AE276+'Gov Exp'!AI276-'Gov Exp'!AK276</f>
        <v>0</v>
      </c>
    </row>
    <row r="277" spans="1:39" ht="12.6" hidden="1" customHeight="1">
      <c r="A277" s="15" t="s">
        <v>697</v>
      </c>
      <c r="C277" s="15" t="s">
        <v>696</v>
      </c>
      <c r="E277" s="24">
        <v>0</v>
      </c>
      <c r="G277" s="24">
        <v>0</v>
      </c>
      <c r="I277" s="24">
        <v>0</v>
      </c>
      <c r="K277" s="24">
        <v>0</v>
      </c>
      <c r="M277" s="24">
        <v>0</v>
      </c>
      <c r="O277" s="24">
        <v>0</v>
      </c>
      <c r="Q277" s="24">
        <v>0</v>
      </c>
      <c r="S277" s="24">
        <v>0</v>
      </c>
      <c r="U277" s="24">
        <v>0</v>
      </c>
      <c r="W277" s="24">
        <v>0</v>
      </c>
      <c r="Y277" s="24">
        <v>0</v>
      </c>
      <c r="AA277" s="24">
        <v>0</v>
      </c>
      <c r="AC277" s="24">
        <v>0</v>
      </c>
      <c r="AE277" s="24">
        <f t="shared" si="7"/>
        <v>0</v>
      </c>
      <c r="AF277" s="24"/>
      <c r="AG277" s="64">
        <v>2559</v>
      </c>
      <c r="AM277" s="24">
        <f>+'Gov Rev'!AI275-'Gov Exp'!AE277+'Gov Exp'!AI277-'Gov Exp'!AK277</f>
        <v>2559</v>
      </c>
    </row>
    <row r="278" spans="1:39" s="29" customFormat="1" ht="12.75" hidden="1">
      <c r="A278" s="24" t="s">
        <v>84</v>
      </c>
      <c r="B278" s="24"/>
      <c r="C278" s="24" t="s">
        <v>776</v>
      </c>
      <c r="D278" s="85"/>
      <c r="E278" s="24">
        <v>0</v>
      </c>
      <c r="F278" s="24"/>
      <c r="G278" s="24">
        <v>0</v>
      </c>
      <c r="H278" s="24"/>
      <c r="I278" s="24">
        <v>0</v>
      </c>
      <c r="J278" s="24"/>
      <c r="K278" s="24">
        <v>0</v>
      </c>
      <c r="L278" s="24"/>
      <c r="M278" s="24">
        <v>0</v>
      </c>
      <c r="N278" s="24"/>
      <c r="O278" s="24">
        <v>0</v>
      </c>
      <c r="P278" s="24"/>
      <c r="Q278" s="24">
        <v>0</v>
      </c>
      <c r="R278" s="24"/>
      <c r="S278" s="24">
        <v>0</v>
      </c>
      <c r="T278" s="24"/>
      <c r="U278" s="24">
        <v>0</v>
      </c>
      <c r="V278" s="24"/>
      <c r="W278" s="24">
        <v>0</v>
      </c>
      <c r="X278" s="24"/>
      <c r="Y278" s="24">
        <v>0</v>
      </c>
      <c r="Z278" s="24"/>
      <c r="AA278" s="24">
        <v>0</v>
      </c>
      <c r="AB278" s="24"/>
      <c r="AC278" s="24">
        <v>0</v>
      </c>
      <c r="AD278" s="24"/>
      <c r="AE278" s="24">
        <f t="shared" si="7"/>
        <v>0</v>
      </c>
      <c r="AF278" s="24"/>
      <c r="AG278" s="65"/>
      <c r="AH278" s="65"/>
      <c r="AI278" s="65"/>
      <c r="AJ278" s="65"/>
      <c r="AK278" s="65"/>
      <c r="AM278" s="24">
        <f>+'Gov Rev'!AI276-'Gov Exp'!AE278+'Gov Exp'!AI278-'Gov Exp'!AK278</f>
        <v>0</v>
      </c>
    </row>
    <row r="279" spans="1:39" s="29" customFormat="1" ht="12.75" hidden="1">
      <c r="A279" s="24"/>
      <c r="B279" s="24"/>
      <c r="C279" s="24"/>
      <c r="D279" s="85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 t="s">
        <v>869</v>
      </c>
      <c r="AF279" s="24"/>
      <c r="AG279" s="65"/>
      <c r="AH279" s="65"/>
      <c r="AI279" s="65"/>
      <c r="AJ279" s="65"/>
      <c r="AK279" s="65"/>
      <c r="AM279" s="24"/>
    </row>
    <row r="280" spans="1:39" s="24" customFormat="1" ht="12.6" customHeight="1">
      <c r="A280" s="24" t="s">
        <v>698</v>
      </c>
      <c r="C280" s="24" t="s">
        <v>677</v>
      </c>
      <c r="E280" s="24">
        <f>167232+479578+16579+194676</f>
        <v>858065</v>
      </c>
      <c r="G280" s="24">
        <v>0</v>
      </c>
      <c r="I280" s="24">
        <f>105840+238316</f>
        <v>344156</v>
      </c>
      <c r="K280" s="24">
        <v>24050</v>
      </c>
      <c r="M280" s="24">
        <v>363944</v>
      </c>
      <c r="O280" s="24">
        <f>180129+6588+338021+1228172</f>
        <v>1752910</v>
      </c>
      <c r="Q280" s="24">
        <f>489428+42951</f>
        <v>532379</v>
      </c>
      <c r="S280" s="24">
        <v>0</v>
      </c>
      <c r="U280" s="24">
        <v>5000</v>
      </c>
      <c r="W280" s="24">
        <v>0</v>
      </c>
      <c r="Y280" s="24">
        <f>70000+52052</f>
        <v>122052</v>
      </c>
      <c r="AA280" s="24">
        <v>0</v>
      </c>
      <c r="AC280" s="24">
        <v>0</v>
      </c>
      <c r="AE280" s="24">
        <f t="shared" ref="AE280:AE311" si="8">SUM(E280:AC280)</f>
        <v>4002556</v>
      </c>
      <c r="AG280" s="24">
        <f>12832-6202+18026-8966</f>
        <v>15690</v>
      </c>
      <c r="AI280" s="24">
        <f>195897+88096+129268+367357</f>
        <v>780618</v>
      </c>
      <c r="AK280" s="24">
        <f>208730+81895+147294+358391</f>
        <v>796310</v>
      </c>
      <c r="AM280" s="24">
        <f>+'Gov Rev'!AI277-'Gov Exp'!AE280+'Gov Exp'!AI280-'Gov Exp'!AK280</f>
        <v>0</v>
      </c>
    </row>
    <row r="281" spans="1:39" s="31" customFormat="1" ht="12.75" hidden="1">
      <c r="A281" s="15" t="s">
        <v>69</v>
      </c>
      <c r="B281" s="15"/>
      <c r="C281" s="15" t="s">
        <v>772</v>
      </c>
      <c r="D281" s="28"/>
      <c r="E281" s="24">
        <v>0</v>
      </c>
      <c r="F281" s="24"/>
      <c r="G281" s="24">
        <v>0</v>
      </c>
      <c r="H281" s="24"/>
      <c r="I281" s="24">
        <v>0</v>
      </c>
      <c r="J281" s="24"/>
      <c r="K281" s="24">
        <v>0</v>
      </c>
      <c r="L281" s="24"/>
      <c r="M281" s="24">
        <v>0</v>
      </c>
      <c r="N281" s="24"/>
      <c r="O281" s="24">
        <v>0</v>
      </c>
      <c r="P281" s="24"/>
      <c r="Q281" s="24">
        <v>0</v>
      </c>
      <c r="R281" s="24"/>
      <c r="S281" s="24">
        <v>0</v>
      </c>
      <c r="T281" s="24"/>
      <c r="U281" s="24">
        <v>0</v>
      </c>
      <c r="V281" s="24"/>
      <c r="W281" s="24">
        <v>0</v>
      </c>
      <c r="X281" s="24"/>
      <c r="Y281" s="24">
        <v>0</v>
      </c>
      <c r="Z281" s="24"/>
      <c r="AA281" s="24">
        <v>0</v>
      </c>
      <c r="AB281" s="24"/>
      <c r="AC281" s="24">
        <v>0</v>
      </c>
      <c r="AD281" s="24"/>
      <c r="AE281" s="24">
        <f t="shared" si="8"/>
        <v>0</v>
      </c>
      <c r="AF281" s="24"/>
      <c r="AG281" s="65"/>
      <c r="AH281" s="65"/>
      <c r="AI281" s="65"/>
      <c r="AJ281" s="65"/>
      <c r="AK281" s="65"/>
      <c r="AM281" s="24">
        <f>+'Gov Rev'!AI279-'Gov Exp'!AE281+'Gov Exp'!AI281-'Gov Exp'!AK281</f>
        <v>0</v>
      </c>
    </row>
    <row r="282" spans="1:39" s="31" customFormat="1" ht="12.6" hidden="1" customHeight="1">
      <c r="A282" s="15" t="s">
        <v>699</v>
      </c>
      <c r="B282" s="15"/>
      <c r="C282" s="15" t="s">
        <v>388</v>
      </c>
      <c r="D282" s="15"/>
      <c r="E282" s="24">
        <v>0</v>
      </c>
      <c r="F282" s="24"/>
      <c r="G282" s="24">
        <v>0</v>
      </c>
      <c r="H282" s="24"/>
      <c r="I282" s="24">
        <v>0</v>
      </c>
      <c r="J282" s="24"/>
      <c r="K282" s="24">
        <v>0</v>
      </c>
      <c r="L282" s="24"/>
      <c r="M282" s="24">
        <v>0</v>
      </c>
      <c r="N282" s="24"/>
      <c r="O282" s="24">
        <v>0</v>
      </c>
      <c r="P282" s="24"/>
      <c r="Q282" s="24">
        <v>0</v>
      </c>
      <c r="R282" s="24"/>
      <c r="S282" s="24">
        <v>0</v>
      </c>
      <c r="T282" s="24"/>
      <c r="U282" s="24">
        <v>0</v>
      </c>
      <c r="V282" s="24"/>
      <c r="W282" s="24">
        <v>0</v>
      </c>
      <c r="X282" s="24"/>
      <c r="Y282" s="24">
        <v>0</v>
      </c>
      <c r="Z282" s="24"/>
      <c r="AA282" s="24">
        <v>0</v>
      </c>
      <c r="AB282" s="24"/>
      <c r="AC282" s="24">
        <v>0</v>
      </c>
      <c r="AD282" s="24"/>
      <c r="AE282" s="24">
        <f t="shared" si="8"/>
        <v>0</v>
      </c>
      <c r="AF282" s="24"/>
      <c r="AG282" s="65"/>
      <c r="AH282" s="65"/>
      <c r="AI282" s="65"/>
      <c r="AJ282" s="65"/>
      <c r="AK282" s="65"/>
      <c r="AM282" s="24">
        <f>+'Gov Rev'!AI279-'Gov Exp'!AE282+'Gov Exp'!AI282-'Gov Exp'!AK282</f>
        <v>0</v>
      </c>
    </row>
    <row r="283" spans="1:39" ht="12.75">
      <c r="A283" s="15" t="s">
        <v>700</v>
      </c>
      <c r="C283" s="15" t="s">
        <v>672</v>
      </c>
      <c r="D283" s="28"/>
      <c r="E283" s="24">
        <f>6197+3390</f>
        <v>9587</v>
      </c>
      <c r="G283" s="24">
        <v>642</v>
      </c>
      <c r="I283" s="24">
        <v>8295</v>
      </c>
      <c r="K283" s="24">
        <v>0</v>
      </c>
      <c r="M283" s="24">
        <v>0</v>
      </c>
      <c r="O283" s="24">
        <f>16641+34735</f>
        <v>51376</v>
      </c>
      <c r="Q283" s="24">
        <v>49873</v>
      </c>
      <c r="S283" s="24">
        <f>19295+3595532</f>
        <v>3614827</v>
      </c>
      <c r="U283" s="24">
        <v>0</v>
      </c>
      <c r="W283" s="24">
        <v>0</v>
      </c>
      <c r="Y283" s="24">
        <v>0</v>
      </c>
      <c r="AA283" s="24">
        <v>0</v>
      </c>
      <c r="AC283" s="24">
        <v>949</v>
      </c>
      <c r="AE283" s="24">
        <f t="shared" si="8"/>
        <v>3735549</v>
      </c>
      <c r="AF283" s="24"/>
      <c r="AG283" s="64">
        <f>2865-5890-323456</f>
        <v>-326481</v>
      </c>
      <c r="AI283" s="64">
        <f>57029+44825+395547</f>
        <v>497401</v>
      </c>
      <c r="AK283" s="64">
        <f>59894+38935+72091</f>
        <v>170920</v>
      </c>
      <c r="AM283" s="24">
        <f>+'Gov Rev'!AI280-'Gov Exp'!AE283+'Gov Exp'!AI283-'Gov Exp'!AK283</f>
        <v>0</v>
      </c>
    </row>
    <row r="284" spans="1:39" s="31" customFormat="1" hidden="1">
      <c r="A284" s="15" t="s">
        <v>701</v>
      </c>
      <c r="B284" s="15"/>
      <c r="C284" s="15" t="s">
        <v>606</v>
      </c>
      <c r="D284" s="15"/>
      <c r="E284" s="24">
        <v>0</v>
      </c>
      <c r="F284" s="24"/>
      <c r="G284" s="24">
        <v>0</v>
      </c>
      <c r="H284" s="24"/>
      <c r="I284" s="24">
        <v>0</v>
      </c>
      <c r="J284" s="24"/>
      <c r="K284" s="24">
        <v>0</v>
      </c>
      <c r="L284" s="24"/>
      <c r="M284" s="24">
        <v>0</v>
      </c>
      <c r="N284" s="24"/>
      <c r="O284" s="24">
        <v>0</v>
      </c>
      <c r="P284" s="24"/>
      <c r="Q284" s="24">
        <v>0</v>
      </c>
      <c r="R284" s="24"/>
      <c r="S284" s="24">
        <v>0</v>
      </c>
      <c r="T284" s="24"/>
      <c r="U284" s="24">
        <v>0</v>
      </c>
      <c r="V284" s="24"/>
      <c r="W284" s="24">
        <v>0</v>
      </c>
      <c r="X284" s="24"/>
      <c r="Y284" s="24">
        <v>0</v>
      </c>
      <c r="Z284" s="24"/>
      <c r="AA284" s="24">
        <v>0</v>
      </c>
      <c r="AB284" s="24"/>
      <c r="AC284" s="24">
        <v>0</v>
      </c>
      <c r="AD284" s="24"/>
      <c r="AE284" s="24">
        <f t="shared" si="8"/>
        <v>0</v>
      </c>
      <c r="AF284" s="24"/>
      <c r="AG284" s="65"/>
      <c r="AH284" s="65"/>
      <c r="AI284" s="65"/>
      <c r="AJ284" s="65"/>
      <c r="AK284" s="65"/>
      <c r="AM284" s="24">
        <f>+'Gov Rev'!AI281-'Gov Exp'!AE284+'Gov Exp'!AI284-'Gov Exp'!AK284</f>
        <v>0</v>
      </c>
    </row>
    <row r="285" spans="1:39" s="31" customFormat="1" ht="12.75" hidden="1">
      <c r="A285" s="15" t="s">
        <v>912</v>
      </c>
      <c r="B285" s="15"/>
      <c r="C285" s="15" t="s">
        <v>801</v>
      </c>
      <c r="D285" s="28"/>
      <c r="E285" s="24">
        <v>3000</v>
      </c>
      <c r="F285" s="24"/>
      <c r="G285" s="24">
        <v>0</v>
      </c>
      <c r="H285" s="24"/>
      <c r="I285" s="24">
        <v>0</v>
      </c>
      <c r="J285" s="24"/>
      <c r="K285" s="24">
        <v>0</v>
      </c>
      <c r="L285" s="24"/>
      <c r="M285" s="24">
        <v>0</v>
      </c>
      <c r="N285" s="24"/>
      <c r="O285" s="24">
        <v>5774</v>
      </c>
      <c r="P285" s="24"/>
      <c r="Q285" s="24">
        <v>2000</v>
      </c>
      <c r="R285" s="24"/>
      <c r="S285" s="24">
        <v>0</v>
      </c>
      <c r="T285" s="24"/>
      <c r="U285" s="24">
        <v>0</v>
      </c>
      <c r="V285" s="24"/>
      <c r="W285" s="24">
        <v>0</v>
      </c>
      <c r="X285" s="24"/>
      <c r="Y285" s="24">
        <v>0</v>
      </c>
      <c r="Z285" s="24"/>
      <c r="AA285" s="24">
        <v>0</v>
      </c>
      <c r="AB285" s="24"/>
      <c r="AC285" s="24">
        <v>0</v>
      </c>
      <c r="AD285" s="24"/>
      <c r="AE285" s="24">
        <f t="shared" si="8"/>
        <v>10774</v>
      </c>
      <c r="AF285" s="24"/>
      <c r="AG285" s="65">
        <v>-6409</v>
      </c>
      <c r="AH285" s="65"/>
      <c r="AI285" s="65">
        <v>0</v>
      </c>
      <c r="AJ285" s="65"/>
      <c r="AK285" s="65">
        <v>3434</v>
      </c>
      <c r="AM285" s="24">
        <f>+'Gov Rev'!AI283-'Gov Exp'!AE285+'Gov Exp'!AI285-'Gov Exp'!AK285</f>
        <v>-9843</v>
      </c>
    </row>
    <row r="286" spans="1:39" s="31" customFormat="1" ht="12.75" hidden="1">
      <c r="A286" s="15" t="s">
        <v>102</v>
      </c>
      <c r="B286" s="15"/>
      <c r="C286" s="15" t="s">
        <v>781</v>
      </c>
      <c r="D286" s="28"/>
      <c r="E286" s="24">
        <v>0</v>
      </c>
      <c r="F286" s="24"/>
      <c r="G286" s="24">
        <v>0</v>
      </c>
      <c r="H286" s="24"/>
      <c r="I286" s="24">
        <v>0</v>
      </c>
      <c r="J286" s="24"/>
      <c r="K286" s="24">
        <v>0</v>
      </c>
      <c r="L286" s="24"/>
      <c r="M286" s="24">
        <v>0</v>
      </c>
      <c r="N286" s="24"/>
      <c r="O286" s="24">
        <v>0</v>
      </c>
      <c r="P286" s="24"/>
      <c r="Q286" s="24">
        <v>0</v>
      </c>
      <c r="R286" s="24"/>
      <c r="S286" s="24">
        <v>0</v>
      </c>
      <c r="T286" s="24"/>
      <c r="U286" s="24">
        <v>0</v>
      </c>
      <c r="V286" s="24"/>
      <c r="W286" s="24">
        <v>0</v>
      </c>
      <c r="X286" s="24"/>
      <c r="Y286" s="24">
        <v>0</v>
      </c>
      <c r="Z286" s="24"/>
      <c r="AA286" s="24">
        <v>0</v>
      </c>
      <c r="AB286" s="24"/>
      <c r="AC286" s="24">
        <v>0</v>
      </c>
      <c r="AD286" s="24"/>
      <c r="AE286" s="24">
        <f t="shared" si="8"/>
        <v>0</v>
      </c>
      <c r="AF286" s="24"/>
      <c r="AG286" s="65"/>
      <c r="AH286" s="65"/>
      <c r="AI286" s="65"/>
      <c r="AJ286" s="65"/>
      <c r="AK286" s="65"/>
      <c r="AM286" s="24">
        <f>+'Gov Rev'!AI282-'Gov Exp'!AE286+'Gov Exp'!AI286-'Gov Exp'!AK286</f>
        <v>0</v>
      </c>
    </row>
    <row r="287" spans="1:39" ht="12.75">
      <c r="A287" s="15" t="s">
        <v>131</v>
      </c>
      <c r="C287" s="15" t="s">
        <v>790</v>
      </c>
      <c r="D287" s="28"/>
      <c r="E287" s="24">
        <v>1017635</v>
      </c>
      <c r="G287" s="24">
        <v>14997</v>
      </c>
      <c r="I287" s="24">
        <v>62786</v>
      </c>
      <c r="K287" s="24">
        <f>215626+438158</f>
        <v>653784</v>
      </c>
      <c r="M287" s="24">
        <v>0</v>
      </c>
      <c r="O287" s="24">
        <f>44188+222717</f>
        <v>266905</v>
      </c>
      <c r="Q287" s="24">
        <f>479392+6605</f>
        <v>485997</v>
      </c>
      <c r="S287" s="24">
        <f>18660+471680</f>
        <v>490340</v>
      </c>
      <c r="U287" s="24">
        <v>160725</v>
      </c>
      <c r="W287" s="24">
        <v>24565</v>
      </c>
      <c r="Y287" s="24">
        <v>233576</v>
      </c>
      <c r="AA287" s="24">
        <v>0</v>
      </c>
      <c r="AC287" s="24">
        <f>33311+6609</f>
        <v>39920</v>
      </c>
      <c r="AE287" s="24">
        <f t="shared" si="8"/>
        <v>3451230</v>
      </c>
      <c r="AF287" s="41"/>
      <c r="AG287" s="64">
        <f>-279406-345753-234930-32745</f>
        <v>-892834</v>
      </c>
      <c r="AI287" s="64">
        <f>770073+1587662-68913+116673</f>
        <v>2405495</v>
      </c>
      <c r="AK287" s="64">
        <f>490667+1241909-303843+83928</f>
        <v>1512661</v>
      </c>
      <c r="AM287" s="24">
        <f>+'Gov Rev'!AI284-'Gov Exp'!AE287+'Gov Exp'!AI287-'Gov Exp'!AK287</f>
        <v>0</v>
      </c>
    </row>
    <row r="288" spans="1:39">
      <c r="A288" s="15" t="s">
        <v>702</v>
      </c>
      <c r="C288" s="15" t="s">
        <v>504</v>
      </c>
      <c r="E288" s="24">
        <v>44714</v>
      </c>
      <c r="G288" s="24">
        <v>0</v>
      </c>
      <c r="I288" s="24">
        <v>0</v>
      </c>
      <c r="K288" s="24">
        <v>0</v>
      </c>
      <c r="M288" s="24">
        <v>0</v>
      </c>
      <c r="O288" s="24">
        <f>3642+21882</f>
        <v>25524</v>
      </c>
      <c r="Q288" s="24">
        <f>58990+132915</f>
        <v>191905</v>
      </c>
      <c r="S288" s="24">
        <v>0</v>
      </c>
      <c r="U288" s="24">
        <v>55450</v>
      </c>
      <c r="W288" s="24">
        <v>7272</v>
      </c>
      <c r="Y288" s="24">
        <v>0</v>
      </c>
      <c r="AA288" s="24">
        <v>0</v>
      </c>
      <c r="AC288" s="24">
        <v>0</v>
      </c>
      <c r="AE288" s="24">
        <f t="shared" si="8"/>
        <v>324865</v>
      </c>
      <c r="AF288" s="24"/>
      <c r="AG288" s="64">
        <f>-404-11400</f>
        <v>-11804</v>
      </c>
      <c r="AI288" s="64">
        <f>29202+360224</f>
        <v>389426</v>
      </c>
      <c r="AK288" s="64">
        <f>28798+348824</f>
        <v>377622</v>
      </c>
      <c r="AM288" s="24">
        <f>+'Gov Rev'!AI285-'Gov Exp'!AE288+'Gov Exp'!AI288-'Gov Exp'!AK288</f>
        <v>0</v>
      </c>
    </row>
    <row r="289" spans="1:39" ht="12.75" hidden="1">
      <c r="A289" s="15" t="s">
        <v>847</v>
      </c>
      <c r="C289" s="15" t="s">
        <v>813</v>
      </c>
      <c r="D289" s="28"/>
      <c r="E289" s="24">
        <v>0</v>
      </c>
      <c r="G289" s="24">
        <v>0</v>
      </c>
      <c r="I289" s="24">
        <v>0</v>
      </c>
      <c r="K289" s="24">
        <v>0</v>
      </c>
      <c r="M289" s="24">
        <v>0</v>
      </c>
      <c r="O289" s="24">
        <v>0</v>
      </c>
      <c r="Q289" s="24">
        <v>0</v>
      </c>
      <c r="S289" s="24">
        <v>0</v>
      </c>
      <c r="U289" s="24">
        <v>0</v>
      </c>
      <c r="W289" s="24">
        <v>0</v>
      </c>
      <c r="Y289" s="24">
        <v>0</v>
      </c>
      <c r="AA289" s="24">
        <v>0</v>
      </c>
      <c r="AC289" s="24">
        <v>0</v>
      </c>
      <c r="AE289" s="24">
        <f t="shared" si="8"/>
        <v>0</v>
      </c>
      <c r="AF289" s="24"/>
      <c r="AM289" s="24">
        <f>+'Gov Rev'!AI286-'Gov Exp'!AE289+'Gov Exp'!AI289-'Gov Exp'!AK289</f>
        <v>0</v>
      </c>
    </row>
    <row r="290" spans="1:39" s="31" customFormat="1" ht="12.6" customHeight="1">
      <c r="A290" s="15" t="s">
        <v>703</v>
      </c>
      <c r="B290" s="15"/>
      <c r="C290" s="15" t="s">
        <v>348</v>
      </c>
      <c r="D290" s="15"/>
      <c r="E290" s="24">
        <f>151410+35937</f>
        <v>187347</v>
      </c>
      <c r="F290" s="24"/>
      <c r="G290" s="24">
        <f>1261+35920</f>
        <v>37181</v>
      </c>
      <c r="H290" s="24"/>
      <c r="I290" s="24">
        <v>0</v>
      </c>
      <c r="J290" s="24"/>
      <c r="K290" s="24">
        <v>26079</v>
      </c>
      <c r="L290" s="24"/>
      <c r="M290" s="24">
        <v>0</v>
      </c>
      <c r="N290" s="24"/>
      <c r="O290" s="24">
        <f>89620+46261</f>
        <v>135881</v>
      </c>
      <c r="P290" s="24"/>
      <c r="Q290" s="24">
        <f>305295+3134</f>
        <v>308429</v>
      </c>
      <c r="R290" s="24"/>
      <c r="S290" s="24">
        <f>84076+109659+437724</f>
        <v>631459</v>
      </c>
      <c r="T290" s="24"/>
      <c r="U290" s="24">
        <v>40401</v>
      </c>
      <c r="V290" s="24"/>
      <c r="W290" s="24">
        <v>0</v>
      </c>
      <c r="X290" s="24"/>
      <c r="Y290" s="24">
        <v>1929</v>
      </c>
      <c r="Z290" s="24"/>
      <c r="AA290" s="24">
        <v>0</v>
      </c>
      <c r="AB290" s="24"/>
      <c r="AC290" s="24">
        <v>8</v>
      </c>
      <c r="AD290" s="24"/>
      <c r="AE290" s="24">
        <f t="shared" si="8"/>
        <v>1368714</v>
      </c>
      <c r="AF290" s="24"/>
      <c r="AG290" s="65">
        <f>-87252+86394+9047</f>
        <v>8189</v>
      </c>
      <c r="AH290" s="65"/>
      <c r="AI290" s="65">
        <f>711478+497044+23948</f>
        <v>1232470</v>
      </c>
      <c r="AJ290" s="65"/>
      <c r="AK290" s="65">
        <f>624226+583438+32995</f>
        <v>1240659</v>
      </c>
      <c r="AM290" s="24">
        <f>+'Gov Rev'!AI287-'Gov Exp'!AE290+'Gov Exp'!AI290-'Gov Exp'!AK290</f>
        <v>0</v>
      </c>
    </row>
    <row r="291" spans="1:39" s="31" customFormat="1" hidden="1">
      <c r="A291" s="15" t="s">
        <v>704</v>
      </c>
      <c r="B291" s="15"/>
      <c r="C291" s="15" t="s">
        <v>541</v>
      </c>
      <c r="D291" s="15"/>
      <c r="E291" s="24">
        <v>3441</v>
      </c>
      <c r="F291" s="24"/>
      <c r="G291" s="24">
        <v>0</v>
      </c>
      <c r="H291" s="24"/>
      <c r="I291" s="24">
        <f>2925+420</f>
        <v>3345</v>
      </c>
      <c r="J291" s="24"/>
      <c r="K291" s="24">
        <v>354</v>
      </c>
      <c r="L291" s="24"/>
      <c r="M291" s="24">
        <v>13253</v>
      </c>
      <c r="N291" s="24"/>
      <c r="O291" s="24">
        <f>2779+5924</f>
        <v>8703</v>
      </c>
      <c r="P291" s="24"/>
      <c r="Q291" s="24">
        <v>10173</v>
      </c>
      <c r="R291" s="24"/>
      <c r="S291" s="24">
        <v>0</v>
      </c>
      <c r="T291" s="24"/>
      <c r="U291" s="24">
        <v>0</v>
      </c>
      <c r="V291" s="24"/>
      <c r="W291" s="24">
        <v>0</v>
      </c>
      <c r="X291" s="24"/>
      <c r="Y291" s="24">
        <v>0</v>
      </c>
      <c r="Z291" s="24"/>
      <c r="AA291" s="24">
        <v>0</v>
      </c>
      <c r="AB291" s="24"/>
      <c r="AC291" s="24">
        <v>0</v>
      </c>
      <c r="AD291" s="24"/>
      <c r="AE291" s="24">
        <f t="shared" si="8"/>
        <v>39269</v>
      </c>
      <c r="AF291" s="24"/>
      <c r="AG291" s="65">
        <f>-3345+2087+80</f>
        <v>-1178</v>
      </c>
      <c r="AH291" s="65"/>
      <c r="AI291" s="65">
        <f>32963+35280+67</f>
        <v>68310</v>
      </c>
      <c r="AJ291" s="65"/>
      <c r="AK291" s="65">
        <f>28180+37367+147</f>
        <v>65694</v>
      </c>
      <c r="AM291" s="24">
        <f>+'Gov Rev'!AI288-'Gov Exp'!AE291+'Gov Exp'!AI291-'Gov Exp'!AK291</f>
        <v>1438</v>
      </c>
    </row>
    <row r="292" spans="1:39" ht="12.75">
      <c r="A292" s="15" t="s">
        <v>913</v>
      </c>
      <c r="C292" s="15" t="s">
        <v>412</v>
      </c>
      <c r="D292" s="28"/>
      <c r="E292" s="24">
        <v>17798</v>
      </c>
      <c r="G292" s="24">
        <v>3224</v>
      </c>
      <c r="I292" s="24">
        <v>18905</v>
      </c>
      <c r="K292" s="24">
        <v>0</v>
      </c>
      <c r="M292" s="24">
        <v>8761</v>
      </c>
      <c r="O292" s="24">
        <v>66041</v>
      </c>
      <c r="Q292" s="24">
        <v>39486</v>
      </c>
      <c r="S292" s="24">
        <v>0</v>
      </c>
      <c r="U292" s="24">
        <v>0</v>
      </c>
      <c r="W292" s="24">
        <v>0</v>
      </c>
      <c r="Y292" s="24">
        <v>0</v>
      </c>
      <c r="AA292" s="24">
        <v>0</v>
      </c>
      <c r="AC292" s="24">
        <v>0</v>
      </c>
      <c r="AE292" s="24">
        <f t="shared" si="8"/>
        <v>154215</v>
      </c>
      <c r="AF292" s="24"/>
      <c r="AG292" s="64">
        <f>32568-33276</f>
        <v>-708</v>
      </c>
      <c r="AI292" s="64">
        <f>114894+33963</f>
        <v>148857</v>
      </c>
      <c r="AK292" s="64">
        <f>147463+687</f>
        <v>148150</v>
      </c>
      <c r="AM292" s="24">
        <f>+'Gov Rev'!AI289-'Gov Exp'!AE292+'Gov Exp'!AI292-'Gov Exp'!AK292</f>
        <v>0</v>
      </c>
    </row>
    <row r="293" spans="1:39" ht="12.75" hidden="1">
      <c r="A293" s="15" t="s">
        <v>213</v>
      </c>
      <c r="C293" s="15" t="s">
        <v>815</v>
      </c>
      <c r="D293" s="28"/>
      <c r="E293" s="24">
        <v>0</v>
      </c>
      <c r="G293" s="24">
        <v>0</v>
      </c>
      <c r="I293" s="24">
        <v>0</v>
      </c>
      <c r="K293" s="24">
        <v>0</v>
      </c>
      <c r="M293" s="24">
        <v>0</v>
      </c>
      <c r="O293" s="24">
        <v>0</v>
      </c>
      <c r="Q293" s="24">
        <v>0</v>
      </c>
      <c r="S293" s="24">
        <v>0</v>
      </c>
      <c r="U293" s="24">
        <v>0</v>
      </c>
      <c r="W293" s="24">
        <v>0</v>
      </c>
      <c r="Y293" s="24">
        <v>0</v>
      </c>
      <c r="AA293" s="24">
        <v>0</v>
      </c>
      <c r="AC293" s="24">
        <v>0</v>
      </c>
      <c r="AE293" s="24">
        <f t="shared" si="8"/>
        <v>0</v>
      </c>
      <c r="AF293" s="24"/>
      <c r="AM293" s="24">
        <f>+'Gov Rev'!AI290-'Gov Exp'!AE293+'Gov Exp'!AI293-'Gov Exp'!AK293</f>
        <v>0</v>
      </c>
    </row>
    <row r="294" spans="1:39" s="31" customFormat="1" ht="12.75" hidden="1">
      <c r="A294" s="15" t="s">
        <v>136</v>
      </c>
      <c r="B294" s="15"/>
      <c r="C294" s="15" t="s">
        <v>792</v>
      </c>
      <c r="D294" s="28"/>
      <c r="E294" s="24">
        <v>0</v>
      </c>
      <c r="F294" s="24"/>
      <c r="G294" s="24">
        <v>0</v>
      </c>
      <c r="H294" s="24"/>
      <c r="I294" s="24">
        <v>0</v>
      </c>
      <c r="J294" s="24"/>
      <c r="K294" s="24">
        <v>0</v>
      </c>
      <c r="L294" s="24"/>
      <c r="M294" s="24">
        <v>0</v>
      </c>
      <c r="N294" s="24"/>
      <c r="O294" s="24">
        <v>0</v>
      </c>
      <c r="P294" s="24"/>
      <c r="Q294" s="24">
        <v>0</v>
      </c>
      <c r="R294" s="24"/>
      <c r="S294" s="24">
        <v>0</v>
      </c>
      <c r="T294" s="24"/>
      <c r="U294" s="24">
        <v>0</v>
      </c>
      <c r="V294" s="24"/>
      <c r="W294" s="24">
        <v>0</v>
      </c>
      <c r="X294" s="24"/>
      <c r="Y294" s="24">
        <v>0</v>
      </c>
      <c r="Z294" s="24"/>
      <c r="AA294" s="24">
        <v>0</v>
      </c>
      <c r="AB294" s="24"/>
      <c r="AC294" s="24">
        <v>0</v>
      </c>
      <c r="AD294" s="24"/>
      <c r="AE294" s="24">
        <f t="shared" si="8"/>
        <v>0</v>
      </c>
      <c r="AF294" s="24"/>
      <c r="AG294" s="65"/>
      <c r="AH294" s="65"/>
      <c r="AI294" s="65"/>
      <c r="AJ294" s="65"/>
      <c r="AK294" s="65"/>
      <c r="AM294" s="24">
        <f>+'Gov Rev'!AI291-'Gov Exp'!AE294+'Gov Exp'!AI294-'Gov Exp'!AK294</f>
        <v>0</v>
      </c>
    </row>
    <row r="295" spans="1:39" ht="12.75" hidden="1">
      <c r="A295" s="15" t="s">
        <v>265</v>
      </c>
      <c r="C295" s="15" t="s">
        <v>831</v>
      </c>
      <c r="D295" s="28"/>
      <c r="E295" s="24">
        <v>0</v>
      </c>
      <c r="G295" s="24">
        <v>0</v>
      </c>
      <c r="I295" s="24">
        <v>0</v>
      </c>
      <c r="K295" s="24">
        <v>0</v>
      </c>
      <c r="M295" s="24">
        <v>0</v>
      </c>
      <c r="O295" s="24">
        <v>0</v>
      </c>
      <c r="Q295" s="24">
        <v>0</v>
      </c>
      <c r="S295" s="24">
        <v>0</v>
      </c>
      <c r="U295" s="24">
        <v>0</v>
      </c>
      <c r="W295" s="24">
        <v>0</v>
      </c>
      <c r="Y295" s="24">
        <v>0</v>
      </c>
      <c r="AA295" s="24">
        <v>0</v>
      </c>
      <c r="AC295" s="24">
        <v>0</v>
      </c>
      <c r="AE295" s="24">
        <f t="shared" si="8"/>
        <v>0</v>
      </c>
      <c r="AF295" s="24"/>
      <c r="AM295" s="24">
        <f>+'Gov Rev'!AI292-'Gov Exp'!AE295+'Gov Exp'!AI295-'Gov Exp'!AK295</f>
        <v>0</v>
      </c>
    </row>
    <row r="296" spans="1:39" hidden="1">
      <c r="A296" s="15" t="s">
        <v>705</v>
      </c>
      <c r="C296" s="15" t="s">
        <v>439</v>
      </c>
      <c r="E296" s="24">
        <v>0</v>
      </c>
      <c r="G296" s="24">
        <v>0</v>
      </c>
      <c r="I296" s="24">
        <v>0</v>
      </c>
      <c r="K296" s="24">
        <v>0</v>
      </c>
      <c r="M296" s="24">
        <v>0</v>
      </c>
      <c r="O296" s="24">
        <v>0</v>
      </c>
      <c r="Q296" s="24">
        <v>0</v>
      </c>
      <c r="S296" s="24">
        <v>0</v>
      </c>
      <c r="U296" s="24">
        <v>0</v>
      </c>
      <c r="W296" s="24">
        <v>0</v>
      </c>
      <c r="Y296" s="24">
        <v>0</v>
      </c>
      <c r="AA296" s="24">
        <v>0</v>
      </c>
      <c r="AC296" s="24">
        <v>0</v>
      </c>
      <c r="AE296" s="24">
        <f t="shared" si="8"/>
        <v>0</v>
      </c>
      <c r="AF296" s="24"/>
      <c r="AM296" s="24">
        <f>+'Gov Rev'!AI293-'Gov Exp'!AE296+'Gov Exp'!AI296-'Gov Exp'!AK296</f>
        <v>0</v>
      </c>
    </row>
    <row r="297" spans="1:39" s="31" customFormat="1">
      <c r="A297" s="15" t="s">
        <v>706</v>
      </c>
      <c r="B297" s="15"/>
      <c r="C297" s="15" t="s">
        <v>430</v>
      </c>
      <c r="D297" s="15"/>
      <c r="E297" s="24">
        <f>1213929+25222</f>
        <v>1239151</v>
      </c>
      <c r="F297" s="24"/>
      <c r="G297" s="24">
        <v>17687</v>
      </c>
      <c r="H297" s="24"/>
      <c r="I297" s="24">
        <v>1850</v>
      </c>
      <c r="J297" s="24"/>
      <c r="K297" s="24">
        <v>0</v>
      </c>
      <c r="L297" s="24"/>
      <c r="M297" s="24">
        <v>57989</v>
      </c>
      <c r="N297" s="24"/>
      <c r="O297" s="24">
        <f>365445+166073</f>
        <v>531518</v>
      </c>
      <c r="P297" s="24"/>
      <c r="Q297" s="24">
        <f>240050+146</f>
        <v>240196</v>
      </c>
      <c r="R297" s="24"/>
      <c r="S297" s="24">
        <f>13613+204943</f>
        <v>218556</v>
      </c>
      <c r="T297" s="24"/>
      <c r="U297" s="24">
        <v>5000</v>
      </c>
      <c r="V297" s="24"/>
      <c r="W297" s="24">
        <v>0</v>
      </c>
      <c r="X297" s="24"/>
      <c r="Y297" s="24">
        <v>100000</v>
      </c>
      <c r="Z297" s="24"/>
      <c r="AA297" s="24">
        <v>0</v>
      </c>
      <c r="AB297" s="24"/>
      <c r="AC297" s="24">
        <v>0</v>
      </c>
      <c r="AD297" s="24"/>
      <c r="AE297" s="24">
        <f t="shared" si="8"/>
        <v>2411947</v>
      </c>
      <c r="AF297" s="24"/>
      <c r="AG297" s="65">
        <f>101172+11908+618331</f>
        <v>731411</v>
      </c>
      <c r="AH297" s="65"/>
      <c r="AI297" s="65">
        <f>878247+381572+14471240</f>
        <v>15731059</v>
      </c>
      <c r="AJ297" s="65"/>
      <c r="AK297" s="65">
        <f>979419+393480+15089571</f>
        <v>16462470</v>
      </c>
      <c r="AM297" s="24">
        <f>+'Gov Rev'!AI294-'Gov Exp'!AE297+'Gov Exp'!AI297-'Gov Exp'!AK297</f>
        <v>0</v>
      </c>
    </row>
    <row r="298" spans="1:39" ht="12.75" hidden="1">
      <c r="A298" s="15" t="s">
        <v>5</v>
      </c>
      <c r="C298" s="15" t="s">
        <v>751</v>
      </c>
      <c r="D298" s="28"/>
      <c r="E298" s="24">
        <v>0</v>
      </c>
      <c r="G298" s="24">
        <v>0</v>
      </c>
      <c r="I298" s="24">
        <v>0</v>
      </c>
      <c r="K298" s="24">
        <v>0</v>
      </c>
      <c r="M298" s="24">
        <v>0</v>
      </c>
      <c r="O298" s="24">
        <v>0</v>
      </c>
      <c r="Q298" s="24">
        <v>0</v>
      </c>
      <c r="S298" s="24">
        <v>0</v>
      </c>
      <c r="U298" s="24">
        <v>0</v>
      </c>
      <c r="W298" s="24">
        <v>0</v>
      </c>
      <c r="Y298" s="24">
        <v>0</v>
      </c>
      <c r="AA298" s="24">
        <v>0</v>
      </c>
      <c r="AC298" s="24">
        <v>0</v>
      </c>
      <c r="AE298" s="24">
        <f t="shared" si="8"/>
        <v>0</v>
      </c>
      <c r="AF298" s="24"/>
      <c r="AM298" s="24">
        <f>+'Gov Rev'!AI295-'Gov Exp'!AE298+'Gov Exp'!AI298-'Gov Exp'!AK298</f>
        <v>0</v>
      </c>
    </row>
    <row r="299" spans="1:39" s="31" customFormat="1" ht="12.75" hidden="1">
      <c r="A299" s="15" t="s">
        <v>137</v>
      </c>
      <c r="B299" s="15"/>
      <c r="C299" s="15" t="s">
        <v>792</v>
      </c>
      <c r="D299" s="28"/>
      <c r="E299" s="24">
        <v>0</v>
      </c>
      <c r="F299" s="24"/>
      <c r="G299" s="24">
        <v>0</v>
      </c>
      <c r="H299" s="24"/>
      <c r="I299" s="24">
        <v>0</v>
      </c>
      <c r="J299" s="24"/>
      <c r="K299" s="24">
        <v>0</v>
      </c>
      <c r="L299" s="24"/>
      <c r="M299" s="24">
        <v>0</v>
      </c>
      <c r="N299" s="24"/>
      <c r="O299" s="24">
        <v>0</v>
      </c>
      <c r="P299" s="24"/>
      <c r="Q299" s="24">
        <v>0</v>
      </c>
      <c r="R299" s="24"/>
      <c r="S299" s="24">
        <v>0</v>
      </c>
      <c r="T299" s="24"/>
      <c r="U299" s="24">
        <v>0</v>
      </c>
      <c r="V299" s="24"/>
      <c r="W299" s="24">
        <v>0</v>
      </c>
      <c r="X299" s="24"/>
      <c r="Y299" s="24">
        <v>0</v>
      </c>
      <c r="Z299" s="24"/>
      <c r="AA299" s="24">
        <v>0</v>
      </c>
      <c r="AB299" s="24"/>
      <c r="AC299" s="24">
        <v>0</v>
      </c>
      <c r="AD299" s="24"/>
      <c r="AE299" s="24">
        <f t="shared" si="8"/>
        <v>0</v>
      </c>
      <c r="AF299" s="24"/>
      <c r="AG299" s="65"/>
      <c r="AH299" s="65"/>
      <c r="AI299" s="65"/>
      <c r="AJ299" s="65"/>
      <c r="AK299" s="65"/>
      <c r="AM299" s="24">
        <f>+'Gov Rev'!AI296-'Gov Exp'!AE299+'Gov Exp'!AI299-'Gov Exp'!AK299</f>
        <v>0</v>
      </c>
    </row>
    <row r="300" spans="1:39" s="31" customFormat="1" hidden="1">
      <c r="A300" s="15" t="s">
        <v>708</v>
      </c>
      <c r="B300" s="15"/>
      <c r="C300" s="15" t="s">
        <v>430</v>
      </c>
      <c r="D300" s="15"/>
      <c r="E300" s="24">
        <v>0</v>
      </c>
      <c r="F300" s="24"/>
      <c r="G300" s="24">
        <v>0</v>
      </c>
      <c r="H300" s="24"/>
      <c r="I300" s="24">
        <v>0</v>
      </c>
      <c r="J300" s="24"/>
      <c r="K300" s="24">
        <v>0</v>
      </c>
      <c r="L300" s="24"/>
      <c r="M300" s="24">
        <v>0</v>
      </c>
      <c r="N300" s="24"/>
      <c r="O300" s="24">
        <v>0</v>
      </c>
      <c r="P300" s="24"/>
      <c r="Q300" s="24">
        <v>0</v>
      </c>
      <c r="R300" s="24"/>
      <c r="S300" s="24">
        <v>0</v>
      </c>
      <c r="T300" s="24"/>
      <c r="U300" s="24">
        <v>0</v>
      </c>
      <c r="V300" s="24"/>
      <c r="W300" s="24">
        <v>0</v>
      </c>
      <c r="X300" s="24"/>
      <c r="Y300" s="24">
        <v>0</v>
      </c>
      <c r="Z300" s="24"/>
      <c r="AA300" s="24">
        <v>0</v>
      </c>
      <c r="AB300" s="24"/>
      <c r="AC300" s="24">
        <v>0</v>
      </c>
      <c r="AD300" s="24"/>
      <c r="AE300" s="24">
        <f t="shared" si="8"/>
        <v>0</v>
      </c>
      <c r="AF300" s="24"/>
      <c r="AG300" s="65"/>
      <c r="AH300" s="65"/>
      <c r="AI300" s="65"/>
      <c r="AJ300" s="65"/>
      <c r="AK300" s="65"/>
      <c r="AM300" s="24">
        <f>+'Gov Rev'!AI297-'Gov Exp'!AE300+'Gov Exp'!AI300-'Gov Exp'!AK300</f>
        <v>0</v>
      </c>
    </row>
    <row r="301" spans="1:39" s="31" customFormat="1">
      <c r="A301" s="15" t="s">
        <v>835</v>
      </c>
      <c r="B301" s="15"/>
      <c r="C301" s="15" t="s">
        <v>554</v>
      </c>
      <c r="D301" s="15"/>
      <c r="E301" s="24">
        <f>859420+268106</f>
        <v>1127526</v>
      </c>
      <c r="F301" s="24"/>
      <c r="G301" s="24">
        <v>346</v>
      </c>
      <c r="H301" s="24"/>
      <c r="I301" s="24">
        <f>25288+3800</f>
        <v>29088</v>
      </c>
      <c r="J301" s="24"/>
      <c r="K301" s="24">
        <v>31451</v>
      </c>
      <c r="L301" s="24"/>
      <c r="M301" s="24">
        <v>0</v>
      </c>
      <c r="N301" s="24"/>
      <c r="O301" s="24">
        <f>155079+143965</f>
        <v>299044</v>
      </c>
      <c r="P301" s="24"/>
      <c r="Q301" s="24">
        <f>413139+81</f>
        <v>413220</v>
      </c>
      <c r="R301" s="24"/>
      <c r="S301" s="24">
        <v>98814</v>
      </c>
      <c r="T301" s="24"/>
      <c r="U301" s="24">
        <v>0</v>
      </c>
      <c r="V301" s="24"/>
      <c r="W301" s="24">
        <v>0</v>
      </c>
      <c r="X301" s="24"/>
      <c r="Y301" s="24">
        <v>160489</v>
      </c>
      <c r="Z301" s="24"/>
      <c r="AA301" s="24">
        <v>4976</v>
      </c>
      <c r="AB301" s="24"/>
      <c r="AC301" s="24">
        <v>0</v>
      </c>
      <c r="AD301" s="24"/>
      <c r="AE301" s="24">
        <f t="shared" si="8"/>
        <v>2164954</v>
      </c>
      <c r="AF301" s="24"/>
      <c r="AG301" s="65">
        <f>-202568-104834-69012</f>
        <v>-376414</v>
      </c>
      <c r="AH301" s="65"/>
      <c r="AI301" s="65">
        <f>1768459+512970-195689+123049</f>
        <v>2208789</v>
      </c>
      <c r="AJ301" s="65"/>
      <c r="AK301" s="65">
        <f>1565891+408132-195689+54038</f>
        <v>1832372</v>
      </c>
      <c r="AM301" s="24">
        <f>+'Gov Rev'!AI298-'Gov Exp'!AE301+'Gov Exp'!AI301-'Gov Exp'!AK301</f>
        <v>0</v>
      </c>
    </row>
    <row r="302" spans="1:39" s="31" customFormat="1" hidden="1">
      <c r="A302" s="15" t="s">
        <v>707</v>
      </c>
      <c r="B302" s="15"/>
      <c r="C302" s="15" t="s">
        <v>447</v>
      </c>
      <c r="D302" s="15"/>
      <c r="E302" s="24">
        <v>0</v>
      </c>
      <c r="F302" s="24"/>
      <c r="G302" s="24">
        <v>0</v>
      </c>
      <c r="H302" s="24"/>
      <c r="I302" s="24">
        <v>0</v>
      </c>
      <c r="J302" s="24"/>
      <c r="K302" s="24">
        <v>0</v>
      </c>
      <c r="L302" s="24"/>
      <c r="M302" s="24">
        <v>0</v>
      </c>
      <c r="N302" s="24"/>
      <c r="O302" s="24">
        <v>0</v>
      </c>
      <c r="P302" s="24"/>
      <c r="Q302" s="24">
        <v>0</v>
      </c>
      <c r="R302" s="24"/>
      <c r="S302" s="24">
        <v>0</v>
      </c>
      <c r="T302" s="24"/>
      <c r="U302" s="24">
        <v>0</v>
      </c>
      <c r="V302" s="24"/>
      <c r="W302" s="24">
        <v>0</v>
      </c>
      <c r="X302" s="24"/>
      <c r="Y302" s="24">
        <v>0</v>
      </c>
      <c r="Z302" s="24"/>
      <c r="AA302" s="24">
        <v>0</v>
      </c>
      <c r="AB302" s="24"/>
      <c r="AC302" s="24">
        <v>0</v>
      </c>
      <c r="AD302" s="24"/>
      <c r="AE302" s="24">
        <f t="shared" si="8"/>
        <v>0</v>
      </c>
      <c r="AF302" s="24"/>
      <c r="AG302" s="65"/>
      <c r="AH302" s="65"/>
      <c r="AI302" s="65"/>
      <c r="AJ302" s="65"/>
      <c r="AK302" s="65"/>
      <c r="AM302" s="24">
        <f>+'Gov Rev'!AI299-'Gov Exp'!AE302+'Gov Exp'!AI302-'Gov Exp'!AK302</f>
        <v>0</v>
      </c>
    </row>
    <row r="303" spans="1:39" s="31" customFormat="1" hidden="1">
      <c r="A303" s="15" t="s">
        <v>709</v>
      </c>
      <c r="B303" s="15"/>
      <c r="C303" s="15" t="s">
        <v>464</v>
      </c>
      <c r="D303" s="15"/>
      <c r="E303" s="24">
        <v>0</v>
      </c>
      <c r="F303" s="24"/>
      <c r="G303" s="24">
        <v>0</v>
      </c>
      <c r="H303" s="24"/>
      <c r="I303" s="24">
        <v>0</v>
      </c>
      <c r="J303" s="24"/>
      <c r="K303" s="24">
        <v>0</v>
      </c>
      <c r="L303" s="24"/>
      <c r="M303" s="24">
        <v>0</v>
      </c>
      <c r="N303" s="24"/>
      <c r="O303" s="24">
        <v>0</v>
      </c>
      <c r="P303" s="24"/>
      <c r="Q303" s="24">
        <v>0</v>
      </c>
      <c r="R303" s="24"/>
      <c r="S303" s="24">
        <v>0</v>
      </c>
      <c r="T303" s="24"/>
      <c r="U303" s="24">
        <v>0</v>
      </c>
      <c r="V303" s="24"/>
      <c r="W303" s="24">
        <v>0</v>
      </c>
      <c r="X303" s="24"/>
      <c r="Y303" s="24">
        <v>0</v>
      </c>
      <c r="Z303" s="24"/>
      <c r="AA303" s="24">
        <v>0</v>
      </c>
      <c r="AB303" s="24"/>
      <c r="AC303" s="24">
        <v>0</v>
      </c>
      <c r="AD303" s="24"/>
      <c r="AE303" s="24">
        <f t="shared" si="8"/>
        <v>0</v>
      </c>
      <c r="AF303" s="24"/>
      <c r="AG303" s="65"/>
      <c r="AH303" s="65"/>
      <c r="AI303" s="65"/>
      <c r="AJ303" s="65"/>
      <c r="AK303" s="65"/>
      <c r="AM303" s="24">
        <f>+'Gov Rev'!AI300-'Gov Exp'!AE303+'Gov Exp'!AI303-'Gov Exp'!AK303</f>
        <v>0</v>
      </c>
    </row>
    <row r="304" spans="1:39" ht="12.75" hidden="1">
      <c r="A304" s="15" t="s">
        <v>184</v>
      </c>
      <c r="C304" s="15" t="s">
        <v>808</v>
      </c>
      <c r="D304" s="28"/>
      <c r="E304" s="24">
        <v>0</v>
      </c>
      <c r="G304" s="24">
        <v>0</v>
      </c>
      <c r="I304" s="24">
        <v>0</v>
      </c>
      <c r="K304" s="24">
        <v>0</v>
      </c>
      <c r="M304" s="24">
        <v>0</v>
      </c>
      <c r="O304" s="24">
        <v>0</v>
      </c>
      <c r="Q304" s="24">
        <v>0</v>
      </c>
      <c r="S304" s="24">
        <v>0</v>
      </c>
      <c r="U304" s="24">
        <v>0</v>
      </c>
      <c r="W304" s="24">
        <v>0</v>
      </c>
      <c r="Y304" s="24">
        <v>0</v>
      </c>
      <c r="AA304" s="24">
        <v>0</v>
      </c>
      <c r="AC304" s="24">
        <v>0</v>
      </c>
      <c r="AE304" s="24">
        <f t="shared" si="8"/>
        <v>0</v>
      </c>
      <c r="AF304" s="24"/>
      <c r="AM304" s="24">
        <f>+'Gov Rev'!AI301-'Gov Exp'!AE304+'Gov Exp'!AI304-'Gov Exp'!AK304</f>
        <v>0</v>
      </c>
    </row>
    <row r="305" spans="1:39" ht="12.75" hidden="1">
      <c r="A305" s="15" t="s">
        <v>162</v>
      </c>
      <c r="C305" s="15" t="s">
        <v>800</v>
      </c>
      <c r="D305" s="28"/>
      <c r="E305" s="24">
        <v>0</v>
      </c>
      <c r="G305" s="24">
        <v>0</v>
      </c>
      <c r="I305" s="24">
        <v>0</v>
      </c>
      <c r="K305" s="24">
        <v>0</v>
      </c>
      <c r="M305" s="24">
        <v>0</v>
      </c>
      <c r="O305" s="24">
        <v>0</v>
      </c>
      <c r="Q305" s="24">
        <v>0</v>
      </c>
      <c r="S305" s="24">
        <v>0</v>
      </c>
      <c r="U305" s="24">
        <v>0</v>
      </c>
      <c r="W305" s="24">
        <v>0</v>
      </c>
      <c r="Y305" s="24">
        <v>0</v>
      </c>
      <c r="AA305" s="24">
        <v>0</v>
      </c>
      <c r="AC305" s="24">
        <v>0</v>
      </c>
      <c r="AE305" s="24">
        <f t="shared" si="8"/>
        <v>0</v>
      </c>
      <c r="AF305" s="24"/>
      <c r="AM305" s="24">
        <f>+'Gov Rev'!AI302-'Gov Exp'!AE305+'Gov Exp'!AI305-'Gov Exp'!AK305</f>
        <v>0</v>
      </c>
    </row>
    <row r="306" spans="1:39" s="31" customFormat="1" ht="12.75" hidden="1">
      <c r="A306" s="15" t="s">
        <v>111</v>
      </c>
      <c r="B306" s="15"/>
      <c r="C306" s="15" t="s">
        <v>784</v>
      </c>
      <c r="D306" s="28"/>
      <c r="E306" s="24">
        <v>0</v>
      </c>
      <c r="F306" s="24"/>
      <c r="G306" s="24">
        <v>0</v>
      </c>
      <c r="H306" s="24"/>
      <c r="I306" s="24">
        <v>0</v>
      </c>
      <c r="J306" s="24"/>
      <c r="K306" s="24">
        <v>0</v>
      </c>
      <c r="L306" s="24"/>
      <c r="M306" s="24">
        <v>0</v>
      </c>
      <c r="N306" s="24"/>
      <c r="O306" s="24">
        <v>0</v>
      </c>
      <c r="P306" s="24"/>
      <c r="Q306" s="24">
        <v>0</v>
      </c>
      <c r="R306" s="24"/>
      <c r="S306" s="24">
        <v>0</v>
      </c>
      <c r="T306" s="24"/>
      <c r="U306" s="24">
        <v>0</v>
      </c>
      <c r="V306" s="24"/>
      <c r="W306" s="24">
        <v>0</v>
      </c>
      <c r="X306" s="24"/>
      <c r="Y306" s="24">
        <v>0</v>
      </c>
      <c r="Z306" s="24"/>
      <c r="AA306" s="24">
        <v>0</v>
      </c>
      <c r="AB306" s="24"/>
      <c r="AC306" s="24">
        <v>0</v>
      </c>
      <c r="AD306" s="24"/>
      <c r="AE306" s="24">
        <f t="shared" si="8"/>
        <v>0</v>
      </c>
      <c r="AF306" s="24"/>
      <c r="AG306" s="65"/>
      <c r="AH306" s="65"/>
      <c r="AI306" s="65"/>
      <c r="AJ306" s="65"/>
      <c r="AK306" s="65"/>
      <c r="AM306" s="24">
        <f>+'Gov Rev'!AI303-'Gov Exp'!AE306+'Gov Exp'!AI306-'Gov Exp'!AK306</f>
        <v>0</v>
      </c>
    </row>
    <row r="307" spans="1:39" ht="12.75" hidden="1">
      <c r="A307" s="15" t="s">
        <v>29</v>
      </c>
      <c r="C307" s="15" t="s">
        <v>758</v>
      </c>
      <c r="D307" s="28"/>
      <c r="E307" s="24">
        <v>0</v>
      </c>
      <c r="G307" s="24">
        <v>0</v>
      </c>
      <c r="I307" s="24">
        <v>0</v>
      </c>
      <c r="K307" s="24">
        <v>0</v>
      </c>
      <c r="M307" s="24">
        <v>0</v>
      </c>
      <c r="O307" s="24">
        <v>0</v>
      </c>
      <c r="Q307" s="24">
        <v>0</v>
      </c>
      <c r="S307" s="24">
        <v>0</v>
      </c>
      <c r="U307" s="24">
        <v>0</v>
      </c>
      <c r="W307" s="24">
        <v>0</v>
      </c>
      <c r="Y307" s="24">
        <v>0</v>
      </c>
      <c r="AA307" s="24">
        <v>0</v>
      </c>
      <c r="AC307" s="24">
        <v>0</v>
      </c>
      <c r="AE307" s="24">
        <f t="shared" si="8"/>
        <v>0</v>
      </c>
      <c r="AF307" s="24"/>
      <c r="AM307" s="24">
        <f>+'Gov Rev'!AI304-'Gov Exp'!AE307+'Gov Exp'!AI307-'Gov Exp'!AK307</f>
        <v>0</v>
      </c>
    </row>
    <row r="308" spans="1:39" s="31" customFormat="1" ht="12.75" hidden="1">
      <c r="A308" s="15" t="s">
        <v>43</v>
      </c>
      <c r="B308" s="15"/>
      <c r="C308" s="15" t="s">
        <v>763</v>
      </c>
      <c r="D308" s="28"/>
      <c r="E308" s="24">
        <v>0</v>
      </c>
      <c r="F308" s="24"/>
      <c r="G308" s="24">
        <v>0</v>
      </c>
      <c r="H308" s="24"/>
      <c r="I308" s="24">
        <v>0</v>
      </c>
      <c r="J308" s="24"/>
      <c r="K308" s="24">
        <v>0</v>
      </c>
      <c r="L308" s="24"/>
      <c r="M308" s="24">
        <v>0</v>
      </c>
      <c r="N308" s="24"/>
      <c r="O308" s="24">
        <v>0</v>
      </c>
      <c r="P308" s="24"/>
      <c r="Q308" s="24">
        <v>0</v>
      </c>
      <c r="R308" s="24"/>
      <c r="S308" s="24">
        <v>0</v>
      </c>
      <c r="T308" s="24"/>
      <c r="U308" s="24">
        <v>0</v>
      </c>
      <c r="V308" s="24"/>
      <c r="W308" s="24">
        <v>0</v>
      </c>
      <c r="X308" s="24"/>
      <c r="Y308" s="24">
        <v>0</v>
      </c>
      <c r="Z308" s="24"/>
      <c r="AA308" s="24">
        <v>0</v>
      </c>
      <c r="AB308" s="24"/>
      <c r="AC308" s="24">
        <v>0</v>
      </c>
      <c r="AD308" s="24"/>
      <c r="AE308" s="24">
        <f t="shared" si="8"/>
        <v>0</v>
      </c>
      <c r="AF308" s="24"/>
      <c r="AG308" s="65"/>
      <c r="AH308" s="65"/>
      <c r="AI308" s="65"/>
      <c r="AJ308" s="65"/>
      <c r="AK308" s="65"/>
      <c r="AM308" s="24">
        <f>+'Gov Rev'!AI305-'Gov Exp'!AE308+'Gov Exp'!AI308-'Gov Exp'!AK308</f>
        <v>0</v>
      </c>
    </row>
    <row r="309" spans="1:39">
      <c r="A309" s="15" t="s">
        <v>914</v>
      </c>
      <c r="C309" s="15" t="s">
        <v>517</v>
      </c>
      <c r="E309" s="24">
        <f>284775+77120</f>
        <v>361895</v>
      </c>
      <c r="G309" s="24">
        <v>1368</v>
      </c>
      <c r="I309" s="24">
        <v>264945</v>
      </c>
      <c r="K309" s="24">
        <v>416715</v>
      </c>
      <c r="M309" s="24">
        <v>0</v>
      </c>
      <c r="O309" s="24">
        <f>376435+49494</f>
        <v>425929</v>
      </c>
      <c r="Q309" s="24">
        <v>75745</v>
      </c>
      <c r="S309" s="24">
        <f>1453344+111974+110230</f>
        <v>1675548</v>
      </c>
      <c r="U309" s="24">
        <v>549220</v>
      </c>
      <c r="W309" s="24">
        <v>24655</v>
      </c>
      <c r="Y309" s="24">
        <f>1854732+82521+250000</f>
        <v>2187253</v>
      </c>
      <c r="AA309" s="24">
        <v>0</v>
      </c>
      <c r="AC309" s="24">
        <v>0</v>
      </c>
      <c r="AE309" s="24">
        <f t="shared" si="8"/>
        <v>5983273</v>
      </c>
      <c r="AF309" s="24"/>
      <c r="AG309" s="64">
        <f>-131325-22504+236280</f>
        <v>82451</v>
      </c>
      <c r="AI309" s="64">
        <f>-607879+153731-28251-1</f>
        <v>-482400</v>
      </c>
      <c r="AK309" s="64">
        <f>-739204+131224+208029+2</f>
        <v>-399949</v>
      </c>
      <c r="AM309" s="24">
        <f>+'Gov Rev'!AI306-'Gov Exp'!AE309+'Gov Exp'!AI309-'Gov Exp'!AK309</f>
        <v>0</v>
      </c>
    </row>
    <row r="310" spans="1:39">
      <c r="A310" s="15" t="s">
        <v>512</v>
      </c>
      <c r="C310" s="15" t="s">
        <v>513</v>
      </c>
      <c r="E310" s="24">
        <f>763413+41156</f>
        <v>804569</v>
      </c>
      <c r="G310" s="24">
        <v>0</v>
      </c>
      <c r="I310" s="24">
        <v>39302</v>
      </c>
      <c r="K310" s="24">
        <v>9086</v>
      </c>
      <c r="M310" s="24">
        <v>0</v>
      </c>
      <c r="O310" s="24">
        <f>12001+160895</f>
        <v>172896</v>
      </c>
      <c r="Q310" s="24">
        <f>166523+117283</f>
        <v>283806</v>
      </c>
      <c r="S310" s="24">
        <f>431422+36520+107875</f>
        <v>575817</v>
      </c>
      <c r="U310" s="24">
        <f>46917+11926+6760+9456</f>
        <v>75059</v>
      </c>
      <c r="W310" s="24">
        <v>0</v>
      </c>
      <c r="Y310" s="24">
        <v>339055</v>
      </c>
      <c r="AA310" s="24">
        <v>0</v>
      </c>
      <c r="AC310" s="24">
        <v>0</v>
      </c>
      <c r="AE310" s="24">
        <f t="shared" si="8"/>
        <v>2299590</v>
      </c>
      <c r="AF310" s="24"/>
      <c r="AG310" s="64">
        <f>-434075+4690-6760+93640</f>
        <v>-342505</v>
      </c>
      <c r="AI310" s="64">
        <f>716945+154533+19616+169044</f>
        <v>1060138</v>
      </c>
      <c r="AK310" s="64">
        <f>282871+159223+12856+262684</f>
        <v>717634</v>
      </c>
      <c r="AM310" s="24">
        <f>+'Gov Rev'!AI308-'Gov Exp'!AE310+'Gov Exp'!AI310-'Gov Exp'!AK310</f>
        <v>0</v>
      </c>
    </row>
    <row r="311" spans="1:39" ht="12.75" hidden="1">
      <c r="A311" s="15" t="s">
        <v>165</v>
      </c>
      <c r="C311" s="15" t="s">
        <v>801</v>
      </c>
      <c r="D311" s="28"/>
      <c r="E311" s="24">
        <v>0</v>
      </c>
      <c r="G311" s="24">
        <v>0</v>
      </c>
      <c r="I311" s="24">
        <v>0</v>
      </c>
      <c r="K311" s="24">
        <v>0</v>
      </c>
      <c r="M311" s="24">
        <v>0</v>
      </c>
      <c r="O311" s="24">
        <v>0</v>
      </c>
      <c r="Q311" s="24">
        <v>0</v>
      </c>
      <c r="S311" s="24">
        <v>0</v>
      </c>
      <c r="U311" s="24">
        <v>0</v>
      </c>
      <c r="W311" s="24">
        <v>0</v>
      </c>
      <c r="Y311" s="24">
        <v>0</v>
      </c>
      <c r="AA311" s="24">
        <v>0</v>
      </c>
      <c r="AC311" s="24">
        <v>0</v>
      </c>
      <c r="AE311" s="24">
        <f t="shared" si="8"/>
        <v>0</v>
      </c>
      <c r="AF311" s="24"/>
      <c r="AM311" s="24">
        <f>+'Gov Rev'!AI309-'Gov Exp'!AE311+'Gov Exp'!AI311-'Gov Exp'!AK311</f>
        <v>0</v>
      </c>
    </row>
    <row r="312" spans="1:39" s="31" customFormat="1">
      <c r="A312" s="15" t="s">
        <v>524</v>
      </c>
      <c r="B312" s="15"/>
      <c r="C312" s="15" t="s">
        <v>523</v>
      </c>
      <c r="D312" s="15"/>
      <c r="E312" s="24">
        <f>918078+164173</f>
        <v>1082251</v>
      </c>
      <c r="F312" s="24"/>
      <c r="G312" s="24">
        <v>0</v>
      </c>
      <c r="H312" s="24"/>
      <c r="I312" s="24">
        <f>210567+137125</f>
        <v>347692</v>
      </c>
      <c r="J312" s="24"/>
      <c r="K312" s="24">
        <f>30972+1361</f>
        <v>32333</v>
      </c>
      <c r="L312" s="24"/>
      <c r="M312" s="24">
        <v>909777</v>
      </c>
      <c r="N312" s="24"/>
      <c r="O312" s="24">
        <f>437527+219409</f>
        <v>656936</v>
      </c>
      <c r="P312" s="24"/>
      <c r="Q312" s="24">
        <f>609460+9990</f>
        <v>619450</v>
      </c>
      <c r="R312" s="24"/>
      <c r="S312" s="24">
        <v>213286</v>
      </c>
      <c r="T312" s="24"/>
      <c r="U312" s="24">
        <f>59151+91143</f>
        <v>150294</v>
      </c>
      <c r="V312" s="24"/>
      <c r="W312" s="24">
        <v>0</v>
      </c>
      <c r="X312" s="24"/>
      <c r="Y312" s="24">
        <v>0</v>
      </c>
      <c r="Z312" s="24"/>
      <c r="AA312" s="24">
        <v>0</v>
      </c>
      <c r="AB312" s="24"/>
      <c r="AC312" s="24">
        <f>414750+194047</f>
        <v>608797</v>
      </c>
      <c r="AD312" s="24"/>
      <c r="AE312" s="24">
        <f t="shared" ref="AE312:AE344" si="9">SUM(E312:AC312)</f>
        <v>4620816</v>
      </c>
      <c r="AF312" s="24"/>
      <c r="AG312" s="65">
        <f>-147507-17592-47147</f>
        <v>-212246</v>
      </c>
      <c r="AH312" s="65"/>
      <c r="AI312" s="65">
        <f>965489+17622+954900</f>
        <v>1938011</v>
      </c>
      <c r="AJ312" s="65"/>
      <c r="AK312" s="65">
        <f>817982+954900+17622-17592-47147</f>
        <v>1725765</v>
      </c>
      <c r="AM312" s="24">
        <f>+'Gov Rev'!AI310-'Gov Exp'!AE312+'Gov Exp'!AI312-'Gov Exp'!AK312</f>
        <v>0</v>
      </c>
    </row>
    <row r="313" spans="1:39" s="29" customFormat="1" ht="12.75" hidden="1">
      <c r="A313" s="24" t="s">
        <v>106</v>
      </c>
      <c r="B313" s="24"/>
      <c r="C313" s="24" t="s">
        <v>782</v>
      </c>
      <c r="D313" s="85"/>
      <c r="E313" s="24">
        <v>0</v>
      </c>
      <c r="F313" s="24"/>
      <c r="G313" s="24">
        <v>0</v>
      </c>
      <c r="H313" s="24"/>
      <c r="I313" s="24">
        <v>0</v>
      </c>
      <c r="J313" s="24"/>
      <c r="K313" s="24">
        <v>0</v>
      </c>
      <c r="L313" s="24"/>
      <c r="M313" s="24">
        <v>0</v>
      </c>
      <c r="N313" s="24"/>
      <c r="O313" s="24">
        <v>0</v>
      </c>
      <c r="P313" s="24"/>
      <c r="Q313" s="24">
        <v>0</v>
      </c>
      <c r="R313" s="24"/>
      <c r="S313" s="24">
        <v>0</v>
      </c>
      <c r="T313" s="24"/>
      <c r="U313" s="24">
        <v>0</v>
      </c>
      <c r="V313" s="24"/>
      <c r="W313" s="24">
        <v>0</v>
      </c>
      <c r="X313" s="24"/>
      <c r="Y313" s="24">
        <v>0</v>
      </c>
      <c r="Z313" s="24"/>
      <c r="AA313" s="24">
        <v>0</v>
      </c>
      <c r="AB313" s="24"/>
      <c r="AC313" s="24">
        <v>0</v>
      </c>
      <c r="AD313" s="24"/>
      <c r="AE313" s="24">
        <f t="shared" si="9"/>
        <v>0</v>
      </c>
      <c r="AF313" s="24"/>
      <c r="AG313" s="65"/>
      <c r="AH313" s="65"/>
      <c r="AI313" s="65"/>
      <c r="AJ313" s="65"/>
      <c r="AK313" s="65"/>
      <c r="AM313" s="24">
        <f>+'Gov Rev'!AI311-'Gov Exp'!AE313+'Gov Exp'!AI313-'Gov Exp'!AK313</f>
        <v>0</v>
      </c>
    </row>
    <row r="314" spans="1:39" ht="12.75" hidden="1">
      <c r="A314" s="15" t="s">
        <v>226</v>
      </c>
      <c r="C314" s="15" t="s">
        <v>820</v>
      </c>
      <c r="D314" s="28"/>
      <c r="E314" s="24">
        <v>0</v>
      </c>
      <c r="G314" s="24">
        <v>0</v>
      </c>
      <c r="I314" s="24">
        <v>0</v>
      </c>
      <c r="K314" s="24">
        <v>0</v>
      </c>
      <c r="M314" s="24">
        <v>0</v>
      </c>
      <c r="O314" s="24">
        <v>0</v>
      </c>
      <c r="Q314" s="24">
        <v>0</v>
      </c>
      <c r="S314" s="24">
        <v>0</v>
      </c>
      <c r="U314" s="24">
        <v>0</v>
      </c>
      <c r="W314" s="24">
        <v>0</v>
      </c>
      <c r="Y314" s="24">
        <v>0</v>
      </c>
      <c r="AA314" s="24">
        <v>0</v>
      </c>
      <c r="AC314" s="24">
        <v>0</v>
      </c>
      <c r="AE314" s="24">
        <f t="shared" si="9"/>
        <v>0</v>
      </c>
      <c r="AF314" s="24"/>
      <c r="AM314" s="24">
        <f>+'Gov Rev'!AI312-'Gov Exp'!AE314+'Gov Exp'!AI314-'Gov Exp'!AK314</f>
        <v>0</v>
      </c>
    </row>
    <row r="315" spans="1:39" s="31" customFormat="1">
      <c r="A315" s="15" t="s">
        <v>383</v>
      </c>
      <c r="B315" s="15"/>
      <c r="C315" s="15" t="s">
        <v>378</v>
      </c>
      <c r="D315" s="15"/>
      <c r="E315" s="24">
        <f>650833+423951</f>
        <v>1074784</v>
      </c>
      <c r="F315" s="24"/>
      <c r="G315" s="24">
        <v>1709</v>
      </c>
      <c r="H315" s="24"/>
      <c r="I315" s="24">
        <v>16125</v>
      </c>
      <c r="J315" s="24"/>
      <c r="K315" s="24">
        <v>34464</v>
      </c>
      <c r="L315" s="24"/>
      <c r="M315" s="24">
        <v>139337</v>
      </c>
      <c r="N315" s="24"/>
      <c r="O315" s="24">
        <v>173808</v>
      </c>
      <c r="P315" s="24"/>
      <c r="Q315" s="24">
        <f>757897+200</f>
        <v>758097</v>
      </c>
      <c r="R315" s="24"/>
      <c r="S315" s="24">
        <f>33077+234557</f>
        <v>267634</v>
      </c>
      <c r="T315" s="24"/>
      <c r="U315" s="24">
        <v>37892</v>
      </c>
      <c r="V315" s="24"/>
      <c r="W315" s="24">
        <v>0</v>
      </c>
      <c r="X315" s="24"/>
      <c r="Y315" s="24">
        <v>74000</v>
      </c>
      <c r="Z315" s="24"/>
      <c r="AA315" s="24">
        <v>0</v>
      </c>
      <c r="AB315" s="24"/>
      <c r="AC315" s="24">
        <v>0</v>
      </c>
      <c r="AD315" s="24"/>
      <c r="AE315" s="24">
        <f t="shared" si="9"/>
        <v>2577850</v>
      </c>
      <c r="AF315" s="24"/>
      <c r="AG315" s="65">
        <f>19060+84694-13751</f>
        <v>90003</v>
      </c>
      <c r="AH315" s="65"/>
      <c r="AI315" s="65">
        <f>552813+168736+61+58384</f>
        <v>779994</v>
      </c>
      <c r="AJ315" s="65"/>
      <c r="AK315" s="65">
        <f>571874+253430+61+44633</f>
        <v>869998</v>
      </c>
      <c r="AM315" s="24">
        <f>+'Gov Rev'!AI313-'Gov Exp'!AE315+'Gov Exp'!AI315-'Gov Exp'!AK315</f>
        <v>0</v>
      </c>
    </row>
    <row r="316" spans="1:39" ht="12.75" hidden="1">
      <c r="A316" s="15" t="s">
        <v>215</v>
      </c>
      <c r="C316" s="15" t="s">
        <v>816</v>
      </c>
      <c r="D316" s="28"/>
      <c r="E316" s="24">
        <v>0</v>
      </c>
      <c r="G316" s="24">
        <v>0</v>
      </c>
      <c r="I316" s="24">
        <v>0</v>
      </c>
      <c r="K316" s="24">
        <v>0</v>
      </c>
      <c r="M316" s="24">
        <v>0</v>
      </c>
      <c r="O316" s="24">
        <v>0</v>
      </c>
      <c r="Q316" s="24">
        <v>0</v>
      </c>
      <c r="S316" s="24">
        <v>0</v>
      </c>
      <c r="U316" s="24">
        <v>0</v>
      </c>
      <c r="W316" s="24">
        <v>0</v>
      </c>
      <c r="Y316" s="24">
        <v>0</v>
      </c>
      <c r="AA316" s="24">
        <v>0</v>
      </c>
      <c r="AC316" s="24">
        <v>0</v>
      </c>
      <c r="AE316" s="24">
        <f t="shared" si="9"/>
        <v>0</v>
      </c>
      <c r="AF316" s="24"/>
      <c r="AM316" s="24">
        <f>+'Gov Rev'!AI314-'Gov Exp'!AE316+'Gov Exp'!AI316-'Gov Exp'!AK316</f>
        <v>0</v>
      </c>
    </row>
    <row r="317" spans="1:39" s="31" customFormat="1" ht="12.75" hidden="1">
      <c r="A317" s="15" t="s">
        <v>851</v>
      </c>
      <c r="B317" s="15"/>
      <c r="C317" s="15" t="s">
        <v>766</v>
      </c>
      <c r="D317" s="28"/>
      <c r="E317" s="24">
        <v>0</v>
      </c>
      <c r="F317" s="24"/>
      <c r="G317" s="24">
        <v>0</v>
      </c>
      <c r="H317" s="24"/>
      <c r="I317" s="24">
        <v>0</v>
      </c>
      <c r="J317" s="24"/>
      <c r="K317" s="24">
        <v>0</v>
      </c>
      <c r="L317" s="24"/>
      <c r="M317" s="24">
        <v>0</v>
      </c>
      <c r="N317" s="24"/>
      <c r="O317" s="24">
        <v>0</v>
      </c>
      <c r="P317" s="24"/>
      <c r="Q317" s="24">
        <v>0</v>
      </c>
      <c r="R317" s="24"/>
      <c r="S317" s="24">
        <v>0</v>
      </c>
      <c r="T317" s="24"/>
      <c r="U317" s="24">
        <v>0</v>
      </c>
      <c r="V317" s="24"/>
      <c r="W317" s="24">
        <v>0</v>
      </c>
      <c r="X317" s="24"/>
      <c r="Y317" s="24">
        <v>0</v>
      </c>
      <c r="Z317" s="24"/>
      <c r="AA317" s="24">
        <v>0</v>
      </c>
      <c r="AB317" s="24"/>
      <c r="AC317" s="24">
        <v>0</v>
      </c>
      <c r="AD317" s="24"/>
      <c r="AE317" s="24">
        <f t="shared" si="9"/>
        <v>0</v>
      </c>
      <c r="AF317" s="24"/>
      <c r="AG317" s="65"/>
      <c r="AH317" s="65"/>
      <c r="AI317" s="65"/>
      <c r="AJ317" s="65"/>
      <c r="AK317" s="65"/>
      <c r="AM317" s="24">
        <f>+'Gov Rev'!AI315-'Gov Exp'!AE317+'Gov Exp'!AI317-'Gov Exp'!AK317</f>
        <v>0</v>
      </c>
    </row>
    <row r="318" spans="1:39" ht="12.75" hidden="1">
      <c r="A318" s="15" t="s">
        <v>44</v>
      </c>
      <c r="C318" s="15" t="s">
        <v>763</v>
      </c>
      <c r="D318" s="28"/>
      <c r="E318" s="24">
        <v>0</v>
      </c>
      <c r="G318" s="24">
        <v>0</v>
      </c>
      <c r="I318" s="24">
        <v>0</v>
      </c>
      <c r="K318" s="24">
        <v>0</v>
      </c>
      <c r="M318" s="24">
        <v>0</v>
      </c>
      <c r="O318" s="24">
        <v>0</v>
      </c>
      <c r="Q318" s="24">
        <v>0</v>
      </c>
      <c r="S318" s="24">
        <v>0</v>
      </c>
      <c r="U318" s="24">
        <v>0</v>
      </c>
      <c r="W318" s="24">
        <v>0</v>
      </c>
      <c r="Y318" s="24">
        <v>0</v>
      </c>
      <c r="AA318" s="24">
        <v>0</v>
      </c>
      <c r="AC318" s="24">
        <v>0</v>
      </c>
      <c r="AE318" s="24">
        <f t="shared" si="9"/>
        <v>0</v>
      </c>
      <c r="AF318" s="24"/>
      <c r="AM318" s="24">
        <f>+'Gov Rev'!AI316-'Gov Exp'!AE318+'Gov Exp'!AI318-'Gov Exp'!AK318</f>
        <v>0</v>
      </c>
    </row>
    <row r="319" spans="1:39" s="31" customFormat="1">
      <c r="A319" s="15" t="s">
        <v>542</v>
      </c>
      <c r="B319" s="15"/>
      <c r="C319" s="15" t="s">
        <v>541</v>
      </c>
      <c r="D319" s="15"/>
      <c r="E319" s="24">
        <v>10623</v>
      </c>
      <c r="F319" s="24"/>
      <c r="G319" s="24">
        <v>0</v>
      </c>
      <c r="H319" s="24"/>
      <c r="I319" s="24">
        <v>1803</v>
      </c>
      <c r="J319" s="24"/>
      <c r="K319" s="24">
        <v>0</v>
      </c>
      <c r="L319" s="24"/>
      <c r="M319" s="24">
        <v>0</v>
      </c>
      <c r="N319" s="24"/>
      <c r="O319" s="24">
        <v>635</v>
      </c>
      <c r="P319" s="24"/>
      <c r="Q319" s="24">
        <f>16001+2927</f>
        <v>18928</v>
      </c>
      <c r="R319" s="24"/>
      <c r="S319" s="24">
        <v>0</v>
      </c>
      <c r="T319" s="24"/>
      <c r="U319" s="24">
        <v>0</v>
      </c>
      <c r="V319" s="24"/>
      <c r="W319" s="24">
        <v>0</v>
      </c>
      <c r="X319" s="24"/>
      <c r="Y319" s="24">
        <f>1886+1886</f>
        <v>3772</v>
      </c>
      <c r="Z319" s="24"/>
      <c r="AA319" s="24">
        <v>0</v>
      </c>
      <c r="AB319" s="24"/>
      <c r="AC319" s="24">
        <v>0</v>
      </c>
      <c r="AD319" s="24"/>
      <c r="AE319" s="24">
        <f t="shared" si="9"/>
        <v>35761</v>
      </c>
      <c r="AF319" s="24"/>
      <c r="AG319" s="65">
        <f>-35617+3935</f>
        <v>-31682</v>
      </c>
      <c r="AH319" s="65"/>
      <c r="AI319" s="65">
        <f>28567+16867</f>
        <v>45434</v>
      </c>
      <c r="AJ319" s="65"/>
      <c r="AK319" s="65">
        <f>18323+20802</f>
        <v>39125</v>
      </c>
      <c r="AM319" s="24">
        <f>+'Gov Rev'!AI317-'Gov Exp'!AE319+'Gov Exp'!AI319-'Gov Exp'!AK319</f>
        <v>0</v>
      </c>
    </row>
    <row r="320" spans="1:39" ht="12.75" hidden="1">
      <c r="A320" s="15" t="s">
        <v>95</v>
      </c>
      <c r="C320" s="15" t="s">
        <v>778</v>
      </c>
      <c r="D320" s="28"/>
      <c r="E320" s="24">
        <v>0</v>
      </c>
      <c r="G320" s="24">
        <v>0</v>
      </c>
      <c r="I320" s="24">
        <v>0</v>
      </c>
      <c r="K320" s="24">
        <v>0</v>
      </c>
      <c r="M320" s="24">
        <v>0</v>
      </c>
      <c r="O320" s="24">
        <v>0</v>
      </c>
      <c r="Q320" s="24">
        <v>0</v>
      </c>
      <c r="S320" s="24">
        <v>0</v>
      </c>
      <c r="U320" s="24">
        <v>0</v>
      </c>
      <c r="W320" s="24">
        <v>0</v>
      </c>
      <c r="Y320" s="24">
        <v>0</v>
      </c>
      <c r="AA320" s="24">
        <v>0</v>
      </c>
      <c r="AC320" s="24">
        <v>0</v>
      </c>
      <c r="AE320" s="24">
        <f t="shared" si="9"/>
        <v>0</v>
      </c>
      <c r="AF320" s="24"/>
      <c r="AM320" s="24">
        <f>+'Gov Rev'!AI318-'Gov Exp'!AE320+'Gov Exp'!AI320-'Gov Exp'!AK320</f>
        <v>0</v>
      </c>
    </row>
    <row r="321" spans="1:39" s="31" customFormat="1">
      <c r="A321" s="15" t="s">
        <v>465</v>
      </c>
      <c r="B321" s="15"/>
      <c r="C321" s="15" t="s">
        <v>466</v>
      </c>
      <c r="D321" s="15"/>
      <c r="E321" s="24">
        <f>660594+710</f>
        <v>661304</v>
      </c>
      <c r="F321" s="24"/>
      <c r="G321" s="24">
        <v>0</v>
      </c>
      <c r="H321" s="24"/>
      <c r="I321" s="24">
        <v>20611</v>
      </c>
      <c r="J321" s="24"/>
      <c r="K321" s="24">
        <v>17513</v>
      </c>
      <c r="L321" s="24"/>
      <c r="M321" s="24">
        <v>0</v>
      </c>
      <c r="N321" s="24"/>
      <c r="O321" s="24">
        <f>199477+133210</f>
        <v>332687</v>
      </c>
      <c r="P321" s="24"/>
      <c r="Q321" s="24">
        <f>251082+400</f>
        <v>251482</v>
      </c>
      <c r="R321" s="24"/>
      <c r="S321" s="24">
        <f>33618+30923</f>
        <v>64541</v>
      </c>
      <c r="T321" s="24"/>
      <c r="U321" s="24">
        <v>5200</v>
      </c>
      <c r="V321" s="24"/>
      <c r="W321" s="24">
        <v>1248</v>
      </c>
      <c r="X321" s="24"/>
      <c r="Y321" s="24">
        <v>6500</v>
      </c>
      <c r="Z321" s="24"/>
      <c r="AA321" s="24">
        <v>0</v>
      </c>
      <c r="AB321" s="24"/>
      <c r="AC321" s="24">
        <v>161</v>
      </c>
      <c r="AD321" s="24"/>
      <c r="AE321" s="24">
        <f t="shared" si="9"/>
        <v>1361247</v>
      </c>
      <c r="AF321" s="24"/>
      <c r="AG321" s="65">
        <f>-69284+34453+2180-29806</f>
        <v>-62457</v>
      </c>
      <c r="AH321" s="65"/>
      <c r="AI321" s="65">
        <f>711903+356177+8115+195806</f>
        <v>1272001</v>
      </c>
      <c r="AJ321" s="65"/>
      <c r="AK321" s="65">
        <f>642619+390630+10295+166001</f>
        <v>1209545</v>
      </c>
      <c r="AM321" s="24">
        <f>+'Gov Rev'!AI319-'Gov Exp'!AE321+'Gov Exp'!AI321-'Gov Exp'!AK321</f>
        <v>0</v>
      </c>
    </row>
    <row r="322" spans="1:39">
      <c r="A322" s="15" t="s">
        <v>560</v>
      </c>
      <c r="C322" s="15" t="s">
        <v>561</v>
      </c>
      <c r="E322" s="24">
        <f>1419925+7650</f>
        <v>1427575</v>
      </c>
      <c r="G322" s="24">
        <f>22948+13957</f>
        <v>36905</v>
      </c>
      <c r="I322" s="24">
        <f>212812+200</f>
        <v>213012</v>
      </c>
      <c r="K322" s="24">
        <f>119975+36</f>
        <v>120011</v>
      </c>
      <c r="M322" s="24">
        <v>0</v>
      </c>
      <c r="O322" s="24">
        <v>801398</v>
      </c>
      <c r="Q322" s="24">
        <f>957691+249534</f>
        <v>1207225</v>
      </c>
      <c r="S322" s="24">
        <v>8146002</v>
      </c>
      <c r="U322" s="24">
        <v>368412</v>
      </c>
      <c r="W322" s="24">
        <v>0</v>
      </c>
      <c r="Y322" s="24">
        <f>297085+4611671</f>
        <v>4908756</v>
      </c>
      <c r="AA322" s="24">
        <v>0</v>
      </c>
      <c r="AC322" s="24">
        <v>0</v>
      </c>
      <c r="AE322" s="24">
        <f t="shared" si="9"/>
        <v>17229296</v>
      </c>
      <c r="AF322" s="24"/>
      <c r="AG322" s="64">
        <f>-258753+48115+777839-68380</f>
        <v>498821</v>
      </c>
      <c r="AI322" s="64">
        <f>1202197+420054+885080+2868224</f>
        <v>5375555</v>
      </c>
      <c r="AK322" s="64">
        <f>943444+468169+1662919+2799844</f>
        <v>5874376</v>
      </c>
      <c r="AM322" s="24">
        <f>+'Gov Rev'!AI320-'Gov Exp'!AE322+'Gov Exp'!AI322-'Gov Exp'!AK322</f>
        <v>0</v>
      </c>
    </row>
    <row r="323" spans="1:39" s="31" customFormat="1" ht="12.75" hidden="1">
      <c r="A323" s="15" t="s">
        <v>88</v>
      </c>
      <c r="B323" s="15"/>
      <c r="C323" s="15" t="s">
        <v>777</v>
      </c>
      <c r="D323" s="28"/>
      <c r="E323" s="24">
        <v>0</v>
      </c>
      <c r="F323" s="24"/>
      <c r="G323" s="24">
        <v>0</v>
      </c>
      <c r="H323" s="24"/>
      <c r="I323" s="24">
        <v>0</v>
      </c>
      <c r="J323" s="24"/>
      <c r="K323" s="24">
        <v>0</v>
      </c>
      <c r="L323" s="24"/>
      <c r="M323" s="24">
        <v>0</v>
      </c>
      <c r="N323" s="24"/>
      <c r="O323" s="24">
        <v>0</v>
      </c>
      <c r="P323" s="24"/>
      <c r="Q323" s="24">
        <v>0</v>
      </c>
      <c r="R323" s="24"/>
      <c r="S323" s="24">
        <v>0</v>
      </c>
      <c r="T323" s="24"/>
      <c r="U323" s="24">
        <v>0</v>
      </c>
      <c r="V323" s="24"/>
      <c r="W323" s="24">
        <v>0</v>
      </c>
      <c r="X323" s="24"/>
      <c r="Y323" s="24">
        <v>0</v>
      </c>
      <c r="Z323" s="24"/>
      <c r="AA323" s="24">
        <v>0</v>
      </c>
      <c r="AB323" s="24"/>
      <c r="AC323" s="24">
        <v>0</v>
      </c>
      <c r="AD323" s="24"/>
      <c r="AE323" s="24">
        <f t="shared" si="9"/>
        <v>0</v>
      </c>
      <c r="AF323" s="24"/>
      <c r="AG323" s="65"/>
      <c r="AH323" s="65"/>
      <c r="AI323" s="65"/>
      <c r="AJ323" s="65"/>
      <c r="AK323" s="65"/>
      <c r="AM323" s="24">
        <f>+'Gov Rev'!AI322-'Gov Exp'!AE323+'Gov Exp'!AI323-'Gov Exp'!AK323</f>
        <v>0</v>
      </c>
    </row>
    <row r="324" spans="1:39" ht="12.75" hidden="1">
      <c r="A324" s="15" t="s">
        <v>245</v>
      </c>
      <c r="C324" s="15" t="s">
        <v>827</v>
      </c>
      <c r="D324" s="28"/>
      <c r="E324" s="24">
        <v>0</v>
      </c>
      <c r="G324" s="24">
        <v>0</v>
      </c>
      <c r="I324" s="24">
        <v>0</v>
      </c>
      <c r="K324" s="24">
        <v>0</v>
      </c>
      <c r="M324" s="24">
        <v>0</v>
      </c>
      <c r="O324" s="24">
        <v>0</v>
      </c>
      <c r="Q324" s="24">
        <v>0</v>
      </c>
      <c r="S324" s="24">
        <v>0</v>
      </c>
      <c r="U324" s="24">
        <v>0</v>
      </c>
      <c r="W324" s="24">
        <v>0</v>
      </c>
      <c r="Y324" s="24">
        <v>0</v>
      </c>
      <c r="AA324" s="24">
        <v>0</v>
      </c>
      <c r="AC324" s="24">
        <v>0</v>
      </c>
      <c r="AE324" s="24">
        <f t="shared" si="9"/>
        <v>0</v>
      </c>
      <c r="AF324" s="24"/>
      <c r="AM324" s="24">
        <f>+'Gov Rev'!AI323-'Gov Exp'!AE324+'Gov Exp'!AI324-'Gov Exp'!AK324</f>
        <v>0</v>
      </c>
    </row>
    <row r="325" spans="1:39" ht="12.75" hidden="1">
      <c r="A325" s="15" t="s">
        <v>858</v>
      </c>
      <c r="C325" s="15" t="s">
        <v>795</v>
      </c>
      <c r="D325" s="28"/>
      <c r="E325" s="24">
        <v>0</v>
      </c>
      <c r="G325" s="24">
        <v>0</v>
      </c>
      <c r="I325" s="24">
        <v>0</v>
      </c>
      <c r="K325" s="24">
        <v>0</v>
      </c>
      <c r="M325" s="24">
        <v>0</v>
      </c>
      <c r="O325" s="24">
        <v>0</v>
      </c>
      <c r="Q325" s="24">
        <v>0</v>
      </c>
      <c r="S325" s="24">
        <v>0</v>
      </c>
      <c r="U325" s="24">
        <v>0</v>
      </c>
      <c r="W325" s="24">
        <v>0</v>
      </c>
      <c r="Y325" s="24">
        <v>0</v>
      </c>
      <c r="AA325" s="24">
        <v>0</v>
      </c>
      <c r="AC325" s="24">
        <v>0</v>
      </c>
      <c r="AE325" s="24">
        <f t="shared" si="9"/>
        <v>0</v>
      </c>
      <c r="AF325" s="24"/>
      <c r="AM325" s="24">
        <f>+'Gov Rev'!AI324-'Gov Exp'!AE325+'Gov Exp'!AI325-'Gov Exp'!AK325</f>
        <v>0</v>
      </c>
    </row>
    <row r="326" spans="1:39" ht="12.75" hidden="1">
      <c r="A326" s="15" t="s">
        <v>246</v>
      </c>
      <c r="C326" s="15" t="s">
        <v>827</v>
      </c>
      <c r="D326" s="28"/>
      <c r="E326" s="24">
        <v>0</v>
      </c>
      <c r="G326" s="24">
        <v>0</v>
      </c>
      <c r="I326" s="24">
        <v>0</v>
      </c>
      <c r="K326" s="24">
        <v>0</v>
      </c>
      <c r="M326" s="24">
        <v>0</v>
      </c>
      <c r="O326" s="24">
        <v>0</v>
      </c>
      <c r="Q326" s="24">
        <v>0</v>
      </c>
      <c r="S326" s="24">
        <v>0</v>
      </c>
      <c r="U326" s="24">
        <v>0</v>
      </c>
      <c r="W326" s="24">
        <v>0</v>
      </c>
      <c r="Y326" s="24">
        <v>0</v>
      </c>
      <c r="AA326" s="24">
        <v>0</v>
      </c>
      <c r="AC326" s="24">
        <v>0</v>
      </c>
      <c r="AE326" s="24">
        <f t="shared" si="9"/>
        <v>0</v>
      </c>
      <c r="AF326" s="24"/>
      <c r="AM326" s="24">
        <f>+'Gov Rev'!AI324-'Gov Exp'!AE326+'Gov Exp'!AI326-'Gov Exp'!AK326</f>
        <v>0</v>
      </c>
    </row>
    <row r="327" spans="1:39" s="31" customFormat="1">
      <c r="A327" s="15" t="s">
        <v>456</v>
      </c>
      <c r="B327" s="15"/>
      <c r="C327" s="15" t="s">
        <v>523</v>
      </c>
      <c r="D327" s="15"/>
      <c r="E327" s="24">
        <v>25000</v>
      </c>
      <c r="F327" s="24"/>
      <c r="G327" s="24">
        <v>0</v>
      </c>
      <c r="H327" s="24"/>
      <c r="I327" s="24">
        <v>0</v>
      </c>
      <c r="J327" s="24"/>
      <c r="K327" s="24">
        <v>869</v>
      </c>
      <c r="L327" s="24"/>
      <c r="M327" s="24">
        <v>0</v>
      </c>
      <c r="N327" s="24"/>
      <c r="O327" s="24">
        <v>29094</v>
      </c>
      <c r="P327" s="24"/>
      <c r="Q327" s="24">
        <v>34476</v>
      </c>
      <c r="R327" s="24"/>
      <c r="S327" s="24">
        <f>1708+41228</f>
        <v>42936</v>
      </c>
      <c r="T327" s="24"/>
      <c r="U327" s="24">
        <v>0</v>
      </c>
      <c r="V327" s="24"/>
      <c r="W327" s="24">
        <v>0</v>
      </c>
      <c r="X327" s="24"/>
      <c r="Y327" s="24">
        <v>50719</v>
      </c>
      <c r="Z327" s="24"/>
      <c r="AA327" s="24">
        <v>0</v>
      </c>
      <c r="AB327" s="24"/>
      <c r="AC327" s="24">
        <v>0</v>
      </c>
      <c r="AD327" s="24"/>
      <c r="AE327" s="24">
        <f t="shared" si="9"/>
        <v>183094</v>
      </c>
      <c r="AF327" s="24"/>
      <c r="AG327" s="65">
        <f>-26810+7636</f>
        <v>-19174</v>
      </c>
      <c r="AH327" s="65"/>
      <c r="AI327" s="65">
        <f>63433+33087</f>
        <v>96520</v>
      </c>
      <c r="AJ327" s="65"/>
      <c r="AK327" s="65">
        <f>36623+40723</f>
        <v>77346</v>
      </c>
      <c r="AM327" s="24">
        <f>+'Gov Rev'!AI325-'Gov Exp'!AE327+'Gov Exp'!AI327-'Gov Exp'!AK327</f>
        <v>0</v>
      </c>
    </row>
    <row r="328" spans="1:39" s="31" customFormat="1" hidden="1">
      <c r="A328" s="15" t="s">
        <v>609</v>
      </c>
      <c r="B328" s="15"/>
      <c r="C328" s="15" t="s">
        <v>606</v>
      </c>
      <c r="D328" s="15"/>
      <c r="E328" s="24">
        <v>0</v>
      </c>
      <c r="F328" s="24"/>
      <c r="G328" s="24">
        <v>0</v>
      </c>
      <c r="H328" s="24"/>
      <c r="I328" s="24">
        <v>0</v>
      </c>
      <c r="J328" s="24"/>
      <c r="K328" s="24">
        <v>0</v>
      </c>
      <c r="L328" s="24"/>
      <c r="M328" s="24">
        <v>0</v>
      </c>
      <c r="N328" s="24"/>
      <c r="O328" s="24">
        <v>0</v>
      </c>
      <c r="P328" s="24"/>
      <c r="Q328" s="24">
        <v>0</v>
      </c>
      <c r="R328" s="24"/>
      <c r="S328" s="24">
        <v>0</v>
      </c>
      <c r="T328" s="24"/>
      <c r="U328" s="24">
        <v>0</v>
      </c>
      <c r="V328" s="24"/>
      <c r="W328" s="24">
        <v>0</v>
      </c>
      <c r="X328" s="24"/>
      <c r="Y328" s="24">
        <v>0</v>
      </c>
      <c r="Z328" s="24"/>
      <c r="AA328" s="24">
        <v>0</v>
      </c>
      <c r="AB328" s="24"/>
      <c r="AC328" s="24">
        <v>0</v>
      </c>
      <c r="AD328" s="24"/>
      <c r="AE328" s="24">
        <f t="shared" si="9"/>
        <v>0</v>
      </c>
      <c r="AF328" s="24"/>
      <c r="AG328" s="65"/>
      <c r="AH328" s="65"/>
      <c r="AI328" s="65"/>
      <c r="AJ328" s="65"/>
      <c r="AK328" s="65"/>
      <c r="AM328" s="24">
        <f>+'Gov Rev'!AI326-'Gov Exp'!AE328+'Gov Exp'!AI328-'Gov Exp'!AK328</f>
        <v>0</v>
      </c>
    </row>
    <row r="329" spans="1:39" s="31" customFormat="1" ht="12.75" hidden="1">
      <c r="A329" s="15" t="s">
        <v>110</v>
      </c>
      <c r="B329" s="15"/>
      <c r="C329" s="15" t="s">
        <v>783</v>
      </c>
      <c r="D329" s="28"/>
      <c r="E329" s="24">
        <v>0</v>
      </c>
      <c r="F329" s="24"/>
      <c r="G329" s="24">
        <v>0</v>
      </c>
      <c r="H329" s="24"/>
      <c r="I329" s="24">
        <v>0</v>
      </c>
      <c r="J329" s="24"/>
      <c r="K329" s="24">
        <v>0</v>
      </c>
      <c r="L329" s="24"/>
      <c r="M329" s="24">
        <v>0</v>
      </c>
      <c r="N329" s="24"/>
      <c r="O329" s="24">
        <v>0</v>
      </c>
      <c r="P329" s="24"/>
      <c r="Q329" s="24">
        <v>0</v>
      </c>
      <c r="R329" s="24"/>
      <c r="S329" s="24">
        <v>0</v>
      </c>
      <c r="T329" s="24"/>
      <c r="U329" s="24">
        <v>0</v>
      </c>
      <c r="V329" s="24"/>
      <c r="W329" s="24">
        <v>0</v>
      </c>
      <c r="X329" s="24"/>
      <c r="Y329" s="24">
        <v>0</v>
      </c>
      <c r="Z329" s="24"/>
      <c r="AA329" s="24">
        <v>0</v>
      </c>
      <c r="AB329" s="24"/>
      <c r="AC329" s="24">
        <v>0</v>
      </c>
      <c r="AD329" s="24"/>
      <c r="AE329" s="24">
        <f t="shared" si="9"/>
        <v>0</v>
      </c>
      <c r="AF329" s="24"/>
      <c r="AG329" s="65"/>
      <c r="AH329" s="65"/>
      <c r="AI329" s="65"/>
      <c r="AJ329" s="65"/>
      <c r="AK329" s="65"/>
      <c r="AM329" s="24">
        <f>+'Gov Rev'!AI327-'Gov Exp'!AE329+'Gov Exp'!AI329-'Gov Exp'!AK329</f>
        <v>0</v>
      </c>
    </row>
    <row r="330" spans="1:39" s="31" customFormat="1" ht="12.75" hidden="1">
      <c r="A330" s="15" t="s">
        <v>78</v>
      </c>
      <c r="B330" s="15"/>
      <c r="C330" s="15" t="s">
        <v>774</v>
      </c>
      <c r="D330" s="28"/>
      <c r="E330" s="24">
        <v>0</v>
      </c>
      <c r="F330" s="24"/>
      <c r="G330" s="24">
        <v>0</v>
      </c>
      <c r="H330" s="24"/>
      <c r="I330" s="24">
        <v>0</v>
      </c>
      <c r="J330" s="24"/>
      <c r="K330" s="24">
        <v>0</v>
      </c>
      <c r="L330" s="24"/>
      <c r="M330" s="24">
        <v>0</v>
      </c>
      <c r="N330" s="24"/>
      <c r="O330" s="24">
        <v>0</v>
      </c>
      <c r="P330" s="24"/>
      <c r="Q330" s="24">
        <v>0</v>
      </c>
      <c r="R330" s="24"/>
      <c r="S330" s="24">
        <v>0</v>
      </c>
      <c r="T330" s="24"/>
      <c r="U330" s="24">
        <v>0</v>
      </c>
      <c r="V330" s="24"/>
      <c r="W330" s="24">
        <v>0</v>
      </c>
      <c r="X330" s="24"/>
      <c r="Y330" s="24">
        <v>0</v>
      </c>
      <c r="Z330" s="24"/>
      <c r="AA330" s="24">
        <v>0</v>
      </c>
      <c r="AB330" s="24"/>
      <c r="AC330" s="24">
        <v>0</v>
      </c>
      <c r="AD330" s="24"/>
      <c r="AE330" s="24">
        <f t="shared" si="9"/>
        <v>0</v>
      </c>
      <c r="AF330" s="24"/>
      <c r="AG330" s="65"/>
      <c r="AH330" s="65"/>
      <c r="AI330" s="65"/>
      <c r="AJ330" s="65"/>
      <c r="AK330" s="65"/>
      <c r="AM330" s="24">
        <f>+'Gov Rev'!AI328-'Gov Exp'!AE330+'Gov Exp'!AI330-'Gov Exp'!AK330</f>
        <v>0</v>
      </c>
    </row>
    <row r="331" spans="1:39" s="31" customFormat="1" hidden="1">
      <c r="A331" s="15" t="s">
        <v>432</v>
      </c>
      <c r="B331" s="15"/>
      <c r="C331" s="15" t="s">
        <v>430</v>
      </c>
      <c r="D331" s="15"/>
      <c r="E331" s="24">
        <v>0</v>
      </c>
      <c r="F331" s="24"/>
      <c r="G331" s="24">
        <v>0</v>
      </c>
      <c r="H331" s="24"/>
      <c r="I331" s="24">
        <v>0</v>
      </c>
      <c r="J331" s="24"/>
      <c r="K331" s="24">
        <v>0</v>
      </c>
      <c r="L331" s="24"/>
      <c r="M331" s="24">
        <v>0</v>
      </c>
      <c r="N331" s="24"/>
      <c r="O331" s="24">
        <v>0</v>
      </c>
      <c r="P331" s="24"/>
      <c r="Q331" s="24">
        <v>0</v>
      </c>
      <c r="R331" s="24"/>
      <c r="S331" s="24">
        <v>0</v>
      </c>
      <c r="T331" s="24"/>
      <c r="U331" s="24">
        <v>0</v>
      </c>
      <c r="V331" s="24"/>
      <c r="W331" s="24">
        <v>0</v>
      </c>
      <c r="X331" s="24"/>
      <c r="Y331" s="24">
        <v>0</v>
      </c>
      <c r="Z331" s="24"/>
      <c r="AA331" s="24">
        <v>0</v>
      </c>
      <c r="AB331" s="24"/>
      <c r="AC331" s="24">
        <v>0</v>
      </c>
      <c r="AD331" s="24"/>
      <c r="AE331" s="24">
        <f t="shared" si="9"/>
        <v>0</v>
      </c>
      <c r="AF331" s="41"/>
      <c r="AG331" s="65"/>
      <c r="AH331" s="65"/>
      <c r="AI331" s="65"/>
      <c r="AJ331" s="65"/>
      <c r="AK331" s="65"/>
      <c r="AM331" s="24">
        <f>+'Gov Rev'!AI329-'Gov Exp'!AE331+'Gov Exp'!AI331-'Gov Exp'!AK331</f>
        <v>0</v>
      </c>
    </row>
    <row r="332" spans="1:39" ht="12.75" hidden="1">
      <c r="A332" s="15" t="s">
        <v>236</v>
      </c>
      <c r="C332" s="15" t="s">
        <v>824</v>
      </c>
      <c r="D332" s="28"/>
      <c r="E332" s="24">
        <v>0</v>
      </c>
      <c r="G332" s="24">
        <v>0</v>
      </c>
      <c r="I332" s="24">
        <v>0</v>
      </c>
      <c r="K332" s="24">
        <v>0</v>
      </c>
      <c r="M332" s="24">
        <v>0</v>
      </c>
      <c r="O332" s="24">
        <v>0</v>
      </c>
      <c r="Q332" s="24">
        <v>0</v>
      </c>
      <c r="S332" s="24">
        <v>0</v>
      </c>
      <c r="U332" s="24">
        <v>0</v>
      </c>
      <c r="W332" s="24">
        <v>0</v>
      </c>
      <c r="Y332" s="24">
        <v>0</v>
      </c>
      <c r="AA332" s="24">
        <v>0</v>
      </c>
      <c r="AC332" s="24">
        <v>0</v>
      </c>
      <c r="AE332" s="24">
        <f t="shared" si="9"/>
        <v>0</v>
      </c>
      <c r="AF332" s="24"/>
      <c r="AM332" s="24">
        <f>+'Gov Rev'!AI330-'Gov Exp'!AE332+'Gov Exp'!AI332-'Gov Exp'!AK332</f>
        <v>0</v>
      </c>
    </row>
    <row r="333" spans="1:39" s="24" customFormat="1">
      <c r="A333" s="24" t="s">
        <v>549</v>
      </c>
      <c r="C333" s="24" t="s">
        <v>545</v>
      </c>
      <c r="E333" s="24">
        <f>170209+81249</f>
        <v>251458</v>
      </c>
      <c r="G333" s="24">
        <f>4110+12635</f>
        <v>16745</v>
      </c>
      <c r="I333" s="24">
        <v>18188</v>
      </c>
      <c r="K333" s="24">
        <v>0</v>
      </c>
      <c r="M333" s="24">
        <v>9866</v>
      </c>
      <c r="O333" s="24">
        <f>20374+43949</f>
        <v>64323</v>
      </c>
      <c r="Q333" s="24">
        <f>65349+736</f>
        <v>66085</v>
      </c>
      <c r="S333" s="24">
        <f>6391+2000+1121</f>
        <v>9512</v>
      </c>
      <c r="U333" s="24">
        <f>3571+4890</f>
        <v>8461</v>
      </c>
      <c r="W333" s="24">
        <v>343</v>
      </c>
      <c r="Y333" s="24">
        <v>13627</v>
      </c>
      <c r="AA333" s="24">
        <v>1000</v>
      </c>
      <c r="AC333" s="24">
        <v>0</v>
      </c>
      <c r="AE333" s="24">
        <f t="shared" si="9"/>
        <v>459608</v>
      </c>
      <c r="AG333" s="64">
        <f>-31881-20968-1121</f>
        <v>-53970</v>
      </c>
      <c r="AH333" s="64"/>
      <c r="AI333" s="64">
        <f>62180+46095+1121</f>
        <v>109396</v>
      </c>
      <c r="AJ333" s="64"/>
      <c r="AK333" s="64">
        <f>30299+25109</f>
        <v>55408</v>
      </c>
      <c r="AM333" s="24">
        <f>+'Gov Rev'!AI331-'Gov Exp'!AE333+'Gov Exp'!AI333-'Gov Exp'!AK333</f>
        <v>0</v>
      </c>
    </row>
    <row r="334" spans="1:39" ht="12.75" hidden="1">
      <c r="A334" s="15" t="s">
        <v>242</v>
      </c>
      <c r="C334" s="15" t="s">
        <v>826</v>
      </c>
      <c r="D334" s="28"/>
      <c r="E334" s="24">
        <v>0</v>
      </c>
      <c r="G334" s="24">
        <v>0</v>
      </c>
      <c r="I334" s="24">
        <v>0</v>
      </c>
      <c r="K334" s="24">
        <v>0</v>
      </c>
      <c r="M334" s="24">
        <v>0</v>
      </c>
      <c r="O334" s="24">
        <v>0</v>
      </c>
      <c r="Q334" s="24">
        <v>0</v>
      </c>
      <c r="S334" s="24">
        <v>0</v>
      </c>
      <c r="U334" s="24">
        <v>0</v>
      </c>
      <c r="W334" s="24">
        <v>0</v>
      </c>
      <c r="Y334" s="24">
        <v>0</v>
      </c>
      <c r="AA334" s="24">
        <v>0</v>
      </c>
      <c r="AC334" s="24">
        <v>0</v>
      </c>
      <c r="AE334" s="24">
        <f t="shared" si="9"/>
        <v>0</v>
      </c>
      <c r="AF334" s="24"/>
      <c r="AM334" s="24">
        <f>+'Gov Rev'!AI332-'Gov Exp'!AE334+'Gov Exp'!AI334-'Gov Exp'!AK334</f>
        <v>0</v>
      </c>
    </row>
    <row r="335" spans="1:39" s="31" customFormat="1" ht="12.75" hidden="1">
      <c r="A335" s="15" t="s">
        <v>107</v>
      </c>
      <c r="B335" s="15"/>
      <c r="C335" s="15" t="s">
        <v>782</v>
      </c>
      <c r="D335" s="28"/>
      <c r="E335" s="24">
        <v>0</v>
      </c>
      <c r="F335" s="24"/>
      <c r="G335" s="24">
        <v>0</v>
      </c>
      <c r="H335" s="24"/>
      <c r="I335" s="24">
        <v>0</v>
      </c>
      <c r="J335" s="24"/>
      <c r="K335" s="24">
        <v>0</v>
      </c>
      <c r="L335" s="24"/>
      <c r="M335" s="24">
        <v>0</v>
      </c>
      <c r="N335" s="24"/>
      <c r="O335" s="24">
        <v>0</v>
      </c>
      <c r="P335" s="24"/>
      <c r="Q335" s="24">
        <v>0</v>
      </c>
      <c r="R335" s="24"/>
      <c r="S335" s="24">
        <v>0</v>
      </c>
      <c r="T335" s="24"/>
      <c r="U335" s="24">
        <v>0</v>
      </c>
      <c r="V335" s="24"/>
      <c r="W335" s="24">
        <v>0</v>
      </c>
      <c r="X335" s="24"/>
      <c r="Y335" s="24">
        <v>0</v>
      </c>
      <c r="Z335" s="24"/>
      <c r="AA335" s="24">
        <v>0</v>
      </c>
      <c r="AB335" s="24"/>
      <c r="AC335" s="24">
        <v>0</v>
      </c>
      <c r="AD335" s="24"/>
      <c r="AE335" s="24">
        <f t="shared" si="9"/>
        <v>0</v>
      </c>
      <c r="AF335" s="24"/>
      <c r="AG335" s="65"/>
      <c r="AH335" s="65"/>
      <c r="AI335" s="65"/>
      <c r="AJ335" s="65"/>
      <c r="AK335" s="65"/>
      <c r="AM335" s="24">
        <f>+'Gov Rev'!AI333-'Gov Exp'!AE335+'Gov Exp'!AI335-'Gov Exp'!AK335</f>
        <v>0</v>
      </c>
    </row>
    <row r="336" spans="1:39" ht="12.75" hidden="1">
      <c r="A336" s="15" t="s">
        <v>30</v>
      </c>
      <c r="C336" s="15" t="s">
        <v>758</v>
      </c>
      <c r="D336" s="28"/>
      <c r="E336" s="24">
        <v>0</v>
      </c>
      <c r="G336" s="24">
        <v>0</v>
      </c>
      <c r="I336" s="24">
        <v>0</v>
      </c>
      <c r="K336" s="24">
        <v>0</v>
      </c>
      <c r="M336" s="24">
        <v>0</v>
      </c>
      <c r="O336" s="24">
        <v>0</v>
      </c>
      <c r="Q336" s="24">
        <v>0</v>
      </c>
      <c r="S336" s="24">
        <v>0</v>
      </c>
      <c r="U336" s="24">
        <v>0</v>
      </c>
      <c r="W336" s="24">
        <v>0</v>
      </c>
      <c r="Y336" s="24">
        <v>0</v>
      </c>
      <c r="AA336" s="24">
        <v>0</v>
      </c>
      <c r="AC336" s="24">
        <v>0</v>
      </c>
      <c r="AE336" s="24">
        <f t="shared" si="9"/>
        <v>0</v>
      </c>
      <c r="AF336" s="24"/>
      <c r="AM336" s="24">
        <f>+'Gov Rev'!AI334-'Gov Exp'!AE336+'Gov Exp'!AI336-'Gov Exp'!AK336</f>
        <v>0</v>
      </c>
    </row>
    <row r="337" spans="1:39" s="24" customFormat="1" ht="12.75" hidden="1">
      <c r="A337" s="24" t="s">
        <v>195</v>
      </c>
      <c r="C337" s="24" t="s">
        <v>811</v>
      </c>
      <c r="D337" s="85"/>
      <c r="E337" s="24">
        <v>0</v>
      </c>
      <c r="G337" s="24">
        <v>0</v>
      </c>
      <c r="I337" s="24">
        <v>0</v>
      </c>
      <c r="K337" s="24">
        <v>0</v>
      </c>
      <c r="M337" s="24">
        <v>0</v>
      </c>
      <c r="O337" s="24">
        <v>0</v>
      </c>
      <c r="Q337" s="24">
        <v>0</v>
      </c>
      <c r="S337" s="24">
        <v>0</v>
      </c>
      <c r="U337" s="24">
        <v>0</v>
      </c>
      <c r="W337" s="24">
        <v>0</v>
      </c>
      <c r="Y337" s="24">
        <v>0</v>
      </c>
      <c r="AA337" s="24">
        <v>0</v>
      </c>
      <c r="AC337" s="24">
        <v>0</v>
      </c>
      <c r="AE337" s="24">
        <f t="shared" si="9"/>
        <v>0</v>
      </c>
      <c r="AG337" s="64"/>
      <c r="AH337" s="64"/>
      <c r="AI337" s="64"/>
      <c r="AJ337" s="64"/>
      <c r="AK337" s="64"/>
      <c r="AM337" s="24">
        <f>+'Gov Rev'!AI335-'Gov Exp'!AE337+'Gov Exp'!AI337-'Gov Exp'!AK337</f>
        <v>0</v>
      </c>
    </row>
    <row r="338" spans="1:39" s="31" customFormat="1" ht="12.75" hidden="1">
      <c r="A338" s="15" t="s">
        <v>73</v>
      </c>
      <c r="B338" s="15"/>
      <c r="C338" s="15" t="s">
        <v>773</v>
      </c>
      <c r="D338" s="28"/>
      <c r="E338" s="24">
        <v>0</v>
      </c>
      <c r="F338" s="24"/>
      <c r="G338" s="24">
        <v>0</v>
      </c>
      <c r="H338" s="24"/>
      <c r="I338" s="24">
        <v>0</v>
      </c>
      <c r="J338" s="24"/>
      <c r="K338" s="24">
        <v>0</v>
      </c>
      <c r="L338" s="24"/>
      <c r="M338" s="24">
        <v>0</v>
      </c>
      <c r="N338" s="24"/>
      <c r="O338" s="24">
        <v>0</v>
      </c>
      <c r="P338" s="24"/>
      <c r="Q338" s="24">
        <v>0</v>
      </c>
      <c r="R338" s="24"/>
      <c r="S338" s="24">
        <v>0</v>
      </c>
      <c r="T338" s="24"/>
      <c r="U338" s="24">
        <v>0</v>
      </c>
      <c r="V338" s="24"/>
      <c r="W338" s="24">
        <v>0</v>
      </c>
      <c r="X338" s="24"/>
      <c r="Y338" s="24">
        <v>0</v>
      </c>
      <c r="Z338" s="24"/>
      <c r="AA338" s="24">
        <v>0</v>
      </c>
      <c r="AB338" s="24"/>
      <c r="AC338" s="24">
        <v>0</v>
      </c>
      <c r="AD338" s="24"/>
      <c r="AE338" s="24">
        <f t="shared" si="9"/>
        <v>0</v>
      </c>
      <c r="AF338" s="24"/>
      <c r="AG338" s="65"/>
      <c r="AH338" s="65"/>
      <c r="AI338" s="65"/>
      <c r="AJ338" s="65"/>
      <c r="AK338" s="65"/>
      <c r="AM338" s="24">
        <f>+'Gov Rev'!AI336-'Gov Exp'!AE338+'Gov Exp'!AI338-'Gov Exp'!AK338</f>
        <v>0</v>
      </c>
    </row>
    <row r="339" spans="1:39" ht="12.75" hidden="1">
      <c r="A339" s="15" t="s">
        <v>846</v>
      </c>
      <c r="C339" s="15" t="s">
        <v>807</v>
      </c>
      <c r="D339" s="28"/>
      <c r="E339" s="24">
        <v>0</v>
      </c>
      <c r="G339" s="24">
        <v>0</v>
      </c>
      <c r="I339" s="24">
        <v>0</v>
      </c>
      <c r="K339" s="24">
        <v>0</v>
      </c>
      <c r="M339" s="24">
        <v>0</v>
      </c>
      <c r="O339" s="24">
        <v>0</v>
      </c>
      <c r="Q339" s="24">
        <v>0</v>
      </c>
      <c r="S339" s="24">
        <v>0</v>
      </c>
      <c r="U339" s="24">
        <v>0</v>
      </c>
      <c r="W339" s="24">
        <v>0</v>
      </c>
      <c r="Y339" s="24">
        <v>0</v>
      </c>
      <c r="AA339" s="24">
        <v>0</v>
      </c>
      <c r="AC339" s="24">
        <v>0</v>
      </c>
      <c r="AE339" s="24">
        <f t="shared" si="9"/>
        <v>0</v>
      </c>
      <c r="AF339" s="24"/>
      <c r="AM339" s="24">
        <f>+'Gov Rev'!AI337-'Gov Exp'!AE339+'Gov Exp'!AI339-'Gov Exp'!AK339</f>
        <v>0</v>
      </c>
    </row>
    <row r="340" spans="1:39" hidden="1">
      <c r="A340" s="15" t="s">
        <v>173</v>
      </c>
      <c r="C340" s="15" t="s">
        <v>243</v>
      </c>
      <c r="E340" s="24">
        <v>0</v>
      </c>
      <c r="G340" s="24">
        <v>0</v>
      </c>
      <c r="I340" s="24">
        <v>0</v>
      </c>
      <c r="K340" s="24">
        <v>0</v>
      </c>
      <c r="M340" s="24">
        <v>0</v>
      </c>
      <c r="O340" s="24">
        <v>0</v>
      </c>
      <c r="Q340" s="24">
        <v>0</v>
      </c>
      <c r="S340" s="24">
        <v>0</v>
      </c>
      <c r="U340" s="24">
        <v>0</v>
      </c>
      <c r="W340" s="24">
        <v>0</v>
      </c>
      <c r="Y340" s="24">
        <v>0</v>
      </c>
      <c r="AA340" s="24">
        <v>0</v>
      </c>
      <c r="AC340" s="24">
        <v>0</v>
      </c>
      <c r="AE340" s="24">
        <f t="shared" si="9"/>
        <v>0</v>
      </c>
      <c r="AF340" s="24"/>
      <c r="AM340" s="24">
        <f>+'Gov Rev'!AI338-'Gov Exp'!AE340+'Gov Exp'!AI340-'Gov Exp'!AK340</f>
        <v>0</v>
      </c>
    </row>
    <row r="341" spans="1:39">
      <c r="A341" s="15" t="s">
        <v>384</v>
      </c>
      <c r="C341" s="15" t="s">
        <v>378</v>
      </c>
      <c r="E341" s="24">
        <f>1690221+292239</f>
        <v>1982460</v>
      </c>
      <c r="G341" s="24">
        <v>6677</v>
      </c>
      <c r="I341" s="24">
        <f>737392+86633</f>
        <v>824025</v>
      </c>
      <c r="K341" s="24">
        <v>101270</v>
      </c>
      <c r="M341" s="24">
        <v>257231</v>
      </c>
      <c r="O341" s="24">
        <f>14339+135943</f>
        <v>150282</v>
      </c>
      <c r="Q341" s="24">
        <f>585368+3077+1390</f>
        <v>589835</v>
      </c>
      <c r="S341" s="24">
        <v>384861</v>
      </c>
      <c r="U341" s="24">
        <v>0</v>
      </c>
      <c r="W341" s="24">
        <v>0</v>
      </c>
      <c r="Y341" s="24">
        <v>0</v>
      </c>
      <c r="AA341" s="24">
        <v>0</v>
      </c>
      <c r="AC341" s="24">
        <v>0</v>
      </c>
      <c r="AE341" s="24">
        <f t="shared" si="9"/>
        <v>4296641</v>
      </c>
      <c r="AF341" s="24"/>
      <c r="AG341" s="64">
        <f>-397248+-37010+86105+19</f>
        <v>-348134</v>
      </c>
      <c r="AI341" s="64">
        <f>1665249+151870+47+279593+2649</f>
        <v>2099408</v>
      </c>
      <c r="AK341" s="64">
        <f>1268001+114860+47+365698+2668</f>
        <v>1751274</v>
      </c>
      <c r="AM341" s="24">
        <f>+'Gov Rev'!AI339-'Gov Exp'!AE341+'Gov Exp'!AI341-'Gov Exp'!AK341</f>
        <v>0</v>
      </c>
    </row>
    <row r="342" spans="1:39">
      <c r="A342" s="15" t="s">
        <v>591</v>
      </c>
      <c r="C342" s="15" t="s">
        <v>590</v>
      </c>
      <c r="E342" s="24">
        <v>4245</v>
      </c>
      <c r="G342" s="24">
        <v>0</v>
      </c>
      <c r="I342" s="24">
        <v>0</v>
      </c>
      <c r="K342" s="24">
        <v>12</v>
      </c>
      <c r="M342" s="24">
        <v>2948</v>
      </c>
      <c r="O342" s="24">
        <f>5629+25690+1016+8</f>
        <v>32343</v>
      </c>
      <c r="Q342" s="24">
        <v>17740</v>
      </c>
      <c r="S342" s="24">
        <v>0</v>
      </c>
      <c r="U342" s="24">
        <v>0</v>
      </c>
      <c r="W342" s="24">
        <v>0</v>
      </c>
      <c r="Y342" s="24">
        <v>15000</v>
      </c>
      <c r="AA342" s="24">
        <v>0</v>
      </c>
      <c r="AC342" s="24">
        <v>0</v>
      </c>
      <c r="AE342" s="24">
        <f t="shared" si="9"/>
        <v>72288</v>
      </c>
      <c r="AF342" s="24"/>
      <c r="AG342" s="64">
        <f>-5931-801-966+419</f>
        <v>-7279</v>
      </c>
      <c r="AI342" s="64">
        <f>33240+7859</f>
        <v>41099</v>
      </c>
      <c r="AK342" s="64">
        <f>27309+6511</f>
        <v>33820</v>
      </c>
      <c r="AM342" s="24">
        <f>+'Gov Rev'!AI340-'Gov Exp'!AE342+'Gov Exp'!AI342-'Gov Exp'!AK342</f>
        <v>0</v>
      </c>
    </row>
    <row r="343" spans="1:39">
      <c r="A343" s="15" t="s">
        <v>686</v>
      </c>
      <c r="C343" s="15" t="s">
        <v>593</v>
      </c>
      <c r="E343" s="24">
        <f>74595+14907</f>
        <v>89502</v>
      </c>
      <c r="G343" s="24">
        <v>1315</v>
      </c>
      <c r="I343" s="24">
        <v>11491</v>
      </c>
      <c r="K343" s="24">
        <v>148</v>
      </c>
      <c r="M343" s="24">
        <v>0</v>
      </c>
      <c r="O343" s="24">
        <f>215+29128</f>
        <v>29343</v>
      </c>
      <c r="Q343" s="24">
        <f>86966+16540</f>
        <v>103506</v>
      </c>
      <c r="S343" s="24">
        <v>3966</v>
      </c>
      <c r="U343" s="24">
        <v>0</v>
      </c>
      <c r="W343" s="24">
        <v>0</v>
      </c>
      <c r="Y343" s="24">
        <v>10000</v>
      </c>
      <c r="AA343" s="24">
        <v>0</v>
      </c>
      <c r="AC343" s="24">
        <f>1775+493</f>
        <v>2268</v>
      </c>
      <c r="AE343" s="24">
        <f t="shared" si="9"/>
        <v>251539</v>
      </c>
      <c r="AF343" s="24"/>
      <c r="AG343" s="64">
        <f>-20884+320865</f>
        <v>299981</v>
      </c>
      <c r="AI343" s="64">
        <f>22338+189114</f>
        <v>211452</v>
      </c>
      <c r="AK343" s="64">
        <f>1454+509979</f>
        <v>511433</v>
      </c>
      <c r="AM343" s="24">
        <f>+'Gov Rev'!AI341-'Gov Exp'!AE343+'Gov Exp'!AI343-'Gov Exp'!AK343</f>
        <v>0</v>
      </c>
    </row>
    <row r="344" spans="1:39" ht="12.75" hidden="1">
      <c r="A344" s="15" t="s">
        <v>123</v>
      </c>
      <c r="C344" s="15" t="s">
        <v>787</v>
      </c>
      <c r="D344" s="28"/>
      <c r="E344" s="24">
        <v>0</v>
      </c>
      <c r="G344" s="24">
        <v>0</v>
      </c>
      <c r="I344" s="24">
        <v>0</v>
      </c>
      <c r="K344" s="24">
        <v>0</v>
      </c>
      <c r="M344" s="24">
        <v>0</v>
      </c>
      <c r="O344" s="24">
        <v>0</v>
      </c>
      <c r="Q344" s="24">
        <v>0</v>
      </c>
      <c r="S344" s="24">
        <v>0</v>
      </c>
      <c r="U344" s="24">
        <v>0</v>
      </c>
      <c r="W344" s="24">
        <v>0</v>
      </c>
      <c r="Y344" s="24">
        <v>0</v>
      </c>
      <c r="AA344" s="24">
        <v>0</v>
      </c>
      <c r="AC344" s="24">
        <v>0</v>
      </c>
      <c r="AE344" s="24">
        <f t="shared" si="9"/>
        <v>0</v>
      </c>
      <c r="AF344" s="24"/>
      <c r="AM344" s="24">
        <f>+'Gov Rev'!AI342-'Gov Exp'!AE344+'Gov Exp'!AI344-'Gov Exp'!AK344</f>
        <v>0</v>
      </c>
    </row>
    <row r="345" spans="1:39" s="84" customFormat="1" ht="12.6" hidden="1" customHeight="1">
      <c r="A345" s="41" t="s">
        <v>301</v>
      </c>
      <c r="B345" s="41"/>
      <c r="C345" s="41" t="s">
        <v>299</v>
      </c>
      <c r="D345" s="41"/>
      <c r="E345" s="41">
        <v>0</v>
      </c>
      <c r="F345" s="41"/>
      <c r="G345" s="41">
        <v>0</v>
      </c>
      <c r="H345" s="41"/>
      <c r="I345" s="41">
        <v>0</v>
      </c>
      <c r="J345" s="41"/>
      <c r="K345" s="41">
        <v>0</v>
      </c>
      <c r="L345" s="41"/>
      <c r="M345" s="41">
        <v>0</v>
      </c>
      <c r="N345" s="41"/>
      <c r="O345" s="41">
        <v>0</v>
      </c>
      <c r="P345" s="41"/>
      <c r="Q345" s="41">
        <v>0</v>
      </c>
      <c r="R345" s="41"/>
      <c r="S345" s="41">
        <v>0</v>
      </c>
      <c r="T345" s="41"/>
      <c r="U345" s="41">
        <v>0</v>
      </c>
      <c r="V345" s="41"/>
      <c r="W345" s="41">
        <v>0</v>
      </c>
      <c r="X345" s="41"/>
      <c r="Y345" s="41">
        <v>0</v>
      </c>
      <c r="Z345" s="41"/>
      <c r="AA345" s="41">
        <v>0</v>
      </c>
      <c r="AB345" s="41"/>
      <c r="AC345" s="41">
        <v>0</v>
      </c>
      <c r="AD345" s="41"/>
      <c r="AE345" s="41">
        <f t="shared" ref="AE345:AE376" si="10">SUM(E345:AC345)</f>
        <v>0</v>
      </c>
      <c r="AF345" s="41"/>
      <c r="AG345" s="65"/>
      <c r="AH345" s="65"/>
      <c r="AI345" s="65"/>
      <c r="AJ345" s="65"/>
      <c r="AK345" s="65"/>
      <c r="AM345" s="24">
        <f>+'Gov Rev'!AI343-'Gov Exp'!AE345+'Gov Exp'!AI345-'Gov Exp'!AK345</f>
        <v>0</v>
      </c>
    </row>
    <row r="346" spans="1:39" ht="12.75" hidden="1">
      <c r="A346" s="15" t="s">
        <v>247</v>
      </c>
      <c r="C346" s="15" t="s">
        <v>827</v>
      </c>
      <c r="D346" s="28"/>
      <c r="E346" s="24">
        <v>0</v>
      </c>
      <c r="G346" s="24">
        <v>0</v>
      </c>
      <c r="I346" s="24">
        <v>0</v>
      </c>
      <c r="K346" s="24">
        <v>0</v>
      </c>
      <c r="M346" s="24">
        <v>0</v>
      </c>
      <c r="O346" s="24">
        <v>0</v>
      </c>
      <c r="Q346" s="24">
        <v>0</v>
      </c>
      <c r="S346" s="24">
        <v>0</v>
      </c>
      <c r="U346" s="24">
        <v>0</v>
      </c>
      <c r="W346" s="24">
        <v>0</v>
      </c>
      <c r="Y346" s="24">
        <v>0</v>
      </c>
      <c r="AA346" s="24">
        <v>0</v>
      </c>
      <c r="AC346" s="24">
        <v>0</v>
      </c>
      <c r="AE346" s="24">
        <f t="shared" si="10"/>
        <v>0</v>
      </c>
      <c r="AF346" s="24"/>
      <c r="AM346" s="24">
        <f>+'Gov Rev'!AI344-'Gov Exp'!AE346+'Gov Exp'!AI346-'Gov Exp'!AK346</f>
        <v>0</v>
      </c>
    </row>
    <row r="347" spans="1:39" s="31" customFormat="1" ht="12.6" hidden="1" customHeight="1">
      <c r="A347" s="15" t="s">
        <v>322</v>
      </c>
      <c r="B347" s="15"/>
      <c r="C347" s="15" t="s">
        <v>316</v>
      </c>
      <c r="D347" s="15"/>
      <c r="E347" s="24">
        <v>0</v>
      </c>
      <c r="F347" s="24"/>
      <c r="G347" s="24">
        <v>0</v>
      </c>
      <c r="H347" s="24"/>
      <c r="I347" s="24">
        <v>0</v>
      </c>
      <c r="J347" s="24"/>
      <c r="K347" s="24">
        <v>0</v>
      </c>
      <c r="L347" s="24"/>
      <c r="M347" s="24">
        <v>0</v>
      </c>
      <c r="N347" s="24"/>
      <c r="O347" s="24">
        <v>0</v>
      </c>
      <c r="P347" s="24"/>
      <c r="Q347" s="24">
        <v>0</v>
      </c>
      <c r="R347" s="24"/>
      <c r="S347" s="24">
        <v>0</v>
      </c>
      <c r="T347" s="24"/>
      <c r="U347" s="24">
        <v>0</v>
      </c>
      <c r="V347" s="24"/>
      <c r="W347" s="24">
        <v>0</v>
      </c>
      <c r="X347" s="24"/>
      <c r="Y347" s="24">
        <v>0</v>
      </c>
      <c r="Z347" s="24"/>
      <c r="AA347" s="24">
        <v>0</v>
      </c>
      <c r="AB347" s="24"/>
      <c r="AC347" s="24">
        <v>0</v>
      </c>
      <c r="AD347" s="24"/>
      <c r="AE347" s="24">
        <f t="shared" si="10"/>
        <v>0</v>
      </c>
      <c r="AF347" s="24"/>
      <c r="AG347" s="65"/>
      <c r="AH347" s="65"/>
      <c r="AI347" s="65"/>
      <c r="AJ347" s="65"/>
      <c r="AK347" s="65"/>
      <c r="AM347" s="24">
        <f>+'Gov Rev'!AI345-'Gov Exp'!AE347+'Gov Exp'!AI347-'Gov Exp'!AK347</f>
        <v>0</v>
      </c>
    </row>
    <row r="348" spans="1:39">
      <c r="A348" s="15" t="s">
        <v>302</v>
      </c>
      <c r="C348" s="15" t="s">
        <v>82</v>
      </c>
      <c r="E348" s="24">
        <f>45408+204588</f>
        <v>249996</v>
      </c>
      <c r="G348" s="24">
        <v>530</v>
      </c>
      <c r="I348" s="24">
        <v>19734</v>
      </c>
      <c r="K348" s="24">
        <v>0</v>
      </c>
      <c r="M348" s="24">
        <v>0</v>
      </c>
      <c r="O348" s="24">
        <v>136102</v>
      </c>
      <c r="Q348" s="24">
        <f>218519+11379</f>
        <v>229898</v>
      </c>
      <c r="S348" s="24">
        <f>15264+9773</f>
        <v>25037</v>
      </c>
      <c r="U348" s="24">
        <f>4304+1177</f>
        <v>5481</v>
      </c>
      <c r="W348" s="24">
        <v>0</v>
      </c>
      <c r="Y348" s="24">
        <v>0</v>
      </c>
      <c r="AA348" s="24">
        <v>0</v>
      </c>
      <c r="AC348" s="24">
        <v>0</v>
      </c>
      <c r="AD348" s="38"/>
      <c r="AE348" s="24">
        <f t="shared" si="10"/>
        <v>666778</v>
      </c>
      <c r="AF348" s="24"/>
      <c r="AG348" s="64">
        <f>-40257+26583</f>
        <v>-13674</v>
      </c>
      <c r="AI348" s="64">
        <f>118161+173126</f>
        <v>291287</v>
      </c>
      <c r="AK348" s="64">
        <f>77904+199709</f>
        <v>277613</v>
      </c>
      <c r="AM348" s="24">
        <f>+'Gov Rev'!AI346-'Gov Exp'!AE348+'Gov Exp'!AI348-'Gov Exp'!AK348</f>
        <v>0</v>
      </c>
    </row>
    <row r="349" spans="1:39" ht="12.75" hidden="1">
      <c r="A349" s="15" t="s">
        <v>108</v>
      </c>
      <c r="C349" s="15" t="s">
        <v>782</v>
      </c>
      <c r="D349" s="28"/>
      <c r="E349" s="24">
        <v>0</v>
      </c>
      <c r="G349" s="24">
        <v>0</v>
      </c>
      <c r="I349" s="24">
        <v>0</v>
      </c>
      <c r="K349" s="24">
        <v>0</v>
      </c>
      <c r="M349" s="24">
        <v>0</v>
      </c>
      <c r="O349" s="24">
        <v>0</v>
      </c>
      <c r="Q349" s="24">
        <v>0</v>
      </c>
      <c r="S349" s="24">
        <v>0</v>
      </c>
      <c r="U349" s="24">
        <v>0</v>
      </c>
      <c r="W349" s="24">
        <v>0</v>
      </c>
      <c r="Y349" s="24">
        <v>0</v>
      </c>
      <c r="AA349" s="24">
        <v>0</v>
      </c>
      <c r="AC349" s="24">
        <v>0</v>
      </c>
      <c r="AE349" s="24">
        <f t="shared" si="10"/>
        <v>0</v>
      </c>
      <c r="AF349" s="24"/>
      <c r="AM349" s="24">
        <f>+'Gov Rev'!AI347-'Gov Exp'!AE349+'Gov Exp'!AI349-'Gov Exp'!AK349</f>
        <v>0</v>
      </c>
    </row>
    <row r="350" spans="1:39" s="31" customFormat="1">
      <c r="A350" s="15" t="s">
        <v>389</v>
      </c>
      <c r="B350" s="15"/>
      <c r="C350" s="15" t="s">
        <v>388</v>
      </c>
      <c r="D350" s="15"/>
      <c r="E350" s="24">
        <v>289833</v>
      </c>
      <c r="F350" s="24"/>
      <c r="G350" s="24">
        <v>25486</v>
      </c>
      <c r="H350" s="24"/>
      <c r="I350" s="24">
        <v>701217</v>
      </c>
      <c r="J350" s="24"/>
      <c r="K350" s="24">
        <v>22386</v>
      </c>
      <c r="L350" s="24"/>
      <c r="M350" s="24">
        <f>2054+20979</f>
        <v>23033</v>
      </c>
      <c r="N350" s="24"/>
      <c r="O350" s="24">
        <f>212627+24759</f>
        <v>237386</v>
      </c>
      <c r="P350" s="24"/>
      <c r="Q350" s="24">
        <f>236330+1000</f>
        <v>237330</v>
      </c>
      <c r="R350" s="24"/>
      <c r="S350" s="24">
        <f>101109+26779-1</f>
        <v>127887</v>
      </c>
      <c r="T350" s="24"/>
      <c r="U350" s="24">
        <v>69272</v>
      </c>
      <c r="V350" s="24"/>
      <c r="W350" s="24">
        <v>9637</v>
      </c>
      <c r="X350" s="24"/>
      <c r="Y350" s="24">
        <v>20104</v>
      </c>
      <c r="Z350" s="24"/>
      <c r="AA350" s="24">
        <v>0</v>
      </c>
      <c r="AB350" s="24"/>
      <c r="AC350" s="24">
        <v>0</v>
      </c>
      <c r="AD350" s="24"/>
      <c r="AE350" s="24">
        <f t="shared" si="10"/>
        <v>1763571</v>
      </c>
      <c r="AF350" s="24"/>
      <c r="AG350" s="65">
        <f>-37454-6670+1162+181548-1000</f>
        <v>137586</v>
      </c>
      <c r="AH350" s="65"/>
      <c r="AI350" s="65">
        <f>881997+698994+11290+249466+2000</f>
        <v>1843747</v>
      </c>
      <c r="AJ350" s="65"/>
      <c r="AK350" s="65">
        <f>844543+692324+12452+431014+1000</f>
        <v>1981333</v>
      </c>
      <c r="AM350" s="24">
        <f>+'Gov Rev'!AI348-'Gov Exp'!AE350+'Gov Exp'!AI350-'Gov Exp'!AK350</f>
        <v>0</v>
      </c>
    </row>
    <row r="351" spans="1:39" ht="12.75" hidden="1">
      <c r="A351" s="15" t="s">
        <v>168</v>
      </c>
      <c r="C351" s="15" t="s">
        <v>803</v>
      </c>
      <c r="D351" s="28"/>
      <c r="E351" s="24">
        <v>0</v>
      </c>
      <c r="G351" s="24">
        <v>0</v>
      </c>
      <c r="I351" s="24">
        <v>0</v>
      </c>
      <c r="K351" s="24">
        <v>0</v>
      </c>
      <c r="M351" s="24">
        <v>0</v>
      </c>
      <c r="O351" s="24">
        <v>0</v>
      </c>
      <c r="Q351" s="24">
        <v>0</v>
      </c>
      <c r="S351" s="24">
        <v>0</v>
      </c>
      <c r="U351" s="24">
        <v>0</v>
      </c>
      <c r="W351" s="24">
        <v>0</v>
      </c>
      <c r="Y351" s="24">
        <v>0</v>
      </c>
      <c r="AA351" s="24">
        <v>0</v>
      </c>
      <c r="AC351" s="24">
        <v>0</v>
      </c>
      <c r="AE351" s="24">
        <f t="shared" si="10"/>
        <v>0</v>
      </c>
      <c r="AF351" s="24"/>
      <c r="AM351" s="24">
        <f>+'Gov Rev'!AI349-'Gov Exp'!AE351+'Gov Exp'!AI351-'Gov Exp'!AK351</f>
        <v>0</v>
      </c>
    </row>
    <row r="352" spans="1:39">
      <c r="A352" s="15" t="s">
        <v>563</v>
      </c>
      <c r="C352" s="15" t="s">
        <v>562</v>
      </c>
      <c r="E352" s="24">
        <f>391721+103602</f>
        <v>495323</v>
      </c>
      <c r="G352" s="24">
        <v>2930</v>
      </c>
      <c r="I352" s="24">
        <v>20727</v>
      </c>
      <c r="K352" s="24">
        <v>3462</v>
      </c>
      <c r="M352" s="24">
        <v>119985</v>
      </c>
      <c r="O352" s="24">
        <f>1025+219039</f>
        <v>220064</v>
      </c>
      <c r="Q352" s="24">
        <f>507512+7943</f>
        <v>515455</v>
      </c>
      <c r="S352" s="24">
        <v>144689</v>
      </c>
      <c r="U352" s="24">
        <v>94122</v>
      </c>
      <c r="W352" s="24">
        <v>0</v>
      </c>
      <c r="Y352" s="24">
        <v>800000</v>
      </c>
      <c r="AA352" s="24">
        <v>0</v>
      </c>
      <c r="AC352" s="24">
        <v>0</v>
      </c>
      <c r="AE352" s="24">
        <f t="shared" si="10"/>
        <v>2416757</v>
      </c>
      <c r="AF352" s="24"/>
      <c r="AG352" s="64">
        <f>-33179+161465-19122+61685</f>
        <v>170849</v>
      </c>
      <c r="AI352" s="64">
        <f>108464+1166076+47312+23520</f>
        <v>1345372</v>
      </c>
      <c r="AK352" s="64">
        <f>75285+1327540+28190+85206</f>
        <v>1516221</v>
      </c>
      <c r="AM352" s="24">
        <f>+'Gov Rev'!AI350-'Gov Exp'!AE352+'Gov Exp'!AI352-'Gov Exp'!AK352</f>
        <v>0</v>
      </c>
    </row>
    <row r="353" spans="1:39">
      <c r="A353" s="15" t="s">
        <v>399</v>
      </c>
      <c r="C353" s="15" t="s">
        <v>396</v>
      </c>
      <c r="E353" s="24">
        <v>1</v>
      </c>
      <c r="G353" s="24">
        <v>1504</v>
      </c>
      <c r="I353" s="24">
        <v>440</v>
      </c>
      <c r="K353" s="24">
        <v>0</v>
      </c>
      <c r="M353" s="24">
        <f>2918+7948</f>
        <v>10866</v>
      </c>
      <c r="O353" s="24">
        <f>10971+14965</f>
        <v>25936</v>
      </c>
      <c r="Q353" s="24">
        <f>81419+1122</f>
        <v>82541</v>
      </c>
      <c r="S353" s="24">
        <v>4324</v>
      </c>
      <c r="U353" s="24">
        <v>0</v>
      </c>
      <c r="W353" s="24">
        <v>0</v>
      </c>
      <c r="Y353" s="24">
        <v>0</v>
      </c>
      <c r="AA353" s="24">
        <v>0</v>
      </c>
      <c r="AC353" s="24">
        <v>0</v>
      </c>
      <c r="AE353" s="24">
        <f t="shared" si="10"/>
        <v>125612</v>
      </c>
      <c r="AF353" s="24"/>
      <c r="AG353" s="64">
        <f>-5269+5208</f>
        <v>-61</v>
      </c>
      <c r="AI353" s="64">
        <f>76381+129242</f>
        <v>205623</v>
      </c>
      <c r="AK353" s="64">
        <f>71113+134450</f>
        <v>205563</v>
      </c>
      <c r="AM353" s="24">
        <f>+'Gov Rev'!AI351-'Gov Exp'!AE353+'Gov Exp'!AI353-'Gov Exp'!AK353</f>
        <v>0</v>
      </c>
    </row>
    <row r="354" spans="1:39" ht="12.6" hidden="1" customHeight="1">
      <c r="A354" s="15" t="s">
        <v>286</v>
      </c>
      <c r="C354" s="15" t="s">
        <v>287</v>
      </c>
      <c r="E354" s="24">
        <v>0</v>
      </c>
      <c r="G354" s="24">
        <v>0</v>
      </c>
      <c r="I354" s="24">
        <v>0</v>
      </c>
      <c r="K354" s="24">
        <v>0</v>
      </c>
      <c r="M354" s="24">
        <v>0</v>
      </c>
      <c r="O354" s="24">
        <v>0</v>
      </c>
      <c r="Q354" s="24">
        <v>0</v>
      </c>
      <c r="S354" s="24">
        <v>0</v>
      </c>
      <c r="U354" s="24">
        <v>0</v>
      </c>
      <c r="W354" s="24">
        <v>0</v>
      </c>
      <c r="Y354" s="24">
        <v>0</v>
      </c>
      <c r="AA354" s="24">
        <v>0</v>
      </c>
      <c r="AC354" s="24">
        <v>0</v>
      </c>
      <c r="AE354" s="24">
        <f t="shared" si="10"/>
        <v>0</v>
      </c>
      <c r="AF354" s="24"/>
      <c r="AM354" s="24">
        <f>+'Gov Rev'!AI352-'Gov Exp'!AE354+'Gov Exp'!AI354-'Gov Exp'!AK354</f>
        <v>0</v>
      </c>
    </row>
    <row r="355" spans="1:39" ht="12.75" hidden="1">
      <c r="A355" s="15" t="s">
        <v>185</v>
      </c>
      <c r="C355" s="15" t="s">
        <v>808</v>
      </c>
      <c r="D355" s="28"/>
      <c r="E355" s="24">
        <v>0</v>
      </c>
      <c r="G355" s="24">
        <v>0</v>
      </c>
      <c r="I355" s="24">
        <v>0</v>
      </c>
      <c r="K355" s="24">
        <v>0</v>
      </c>
      <c r="M355" s="24">
        <v>0</v>
      </c>
      <c r="O355" s="24">
        <v>0</v>
      </c>
      <c r="Q355" s="24">
        <v>0</v>
      </c>
      <c r="S355" s="24">
        <v>0</v>
      </c>
      <c r="U355" s="24">
        <v>0</v>
      </c>
      <c r="W355" s="24">
        <v>0</v>
      </c>
      <c r="Y355" s="24">
        <v>0</v>
      </c>
      <c r="AA355" s="24">
        <v>0</v>
      </c>
      <c r="AC355" s="24">
        <v>0</v>
      </c>
      <c r="AE355" s="24">
        <f t="shared" si="10"/>
        <v>0</v>
      </c>
      <c r="AF355" s="24"/>
      <c r="AM355" s="24">
        <f>+'Gov Rev'!AI353-'Gov Exp'!AE355+'Gov Exp'!AI355-'Gov Exp'!AK355</f>
        <v>0</v>
      </c>
    </row>
    <row r="356" spans="1:39" ht="12.75" hidden="1">
      <c r="A356" s="15" t="s">
        <v>852</v>
      </c>
      <c r="C356" s="15" t="s">
        <v>799</v>
      </c>
      <c r="D356" s="28"/>
      <c r="E356" s="24">
        <v>0</v>
      </c>
      <c r="G356" s="24">
        <v>0</v>
      </c>
      <c r="I356" s="24">
        <v>0</v>
      </c>
      <c r="K356" s="24">
        <v>0</v>
      </c>
      <c r="M356" s="24">
        <v>0</v>
      </c>
      <c r="O356" s="24">
        <v>0</v>
      </c>
      <c r="Q356" s="24">
        <v>0</v>
      </c>
      <c r="S356" s="24">
        <v>0</v>
      </c>
      <c r="U356" s="24">
        <v>0</v>
      </c>
      <c r="W356" s="24">
        <v>0</v>
      </c>
      <c r="Y356" s="24">
        <v>0</v>
      </c>
      <c r="AA356" s="24">
        <v>0</v>
      </c>
      <c r="AC356" s="24">
        <v>0</v>
      </c>
      <c r="AE356" s="24">
        <f t="shared" si="10"/>
        <v>0</v>
      </c>
      <c r="AF356" s="24"/>
      <c r="AM356" s="24">
        <f>+'Gov Rev'!AI354-'Gov Exp'!AE356+'Gov Exp'!AI356-'Gov Exp'!AK356</f>
        <v>0</v>
      </c>
    </row>
    <row r="357" spans="1:39" s="31" customFormat="1">
      <c r="A357" s="15" t="s">
        <v>361</v>
      </c>
      <c r="B357" s="15"/>
      <c r="C357" s="15" t="s">
        <v>358</v>
      </c>
      <c r="D357" s="15"/>
      <c r="E357" s="24">
        <v>14160</v>
      </c>
      <c r="F357" s="24"/>
      <c r="G357" s="24">
        <v>0</v>
      </c>
      <c r="H357" s="24"/>
      <c r="I357" s="24">
        <v>22751</v>
      </c>
      <c r="J357" s="24"/>
      <c r="K357" s="24">
        <v>12599</v>
      </c>
      <c r="L357" s="24"/>
      <c r="M357" s="24">
        <v>0</v>
      </c>
      <c r="N357" s="24"/>
      <c r="O357" s="24">
        <v>16487</v>
      </c>
      <c r="P357" s="24"/>
      <c r="Q357" s="24">
        <v>179930</v>
      </c>
      <c r="R357" s="24"/>
      <c r="S357" s="24">
        <f>160595+112049+3643</f>
        <v>276287</v>
      </c>
      <c r="T357" s="24"/>
      <c r="U357" s="24">
        <v>0</v>
      </c>
      <c r="V357" s="24"/>
      <c r="W357" s="24">
        <v>4020</v>
      </c>
      <c r="X357" s="24"/>
      <c r="Y357" s="24">
        <v>83643</v>
      </c>
      <c r="Z357" s="24"/>
      <c r="AA357" s="24">
        <v>0</v>
      </c>
      <c r="AB357" s="24"/>
      <c r="AC357" s="24">
        <v>0</v>
      </c>
      <c r="AD357" s="24"/>
      <c r="AE357" s="24">
        <f t="shared" si="10"/>
        <v>609877</v>
      </c>
      <c r="AF357" s="24"/>
      <c r="AG357" s="65">
        <f>-136762-26343+3200</f>
        <v>-159905</v>
      </c>
      <c r="AH357" s="65"/>
      <c r="AI357" s="65">
        <f>442335+115096</f>
        <v>557431</v>
      </c>
      <c r="AJ357" s="65"/>
      <c r="AK357" s="65">
        <f>305573+61953</f>
        <v>367526</v>
      </c>
      <c r="AM357" s="24">
        <f>+'Gov Rev'!AI355-'Gov Exp'!AE357+'Gov Exp'!AI357-'Gov Exp'!AK357</f>
        <v>0</v>
      </c>
    </row>
    <row r="358" spans="1:39" ht="12.75" hidden="1">
      <c r="A358" s="15" t="s">
        <v>227</v>
      </c>
      <c r="C358" s="15" t="s">
        <v>820</v>
      </c>
      <c r="D358" s="28"/>
      <c r="E358" s="24">
        <v>0</v>
      </c>
      <c r="G358" s="24">
        <v>0</v>
      </c>
      <c r="I358" s="24">
        <v>0</v>
      </c>
      <c r="K358" s="24">
        <v>0</v>
      </c>
      <c r="M358" s="24">
        <v>0</v>
      </c>
      <c r="O358" s="24">
        <v>0</v>
      </c>
      <c r="Q358" s="24">
        <v>0</v>
      </c>
      <c r="S358" s="24">
        <v>0</v>
      </c>
      <c r="U358" s="24">
        <v>0</v>
      </c>
      <c r="W358" s="24">
        <v>0</v>
      </c>
      <c r="Y358" s="24">
        <v>0</v>
      </c>
      <c r="AA358" s="24">
        <v>0</v>
      </c>
      <c r="AC358" s="24">
        <v>0</v>
      </c>
      <c r="AE358" s="24">
        <f t="shared" si="10"/>
        <v>0</v>
      </c>
      <c r="AF358" s="24"/>
      <c r="AM358" s="24">
        <f>+'Gov Rev'!AI356-'Gov Exp'!AE358+'Gov Exp'!AI358-'Gov Exp'!AK358</f>
        <v>0</v>
      </c>
    </row>
    <row r="359" spans="1:39" hidden="1">
      <c r="A359" s="15" t="s">
        <v>367</v>
      </c>
      <c r="C359" s="15" t="s">
        <v>368</v>
      </c>
      <c r="E359" s="24">
        <v>0</v>
      </c>
      <c r="G359" s="24">
        <v>0</v>
      </c>
      <c r="I359" s="24">
        <v>0</v>
      </c>
      <c r="K359" s="24">
        <v>0</v>
      </c>
      <c r="M359" s="24">
        <v>0</v>
      </c>
      <c r="O359" s="24">
        <v>0</v>
      </c>
      <c r="Q359" s="24">
        <v>0</v>
      </c>
      <c r="S359" s="24">
        <v>0</v>
      </c>
      <c r="U359" s="24">
        <v>0</v>
      </c>
      <c r="W359" s="24">
        <v>0</v>
      </c>
      <c r="Y359" s="24">
        <v>0</v>
      </c>
      <c r="AA359" s="24">
        <v>0</v>
      </c>
      <c r="AC359" s="24">
        <v>0</v>
      </c>
      <c r="AE359" s="24">
        <f t="shared" si="10"/>
        <v>0</v>
      </c>
      <c r="AF359" s="24"/>
      <c r="AM359" s="24">
        <f>+'Gov Rev'!AI357-'Gov Exp'!AE359+'Gov Exp'!AI359-'Gov Exp'!AK359</f>
        <v>0</v>
      </c>
    </row>
    <row r="360" spans="1:39" hidden="1">
      <c r="A360" s="15" t="s">
        <v>156</v>
      </c>
      <c r="C360" s="15" t="s">
        <v>467</v>
      </c>
      <c r="E360" s="24">
        <v>0</v>
      </c>
      <c r="G360" s="24">
        <v>0</v>
      </c>
      <c r="I360" s="24">
        <v>0</v>
      </c>
      <c r="K360" s="24">
        <v>0</v>
      </c>
      <c r="M360" s="24">
        <v>0</v>
      </c>
      <c r="O360" s="24">
        <v>0</v>
      </c>
      <c r="Q360" s="24">
        <v>0</v>
      </c>
      <c r="S360" s="24">
        <v>0</v>
      </c>
      <c r="U360" s="24">
        <v>0</v>
      </c>
      <c r="W360" s="24">
        <v>0</v>
      </c>
      <c r="Y360" s="24">
        <v>0</v>
      </c>
      <c r="AA360" s="24">
        <v>0</v>
      </c>
      <c r="AC360" s="24">
        <v>0</v>
      </c>
      <c r="AE360" s="24">
        <f t="shared" si="10"/>
        <v>0</v>
      </c>
      <c r="AF360" s="24"/>
      <c r="AM360" s="24">
        <f>+'Gov Rev'!AI358-'Gov Exp'!AE360+'Gov Exp'!AI360-'Gov Exp'!AK360</f>
        <v>0</v>
      </c>
    </row>
    <row r="361" spans="1:39" ht="12.75">
      <c r="A361" s="15" t="s">
        <v>915</v>
      </c>
      <c r="C361" s="15" t="s">
        <v>299</v>
      </c>
      <c r="D361" s="28"/>
      <c r="E361" s="24">
        <v>1000</v>
      </c>
      <c r="G361" s="24">
        <v>0</v>
      </c>
      <c r="I361" s="24">
        <v>0</v>
      </c>
      <c r="K361" s="24">
        <v>0</v>
      </c>
      <c r="M361" s="24">
        <v>2289</v>
      </c>
      <c r="O361" s="24">
        <v>9139</v>
      </c>
      <c r="Q361" s="24">
        <f>19438+5326</f>
        <v>24764</v>
      </c>
      <c r="S361" s="24">
        <v>0</v>
      </c>
      <c r="U361" s="24">
        <v>0</v>
      </c>
      <c r="W361" s="24">
        <v>0</v>
      </c>
      <c r="Y361" s="24">
        <v>0</v>
      </c>
      <c r="AA361" s="24">
        <v>0</v>
      </c>
      <c r="AC361" s="24">
        <v>0</v>
      </c>
      <c r="AE361" s="24">
        <f t="shared" si="10"/>
        <v>37192</v>
      </c>
      <c r="AF361" s="24"/>
      <c r="AG361" s="64">
        <f>9791+1912</f>
        <v>11703</v>
      </c>
      <c r="AI361" s="64">
        <f>610+32927</f>
        <v>33537</v>
      </c>
      <c r="AK361" s="64">
        <f>10401+34839</f>
        <v>45240</v>
      </c>
      <c r="AM361" s="24">
        <f>+'Gov Rev'!AI359-'Gov Exp'!AE361+'Gov Exp'!AI361-'Gov Exp'!AK361</f>
        <v>0</v>
      </c>
    </row>
    <row r="362" spans="1:39" ht="12.75" hidden="1">
      <c r="A362" s="15" t="s">
        <v>233</v>
      </c>
      <c r="C362" s="15" t="s">
        <v>823</v>
      </c>
      <c r="D362" s="28"/>
      <c r="E362" s="24">
        <v>0</v>
      </c>
      <c r="G362" s="24">
        <v>0</v>
      </c>
      <c r="I362" s="24">
        <v>0</v>
      </c>
      <c r="K362" s="24">
        <v>0</v>
      </c>
      <c r="M362" s="24">
        <v>0</v>
      </c>
      <c r="O362" s="24">
        <v>0</v>
      </c>
      <c r="Q362" s="24">
        <v>0</v>
      </c>
      <c r="S362" s="24">
        <v>0</v>
      </c>
      <c r="U362" s="24">
        <v>0</v>
      </c>
      <c r="W362" s="24">
        <v>0</v>
      </c>
      <c r="Y362" s="24">
        <v>0</v>
      </c>
      <c r="AA362" s="24">
        <v>0</v>
      </c>
      <c r="AC362" s="24">
        <v>0</v>
      </c>
      <c r="AE362" s="24">
        <f t="shared" si="10"/>
        <v>0</v>
      </c>
      <c r="AF362" s="24"/>
      <c r="AM362" s="24">
        <f>+'Gov Rev'!AI360-'Gov Exp'!AE362+'Gov Exp'!AI362-'Gov Exp'!AK362</f>
        <v>0</v>
      </c>
    </row>
    <row r="363" spans="1:39" s="31" customFormat="1">
      <c r="A363" s="15" t="s">
        <v>460</v>
      </c>
      <c r="B363" s="15"/>
      <c r="C363" s="15" t="s">
        <v>432</v>
      </c>
      <c r="D363" s="15"/>
      <c r="E363" s="24">
        <v>0</v>
      </c>
      <c r="F363" s="24"/>
      <c r="G363" s="24">
        <v>0</v>
      </c>
      <c r="H363" s="24"/>
      <c r="I363" s="24">
        <v>31570</v>
      </c>
      <c r="J363" s="24"/>
      <c r="K363" s="24">
        <v>0</v>
      </c>
      <c r="L363" s="24"/>
      <c r="M363" s="24">
        <v>4807</v>
      </c>
      <c r="N363" s="24"/>
      <c r="O363" s="24">
        <f>15719+8546</f>
        <v>24265</v>
      </c>
      <c r="P363" s="24"/>
      <c r="Q363" s="24">
        <v>20281</v>
      </c>
      <c r="R363" s="24"/>
      <c r="S363" s="24">
        <v>0</v>
      </c>
      <c r="T363" s="24"/>
      <c r="U363" s="24">
        <v>0</v>
      </c>
      <c r="V363" s="24"/>
      <c r="W363" s="24">
        <v>0</v>
      </c>
      <c r="X363" s="24"/>
      <c r="Y363" s="24">
        <v>0</v>
      </c>
      <c r="Z363" s="24"/>
      <c r="AA363" s="24">
        <v>0</v>
      </c>
      <c r="AB363" s="24"/>
      <c r="AC363" s="24">
        <v>0</v>
      </c>
      <c r="AD363" s="38"/>
      <c r="AE363" s="24">
        <f t="shared" si="10"/>
        <v>80923</v>
      </c>
      <c r="AF363" s="24"/>
      <c r="AG363" s="65">
        <f>-28917+1601</f>
        <v>-27316</v>
      </c>
      <c r="AH363" s="65"/>
      <c r="AI363" s="65">
        <f>44248+27788</f>
        <v>72036</v>
      </c>
      <c r="AJ363" s="65"/>
      <c r="AK363" s="65">
        <f>15331+29390</f>
        <v>44721</v>
      </c>
      <c r="AM363" s="24">
        <f>+'Gov Rev'!AI361-'Gov Exp'!AE363+'Gov Exp'!AI363-'Gov Exp'!AK363</f>
        <v>0</v>
      </c>
    </row>
    <row r="364" spans="1:39" ht="12.75" hidden="1">
      <c r="A364" s="15" t="s">
        <v>8</v>
      </c>
      <c r="C364" s="15" t="s">
        <v>672</v>
      </c>
      <c r="D364" s="28"/>
      <c r="E364" s="24">
        <v>0</v>
      </c>
      <c r="G364" s="24">
        <v>0</v>
      </c>
      <c r="I364" s="24">
        <v>0</v>
      </c>
      <c r="K364" s="24">
        <v>0</v>
      </c>
      <c r="M364" s="24">
        <v>0</v>
      </c>
      <c r="O364" s="24">
        <v>0</v>
      </c>
      <c r="Q364" s="24">
        <v>0</v>
      </c>
      <c r="S364" s="24">
        <v>0</v>
      </c>
      <c r="U364" s="24">
        <v>0</v>
      </c>
      <c r="W364" s="24">
        <v>0</v>
      </c>
      <c r="Y364" s="24">
        <v>0</v>
      </c>
      <c r="AA364" s="24">
        <v>0</v>
      </c>
      <c r="AC364" s="24">
        <v>0</v>
      </c>
      <c r="AE364" s="24">
        <f t="shared" si="10"/>
        <v>0</v>
      </c>
      <c r="AF364" s="24"/>
      <c r="AM364" s="24">
        <f>+'Gov Rev'!AI362-'Gov Exp'!AE364+'Gov Exp'!AI364-'Gov Exp'!AK364</f>
        <v>0</v>
      </c>
    </row>
    <row r="365" spans="1:39" s="31" customFormat="1" ht="12.6" customHeight="1">
      <c r="A365" s="15" t="s">
        <v>347</v>
      </c>
      <c r="B365" s="15"/>
      <c r="C365" s="15" t="s">
        <v>348</v>
      </c>
      <c r="D365" s="15"/>
      <c r="E365" s="24">
        <f>392318+29370</f>
        <v>421688</v>
      </c>
      <c r="F365" s="24"/>
      <c r="G365" s="24">
        <v>0</v>
      </c>
      <c r="H365" s="24"/>
      <c r="I365" s="24">
        <v>0</v>
      </c>
      <c r="J365" s="24"/>
      <c r="K365" s="24">
        <v>0</v>
      </c>
      <c r="L365" s="24"/>
      <c r="M365" s="24">
        <v>0</v>
      </c>
      <c r="N365" s="24"/>
      <c r="O365" s="24">
        <f>95698+127124</f>
        <v>222822</v>
      </c>
      <c r="P365" s="24"/>
      <c r="Q365" s="24">
        <f>230891+10470</f>
        <v>241361</v>
      </c>
      <c r="R365" s="24"/>
      <c r="S365" s="24">
        <v>5700</v>
      </c>
      <c r="T365" s="24"/>
      <c r="U365" s="24">
        <v>6360</v>
      </c>
      <c r="V365" s="24"/>
      <c r="W365" s="24">
        <v>0</v>
      </c>
      <c r="X365" s="24"/>
      <c r="Y365" s="24">
        <v>0</v>
      </c>
      <c r="Z365" s="24"/>
      <c r="AA365" s="24">
        <v>0</v>
      </c>
      <c r="AB365" s="24"/>
      <c r="AC365" s="24">
        <v>86495</v>
      </c>
      <c r="AD365" s="24"/>
      <c r="AE365" s="24">
        <f t="shared" si="10"/>
        <v>984426</v>
      </c>
      <c r="AF365" s="24"/>
      <c r="AG365" s="65">
        <f>-118602+40503-45728+23039</f>
        <v>-100788</v>
      </c>
      <c r="AH365" s="65"/>
      <c r="AI365" s="65">
        <f>402608+240770+236493+182912</f>
        <v>1062783</v>
      </c>
      <c r="AJ365" s="65"/>
      <c r="AK365" s="65">
        <f>284006+281272+190765+205952</f>
        <v>961995</v>
      </c>
      <c r="AM365" s="24">
        <f>+'Gov Rev'!AI363-'Gov Exp'!AE365+'Gov Exp'!AI365-'Gov Exp'!AK365</f>
        <v>0</v>
      </c>
    </row>
    <row r="366" spans="1:39" ht="12.75" hidden="1">
      <c r="A366" s="15" t="s">
        <v>237</v>
      </c>
      <c r="C366" s="15" t="s">
        <v>824</v>
      </c>
      <c r="D366" s="28"/>
      <c r="E366" s="24">
        <v>0</v>
      </c>
      <c r="G366" s="24">
        <v>0</v>
      </c>
      <c r="I366" s="24">
        <v>0</v>
      </c>
      <c r="K366" s="24">
        <v>0</v>
      </c>
      <c r="M366" s="24">
        <v>0</v>
      </c>
      <c r="O366" s="24">
        <v>0</v>
      </c>
      <c r="Q366" s="24">
        <v>0</v>
      </c>
      <c r="S366" s="24">
        <v>0</v>
      </c>
      <c r="U366" s="24">
        <v>0</v>
      </c>
      <c r="W366" s="24">
        <v>0</v>
      </c>
      <c r="Y366" s="24">
        <v>0</v>
      </c>
      <c r="AA366" s="24">
        <v>0</v>
      </c>
      <c r="AC366" s="24">
        <v>0</v>
      </c>
      <c r="AE366" s="24">
        <f t="shared" si="10"/>
        <v>0</v>
      </c>
      <c r="AF366" s="24"/>
      <c r="AM366" s="24">
        <f>+'Gov Rev'!AI364-'Gov Exp'!AE366+'Gov Exp'!AI366-'Gov Exp'!AK366</f>
        <v>0</v>
      </c>
    </row>
    <row r="367" spans="1:39" ht="12.75" hidden="1">
      <c r="A367" s="15" t="s">
        <v>258</v>
      </c>
      <c r="C367" s="15" t="s">
        <v>830</v>
      </c>
      <c r="D367" s="28"/>
      <c r="E367" s="24">
        <v>0</v>
      </c>
      <c r="G367" s="24">
        <v>0</v>
      </c>
      <c r="I367" s="24">
        <v>0</v>
      </c>
      <c r="K367" s="24">
        <v>0</v>
      </c>
      <c r="M367" s="24">
        <v>0</v>
      </c>
      <c r="O367" s="24">
        <v>0</v>
      </c>
      <c r="Q367" s="24">
        <v>0</v>
      </c>
      <c r="S367" s="24">
        <v>0</v>
      </c>
      <c r="U367" s="24">
        <v>0</v>
      </c>
      <c r="W367" s="24">
        <v>0</v>
      </c>
      <c r="Y367" s="24">
        <v>0</v>
      </c>
      <c r="AA367" s="24">
        <v>0</v>
      </c>
      <c r="AC367" s="24">
        <v>0</v>
      </c>
      <c r="AE367" s="24">
        <f t="shared" si="10"/>
        <v>0</v>
      </c>
      <c r="AF367" s="24"/>
      <c r="AM367" s="24">
        <f>+'Gov Rev'!AI365-'Gov Exp'!AE367+'Gov Exp'!AI367-'Gov Exp'!AK367</f>
        <v>0</v>
      </c>
    </row>
    <row r="368" spans="1:39" ht="12.75" hidden="1">
      <c r="A368" s="15" t="s">
        <v>70</v>
      </c>
      <c r="C368" s="15" t="s">
        <v>772</v>
      </c>
      <c r="D368" s="28"/>
      <c r="E368" s="24">
        <v>0</v>
      </c>
      <c r="G368" s="24">
        <v>0</v>
      </c>
      <c r="I368" s="24">
        <v>0</v>
      </c>
      <c r="K368" s="24">
        <v>0</v>
      </c>
      <c r="M368" s="24">
        <v>0</v>
      </c>
      <c r="O368" s="24">
        <v>0</v>
      </c>
      <c r="Q368" s="24">
        <v>0</v>
      </c>
      <c r="S368" s="24">
        <v>0</v>
      </c>
      <c r="U368" s="24">
        <v>0</v>
      </c>
      <c r="W368" s="24">
        <v>0</v>
      </c>
      <c r="Y368" s="24">
        <v>0</v>
      </c>
      <c r="AA368" s="24">
        <v>0</v>
      </c>
      <c r="AC368" s="24">
        <v>0</v>
      </c>
      <c r="AE368" s="24">
        <f t="shared" si="10"/>
        <v>0</v>
      </c>
      <c r="AF368" s="24"/>
      <c r="AM368" s="24">
        <f>+'Gov Rev'!AI366-'Gov Exp'!AE368+'Gov Exp'!AI368-'Gov Exp'!AK368</f>
        <v>0</v>
      </c>
    </row>
    <row r="369" spans="1:39" ht="12.75" hidden="1">
      <c r="A369" s="15" t="s">
        <v>206</v>
      </c>
      <c r="C369" s="15" t="s">
        <v>813</v>
      </c>
      <c r="D369" s="28"/>
      <c r="E369" s="24">
        <v>0</v>
      </c>
      <c r="G369" s="24">
        <v>0</v>
      </c>
      <c r="I369" s="24">
        <v>0</v>
      </c>
      <c r="K369" s="24">
        <v>0</v>
      </c>
      <c r="M369" s="24">
        <v>0</v>
      </c>
      <c r="O369" s="24">
        <v>0</v>
      </c>
      <c r="Q369" s="24">
        <v>0</v>
      </c>
      <c r="S369" s="24">
        <v>0</v>
      </c>
      <c r="U369" s="24">
        <v>0</v>
      </c>
      <c r="W369" s="24">
        <v>0</v>
      </c>
      <c r="Y369" s="24">
        <v>0</v>
      </c>
      <c r="AA369" s="24">
        <v>0</v>
      </c>
      <c r="AC369" s="24">
        <v>0</v>
      </c>
      <c r="AE369" s="24">
        <f t="shared" si="10"/>
        <v>0</v>
      </c>
      <c r="AF369" s="24"/>
      <c r="AM369" s="24">
        <f>+'Gov Rev'!AI367-'Gov Exp'!AE369+'Gov Exp'!AI369-'Gov Exp'!AK369</f>
        <v>0</v>
      </c>
    </row>
    <row r="370" spans="1:39" hidden="1">
      <c r="A370" s="15" t="s">
        <v>414</v>
      </c>
      <c r="C370" s="15" t="s">
        <v>412</v>
      </c>
      <c r="E370" s="24">
        <v>0</v>
      </c>
      <c r="G370" s="24">
        <v>0</v>
      </c>
      <c r="I370" s="24">
        <v>0</v>
      </c>
      <c r="K370" s="24">
        <v>0</v>
      </c>
      <c r="M370" s="24">
        <v>0</v>
      </c>
      <c r="O370" s="24">
        <v>0</v>
      </c>
      <c r="Q370" s="24">
        <v>0</v>
      </c>
      <c r="S370" s="24">
        <v>0</v>
      </c>
      <c r="U370" s="24">
        <v>0</v>
      </c>
      <c r="W370" s="24">
        <v>0</v>
      </c>
      <c r="Y370" s="24">
        <v>0</v>
      </c>
      <c r="AA370" s="24">
        <v>0</v>
      </c>
      <c r="AC370" s="24">
        <v>0</v>
      </c>
      <c r="AE370" s="24">
        <f t="shared" si="10"/>
        <v>0</v>
      </c>
      <c r="AF370" s="24"/>
      <c r="AM370" s="24">
        <f>+'Gov Rev'!AI368-'Gov Exp'!AE370+'Gov Exp'!AI370-'Gov Exp'!AK370</f>
        <v>0</v>
      </c>
    </row>
    <row r="371" spans="1:39" ht="12.75" hidden="1">
      <c r="A371" s="15" t="s">
        <v>63</v>
      </c>
      <c r="C371" s="15" t="s">
        <v>771</v>
      </c>
      <c r="D371" s="28"/>
      <c r="E371" s="24">
        <v>0</v>
      </c>
      <c r="G371" s="24">
        <v>0</v>
      </c>
      <c r="I371" s="24">
        <v>0</v>
      </c>
      <c r="K371" s="24">
        <v>0</v>
      </c>
      <c r="M371" s="24">
        <v>0</v>
      </c>
      <c r="O371" s="24">
        <v>0</v>
      </c>
      <c r="Q371" s="24">
        <v>0</v>
      </c>
      <c r="S371" s="24">
        <v>0</v>
      </c>
      <c r="U371" s="24">
        <v>0</v>
      </c>
      <c r="W371" s="24">
        <v>0</v>
      </c>
      <c r="Y371" s="24">
        <v>0</v>
      </c>
      <c r="AA371" s="24">
        <v>0</v>
      </c>
      <c r="AC371" s="24">
        <v>0</v>
      </c>
      <c r="AE371" s="24">
        <f t="shared" si="10"/>
        <v>0</v>
      </c>
      <c r="AF371" s="24"/>
      <c r="AM371" s="24">
        <f>+'Gov Rev'!AI369-'Gov Exp'!AE371+'Gov Exp'!AI371-'Gov Exp'!AK371</f>
        <v>0</v>
      </c>
    </row>
    <row r="372" spans="1:39" ht="12.75" hidden="1">
      <c r="A372" s="15" t="s">
        <v>26</v>
      </c>
      <c r="C372" s="15" t="s">
        <v>757</v>
      </c>
      <c r="D372" s="28"/>
      <c r="E372" s="24">
        <v>0</v>
      </c>
      <c r="G372" s="24">
        <v>0</v>
      </c>
      <c r="I372" s="24">
        <v>0</v>
      </c>
      <c r="K372" s="24">
        <v>0</v>
      </c>
      <c r="M372" s="24">
        <v>0</v>
      </c>
      <c r="O372" s="24">
        <v>0</v>
      </c>
      <c r="Q372" s="24">
        <v>0</v>
      </c>
      <c r="S372" s="24">
        <v>0</v>
      </c>
      <c r="U372" s="24">
        <v>0</v>
      </c>
      <c r="W372" s="24">
        <v>0</v>
      </c>
      <c r="Y372" s="24">
        <v>0</v>
      </c>
      <c r="AA372" s="24">
        <v>0</v>
      </c>
      <c r="AC372" s="24">
        <v>0</v>
      </c>
      <c r="AE372" s="24">
        <f t="shared" si="10"/>
        <v>0</v>
      </c>
      <c r="AF372" s="24"/>
      <c r="AM372" s="24">
        <f>+'Gov Rev'!AI370-'Gov Exp'!AE372+'Gov Exp'!AI372-'Gov Exp'!AK372</f>
        <v>0</v>
      </c>
    </row>
    <row r="373" spans="1:39">
      <c r="A373" s="15" t="s">
        <v>687</v>
      </c>
      <c r="C373" s="15" t="s">
        <v>606</v>
      </c>
      <c r="E373" s="24">
        <f>2999+3051</f>
        <v>6050</v>
      </c>
      <c r="G373" s="24">
        <v>1189</v>
      </c>
      <c r="I373" s="24">
        <v>0</v>
      </c>
      <c r="K373" s="24">
        <f>1743+8597</f>
        <v>10340</v>
      </c>
      <c r="M373" s="24">
        <v>3853</v>
      </c>
      <c r="O373" s="24">
        <v>7355</v>
      </c>
      <c r="Q373" s="24">
        <v>5606</v>
      </c>
      <c r="S373" s="24">
        <v>643282</v>
      </c>
      <c r="U373" s="24">
        <v>0</v>
      </c>
      <c r="W373" s="24">
        <v>0</v>
      </c>
      <c r="Y373" s="24">
        <v>7586</v>
      </c>
      <c r="AA373" s="24">
        <v>0</v>
      </c>
      <c r="AC373" s="24">
        <v>0</v>
      </c>
      <c r="AE373" s="24">
        <f t="shared" si="10"/>
        <v>685261</v>
      </c>
      <c r="AF373" s="24"/>
      <c r="AG373" s="64">
        <f>601+-8201+11637</f>
        <v>4037</v>
      </c>
      <c r="AI373" s="64">
        <f>24593+19384+1</f>
        <v>43978</v>
      </c>
      <c r="AK373" s="64">
        <f>23974+11183+11638</f>
        <v>46795</v>
      </c>
      <c r="AM373" s="24">
        <f>+'Gov Rev'!AI371-'Gov Exp'!AE373+'Gov Exp'!AI373-'Gov Exp'!AK373</f>
        <v>0</v>
      </c>
    </row>
    <row r="374" spans="1:39">
      <c r="A374" s="15" t="s">
        <v>479</v>
      </c>
      <c r="C374" s="15" t="s">
        <v>477</v>
      </c>
      <c r="E374" s="24">
        <v>1013</v>
      </c>
      <c r="G374" s="24">
        <v>265</v>
      </c>
      <c r="I374" s="24">
        <v>0</v>
      </c>
      <c r="K374" s="24">
        <v>0</v>
      </c>
      <c r="M374" s="24">
        <v>207</v>
      </c>
      <c r="O374" s="24">
        <v>666</v>
      </c>
      <c r="Q374" s="24">
        <v>2860</v>
      </c>
      <c r="S374" s="24">
        <v>0</v>
      </c>
      <c r="U374" s="24">
        <v>0</v>
      </c>
      <c r="W374" s="24">
        <v>0</v>
      </c>
      <c r="Y374" s="24">
        <v>0</v>
      </c>
      <c r="AA374" s="24">
        <v>0</v>
      </c>
      <c r="AC374" s="24">
        <v>0</v>
      </c>
      <c r="AE374" s="24">
        <f t="shared" si="10"/>
        <v>5011</v>
      </c>
      <c r="AF374" s="24"/>
      <c r="AG374" s="64">
        <f>-1079+1410</f>
        <v>331</v>
      </c>
      <c r="AI374" s="64">
        <f>11276+5030</f>
        <v>16306</v>
      </c>
      <c r="AK374" s="64">
        <f>10197+6440</f>
        <v>16637</v>
      </c>
      <c r="AM374" s="24">
        <f>+'Gov Rev'!AI373-'Gov Exp'!AE374+'Gov Exp'!AI374-'Gov Exp'!AK374</f>
        <v>0</v>
      </c>
    </row>
    <row r="375" spans="1:39" ht="12.75" hidden="1">
      <c r="A375" s="15" t="s">
        <v>234</v>
      </c>
      <c r="C375" s="15" t="s">
        <v>823</v>
      </c>
      <c r="D375" s="28"/>
      <c r="E375" s="24">
        <v>0</v>
      </c>
      <c r="G375" s="24">
        <v>0</v>
      </c>
      <c r="I375" s="24">
        <v>0</v>
      </c>
      <c r="K375" s="24">
        <v>0</v>
      </c>
      <c r="M375" s="24">
        <v>0</v>
      </c>
      <c r="O375" s="24">
        <v>0</v>
      </c>
      <c r="Q375" s="24">
        <v>0</v>
      </c>
      <c r="S375" s="24">
        <v>0</v>
      </c>
      <c r="U375" s="24">
        <v>0</v>
      </c>
      <c r="W375" s="24">
        <v>0</v>
      </c>
      <c r="Y375" s="24">
        <v>0</v>
      </c>
      <c r="AA375" s="24">
        <v>0</v>
      </c>
      <c r="AC375" s="24">
        <v>0</v>
      </c>
      <c r="AE375" s="24">
        <f t="shared" si="10"/>
        <v>0</v>
      </c>
      <c r="AF375" s="41"/>
      <c r="AM375" s="24">
        <f>+'Gov Rev'!AI374-'Gov Exp'!AE375+'Gov Exp'!AI375-'Gov Exp'!AK375</f>
        <v>0</v>
      </c>
    </row>
    <row r="376" spans="1:39" hidden="1">
      <c r="A376" s="15" t="s">
        <v>465</v>
      </c>
      <c r="C376" s="15" t="s">
        <v>466</v>
      </c>
      <c r="E376" s="24">
        <v>0</v>
      </c>
      <c r="G376" s="24">
        <v>0</v>
      </c>
      <c r="I376" s="24">
        <v>0</v>
      </c>
      <c r="K376" s="24">
        <v>0</v>
      </c>
      <c r="M376" s="24">
        <v>0</v>
      </c>
      <c r="O376" s="24">
        <v>0</v>
      </c>
      <c r="Q376" s="24">
        <v>0</v>
      </c>
      <c r="S376" s="24">
        <v>0</v>
      </c>
      <c r="U376" s="24">
        <v>0</v>
      </c>
      <c r="W376" s="24">
        <v>0</v>
      </c>
      <c r="Y376" s="24">
        <v>0</v>
      </c>
      <c r="AA376" s="24">
        <v>0</v>
      </c>
      <c r="AC376" s="24">
        <v>0</v>
      </c>
      <c r="AE376" s="24">
        <f t="shared" si="10"/>
        <v>0</v>
      </c>
      <c r="AF376" s="24"/>
      <c r="AM376" s="24">
        <f>+'Gov Rev'!AI374-'Gov Exp'!AE376+'Gov Exp'!AI376-'Gov Exp'!AK376</f>
        <v>0</v>
      </c>
    </row>
    <row r="377" spans="1:39">
      <c r="A377" s="15" t="s">
        <v>550</v>
      </c>
      <c r="C377" s="15" t="s">
        <v>545</v>
      </c>
      <c r="E377" s="24">
        <f>1143606+23135+57198</f>
        <v>1223939</v>
      </c>
      <c r="G377" s="24">
        <f>13784+150938</f>
        <v>164722</v>
      </c>
      <c r="I377" s="24">
        <f>39383+66346</f>
        <v>105729</v>
      </c>
      <c r="K377" s="24">
        <v>3587</v>
      </c>
      <c r="M377" s="24">
        <v>14772</v>
      </c>
      <c r="O377" s="24">
        <f>529566+662910+64479</f>
        <v>1256955</v>
      </c>
      <c r="Q377" s="24">
        <f>524767+2341014+4400</f>
        <v>2870181</v>
      </c>
      <c r="S377" s="24">
        <v>0</v>
      </c>
      <c r="U377" s="24">
        <v>0</v>
      </c>
      <c r="W377" s="24">
        <v>0</v>
      </c>
      <c r="Y377" s="24">
        <v>0</v>
      </c>
      <c r="AA377" s="24">
        <v>0</v>
      </c>
      <c r="AC377" s="24">
        <v>449416</v>
      </c>
      <c r="AE377" s="24">
        <f t="shared" ref="AE377:AE410" si="11">SUM(E377:AC377)</f>
        <v>6089301</v>
      </c>
      <c r="AF377" s="24"/>
      <c r="AG377" s="64">
        <f>-48386+95093+2246-13405-74639</f>
        <v>-39091</v>
      </c>
      <c r="AI377" s="64">
        <f>1455359+390536+69385+508798+820244+450889</f>
        <v>3695211</v>
      </c>
      <c r="AK377" s="64">
        <f>1406973+390536+69385+508798+820244+450889+95093+2246-13405-74639</f>
        <v>3656120</v>
      </c>
      <c r="AM377" s="24">
        <f>+'Gov Rev'!AI375-'Gov Exp'!AE377+'Gov Exp'!AI377-'Gov Exp'!AK377</f>
        <v>0</v>
      </c>
    </row>
    <row r="378" spans="1:39" s="31" customFormat="1" ht="12.75" hidden="1">
      <c r="A378" s="15" t="s">
        <v>74</v>
      </c>
      <c r="B378" s="15"/>
      <c r="C378" s="15" t="s">
        <v>773</v>
      </c>
      <c r="D378" s="28"/>
      <c r="E378" s="24">
        <v>0</v>
      </c>
      <c r="F378" s="24"/>
      <c r="G378" s="24">
        <v>0</v>
      </c>
      <c r="H378" s="24"/>
      <c r="I378" s="24">
        <v>0</v>
      </c>
      <c r="J378" s="24"/>
      <c r="K378" s="24">
        <v>0</v>
      </c>
      <c r="L378" s="24"/>
      <c r="M378" s="24">
        <v>0</v>
      </c>
      <c r="N378" s="24"/>
      <c r="O378" s="24">
        <v>0</v>
      </c>
      <c r="P378" s="24"/>
      <c r="Q378" s="24">
        <v>0</v>
      </c>
      <c r="R378" s="24"/>
      <c r="S378" s="24">
        <v>0</v>
      </c>
      <c r="T378" s="24"/>
      <c r="U378" s="24">
        <v>0</v>
      </c>
      <c r="V378" s="24"/>
      <c r="W378" s="24">
        <v>0</v>
      </c>
      <c r="X378" s="24"/>
      <c r="Y378" s="24">
        <v>0</v>
      </c>
      <c r="Z378" s="24"/>
      <c r="AA378" s="24">
        <v>0</v>
      </c>
      <c r="AB378" s="24"/>
      <c r="AC378" s="24">
        <v>0</v>
      </c>
      <c r="AD378" s="24"/>
      <c r="AE378" s="24">
        <f t="shared" si="11"/>
        <v>0</v>
      </c>
      <c r="AF378" s="24"/>
      <c r="AG378" s="65"/>
      <c r="AH378" s="65"/>
      <c r="AI378" s="65"/>
      <c r="AJ378" s="65"/>
      <c r="AK378" s="65"/>
      <c r="AM378" s="24">
        <f>+'Gov Rev'!AI376-'Gov Exp'!AE378+'Gov Exp'!AI378-'Gov Exp'!AK378</f>
        <v>0</v>
      </c>
    </row>
    <row r="379" spans="1:39" s="31" customFormat="1">
      <c r="A379" s="15" t="s">
        <v>423</v>
      </c>
      <c r="B379" s="15"/>
      <c r="C379" s="15" t="s">
        <v>420</v>
      </c>
      <c r="D379" s="15"/>
      <c r="E379" s="24">
        <f>1142348+180629+48887+156623</f>
        <v>1528487</v>
      </c>
      <c r="F379" s="24"/>
      <c r="G379" s="24">
        <f>13454+8004</f>
        <v>21458</v>
      </c>
      <c r="H379" s="24"/>
      <c r="I379" s="24">
        <f>27237+288422+61425</f>
        <v>377084</v>
      </c>
      <c r="J379" s="24"/>
      <c r="K379" s="24">
        <v>0</v>
      </c>
      <c r="L379" s="24"/>
      <c r="M379" s="24">
        <v>544928</v>
      </c>
      <c r="N379" s="24"/>
      <c r="O379" s="24">
        <f>487804+235820+253728</f>
        <v>977352</v>
      </c>
      <c r="P379" s="24"/>
      <c r="Q379" s="24">
        <f>432471+73006+15248</f>
        <v>520725</v>
      </c>
      <c r="R379" s="24"/>
      <c r="S379" s="24">
        <f>126444+177639</f>
        <v>304083</v>
      </c>
      <c r="T379" s="24"/>
      <c r="U379" s="24">
        <v>40447</v>
      </c>
      <c r="V379" s="24"/>
      <c r="W379" s="24">
        <v>0</v>
      </c>
      <c r="X379" s="24"/>
      <c r="Y379" s="24">
        <f>188000+412491</f>
        <v>600491</v>
      </c>
      <c r="Z379" s="24"/>
      <c r="AA379" s="24">
        <v>0</v>
      </c>
      <c r="AB379" s="24"/>
      <c r="AC379" s="24">
        <v>410</v>
      </c>
      <c r="AD379" s="24"/>
      <c r="AE379" s="24">
        <f t="shared" si="11"/>
        <v>4915465</v>
      </c>
      <c r="AF379" s="24"/>
      <c r="AG379" s="65">
        <f>496722+106919+263528+11308</f>
        <v>878477</v>
      </c>
      <c r="AH379" s="65"/>
      <c r="AI379" s="65">
        <f>1042310+670758+1085573+133519</f>
        <v>2932160</v>
      </c>
      <c r="AJ379" s="65"/>
      <c r="AK379" s="65">
        <f>1539032+777677+1349101+144826</f>
        <v>3810636</v>
      </c>
      <c r="AM379" s="24">
        <f>+'Gov Rev'!AI377-'Gov Exp'!AE379+'Gov Exp'!AI379-'Gov Exp'!AK379</f>
        <v>0</v>
      </c>
    </row>
    <row r="380" spans="1:39" ht="12.6" customHeight="1">
      <c r="A380" s="15" t="s">
        <v>276</v>
      </c>
      <c r="C380" s="15" t="s">
        <v>275</v>
      </c>
      <c r="E380" s="24">
        <v>639839</v>
      </c>
      <c r="G380" s="24">
        <v>750</v>
      </c>
      <c r="I380" s="24">
        <v>176454</v>
      </c>
      <c r="K380" s="24">
        <v>17596</v>
      </c>
      <c r="M380" s="24">
        <v>0</v>
      </c>
      <c r="O380" s="24">
        <v>491476</v>
      </c>
      <c r="Q380" s="24">
        <v>392265</v>
      </c>
      <c r="S380" s="24">
        <f>65880+213407+661294</f>
        <v>940581</v>
      </c>
      <c r="U380" s="24">
        <v>21902</v>
      </c>
      <c r="W380" s="24">
        <v>4449</v>
      </c>
      <c r="Y380" s="24">
        <f>2564360+25000+1512534</f>
        <v>4101894</v>
      </c>
      <c r="AA380" s="24">
        <v>0</v>
      </c>
      <c r="AC380" s="24">
        <v>0</v>
      </c>
      <c r="AE380" s="24">
        <f t="shared" si="11"/>
        <v>6787206</v>
      </c>
      <c r="AF380" s="24"/>
      <c r="AG380" s="64">
        <f>122327+53938+631+197729</f>
        <v>374625</v>
      </c>
      <c r="AI380" s="64">
        <f>26954+126592+14035+766777</f>
        <v>934358</v>
      </c>
      <c r="AK380" s="64">
        <f>149281+180531+14666+964506-1</f>
        <v>1308983</v>
      </c>
      <c r="AM380" s="24">
        <f>+'Gov Rev'!AI378-'Gov Exp'!AE380+'Gov Exp'!AI380-'Gov Exp'!AK380</f>
        <v>0</v>
      </c>
    </row>
    <row r="381" spans="1:39" ht="12.75">
      <c r="D381" s="28"/>
      <c r="AE381" s="24" t="s">
        <v>869</v>
      </c>
      <c r="AF381" s="24"/>
      <c r="AM381" s="24"/>
    </row>
    <row r="382" spans="1:39" s="84" customFormat="1">
      <c r="A382" s="41" t="s">
        <v>555</v>
      </c>
      <c r="B382" s="41"/>
      <c r="C382" s="41" t="s">
        <v>554</v>
      </c>
      <c r="D382" s="41"/>
      <c r="E382" s="41">
        <f>1043966+163146</f>
        <v>1207112</v>
      </c>
      <c r="F382" s="41"/>
      <c r="G382" s="41">
        <f>25424+31437</f>
        <v>56861</v>
      </c>
      <c r="H382" s="41"/>
      <c r="I382" s="41">
        <v>158705</v>
      </c>
      <c r="J382" s="41"/>
      <c r="K382" s="41">
        <v>1175</v>
      </c>
      <c r="L382" s="41"/>
      <c r="M382" s="41">
        <v>0</v>
      </c>
      <c r="N382" s="41"/>
      <c r="O382" s="41">
        <v>522236</v>
      </c>
      <c r="P382" s="41"/>
      <c r="Q382" s="41">
        <f>496955+60619</f>
        <v>557574</v>
      </c>
      <c r="R382" s="41"/>
      <c r="S382" s="41">
        <f>99722+315813+374825</f>
        <v>790360</v>
      </c>
      <c r="T382" s="41"/>
      <c r="U382" s="41">
        <v>770000</v>
      </c>
      <c r="V382" s="41"/>
      <c r="W382" s="41">
        <v>30530</v>
      </c>
      <c r="X382" s="41"/>
      <c r="Y382" s="41">
        <v>2021869</v>
      </c>
      <c r="Z382" s="41"/>
      <c r="AA382" s="41">
        <v>0</v>
      </c>
      <c r="AB382" s="41"/>
      <c r="AC382" s="41">
        <v>98277</v>
      </c>
      <c r="AD382" s="41"/>
      <c r="AE382" s="41">
        <f t="shared" si="11"/>
        <v>6214699</v>
      </c>
      <c r="AF382" s="41"/>
      <c r="AG382" s="84">
        <f>-41930-115345+31333+276287</f>
        <v>150345</v>
      </c>
      <c r="AI382" s="84">
        <f>23790+118870-31333+637791</f>
        <v>749118</v>
      </c>
      <c r="AK382" s="84">
        <f>-18140+3525+914078+1</f>
        <v>899464</v>
      </c>
      <c r="AM382" s="41">
        <f>+'Gov Rev'!AI379-'Gov Exp'!AE382+'Gov Exp'!AI382-'Gov Exp'!AK382</f>
        <v>0</v>
      </c>
    </row>
    <row r="383" spans="1:39" s="31" customFormat="1">
      <c r="A383" s="15" t="s">
        <v>415</v>
      </c>
      <c r="B383" s="15"/>
      <c r="C383" s="15" t="s">
        <v>416</v>
      </c>
      <c r="D383" s="15"/>
      <c r="E383" s="24">
        <f>373653+11418</f>
        <v>385071</v>
      </c>
      <c r="F383" s="24"/>
      <c r="G383" s="24">
        <v>1438</v>
      </c>
      <c r="H383" s="24"/>
      <c r="I383" s="24">
        <v>56012</v>
      </c>
      <c r="J383" s="24"/>
      <c r="K383" s="24">
        <v>28464</v>
      </c>
      <c r="L383" s="24"/>
      <c r="M383" s="24">
        <v>0</v>
      </c>
      <c r="N383" s="24"/>
      <c r="O383" s="24">
        <f>68003+62141+47720</f>
        <v>177864</v>
      </c>
      <c r="P383" s="24"/>
      <c r="Q383" s="24">
        <v>163208</v>
      </c>
      <c r="R383" s="24"/>
      <c r="S383" s="24">
        <f>9084+67809</f>
        <v>76893</v>
      </c>
      <c r="T383" s="24"/>
      <c r="U383" s="24">
        <v>0</v>
      </c>
      <c r="V383" s="24"/>
      <c r="W383" s="24">
        <v>0</v>
      </c>
      <c r="X383" s="24"/>
      <c r="Y383" s="24">
        <f>240670+4659</f>
        <v>245329</v>
      </c>
      <c r="Z383" s="24"/>
      <c r="AA383" s="24">
        <v>65128</v>
      </c>
      <c r="AB383" s="24"/>
      <c r="AC383" s="24">
        <f>19648+25581</f>
        <v>45229</v>
      </c>
      <c r="AD383" s="24"/>
      <c r="AE383" s="24">
        <f t="shared" si="11"/>
        <v>1244636</v>
      </c>
      <c r="AF383" s="24"/>
      <c r="AG383" s="65">
        <f>205684+-8385+20385+1223528</f>
        <v>1441212</v>
      </c>
      <c r="AH383" s="65"/>
      <c r="AI383" s="65">
        <f>943826+506586+66125+189546+3</f>
        <v>1706086</v>
      </c>
      <c r="AJ383" s="65"/>
      <c r="AK383" s="65">
        <f>1149510+498204+45740+1413074</f>
        <v>3106528</v>
      </c>
      <c r="AM383" s="24">
        <f>+'Gov Rev'!AI380-'Gov Exp'!AE383+'Gov Exp'!AI383-'Gov Exp'!AK383</f>
        <v>0</v>
      </c>
    </row>
    <row r="384" spans="1:39" ht="12.75" hidden="1">
      <c r="A384" s="15" t="s">
        <v>160</v>
      </c>
      <c r="C384" s="15" t="s">
        <v>799</v>
      </c>
      <c r="D384" s="28"/>
      <c r="E384" s="24">
        <v>0</v>
      </c>
      <c r="G384" s="24">
        <v>0</v>
      </c>
      <c r="I384" s="24">
        <v>0</v>
      </c>
      <c r="K384" s="24">
        <v>0</v>
      </c>
      <c r="M384" s="24">
        <v>0</v>
      </c>
      <c r="O384" s="24">
        <v>0</v>
      </c>
      <c r="Q384" s="24">
        <v>0</v>
      </c>
      <c r="S384" s="24">
        <v>0</v>
      </c>
      <c r="U384" s="24">
        <v>0</v>
      </c>
      <c r="W384" s="24">
        <v>0</v>
      </c>
      <c r="Y384" s="24">
        <v>0</v>
      </c>
      <c r="AA384" s="24">
        <v>0</v>
      </c>
      <c r="AC384" s="24">
        <v>0</v>
      </c>
      <c r="AE384" s="24">
        <f t="shared" si="11"/>
        <v>0</v>
      </c>
      <c r="AF384" s="24"/>
      <c r="AM384" s="24">
        <f>+'Gov Rev'!AI381-'Gov Exp'!AE384+'Gov Exp'!AI384-'Gov Exp'!AK384</f>
        <v>0</v>
      </c>
    </row>
    <row r="385" spans="1:39" s="31" customFormat="1">
      <c r="A385" s="15" t="s">
        <v>602</v>
      </c>
      <c r="B385" s="15"/>
      <c r="C385" s="15" t="s">
        <v>601</v>
      </c>
      <c r="D385" s="15"/>
      <c r="E385" s="24">
        <f>795925+875+72533</f>
        <v>869333</v>
      </c>
      <c r="F385" s="24"/>
      <c r="G385" s="24">
        <v>46885</v>
      </c>
      <c r="H385" s="24"/>
      <c r="I385" s="24">
        <v>250991</v>
      </c>
      <c r="J385" s="24"/>
      <c r="K385" s="24">
        <v>0</v>
      </c>
      <c r="L385" s="24"/>
      <c r="M385" s="24">
        <f>312484+17089+228626</f>
        <v>558199</v>
      </c>
      <c r="N385" s="24"/>
      <c r="O385" s="24">
        <f>229012+19977+192868</f>
        <v>441857</v>
      </c>
      <c r="P385" s="24"/>
      <c r="Q385" s="24">
        <f>259848+43261+449</f>
        <v>303558</v>
      </c>
      <c r="R385" s="24"/>
      <c r="S385" s="24">
        <f>53788+566522+39109+140941</f>
        <v>800360</v>
      </c>
      <c r="T385" s="24"/>
      <c r="U385" s="24">
        <v>422000</v>
      </c>
      <c r="V385" s="24"/>
      <c r="W385" s="24">
        <v>38767</v>
      </c>
      <c r="X385" s="24"/>
      <c r="Y385" s="24">
        <v>174978</v>
      </c>
      <c r="Z385" s="24"/>
      <c r="AA385" s="24">
        <v>80000</v>
      </c>
      <c r="AB385" s="24"/>
      <c r="AC385" s="24">
        <v>49050</v>
      </c>
      <c r="AD385" s="24"/>
      <c r="AE385" s="24">
        <f t="shared" si="11"/>
        <v>4035978</v>
      </c>
      <c r="AF385" s="24"/>
      <c r="AG385" s="65">
        <f>-79347+326685+3585+19583</f>
        <v>270506</v>
      </c>
      <c r="AH385" s="65"/>
      <c r="AI385" s="65">
        <f>569781+496819+1090013+173331</f>
        <v>2329944</v>
      </c>
      <c r="AJ385" s="65"/>
      <c r="AK385" s="65">
        <f>490434+823504+1093598+192914</f>
        <v>2600450</v>
      </c>
      <c r="AM385" s="24">
        <f>+'Gov Rev'!AI382-'Gov Exp'!AE385+'Gov Exp'!AI385-'Gov Exp'!AK385</f>
        <v>0</v>
      </c>
    </row>
    <row r="386" spans="1:39" s="29" customFormat="1" ht="12.6" customHeight="1">
      <c r="A386" s="24" t="s">
        <v>323</v>
      </c>
      <c r="B386" s="24"/>
      <c r="C386" s="24" t="s">
        <v>316</v>
      </c>
      <c r="D386" s="24"/>
      <c r="E386" s="24">
        <f>7930+1510647+198551</f>
        <v>1717128</v>
      </c>
      <c r="F386" s="24"/>
      <c r="G386" s="24">
        <f>16954+2726</f>
        <v>19680</v>
      </c>
      <c r="H386" s="24"/>
      <c r="I386" s="24">
        <v>0</v>
      </c>
      <c r="J386" s="24"/>
      <c r="K386" s="24">
        <f>50844+1265</f>
        <v>52109</v>
      </c>
      <c r="L386" s="24"/>
      <c r="M386" s="24">
        <f>1093398+283566</f>
        <v>1376964</v>
      </c>
      <c r="N386" s="24"/>
      <c r="O386" s="24">
        <f>152938+467942</f>
        <v>620880</v>
      </c>
      <c r="P386" s="24"/>
      <c r="Q386" s="24">
        <v>1471821</v>
      </c>
      <c r="R386" s="24"/>
      <c r="S386" s="24">
        <f>4700+79711+62436+20837</f>
        <v>167684</v>
      </c>
      <c r="T386" s="24"/>
      <c r="U386" s="24">
        <v>161475</v>
      </c>
      <c r="V386" s="24"/>
      <c r="W386" s="24">
        <v>60184</v>
      </c>
      <c r="X386" s="24"/>
      <c r="Y386" s="24">
        <f>199000+95000</f>
        <v>294000</v>
      </c>
      <c r="Z386" s="24"/>
      <c r="AA386" s="24">
        <v>93128</v>
      </c>
      <c r="AB386" s="24"/>
      <c r="AC386" s="24">
        <v>0</v>
      </c>
      <c r="AD386" s="24"/>
      <c r="AE386" s="24">
        <f t="shared" si="11"/>
        <v>6035053</v>
      </c>
      <c r="AF386" s="24"/>
      <c r="AG386" s="65">
        <f>2106870+63675+210962-914513-28474</f>
        <v>1438520</v>
      </c>
      <c r="AH386" s="65"/>
      <c r="AI386" s="65">
        <f>3865739+1412613+2069515+1464314+1738436</f>
        <v>10550617</v>
      </c>
      <c r="AJ386" s="65"/>
      <c r="AK386" s="65">
        <f>5972608+1476288+2280477+549801+1709962</f>
        <v>11989136</v>
      </c>
      <c r="AM386" s="24">
        <f>+'Gov Rev'!AI383-'Gov Exp'!AE386+'Gov Exp'!AI386-'Gov Exp'!AK386</f>
        <v>0</v>
      </c>
    </row>
    <row r="387" spans="1:39" s="24" customFormat="1" ht="12.75" hidden="1">
      <c r="A387" s="24" t="s">
        <v>18</v>
      </c>
      <c r="C387" s="24" t="s">
        <v>755</v>
      </c>
      <c r="D387" s="85"/>
      <c r="E387" s="24">
        <v>0</v>
      </c>
      <c r="G387" s="24">
        <v>0</v>
      </c>
      <c r="I387" s="24">
        <v>0</v>
      </c>
      <c r="K387" s="24">
        <v>0</v>
      </c>
      <c r="M387" s="24">
        <v>0</v>
      </c>
      <c r="O387" s="24">
        <v>0</v>
      </c>
      <c r="Q387" s="24">
        <v>0</v>
      </c>
      <c r="S387" s="24">
        <v>0</v>
      </c>
      <c r="U387" s="24">
        <v>0</v>
      </c>
      <c r="W387" s="24">
        <v>0</v>
      </c>
      <c r="Y387" s="24">
        <v>0</v>
      </c>
      <c r="AA387" s="24">
        <v>0</v>
      </c>
      <c r="AC387" s="24">
        <v>0</v>
      </c>
      <c r="AE387" s="24">
        <f t="shared" si="11"/>
        <v>0</v>
      </c>
      <c r="AG387" s="64"/>
      <c r="AH387" s="64"/>
      <c r="AI387" s="64"/>
      <c r="AJ387" s="64"/>
      <c r="AK387" s="64"/>
      <c r="AM387" s="24">
        <f>+'Gov Rev'!AI384-'Gov Exp'!AE387+'Gov Exp'!AI387-'Gov Exp'!AK387</f>
        <v>0</v>
      </c>
    </row>
    <row r="388" spans="1:39" ht="12.75" hidden="1">
      <c r="A388" s="15" t="s">
        <v>243</v>
      </c>
      <c r="C388" s="15" t="s">
        <v>826</v>
      </c>
      <c r="D388" s="28"/>
      <c r="E388" s="24">
        <v>0</v>
      </c>
      <c r="G388" s="24">
        <v>0</v>
      </c>
      <c r="I388" s="24">
        <v>0</v>
      </c>
      <c r="K388" s="24">
        <v>0</v>
      </c>
      <c r="M388" s="24">
        <v>0</v>
      </c>
      <c r="O388" s="24">
        <v>0</v>
      </c>
      <c r="Q388" s="24">
        <v>0</v>
      </c>
      <c r="S388" s="24">
        <v>0</v>
      </c>
      <c r="U388" s="24">
        <v>0</v>
      </c>
      <c r="W388" s="24">
        <v>0</v>
      </c>
      <c r="Y388" s="24">
        <v>0</v>
      </c>
      <c r="AA388" s="24">
        <v>0</v>
      </c>
      <c r="AC388" s="24">
        <v>0</v>
      </c>
      <c r="AE388" s="24">
        <f t="shared" si="11"/>
        <v>0</v>
      </c>
      <c r="AF388" s="24"/>
      <c r="AM388" s="24">
        <f>+'Gov Rev'!AI385-'Gov Exp'!AE388+'Gov Exp'!AI388-'Gov Exp'!AK388</f>
        <v>0</v>
      </c>
    </row>
    <row r="389" spans="1:39" ht="12.6" hidden="1" customHeight="1">
      <c r="A389" s="15" t="s">
        <v>298</v>
      </c>
      <c r="C389" s="15" t="s">
        <v>295</v>
      </c>
      <c r="E389" s="24">
        <v>0</v>
      </c>
      <c r="G389" s="24">
        <v>0</v>
      </c>
      <c r="I389" s="24">
        <v>0</v>
      </c>
      <c r="K389" s="24">
        <v>0</v>
      </c>
      <c r="M389" s="24">
        <v>0</v>
      </c>
      <c r="O389" s="24">
        <v>0</v>
      </c>
      <c r="Q389" s="24">
        <v>0</v>
      </c>
      <c r="S389" s="24">
        <v>0</v>
      </c>
      <c r="U389" s="24">
        <v>0</v>
      </c>
      <c r="W389" s="24">
        <v>0</v>
      </c>
      <c r="Y389" s="24">
        <v>0</v>
      </c>
      <c r="AA389" s="24">
        <v>0</v>
      </c>
      <c r="AC389" s="24">
        <v>0</v>
      </c>
      <c r="AE389" s="24">
        <f t="shared" si="11"/>
        <v>0</v>
      </c>
      <c r="AF389" s="24"/>
      <c r="AM389" s="24">
        <f>+'Gov Rev'!AI386-'Gov Exp'!AE389+'Gov Exp'!AI389-'Gov Exp'!AK389</f>
        <v>0</v>
      </c>
    </row>
    <row r="390" spans="1:39" ht="12.75" hidden="1">
      <c r="A390" s="15" t="s">
        <v>249</v>
      </c>
      <c r="C390" s="15" t="s">
        <v>828</v>
      </c>
      <c r="D390" s="28"/>
      <c r="E390" s="24">
        <v>0</v>
      </c>
      <c r="G390" s="24">
        <v>0</v>
      </c>
      <c r="I390" s="24">
        <v>0</v>
      </c>
      <c r="K390" s="24">
        <v>0</v>
      </c>
      <c r="M390" s="24">
        <v>0</v>
      </c>
      <c r="O390" s="24">
        <v>0</v>
      </c>
      <c r="Q390" s="24">
        <v>0</v>
      </c>
      <c r="S390" s="24">
        <v>0</v>
      </c>
      <c r="U390" s="24">
        <v>0</v>
      </c>
      <c r="W390" s="24">
        <v>0</v>
      </c>
      <c r="Y390" s="24">
        <v>0</v>
      </c>
      <c r="AA390" s="24">
        <v>0</v>
      </c>
      <c r="AC390" s="24">
        <v>0</v>
      </c>
      <c r="AE390" s="24">
        <f t="shared" si="11"/>
        <v>0</v>
      </c>
      <c r="AF390" s="24"/>
      <c r="AM390" s="24">
        <f>+'Gov Rev'!AI387-'Gov Exp'!AE390+'Gov Exp'!AI390-'Gov Exp'!AK390</f>
        <v>0</v>
      </c>
    </row>
    <row r="391" spans="1:39" s="31" customFormat="1" ht="12.75" hidden="1">
      <c r="A391" s="15" t="s">
        <v>141</v>
      </c>
      <c r="B391" s="15"/>
      <c r="C391" s="15" t="s">
        <v>794</v>
      </c>
      <c r="D391" s="28"/>
      <c r="E391" s="24">
        <v>0</v>
      </c>
      <c r="F391" s="24"/>
      <c r="G391" s="24">
        <v>0</v>
      </c>
      <c r="H391" s="24"/>
      <c r="I391" s="24">
        <v>0</v>
      </c>
      <c r="J391" s="24"/>
      <c r="K391" s="24">
        <v>0</v>
      </c>
      <c r="L391" s="24"/>
      <c r="M391" s="24">
        <v>0</v>
      </c>
      <c r="N391" s="24"/>
      <c r="O391" s="24">
        <v>0</v>
      </c>
      <c r="P391" s="24"/>
      <c r="Q391" s="24">
        <v>0</v>
      </c>
      <c r="R391" s="24"/>
      <c r="S391" s="24">
        <v>0</v>
      </c>
      <c r="T391" s="24"/>
      <c r="U391" s="24">
        <v>0</v>
      </c>
      <c r="V391" s="24"/>
      <c r="W391" s="24">
        <v>0</v>
      </c>
      <c r="X391" s="24"/>
      <c r="Y391" s="24">
        <v>0</v>
      </c>
      <c r="Z391" s="24"/>
      <c r="AA391" s="24">
        <v>0</v>
      </c>
      <c r="AB391" s="24"/>
      <c r="AC391" s="24">
        <v>0</v>
      </c>
      <c r="AD391" s="24"/>
      <c r="AE391" s="24">
        <f t="shared" si="11"/>
        <v>0</v>
      </c>
      <c r="AF391" s="24"/>
      <c r="AG391" s="65"/>
      <c r="AH391" s="65"/>
      <c r="AI391" s="65"/>
      <c r="AJ391" s="65"/>
      <c r="AK391" s="65"/>
      <c r="AM391" s="24">
        <f>+'Gov Rev'!AI388-'Gov Exp'!AE391+'Gov Exp'!AI391-'Gov Exp'!AK391</f>
        <v>0</v>
      </c>
    </row>
    <row r="392" spans="1:39" s="31" customFormat="1" ht="12.75" hidden="1">
      <c r="A392" s="15" t="s">
        <v>99</v>
      </c>
      <c r="B392" s="15"/>
      <c r="C392" s="15" t="s">
        <v>780</v>
      </c>
      <c r="D392" s="28"/>
      <c r="E392" s="24">
        <v>0</v>
      </c>
      <c r="F392" s="24"/>
      <c r="G392" s="24">
        <v>0</v>
      </c>
      <c r="H392" s="24"/>
      <c r="I392" s="24">
        <v>0</v>
      </c>
      <c r="J392" s="24"/>
      <c r="K392" s="24">
        <v>0</v>
      </c>
      <c r="L392" s="24"/>
      <c r="M392" s="24">
        <v>0</v>
      </c>
      <c r="N392" s="24"/>
      <c r="O392" s="24">
        <v>0</v>
      </c>
      <c r="P392" s="24"/>
      <c r="Q392" s="24">
        <v>0</v>
      </c>
      <c r="R392" s="24"/>
      <c r="S392" s="24">
        <v>0</v>
      </c>
      <c r="T392" s="24"/>
      <c r="U392" s="24">
        <v>0</v>
      </c>
      <c r="V392" s="24"/>
      <c r="W392" s="24">
        <v>0</v>
      </c>
      <c r="X392" s="24"/>
      <c r="Y392" s="24">
        <v>0</v>
      </c>
      <c r="Z392" s="24"/>
      <c r="AA392" s="24">
        <v>0</v>
      </c>
      <c r="AB392" s="24"/>
      <c r="AC392" s="24">
        <v>0</v>
      </c>
      <c r="AD392" s="24"/>
      <c r="AE392" s="24">
        <f t="shared" si="11"/>
        <v>0</v>
      </c>
      <c r="AF392" s="24"/>
      <c r="AG392" s="65"/>
      <c r="AH392" s="65"/>
      <c r="AI392" s="65"/>
      <c r="AJ392" s="65"/>
      <c r="AK392" s="65"/>
      <c r="AM392" s="24">
        <f>+'Gov Rev'!AI389-'Gov Exp'!AE392+'Gov Exp'!AI392-'Gov Exp'!AK392</f>
        <v>0</v>
      </c>
    </row>
    <row r="393" spans="1:39" s="31" customFormat="1" hidden="1">
      <c r="A393" s="15" t="s">
        <v>410</v>
      </c>
      <c r="B393" s="15"/>
      <c r="C393" s="15" t="s">
        <v>409</v>
      </c>
      <c r="D393" s="15"/>
      <c r="E393" s="24">
        <v>0</v>
      </c>
      <c r="F393" s="24"/>
      <c r="G393" s="24">
        <v>0</v>
      </c>
      <c r="H393" s="24"/>
      <c r="I393" s="24">
        <v>0</v>
      </c>
      <c r="J393" s="24"/>
      <c r="K393" s="24">
        <v>0</v>
      </c>
      <c r="L393" s="24"/>
      <c r="M393" s="24">
        <v>0</v>
      </c>
      <c r="N393" s="24"/>
      <c r="O393" s="24">
        <v>0</v>
      </c>
      <c r="P393" s="24"/>
      <c r="Q393" s="24">
        <v>0</v>
      </c>
      <c r="R393" s="24"/>
      <c r="S393" s="24">
        <v>0</v>
      </c>
      <c r="T393" s="24"/>
      <c r="U393" s="24">
        <v>0</v>
      </c>
      <c r="V393" s="24"/>
      <c r="W393" s="24">
        <v>0</v>
      </c>
      <c r="X393" s="24"/>
      <c r="Y393" s="24">
        <v>0</v>
      </c>
      <c r="Z393" s="24"/>
      <c r="AA393" s="24">
        <v>0</v>
      </c>
      <c r="AB393" s="24"/>
      <c r="AC393" s="24">
        <v>0</v>
      </c>
      <c r="AD393" s="24"/>
      <c r="AE393" s="24">
        <f t="shared" si="11"/>
        <v>0</v>
      </c>
      <c r="AF393" s="24"/>
      <c r="AG393" s="65"/>
      <c r="AH393" s="65"/>
      <c r="AI393" s="65"/>
      <c r="AJ393" s="65"/>
      <c r="AK393" s="65"/>
      <c r="AM393" s="24">
        <f>+'Gov Rev'!AI390-'Gov Exp'!AE393+'Gov Exp'!AI393-'Gov Exp'!AK393</f>
        <v>0</v>
      </c>
    </row>
    <row r="394" spans="1:39" s="31" customFormat="1">
      <c r="A394" s="15" t="s">
        <v>390</v>
      </c>
      <c r="B394" s="15"/>
      <c r="C394" s="15" t="s">
        <v>388</v>
      </c>
      <c r="D394" s="15"/>
      <c r="E394" s="24">
        <v>5598</v>
      </c>
      <c r="F394" s="24"/>
      <c r="G394" s="24">
        <v>0</v>
      </c>
      <c r="H394" s="24"/>
      <c r="I394" s="24">
        <f>48035+1556</f>
        <v>49591</v>
      </c>
      <c r="J394" s="24"/>
      <c r="K394" s="24">
        <v>5080</v>
      </c>
      <c r="L394" s="24"/>
      <c r="M394" s="24">
        <v>2964</v>
      </c>
      <c r="N394" s="24"/>
      <c r="O394" s="24">
        <f>57622+21866</f>
        <v>79488</v>
      </c>
      <c r="P394" s="24"/>
      <c r="Q394" s="24">
        <f>6237+25912</f>
        <v>32149</v>
      </c>
      <c r="R394" s="24"/>
      <c r="S394" s="24">
        <v>0</v>
      </c>
      <c r="T394" s="24"/>
      <c r="U394" s="24">
        <v>0</v>
      </c>
      <c r="V394" s="24"/>
      <c r="W394" s="24">
        <v>0</v>
      </c>
      <c r="X394" s="24"/>
      <c r="Y394" s="24">
        <v>33500</v>
      </c>
      <c r="Z394" s="24"/>
      <c r="AA394" s="24">
        <v>0</v>
      </c>
      <c r="AB394" s="24"/>
      <c r="AC394" s="24">
        <v>0</v>
      </c>
      <c r="AD394" s="24"/>
      <c r="AE394" s="24">
        <f t="shared" si="11"/>
        <v>208370</v>
      </c>
      <c r="AF394" s="24"/>
      <c r="AG394" s="65">
        <f>-14996-19471-1556</f>
        <v>-36023</v>
      </c>
      <c r="AH394" s="65"/>
      <c r="AI394" s="65">
        <f>48539+57126+22652</f>
        <v>128317</v>
      </c>
      <c r="AJ394" s="65"/>
      <c r="AK394" s="65">
        <f>33543+37655+21096</f>
        <v>92294</v>
      </c>
      <c r="AM394" s="24">
        <f>+'Gov Rev'!AI391-'Gov Exp'!AE394+'Gov Exp'!AI394-'Gov Exp'!AK394</f>
        <v>0</v>
      </c>
    </row>
    <row r="395" spans="1:39" s="31" customFormat="1">
      <c r="A395" s="15" t="s">
        <v>391</v>
      </c>
      <c r="B395" s="15"/>
      <c r="C395" s="15" t="s">
        <v>388</v>
      </c>
      <c r="D395" s="15"/>
      <c r="E395" s="24">
        <f>13130+6519</f>
        <v>19649</v>
      </c>
      <c r="F395" s="24"/>
      <c r="G395" s="24">
        <v>878</v>
      </c>
      <c r="H395" s="24"/>
      <c r="I395" s="24">
        <v>28638</v>
      </c>
      <c r="J395" s="24"/>
      <c r="K395" s="24">
        <f>120+18570</f>
        <v>18690</v>
      </c>
      <c r="L395" s="24"/>
      <c r="M395" s="24">
        <v>2018</v>
      </c>
      <c r="N395" s="24"/>
      <c r="O395" s="24">
        <f>3752+256</f>
        <v>4008</v>
      </c>
      <c r="P395" s="24"/>
      <c r="Q395" s="24">
        <f>26556+25345</f>
        <v>51901</v>
      </c>
      <c r="R395" s="24"/>
      <c r="S395" s="24">
        <v>0</v>
      </c>
      <c r="T395" s="24"/>
      <c r="U395" s="24">
        <v>0</v>
      </c>
      <c r="V395" s="24"/>
      <c r="W395" s="24">
        <v>0</v>
      </c>
      <c r="X395" s="24"/>
      <c r="Y395" s="24">
        <v>0</v>
      </c>
      <c r="Z395" s="24"/>
      <c r="AA395" s="24">
        <v>0</v>
      </c>
      <c r="AB395" s="24"/>
      <c r="AC395" s="24">
        <v>0</v>
      </c>
      <c r="AD395" s="24"/>
      <c r="AE395" s="24">
        <f t="shared" si="11"/>
        <v>125782</v>
      </c>
      <c r="AF395" s="24"/>
      <c r="AG395" s="65">
        <f>-10621-38047</f>
        <v>-48668</v>
      </c>
      <c r="AH395" s="65"/>
      <c r="AI395" s="65">
        <f>18758+94630</f>
        <v>113388</v>
      </c>
      <c r="AJ395" s="65"/>
      <c r="AK395" s="65">
        <f>8137+56583</f>
        <v>64720</v>
      </c>
      <c r="AM395" s="24">
        <f>+'Gov Rev'!AI392-'Gov Exp'!AE395+'Gov Exp'!AI395-'Gov Exp'!AK395</f>
        <v>0</v>
      </c>
    </row>
    <row r="396" spans="1:39" s="31" customFormat="1">
      <c r="A396" s="15" t="s">
        <v>486</v>
      </c>
      <c r="B396" s="15"/>
      <c r="C396" s="15" t="s">
        <v>243</v>
      </c>
      <c r="D396" s="15"/>
      <c r="E396" s="24">
        <f>554775+400084</f>
        <v>954859</v>
      </c>
      <c r="F396" s="24"/>
      <c r="G396" s="24">
        <f>1114+29842</f>
        <v>30956</v>
      </c>
      <c r="H396" s="24"/>
      <c r="I396" s="24">
        <v>0</v>
      </c>
      <c r="J396" s="24"/>
      <c r="K396" s="24">
        <f>209145+99915</f>
        <v>309060</v>
      </c>
      <c r="L396" s="24"/>
      <c r="M396" s="24">
        <f>31586+160035</f>
        <v>191621</v>
      </c>
      <c r="N396" s="24"/>
      <c r="O396" s="24">
        <v>0</v>
      </c>
      <c r="P396" s="24"/>
      <c r="Q396" s="24">
        <v>172023</v>
      </c>
      <c r="R396" s="24"/>
      <c r="S396" s="24">
        <f>27520+170067</f>
        <v>197587</v>
      </c>
      <c r="T396" s="24"/>
      <c r="U396" s="24">
        <v>352530</v>
      </c>
      <c r="V396" s="24"/>
      <c r="W396" s="24">
        <v>16373</v>
      </c>
      <c r="X396" s="24"/>
      <c r="Y396" s="24">
        <f>633000+49778</f>
        <v>682778</v>
      </c>
      <c r="Z396" s="24"/>
      <c r="AA396" s="24">
        <v>0</v>
      </c>
      <c r="AB396" s="24"/>
      <c r="AC396" s="24">
        <v>0</v>
      </c>
      <c r="AD396" s="24"/>
      <c r="AE396" s="24">
        <f t="shared" si="11"/>
        <v>2907787</v>
      </c>
      <c r="AF396" s="24"/>
      <c r="AG396" s="65">
        <f>-151932+64931+26927</f>
        <v>-60074</v>
      </c>
      <c r="AH396" s="65"/>
      <c r="AI396" s="65">
        <f>2670758+350399+367+1094850</f>
        <v>4116374</v>
      </c>
      <c r="AJ396" s="65"/>
      <c r="AK396" s="65">
        <f>2518824+415330+367+1121777</f>
        <v>4056298</v>
      </c>
      <c r="AM396" s="24">
        <f>+'Gov Rev'!AI393-'Gov Exp'!AE396+'Gov Exp'!AI396-'Gov Exp'!AK396</f>
        <v>0</v>
      </c>
    </row>
    <row r="397" spans="1:39" ht="12.75" hidden="1">
      <c r="A397" s="15" t="s">
        <v>24</v>
      </c>
      <c r="C397" s="15" t="s">
        <v>756</v>
      </c>
      <c r="D397" s="28"/>
      <c r="E397" s="24">
        <v>0</v>
      </c>
      <c r="G397" s="24">
        <v>0</v>
      </c>
      <c r="I397" s="24">
        <v>0</v>
      </c>
      <c r="K397" s="24">
        <v>0</v>
      </c>
      <c r="M397" s="24">
        <v>0</v>
      </c>
      <c r="O397" s="24">
        <v>0</v>
      </c>
      <c r="Q397" s="24">
        <v>0</v>
      </c>
      <c r="S397" s="24">
        <v>0</v>
      </c>
      <c r="U397" s="24">
        <v>0</v>
      </c>
      <c r="W397" s="24">
        <v>0</v>
      </c>
      <c r="Y397" s="24">
        <v>0</v>
      </c>
      <c r="AA397" s="24">
        <v>0</v>
      </c>
      <c r="AC397" s="24">
        <v>0</v>
      </c>
      <c r="AE397" s="24">
        <f t="shared" si="11"/>
        <v>0</v>
      </c>
      <c r="AF397" s="24"/>
      <c r="AM397" s="24">
        <f>+'Gov Rev'!AI394-'Gov Exp'!AE397+'Gov Exp'!AI397-'Gov Exp'!AK397</f>
        <v>0</v>
      </c>
    </row>
    <row r="398" spans="1:39" ht="12.75" hidden="1">
      <c r="A398" s="15" t="s">
        <v>112</v>
      </c>
      <c r="C398" s="15" t="s">
        <v>784</v>
      </c>
      <c r="D398" s="28"/>
      <c r="E398" s="24">
        <v>0</v>
      </c>
      <c r="G398" s="24">
        <v>0</v>
      </c>
      <c r="I398" s="24">
        <v>0</v>
      </c>
      <c r="K398" s="24">
        <v>0</v>
      </c>
      <c r="M398" s="24">
        <v>0</v>
      </c>
      <c r="O398" s="24">
        <v>0</v>
      </c>
      <c r="Q398" s="24">
        <v>0</v>
      </c>
      <c r="S398" s="24">
        <v>0</v>
      </c>
      <c r="U398" s="24">
        <v>0</v>
      </c>
      <c r="W398" s="24">
        <v>0</v>
      </c>
      <c r="Y398" s="24">
        <v>0</v>
      </c>
      <c r="AA398" s="24">
        <v>0</v>
      </c>
      <c r="AC398" s="24">
        <v>0</v>
      </c>
      <c r="AE398" s="24">
        <f t="shared" si="11"/>
        <v>0</v>
      </c>
      <c r="AF398" s="24"/>
      <c r="AM398" s="24">
        <f>+'Gov Rev'!AI395-'Gov Exp'!AE398+'Gov Exp'!AI398-'Gov Exp'!AK398</f>
        <v>0</v>
      </c>
    </row>
    <row r="399" spans="1:39" ht="12.6" hidden="1" customHeight="1">
      <c r="A399" s="15" t="s">
        <v>288</v>
      </c>
      <c r="C399" s="15" t="s">
        <v>287</v>
      </c>
      <c r="E399" s="24">
        <v>0</v>
      </c>
      <c r="G399" s="24">
        <v>0</v>
      </c>
      <c r="I399" s="24">
        <v>0</v>
      </c>
      <c r="K399" s="24">
        <v>0</v>
      </c>
      <c r="M399" s="24">
        <v>0</v>
      </c>
      <c r="O399" s="24">
        <v>0</v>
      </c>
      <c r="Q399" s="24">
        <v>0</v>
      </c>
      <c r="S399" s="24">
        <v>0</v>
      </c>
      <c r="U399" s="24">
        <v>0</v>
      </c>
      <c r="W399" s="24">
        <v>0</v>
      </c>
      <c r="Y399" s="24">
        <v>0</v>
      </c>
      <c r="AA399" s="24">
        <v>0</v>
      </c>
      <c r="AC399" s="24">
        <v>0</v>
      </c>
      <c r="AE399" s="24">
        <f t="shared" si="11"/>
        <v>0</v>
      </c>
      <c r="AF399" s="24"/>
      <c r="AM399" s="24">
        <f>+'Gov Rev'!AI396-'Gov Exp'!AE399+'Gov Exp'!AI399-'Gov Exp'!AK399</f>
        <v>0</v>
      </c>
    </row>
    <row r="400" spans="1:39" s="31" customFormat="1">
      <c r="A400" s="15" t="s">
        <v>551</v>
      </c>
      <c r="B400" s="15"/>
      <c r="C400" s="15" t="s">
        <v>545</v>
      </c>
      <c r="D400" s="15"/>
      <c r="E400" s="24">
        <f>457103+835</f>
        <v>457938</v>
      </c>
      <c r="F400" s="24"/>
      <c r="G400" s="24">
        <v>7454</v>
      </c>
      <c r="H400" s="24"/>
      <c r="I400" s="24">
        <v>24942</v>
      </c>
      <c r="J400" s="24"/>
      <c r="K400" s="24">
        <v>4268</v>
      </c>
      <c r="L400" s="24"/>
      <c r="M400" s="24">
        <v>8225</v>
      </c>
      <c r="N400" s="24"/>
      <c r="O400" s="24">
        <v>282463</v>
      </c>
      <c r="P400" s="24"/>
      <c r="Q400" s="24">
        <f>185392+9548</f>
        <v>194940</v>
      </c>
      <c r="R400" s="24"/>
      <c r="S400" s="24">
        <f>89950+69244+37701</f>
        <v>196895</v>
      </c>
      <c r="T400" s="24"/>
      <c r="U400" s="24">
        <v>0</v>
      </c>
      <c r="V400" s="24"/>
      <c r="W400" s="24">
        <v>0</v>
      </c>
      <c r="X400" s="24"/>
      <c r="Y400" s="24">
        <v>1036000</v>
      </c>
      <c r="Z400" s="24"/>
      <c r="AA400" s="24">
        <v>0</v>
      </c>
      <c r="AB400" s="24"/>
      <c r="AC400" s="24">
        <v>1458</v>
      </c>
      <c r="AD400" s="24"/>
      <c r="AE400" s="24">
        <f t="shared" si="11"/>
        <v>2214583</v>
      </c>
      <c r="AF400" s="24"/>
      <c r="AG400" s="65">
        <f>-37049-199748+261299</f>
        <v>24502</v>
      </c>
      <c r="AH400" s="65"/>
      <c r="AI400" s="65">
        <f>103026+371129+224784</f>
        <v>698939</v>
      </c>
      <c r="AJ400" s="65"/>
      <c r="AK400" s="65">
        <f>65977+171381+486083</f>
        <v>723441</v>
      </c>
      <c r="AM400" s="24">
        <f>+'Gov Rev'!AI397-'Gov Exp'!AE400+'Gov Exp'!AI400-'Gov Exp'!AK400</f>
        <v>0</v>
      </c>
    </row>
    <row r="401" spans="1:39" s="31" customFormat="1" ht="12.6" customHeight="1">
      <c r="A401" s="15" t="s">
        <v>309</v>
      </c>
      <c r="B401" s="15"/>
      <c r="C401" s="15" t="s">
        <v>308</v>
      </c>
      <c r="D401" s="15"/>
      <c r="E401" s="24">
        <v>550</v>
      </c>
      <c r="F401" s="24"/>
      <c r="G401" s="24">
        <v>272</v>
      </c>
      <c r="H401" s="24"/>
      <c r="I401" s="24">
        <v>0</v>
      </c>
      <c r="J401" s="24"/>
      <c r="K401" s="24">
        <v>0</v>
      </c>
      <c r="L401" s="24"/>
      <c r="M401" s="24">
        <f>6918+939</f>
        <v>7857</v>
      </c>
      <c r="N401" s="24"/>
      <c r="O401" s="24">
        <v>0</v>
      </c>
      <c r="P401" s="24"/>
      <c r="Q401" s="24">
        <f>8964+3089</f>
        <v>12053</v>
      </c>
      <c r="R401" s="24"/>
      <c r="S401" s="24">
        <v>0</v>
      </c>
      <c r="T401" s="24"/>
      <c r="U401" s="24">
        <v>0</v>
      </c>
      <c r="V401" s="24"/>
      <c r="W401" s="24">
        <v>0</v>
      </c>
      <c r="X401" s="24"/>
      <c r="Y401" s="24">
        <v>0</v>
      </c>
      <c r="Z401" s="24"/>
      <c r="AA401" s="24">
        <v>0</v>
      </c>
      <c r="AB401" s="24"/>
      <c r="AC401" s="24">
        <v>0</v>
      </c>
      <c r="AD401" s="24"/>
      <c r="AE401" s="24">
        <f t="shared" si="11"/>
        <v>20732</v>
      </c>
      <c r="AF401" s="24"/>
      <c r="AG401" s="65">
        <f>-2412+3497</f>
        <v>1085</v>
      </c>
      <c r="AH401" s="65"/>
      <c r="AI401" s="65">
        <f>3821+21070</f>
        <v>24891</v>
      </c>
      <c r="AJ401" s="65"/>
      <c r="AK401" s="65">
        <f>1409+24567</f>
        <v>25976</v>
      </c>
      <c r="AM401" s="24">
        <f>+'Gov Rev'!AI398-'Gov Exp'!AE401+'Gov Exp'!AI401-'Gov Exp'!AK401</f>
        <v>0</v>
      </c>
    </row>
    <row r="402" spans="1:39">
      <c r="A402" s="15" t="s">
        <v>615</v>
      </c>
      <c r="C402" s="15" t="s">
        <v>614</v>
      </c>
      <c r="E402" s="24">
        <v>6210</v>
      </c>
      <c r="G402" s="24">
        <v>2250</v>
      </c>
      <c r="I402" s="24">
        <v>1031</v>
      </c>
      <c r="K402" s="24">
        <v>229</v>
      </c>
      <c r="M402" s="24">
        <v>0</v>
      </c>
      <c r="O402" s="24">
        <v>25760</v>
      </c>
      <c r="Q402" s="24">
        <v>40579</v>
      </c>
      <c r="S402" s="24">
        <v>36876</v>
      </c>
      <c r="U402" s="24">
        <v>83343</v>
      </c>
      <c r="W402" s="24">
        <v>0</v>
      </c>
      <c r="Y402" s="24">
        <v>0</v>
      </c>
      <c r="AA402" s="24">
        <v>0</v>
      </c>
      <c r="AC402" s="24">
        <v>0</v>
      </c>
      <c r="AE402" s="24">
        <f t="shared" si="11"/>
        <v>196278</v>
      </c>
      <c r="AF402" s="24"/>
      <c r="AG402" s="64">
        <f>-1871-11446+1977</f>
        <v>-11340</v>
      </c>
      <c r="AI402" s="64">
        <f>64871+134384+105759</f>
        <v>305014</v>
      </c>
      <c r="AK402" s="64">
        <f>63001+122938+107736</f>
        <v>293675</v>
      </c>
      <c r="AM402" s="24">
        <f>+'Gov Rev'!AI399-'Gov Exp'!AE402+'Gov Exp'!AI402-'Gov Exp'!AK402</f>
        <v>0</v>
      </c>
    </row>
    <row r="403" spans="1:39" ht="12.75" hidden="1">
      <c r="A403" s="15" t="s">
        <v>37</v>
      </c>
      <c r="C403" s="15" t="s">
        <v>761</v>
      </c>
      <c r="D403" s="28"/>
      <c r="E403" s="24">
        <v>0</v>
      </c>
      <c r="G403" s="24">
        <v>0</v>
      </c>
      <c r="I403" s="24">
        <v>0</v>
      </c>
      <c r="K403" s="24">
        <v>0</v>
      </c>
      <c r="M403" s="24">
        <v>0</v>
      </c>
      <c r="O403" s="24">
        <v>0</v>
      </c>
      <c r="Q403" s="24">
        <v>0</v>
      </c>
      <c r="S403" s="24">
        <v>0</v>
      </c>
      <c r="U403" s="24">
        <v>0</v>
      </c>
      <c r="W403" s="24">
        <v>0</v>
      </c>
      <c r="Y403" s="24">
        <v>0</v>
      </c>
      <c r="AA403" s="24">
        <v>0</v>
      </c>
      <c r="AC403" s="24">
        <v>0</v>
      </c>
      <c r="AE403" s="24">
        <f t="shared" si="11"/>
        <v>0</v>
      </c>
      <c r="AF403" s="24"/>
      <c r="AM403" s="24">
        <f>+'Gov Rev'!AI400-'Gov Exp'!AE403+'Gov Exp'!AI403-'Gov Exp'!AK403</f>
        <v>0</v>
      </c>
    </row>
    <row r="404" spans="1:39" s="31" customFormat="1" ht="12.6" customHeight="1">
      <c r="A404" s="15" t="s">
        <v>355</v>
      </c>
      <c r="B404" s="15"/>
      <c r="C404" s="15" t="s">
        <v>353</v>
      </c>
      <c r="D404" s="15"/>
      <c r="E404" s="24">
        <f>2498333+12020</f>
        <v>2510353</v>
      </c>
      <c r="F404" s="24"/>
      <c r="G404" s="24">
        <v>0</v>
      </c>
      <c r="H404" s="24"/>
      <c r="I404" s="24">
        <v>2816</v>
      </c>
      <c r="J404" s="24"/>
      <c r="K404" s="24">
        <f>1219071+31650+10631081+1850000+537001</f>
        <v>14268803</v>
      </c>
      <c r="L404" s="24"/>
      <c r="M404" s="24">
        <v>0</v>
      </c>
      <c r="N404" s="24"/>
      <c r="O404" s="24">
        <f>1654870+44692</f>
        <v>1699562</v>
      </c>
      <c r="P404" s="24"/>
      <c r="Q404" s="24">
        <f>3065501+99766+179385</f>
        <v>3344652</v>
      </c>
      <c r="R404" s="24"/>
      <c r="S404" s="24">
        <f>667036+498179+5585338</f>
        <v>6750553</v>
      </c>
      <c r="T404" s="24"/>
      <c r="U404" s="24">
        <f>104989+829626</f>
        <v>934615</v>
      </c>
      <c r="V404" s="24"/>
      <c r="W404" s="24">
        <f>11757+10181+1253247</f>
        <v>1275185</v>
      </c>
      <c r="X404" s="24"/>
      <c r="Y404" s="24">
        <f>1452220+474038+114790+1449606</f>
        <v>3490654</v>
      </c>
      <c r="Z404" s="24"/>
      <c r="AA404" s="24">
        <v>0</v>
      </c>
      <c r="AB404" s="24"/>
      <c r="AC404" s="24">
        <v>0</v>
      </c>
      <c r="AD404" s="24"/>
      <c r="AE404" s="24">
        <f t="shared" si="11"/>
        <v>34277193</v>
      </c>
      <c r="AF404" s="24"/>
      <c r="AG404" s="65">
        <f>1037429-102600-16376-2469665+515329</f>
        <v>-1035883</v>
      </c>
      <c r="AH404" s="65"/>
      <c r="AI404" s="65">
        <f>6919911+102600+444455+150092+8271184</f>
        <v>15888242</v>
      </c>
      <c r="AJ404" s="65"/>
      <c r="AK404" s="65">
        <f>7957340+428079-2319573+8786513</f>
        <v>14852359</v>
      </c>
      <c r="AM404" s="24">
        <f>+'Gov Rev'!AI401-'Gov Exp'!AE404+'Gov Exp'!AI404-'Gov Exp'!AK404</f>
        <v>0</v>
      </c>
    </row>
    <row r="405" spans="1:39" ht="12.75" hidden="1">
      <c r="A405" s="15" t="s">
        <v>103</v>
      </c>
      <c r="C405" s="15" t="s">
        <v>781</v>
      </c>
      <c r="D405" s="28"/>
      <c r="E405" s="24">
        <v>0</v>
      </c>
      <c r="G405" s="24">
        <v>0</v>
      </c>
      <c r="I405" s="24">
        <v>0</v>
      </c>
      <c r="K405" s="24">
        <v>0</v>
      </c>
      <c r="M405" s="24">
        <v>0</v>
      </c>
      <c r="O405" s="24">
        <v>0</v>
      </c>
      <c r="Q405" s="24">
        <v>0</v>
      </c>
      <c r="S405" s="24">
        <v>0</v>
      </c>
      <c r="U405" s="24">
        <v>0</v>
      </c>
      <c r="W405" s="24">
        <v>0</v>
      </c>
      <c r="Y405" s="24">
        <v>0</v>
      </c>
      <c r="AA405" s="24">
        <v>0</v>
      </c>
      <c r="AC405" s="24">
        <v>0</v>
      </c>
      <c r="AE405" s="24">
        <f t="shared" si="11"/>
        <v>0</v>
      </c>
      <c r="AF405" s="24"/>
      <c r="AM405" s="24">
        <f>+'Gov Rev'!AI402-'Gov Exp'!AE405+'Gov Exp'!AI405-'Gov Exp'!AK405</f>
        <v>0</v>
      </c>
    </row>
    <row r="406" spans="1:39" ht="12.75" hidden="1">
      <c r="A406" s="15" t="s">
        <v>109</v>
      </c>
      <c r="C406" s="15" t="s">
        <v>782</v>
      </c>
      <c r="D406" s="28"/>
      <c r="E406" s="24">
        <v>0</v>
      </c>
      <c r="G406" s="24">
        <v>0</v>
      </c>
      <c r="I406" s="24">
        <v>0</v>
      </c>
      <c r="K406" s="24">
        <v>0</v>
      </c>
      <c r="M406" s="24">
        <v>0</v>
      </c>
      <c r="O406" s="24">
        <v>0</v>
      </c>
      <c r="Q406" s="24">
        <v>0</v>
      </c>
      <c r="S406" s="24">
        <v>0</v>
      </c>
      <c r="U406" s="24">
        <v>0</v>
      </c>
      <c r="W406" s="24">
        <v>0</v>
      </c>
      <c r="Y406" s="24">
        <v>0</v>
      </c>
      <c r="AA406" s="24">
        <v>0</v>
      </c>
      <c r="AC406" s="24">
        <v>0</v>
      </c>
      <c r="AE406" s="24">
        <f t="shared" si="11"/>
        <v>0</v>
      </c>
      <c r="AF406" s="24"/>
      <c r="AM406" s="24">
        <f>+'Gov Rev'!AI403-'Gov Exp'!AE406+'Gov Exp'!AI406-'Gov Exp'!AK406</f>
        <v>0</v>
      </c>
    </row>
    <row r="407" spans="1:39" hidden="1">
      <c r="A407" s="15" t="s">
        <v>149</v>
      </c>
      <c r="C407" s="15" t="s">
        <v>464</v>
      </c>
      <c r="E407" s="24">
        <v>0</v>
      </c>
      <c r="G407" s="24">
        <v>0</v>
      </c>
      <c r="I407" s="24">
        <v>0</v>
      </c>
      <c r="K407" s="24">
        <v>0</v>
      </c>
      <c r="M407" s="24">
        <v>0</v>
      </c>
      <c r="O407" s="24">
        <v>0</v>
      </c>
      <c r="Q407" s="24">
        <v>0</v>
      </c>
      <c r="S407" s="24">
        <v>0</v>
      </c>
      <c r="U407" s="24">
        <v>0</v>
      </c>
      <c r="W407" s="24">
        <v>0</v>
      </c>
      <c r="Y407" s="24">
        <v>0</v>
      </c>
      <c r="AA407" s="24">
        <v>0</v>
      </c>
      <c r="AC407" s="24">
        <v>0</v>
      </c>
      <c r="AE407" s="24">
        <f t="shared" si="11"/>
        <v>0</v>
      </c>
      <c r="AF407" s="24"/>
      <c r="AM407" s="24">
        <f>+'Gov Rev'!AI404-'Gov Exp'!AE407+'Gov Exp'!AI407-'Gov Exp'!AK407</f>
        <v>0</v>
      </c>
    </row>
    <row r="408" spans="1:39" s="31" customFormat="1" hidden="1">
      <c r="A408" s="15" t="s">
        <v>533</v>
      </c>
      <c r="B408" s="15"/>
      <c r="C408" s="15" t="s">
        <v>534</v>
      </c>
      <c r="D408" s="15"/>
      <c r="E408" s="24">
        <v>0</v>
      </c>
      <c r="F408" s="24"/>
      <c r="G408" s="24">
        <v>0</v>
      </c>
      <c r="H408" s="24"/>
      <c r="I408" s="24">
        <v>0</v>
      </c>
      <c r="J408" s="24"/>
      <c r="K408" s="24">
        <v>0</v>
      </c>
      <c r="L408" s="24"/>
      <c r="M408" s="24">
        <v>0</v>
      </c>
      <c r="N408" s="24"/>
      <c r="O408" s="24">
        <v>0</v>
      </c>
      <c r="P408" s="24"/>
      <c r="Q408" s="24">
        <v>0</v>
      </c>
      <c r="R408" s="24"/>
      <c r="S408" s="24">
        <v>0</v>
      </c>
      <c r="T408" s="24"/>
      <c r="U408" s="24">
        <v>0</v>
      </c>
      <c r="V408" s="24"/>
      <c r="W408" s="24">
        <v>0</v>
      </c>
      <c r="X408" s="24"/>
      <c r="Y408" s="24">
        <v>0</v>
      </c>
      <c r="Z408" s="24"/>
      <c r="AA408" s="24">
        <v>0</v>
      </c>
      <c r="AB408" s="24"/>
      <c r="AC408" s="24">
        <v>0</v>
      </c>
      <c r="AD408" s="24"/>
      <c r="AE408" s="24">
        <f t="shared" si="11"/>
        <v>0</v>
      </c>
      <c r="AF408" s="24"/>
      <c r="AG408" s="65"/>
      <c r="AH408" s="65"/>
      <c r="AI408" s="65"/>
      <c r="AJ408" s="65"/>
      <c r="AK408" s="65"/>
      <c r="AM408" s="24">
        <f>+'Gov Rev'!AI405-'Gov Exp'!AE408+'Gov Exp'!AI408-'Gov Exp'!AK408</f>
        <v>0</v>
      </c>
    </row>
    <row r="409" spans="1:39" ht="12.6" customHeight="1">
      <c r="A409" s="15" t="s">
        <v>277</v>
      </c>
      <c r="C409" s="15" t="s">
        <v>275</v>
      </c>
      <c r="E409" s="24">
        <f>934266+97574</f>
        <v>1031840</v>
      </c>
      <c r="G409" s="24">
        <v>15299</v>
      </c>
      <c r="I409" s="24">
        <f>24155+252402</f>
        <v>276557</v>
      </c>
      <c r="K409" s="24">
        <v>0</v>
      </c>
      <c r="M409" s="24">
        <v>0</v>
      </c>
      <c r="O409" s="24">
        <f>183722+549487</f>
        <v>733209</v>
      </c>
      <c r="Q409" s="24">
        <f>411118+3783</f>
        <v>414901</v>
      </c>
      <c r="S409" s="24">
        <v>1340630</v>
      </c>
      <c r="U409" s="24">
        <v>0</v>
      </c>
      <c r="W409" s="24">
        <v>0</v>
      </c>
      <c r="Y409" s="24">
        <v>825000</v>
      </c>
      <c r="AA409" s="24">
        <v>0</v>
      </c>
      <c r="AC409" s="24">
        <v>0</v>
      </c>
      <c r="AE409" s="24">
        <f t="shared" si="11"/>
        <v>4637436</v>
      </c>
      <c r="AF409" s="24"/>
      <c r="AG409" s="64">
        <f>-219664+191419</f>
        <v>-28245</v>
      </c>
      <c r="AI409" s="64">
        <f>2264732+194852</f>
        <v>2459584</v>
      </c>
      <c r="AK409" s="64">
        <f>2045068+386271</f>
        <v>2431339</v>
      </c>
      <c r="AM409" s="24">
        <f>+'Gov Rev'!AI406-'Gov Exp'!AE409+'Gov Exp'!AI409-'Gov Exp'!AK409</f>
        <v>0</v>
      </c>
    </row>
    <row r="410" spans="1:39" s="31" customFormat="1">
      <c r="A410" s="15" t="s">
        <v>490</v>
      </c>
      <c r="B410" s="15"/>
      <c r="C410" s="15" t="s">
        <v>488</v>
      </c>
      <c r="D410" s="15"/>
      <c r="E410" s="24">
        <f>245043+205715</f>
        <v>450758</v>
      </c>
      <c r="F410" s="24"/>
      <c r="G410" s="24">
        <v>0</v>
      </c>
      <c r="H410" s="24"/>
      <c r="I410" s="24">
        <v>34642</v>
      </c>
      <c r="J410" s="24"/>
      <c r="K410" s="24">
        <v>0</v>
      </c>
      <c r="L410" s="24"/>
      <c r="M410" s="24">
        <v>0</v>
      </c>
      <c r="N410" s="24"/>
      <c r="O410" s="24">
        <v>203028</v>
      </c>
      <c r="P410" s="24"/>
      <c r="Q410" s="24">
        <f>492196+1486+1425</f>
        <v>495107</v>
      </c>
      <c r="R410" s="24"/>
      <c r="S410" s="24">
        <f>31363+195920+3796</f>
        <v>231079</v>
      </c>
      <c r="T410" s="24"/>
      <c r="U410" s="24">
        <f>96549+83418+61725</f>
        <v>241692</v>
      </c>
      <c r="V410" s="24"/>
      <c r="W410" s="24">
        <v>0</v>
      </c>
      <c r="X410" s="24"/>
      <c r="Y410" s="24">
        <f>272934+8275</f>
        <v>281209</v>
      </c>
      <c r="Z410" s="24"/>
      <c r="AA410" s="24">
        <v>0</v>
      </c>
      <c r="AB410" s="24"/>
      <c r="AC410" s="24">
        <v>2184</v>
      </c>
      <c r="AD410" s="24"/>
      <c r="AE410" s="24">
        <f t="shared" si="11"/>
        <v>1939699</v>
      </c>
      <c r="AF410" s="24"/>
      <c r="AG410" s="65">
        <f>-228932+21831-5144-3796</f>
        <v>-216041</v>
      </c>
      <c r="AH410" s="65"/>
      <c r="AI410" s="65">
        <f>355169+198804+14341+3796</f>
        <v>572110</v>
      </c>
      <c r="AJ410" s="65"/>
      <c r="AK410" s="65">
        <f>126237+220636+9197-1</f>
        <v>356069</v>
      </c>
      <c r="AM410" s="24">
        <f>+'Gov Rev'!AI407-'Gov Exp'!AE410+'Gov Exp'!AI410-'Gov Exp'!AK410</f>
        <v>0</v>
      </c>
    </row>
    <row r="411" spans="1:39" s="31" customFormat="1" hidden="1">
      <c r="A411" s="15"/>
      <c r="B411" s="15"/>
      <c r="C411" s="15"/>
      <c r="D411" s="15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 t="s">
        <v>869</v>
      </c>
      <c r="AF411" s="24"/>
      <c r="AG411" s="65"/>
      <c r="AH411" s="65"/>
      <c r="AI411" s="65"/>
      <c r="AJ411" s="65"/>
      <c r="AK411" s="65"/>
      <c r="AM411" s="24"/>
    </row>
    <row r="412" spans="1:39" s="41" customFormat="1" ht="12.75" hidden="1">
      <c r="A412" s="41" t="s">
        <v>189</v>
      </c>
      <c r="C412" s="41" t="s">
        <v>809</v>
      </c>
      <c r="D412" s="83"/>
      <c r="E412" s="41">
        <v>0</v>
      </c>
      <c r="G412" s="41">
        <v>0</v>
      </c>
      <c r="I412" s="41">
        <v>0</v>
      </c>
      <c r="K412" s="41">
        <v>0</v>
      </c>
      <c r="M412" s="41">
        <v>0</v>
      </c>
      <c r="O412" s="41">
        <v>0</v>
      </c>
      <c r="Q412" s="41">
        <v>0</v>
      </c>
      <c r="S412" s="41">
        <v>0</v>
      </c>
      <c r="U412" s="41">
        <v>0</v>
      </c>
      <c r="W412" s="41">
        <v>0</v>
      </c>
      <c r="Y412" s="41">
        <v>0</v>
      </c>
      <c r="AA412" s="41">
        <v>0</v>
      </c>
      <c r="AC412" s="41">
        <v>0</v>
      </c>
      <c r="AE412" s="41">
        <f t="shared" ref="AE412:AE443" si="12">SUM(E412:AC412)</f>
        <v>0</v>
      </c>
      <c r="AG412" s="64"/>
      <c r="AH412" s="64"/>
      <c r="AI412" s="64"/>
      <c r="AJ412" s="64"/>
      <c r="AK412" s="64"/>
      <c r="AM412" s="24">
        <f>+'Gov Rev'!AI408-'Gov Exp'!AE412+'Gov Exp'!AI412-'Gov Exp'!AK412</f>
        <v>0</v>
      </c>
    </row>
    <row r="413" spans="1:39" ht="12.75" hidden="1">
      <c r="A413" s="15" t="s">
        <v>12</v>
      </c>
      <c r="C413" s="15" t="s">
        <v>754</v>
      </c>
      <c r="D413" s="28"/>
      <c r="E413" s="24">
        <v>0</v>
      </c>
      <c r="G413" s="24">
        <v>0</v>
      </c>
      <c r="I413" s="24">
        <v>0</v>
      </c>
      <c r="K413" s="24">
        <v>0</v>
      </c>
      <c r="M413" s="24">
        <v>0</v>
      </c>
      <c r="O413" s="24">
        <v>0</v>
      </c>
      <c r="Q413" s="24">
        <v>0</v>
      </c>
      <c r="S413" s="24">
        <v>0</v>
      </c>
      <c r="U413" s="24">
        <v>0</v>
      </c>
      <c r="W413" s="24">
        <v>0</v>
      </c>
      <c r="Y413" s="24">
        <v>0</v>
      </c>
      <c r="AA413" s="24">
        <v>0</v>
      </c>
      <c r="AC413" s="24">
        <v>0</v>
      </c>
      <c r="AE413" s="24">
        <f t="shared" si="12"/>
        <v>0</v>
      </c>
      <c r="AF413" s="24"/>
      <c r="AM413" s="24">
        <f>+'Gov Rev'!AI409-'Gov Exp'!AE413+'Gov Exp'!AI413-'Gov Exp'!AK413</f>
        <v>0</v>
      </c>
    </row>
    <row r="414" spans="1:39" s="31" customFormat="1">
      <c r="A414" s="15" t="s">
        <v>484</v>
      </c>
      <c r="B414" s="15"/>
      <c r="C414" s="15" t="s">
        <v>482</v>
      </c>
      <c r="D414" s="15"/>
      <c r="E414" s="24">
        <v>1304801</v>
      </c>
      <c r="F414" s="24"/>
      <c r="G414" s="24">
        <v>0</v>
      </c>
      <c r="H414" s="24"/>
      <c r="I414" s="24">
        <v>85515</v>
      </c>
      <c r="J414" s="24"/>
      <c r="K414" s="24">
        <v>24158</v>
      </c>
      <c r="L414" s="24"/>
      <c r="M414" s="24">
        <v>0</v>
      </c>
      <c r="N414" s="24"/>
      <c r="O414" s="24">
        <v>209453</v>
      </c>
      <c r="P414" s="24"/>
      <c r="Q414" s="24">
        <f>161790+170964</f>
        <v>332754</v>
      </c>
      <c r="R414" s="24"/>
      <c r="S414" s="24">
        <f>77316+120733+432300</f>
        <v>630349</v>
      </c>
      <c r="T414" s="24"/>
      <c r="U414" s="24">
        <f>408476+609920+173144+315665</f>
        <v>1507205</v>
      </c>
      <c r="V414" s="24"/>
      <c r="W414" s="24">
        <v>0</v>
      </c>
      <c r="X414" s="24"/>
      <c r="Y414" s="24">
        <f>2941+649328</f>
        <v>652269</v>
      </c>
      <c r="Z414" s="24"/>
      <c r="AA414" s="24">
        <v>0</v>
      </c>
      <c r="AB414" s="24"/>
      <c r="AC414" s="24">
        <f>427964+15636</f>
        <v>443600</v>
      </c>
      <c r="AD414" s="24"/>
      <c r="AE414" s="24">
        <f t="shared" si="12"/>
        <v>5190104</v>
      </c>
      <c r="AF414" s="24"/>
      <c r="AG414" s="65">
        <f>10044-75915-4755-1019001</f>
        <v>-1089627</v>
      </c>
      <c r="AH414" s="65"/>
      <c r="AI414" s="65">
        <f>848004+602251+173327+198502</f>
        <v>1822084</v>
      </c>
      <c r="AJ414" s="65"/>
      <c r="AK414" s="65">
        <f>858048+526336+168572+96601</f>
        <v>1649557</v>
      </c>
      <c r="AM414" s="24">
        <f>+'Gov Rev'!AI410-'Gov Exp'!AE414+'Gov Exp'!AI414-'Gov Exp'!AK414</f>
        <v>0</v>
      </c>
    </row>
    <row r="415" spans="1:39" s="31" customFormat="1">
      <c r="A415" s="15" t="s">
        <v>417</v>
      </c>
      <c r="B415" s="15"/>
      <c r="C415" s="15" t="s">
        <v>416</v>
      </c>
      <c r="D415" s="15"/>
      <c r="E415" s="24">
        <v>309504</v>
      </c>
      <c r="F415" s="24"/>
      <c r="G415" s="24">
        <v>1992</v>
      </c>
      <c r="H415" s="24"/>
      <c r="I415" s="24">
        <v>0</v>
      </c>
      <c r="J415" s="24"/>
      <c r="K415" s="24">
        <v>3061</v>
      </c>
      <c r="L415" s="24"/>
      <c r="M415" s="24">
        <v>0</v>
      </c>
      <c r="N415" s="24"/>
      <c r="O415" s="24">
        <v>0</v>
      </c>
      <c r="P415" s="24"/>
      <c r="Q415" s="24">
        <f>206095+185699</f>
        <v>391794</v>
      </c>
      <c r="R415" s="24"/>
      <c r="S415" s="24">
        <f>7848+68173</f>
        <v>76021</v>
      </c>
      <c r="T415" s="24"/>
      <c r="U415" s="24">
        <v>28045</v>
      </c>
      <c r="V415" s="24"/>
      <c r="W415" s="24">
        <v>0</v>
      </c>
      <c r="X415" s="24"/>
      <c r="Y415" s="24">
        <f>95402+252525</f>
        <v>347927</v>
      </c>
      <c r="Z415" s="24"/>
      <c r="AA415" s="24">
        <v>0</v>
      </c>
      <c r="AB415" s="24"/>
      <c r="AC415" s="24">
        <v>0</v>
      </c>
      <c r="AD415" s="24"/>
      <c r="AE415" s="24">
        <f t="shared" si="12"/>
        <v>1158344</v>
      </c>
      <c r="AF415" s="24"/>
      <c r="AG415" s="65">
        <f>47766+29803+15729</f>
        <v>93298</v>
      </c>
      <c r="AH415" s="65"/>
      <c r="AI415" s="65">
        <f>403601+249445+149273</f>
        <v>802319</v>
      </c>
      <c r="AJ415" s="65"/>
      <c r="AK415" s="65">
        <f>451367+279249+165002</f>
        <v>895618</v>
      </c>
      <c r="AM415" s="24">
        <f>+'Gov Rev'!AI411-'Gov Exp'!AE415+'Gov Exp'!AI415-'Gov Exp'!AK415</f>
        <v>0</v>
      </c>
    </row>
    <row r="416" spans="1:39" ht="12.75" hidden="1">
      <c r="A416" s="15" t="s">
        <v>53</v>
      </c>
      <c r="C416" s="15" t="s">
        <v>767</v>
      </c>
      <c r="D416" s="28"/>
      <c r="E416" s="24">
        <v>0</v>
      </c>
      <c r="G416" s="24">
        <v>0</v>
      </c>
      <c r="I416" s="24">
        <v>0</v>
      </c>
      <c r="K416" s="24">
        <v>0</v>
      </c>
      <c r="M416" s="24">
        <v>0</v>
      </c>
      <c r="O416" s="24">
        <v>0</v>
      </c>
      <c r="Q416" s="24">
        <v>0</v>
      </c>
      <c r="S416" s="24">
        <v>0</v>
      </c>
      <c r="U416" s="24">
        <v>0</v>
      </c>
      <c r="W416" s="24">
        <v>0</v>
      </c>
      <c r="Y416" s="24">
        <v>0</v>
      </c>
      <c r="AA416" s="24">
        <v>0</v>
      </c>
      <c r="AC416" s="24">
        <v>0</v>
      </c>
      <c r="AE416" s="24">
        <f t="shared" si="12"/>
        <v>0</v>
      </c>
      <c r="AF416" s="24"/>
      <c r="AM416" s="24">
        <f>+'Gov Rev'!AI412-'Gov Exp'!AE416+'Gov Exp'!AI416-'Gov Exp'!AK416</f>
        <v>0</v>
      </c>
    </row>
    <row r="417" spans="1:39" ht="12.75" hidden="1">
      <c r="A417" s="15" t="s">
        <v>145</v>
      </c>
      <c r="C417" s="15" t="s">
        <v>795</v>
      </c>
      <c r="D417" s="28"/>
      <c r="E417" s="24">
        <v>0</v>
      </c>
      <c r="G417" s="24">
        <v>0</v>
      </c>
      <c r="I417" s="24">
        <v>0</v>
      </c>
      <c r="K417" s="24">
        <v>0</v>
      </c>
      <c r="M417" s="24">
        <v>0</v>
      </c>
      <c r="O417" s="24">
        <v>0</v>
      </c>
      <c r="Q417" s="24">
        <v>0</v>
      </c>
      <c r="S417" s="24">
        <v>0</v>
      </c>
      <c r="U417" s="24">
        <v>0</v>
      </c>
      <c r="W417" s="24">
        <v>0</v>
      </c>
      <c r="Y417" s="24">
        <v>0</v>
      </c>
      <c r="AA417" s="24">
        <v>0</v>
      </c>
      <c r="AC417" s="24">
        <v>0</v>
      </c>
      <c r="AE417" s="24">
        <f t="shared" si="12"/>
        <v>0</v>
      </c>
      <c r="AF417" s="24"/>
      <c r="AM417" s="24">
        <f>+'Gov Rev'!AI413-'Gov Exp'!AE417+'Gov Exp'!AI417-'Gov Exp'!AK417</f>
        <v>0</v>
      </c>
    </row>
    <row r="418" spans="1:39" hidden="1">
      <c r="A418" s="15" t="s">
        <v>514</v>
      </c>
      <c r="C418" s="15" t="s">
        <v>513</v>
      </c>
      <c r="E418" s="24">
        <v>0</v>
      </c>
      <c r="G418" s="24">
        <v>0</v>
      </c>
      <c r="I418" s="24">
        <v>0</v>
      </c>
      <c r="K418" s="24">
        <v>0</v>
      </c>
      <c r="M418" s="24">
        <v>0</v>
      </c>
      <c r="O418" s="24">
        <v>0</v>
      </c>
      <c r="Q418" s="24">
        <v>0</v>
      </c>
      <c r="S418" s="24">
        <v>0</v>
      </c>
      <c r="U418" s="24">
        <v>0</v>
      </c>
      <c r="W418" s="24">
        <v>0</v>
      </c>
      <c r="Y418" s="24">
        <v>0</v>
      </c>
      <c r="AA418" s="24">
        <v>0</v>
      </c>
      <c r="AC418" s="24">
        <v>0</v>
      </c>
      <c r="AE418" s="24">
        <f t="shared" si="12"/>
        <v>0</v>
      </c>
      <c r="AF418" s="24"/>
      <c r="AM418" s="24">
        <f>+'Gov Rev'!AI414-'Gov Exp'!AE418+'Gov Exp'!AI418-'Gov Exp'!AK418</f>
        <v>0</v>
      </c>
    </row>
    <row r="419" spans="1:39" s="24" customFormat="1" ht="12.75" hidden="1">
      <c r="A419" s="24" t="s">
        <v>38</v>
      </c>
      <c r="C419" s="24" t="s">
        <v>761</v>
      </c>
      <c r="D419" s="85"/>
      <c r="E419" s="24">
        <v>0</v>
      </c>
      <c r="G419" s="24">
        <v>0</v>
      </c>
      <c r="I419" s="24">
        <v>0</v>
      </c>
      <c r="K419" s="24">
        <v>0</v>
      </c>
      <c r="M419" s="24">
        <v>0</v>
      </c>
      <c r="O419" s="24">
        <v>0</v>
      </c>
      <c r="Q419" s="24">
        <v>0</v>
      </c>
      <c r="S419" s="24">
        <v>0</v>
      </c>
      <c r="U419" s="24">
        <v>0</v>
      </c>
      <c r="W419" s="24">
        <v>0</v>
      </c>
      <c r="Y419" s="24">
        <v>0</v>
      </c>
      <c r="AA419" s="24">
        <v>0</v>
      </c>
      <c r="AC419" s="24">
        <v>0</v>
      </c>
      <c r="AE419" s="24">
        <f t="shared" si="12"/>
        <v>0</v>
      </c>
      <c r="AG419" s="64"/>
      <c r="AH419" s="64"/>
      <c r="AI419" s="64"/>
      <c r="AJ419" s="64"/>
      <c r="AK419" s="64"/>
      <c r="AM419" s="24">
        <f>+'Gov Rev'!AI415-'Gov Exp'!AE419+'Gov Exp'!AI419-'Gov Exp'!AK419</f>
        <v>0</v>
      </c>
    </row>
    <row r="420" spans="1:39" ht="12.75" hidden="1">
      <c r="A420" s="15" t="s">
        <v>220</v>
      </c>
      <c r="C420" s="15" t="s">
        <v>818</v>
      </c>
      <c r="D420" s="28"/>
      <c r="E420" s="24">
        <v>0</v>
      </c>
      <c r="G420" s="24">
        <v>0</v>
      </c>
      <c r="I420" s="24">
        <v>0</v>
      </c>
      <c r="K420" s="24">
        <v>0</v>
      </c>
      <c r="M420" s="24">
        <v>0</v>
      </c>
      <c r="O420" s="24">
        <v>0</v>
      </c>
      <c r="Q420" s="24">
        <v>0</v>
      </c>
      <c r="S420" s="24">
        <v>0</v>
      </c>
      <c r="U420" s="24">
        <v>0</v>
      </c>
      <c r="W420" s="24">
        <v>0</v>
      </c>
      <c r="Y420" s="24">
        <v>0</v>
      </c>
      <c r="AA420" s="24">
        <v>0</v>
      </c>
      <c r="AC420" s="24">
        <v>0</v>
      </c>
      <c r="AE420" s="24">
        <f t="shared" si="12"/>
        <v>0</v>
      </c>
      <c r="AF420" s="24"/>
      <c r="AM420" s="24">
        <f>+'Gov Rev'!AI416-'Gov Exp'!AE420+'Gov Exp'!AI420-'Gov Exp'!AK420</f>
        <v>0</v>
      </c>
    </row>
    <row r="421" spans="1:39" hidden="1">
      <c r="A421" s="15" t="s">
        <v>712</v>
      </c>
      <c r="C421" s="15" t="s">
        <v>504</v>
      </c>
      <c r="E421" s="24">
        <v>0</v>
      </c>
      <c r="G421" s="24">
        <v>0</v>
      </c>
      <c r="I421" s="24">
        <v>0</v>
      </c>
      <c r="K421" s="24">
        <v>0</v>
      </c>
      <c r="M421" s="24">
        <v>0</v>
      </c>
      <c r="O421" s="24">
        <v>0</v>
      </c>
      <c r="Q421" s="24">
        <v>0</v>
      </c>
      <c r="S421" s="24">
        <v>0</v>
      </c>
      <c r="U421" s="24">
        <v>0</v>
      </c>
      <c r="W421" s="24">
        <v>0</v>
      </c>
      <c r="Y421" s="24">
        <v>0</v>
      </c>
      <c r="AA421" s="24">
        <v>0</v>
      </c>
      <c r="AC421" s="24">
        <v>0</v>
      </c>
      <c r="AE421" s="24">
        <f t="shared" si="12"/>
        <v>0</v>
      </c>
      <c r="AF421" s="24"/>
      <c r="AM421" s="24">
        <f>+'Gov Rev'!AI417-'Gov Exp'!AE421+'Gov Exp'!AI421-'Gov Exp'!AK421</f>
        <v>0</v>
      </c>
    </row>
    <row r="422" spans="1:39" ht="12.75" hidden="1">
      <c r="A422" s="15" t="s">
        <v>41</v>
      </c>
      <c r="C422" s="15" t="s">
        <v>762</v>
      </c>
      <c r="D422" s="28"/>
      <c r="E422" s="24">
        <v>0</v>
      </c>
      <c r="G422" s="24">
        <v>0</v>
      </c>
      <c r="I422" s="24">
        <v>0</v>
      </c>
      <c r="K422" s="24">
        <v>0</v>
      </c>
      <c r="M422" s="24">
        <v>0</v>
      </c>
      <c r="O422" s="24">
        <v>0</v>
      </c>
      <c r="Q422" s="24">
        <v>0</v>
      </c>
      <c r="S422" s="24">
        <v>0</v>
      </c>
      <c r="U422" s="24">
        <v>0</v>
      </c>
      <c r="W422" s="24">
        <v>0</v>
      </c>
      <c r="Y422" s="24">
        <v>0</v>
      </c>
      <c r="AA422" s="24">
        <v>0</v>
      </c>
      <c r="AC422" s="24">
        <v>0</v>
      </c>
      <c r="AE422" s="24">
        <f t="shared" si="12"/>
        <v>0</v>
      </c>
      <c r="AF422" s="41"/>
      <c r="AM422" s="24">
        <f>+'Gov Rev'!AI418-'Gov Exp'!AE422+'Gov Exp'!AI422-'Gov Exp'!AK422</f>
        <v>0</v>
      </c>
    </row>
    <row r="423" spans="1:39" s="31" customFormat="1" ht="12.6" hidden="1" customHeight="1">
      <c r="A423" s="15" t="s">
        <v>313</v>
      </c>
      <c r="B423" s="15"/>
      <c r="C423" s="15" t="s">
        <v>312</v>
      </c>
      <c r="D423" s="15"/>
      <c r="E423" s="24">
        <v>0</v>
      </c>
      <c r="F423" s="24"/>
      <c r="G423" s="24">
        <v>0</v>
      </c>
      <c r="H423" s="24"/>
      <c r="I423" s="24">
        <v>0</v>
      </c>
      <c r="J423" s="24"/>
      <c r="K423" s="24">
        <v>0</v>
      </c>
      <c r="L423" s="24"/>
      <c r="M423" s="24">
        <v>0</v>
      </c>
      <c r="N423" s="24"/>
      <c r="O423" s="24">
        <v>0</v>
      </c>
      <c r="P423" s="24"/>
      <c r="Q423" s="24">
        <v>0</v>
      </c>
      <c r="R423" s="24"/>
      <c r="S423" s="24">
        <v>0</v>
      </c>
      <c r="T423" s="24"/>
      <c r="U423" s="24">
        <v>0</v>
      </c>
      <c r="V423" s="24"/>
      <c r="W423" s="24">
        <v>0</v>
      </c>
      <c r="X423" s="24"/>
      <c r="Y423" s="24">
        <v>0</v>
      </c>
      <c r="Z423" s="24"/>
      <c r="AA423" s="24">
        <v>0</v>
      </c>
      <c r="AB423" s="24"/>
      <c r="AC423" s="24">
        <v>0</v>
      </c>
      <c r="AD423" s="24"/>
      <c r="AE423" s="24">
        <f t="shared" si="12"/>
        <v>0</v>
      </c>
      <c r="AF423" s="24"/>
      <c r="AG423" s="65"/>
      <c r="AH423" s="65"/>
      <c r="AI423" s="65"/>
      <c r="AJ423" s="65"/>
      <c r="AK423" s="65"/>
      <c r="AM423" s="24">
        <f>+'Gov Rev'!AI419-'Gov Exp'!AE423+'Gov Exp'!AI423-'Gov Exp'!AK423</f>
        <v>0</v>
      </c>
    </row>
    <row r="424" spans="1:39" ht="12.75" hidden="1">
      <c r="A424" s="15" t="s">
        <v>859</v>
      </c>
      <c r="C424" s="15" t="s">
        <v>763</v>
      </c>
      <c r="D424" s="28"/>
      <c r="E424" s="24">
        <v>0</v>
      </c>
      <c r="G424" s="24">
        <v>0</v>
      </c>
      <c r="I424" s="24">
        <v>0</v>
      </c>
      <c r="K424" s="24">
        <v>0</v>
      </c>
      <c r="M424" s="24">
        <v>0</v>
      </c>
      <c r="O424" s="24">
        <v>0</v>
      </c>
      <c r="Q424" s="24">
        <v>0</v>
      </c>
      <c r="S424" s="24">
        <v>0</v>
      </c>
      <c r="U424" s="24">
        <v>0</v>
      </c>
      <c r="W424" s="24">
        <v>0</v>
      </c>
      <c r="Y424" s="24">
        <v>0</v>
      </c>
      <c r="AA424" s="24">
        <v>0</v>
      </c>
      <c r="AC424" s="24">
        <v>0</v>
      </c>
      <c r="AE424" s="24">
        <f t="shared" si="12"/>
        <v>0</v>
      </c>
      <c r="AF424" s="24"/>
      <c r="AM424" s="24">
        <f>+'Gov Rev'!AI420-'Gov Exp'!AE424+'Gov Exp'!AI424-'Gov Exp'!AK424</f>
        <v>0</v>
      </c>
    </row>
    <row r="425" spans="1:39" s="31" customFormat="1" ht="12.6" customHeight="1">
      <c r="A425" s="15" t="s">
        <v>333</v>
      </c>
      <c r="B425" s="15"/>
      <c r="C425" s="15" t="s">
        <v>329</v>
      </c>
      <c r="D425" s="15"/>
      <c r="E425" s="24">
        <f>4594+2100</f>
        <v>6694</v>
      </c>
      <c r="F425" s="24"/>
      <c r="G425" s="24">
        <v>515</v>
      </c>
      <c r="H425" s="24"/>
      <c r="I425" s="24">
        <v>4824</v>
      </c>
      <c r="J425" s="24"/>
      <c r="K425" s="24">
        <v>0</v>
      </c>
      <c r="L425" s="24"/>
      <c r="M425" s="24">
        <v>7853</v>
      </c>
      <c r="N425" s="24"/>
      <c r="O425" s="24">
        <v>841</v>
      </c>
      <c r="P425" s="24"/>
      <c r="Q425" s="24">
        <f>18277+53</f>
        <v>18330</v>
      </c>
      <c r="R425" s="24"/>
      <c r="S425" s="24">
        <v>0</v>
      </c>
      <c r="T425" s="24"/>
      <c r="U425" s="24">
        <f>3750+26693</f>
        <v>30443</v>
      </c>
      <c r="V425" s="24"/>
      <c r="W425" s="24">
        <v>0</v>
      </c>
      <c r="X425" s="24"/>
      <c r="Y425" s="24">
        <v>0</v>
      </c>
      <c r="Z425" s="24"/>
      <c r="AA425" s="24">
        <v>0</v>
      </c>
      <c r="AB425" s="24"/>
      <c r="AC425" s="24">
        <v>0</v>
      </c>
      <c r="AD425" s="24"/>
      <c r="AE425" s="24">
        <f t="shared" si="12"/>
        <v>69500</v>
      </c>
      <c r="AF425" s="24"/>
      <c r="AG425" s="65">
        <f>13954+14054</f>
        <v>28008</v>
      </c>
      <c r="AH425" s="65"/>
      <c r="AI425" s="65">
        <f>83488+103708</f>
        <v>187196</v>
      </c>
      <c r="AJ425" s="65"/>
      <c r="AK425" s="65">
        <f>97442+117762</f>
        <v>215204</v>
      </c>
      <c r="AM425" s="24">
        <f>+'Gov Rev'!AI422-'Gov Exp'!AE425+'Gov Exp'!AI425-'Gov Exp'!AK425</f>
        <v>0</v>
      </c>
    </row>
    <row r="426" spans="1:39" s="31" customFormat="1" ht="12.6" hidden="1" customHeight="1">
      <c r="A426" s="15" t="s">
        <v>324</v>
      </c>
      <c r="B426" s="15"/>
      <c r="C426" s="15" t="s">
        <v>316</v>
      </c>
      <c r="D426" s="15"/>
      <c r="E426" s="24">
        <v>0</v>
      </c>
      <c r="F426" s="24"/>
      <c r="G426" s="24">
        <v>0</v>
      </c>
      <c r="H426" s="24"/>
      <c r="I426" s="24">
        <v>0</v>
      </c>
      <c r="J426" s="24"/>
      <c r="K426" s="24">
        <v>0</v>
      </c>
      <c r="L426" s="24"/>
      <c r="M426" s="24">
        <v>0</v>
      </c>
      <c r="N426" s="24"/>
      <c r="O426" s="24">
        <v>0</v>
      </c>
      <c r="P426" s="24"/>
      <c r="Q426" s="24">
        <v>0</v>
      </c>
      <c r="R426" s="24"/>
      <c r="S426" s="24">
        <v>0</v>
      </c>
      <c r="T426" s="24"/>
      <c r="U426" s="24">
        <v>0</v>
      </c>
      <c r="V426" s="24"/>
      <c r="W426" s="24">
        <v>0</v>
      </c>
      <c r="X426" s="24"/>
      <c r="Y426" s="24">
        <v>0</v>
      </c>
      <c r="Z426" s="24"/>
      <c r="AA426" s="24">
        <v>0</v>
      </c>
      <c r="AB426" s="24"/>
      <c r="AC426" s="24">
        <v>0</v>
      </c>
      <c r="AD426" s="24"/>
      <c r="AE426" s="24">
        <f t="shared" si="12"/>
        <v>0</v>
      </c>
      <c r="AF426" s="24"/>
      <c r="AG426" s="65"/>
      <c r="AH426" s="65"/>
      <c r="AI426" s="65"/>
      <c r="AJ426" s="65"/>
      <c r="AK426" s="65"/>
      <c r="AM426" s="24">
        <f>+'Gov Rev'!AI423-'Gov Exp'!AE426+'Gov Exp'!AI426-'Gov Exp'!AK426</f>
        <v>0</v>
      </c>
    </row>
    <row r="427" spans="1:39" s="31" customFormat="1">
      <c r="A427" s="15" t="s">
        <v>569</v>
      </c>
      <c r="B427" s="15"/>
      <c r="C427" s="15" t="s">
        <v>565</v>
      </c>
      <c r="D427" s="15"/>
      <c r="E427" s="24">
        <f>693792+49968</f>
        <v>743760</v>
      </c>
      <c r="F427" s="24"/>
      <c r="G427" s="24">
        <f>1836+118670</f>
        <v>120506</v>
      </c>
      <c r="H427" s="24"/>
      <c r="I427" s="24">
        <v>62650</v>
      </c>
      <c r="J427" s="24"/>
      <c r="K427" s="24">
        <v>0</v>
      </c>
      <c r="L427" s="24"/>
      <c r="M427" s="24">
        <v>1839</v>
      </c>
      <c r="N427" s="24"/>
      <c r="O427" s="24">
        <f>5807+1136974</f>
        <v>1142781</v>
      </c>
      <c r="P427" s="24"/>
      <c r="Q427" s="24">
        <v>1310885</v>
      </c>
      <c r="R427" s="24"/>
      <c r="S427" s="24">
        <v>57538</v>
      </c>
      <c r="T427" s="24"/>
      <c r="U427" s="24">
        <v>0</v>
      </c>
      <c r="V427" s="24"/>
      <c r="W427" s="24">
        <v>0</v>
      </c>
      <c r="X427" s="24"/>
      <c r="Y427" s="24">
        <v>174600</v>
      </c>
      <c r="Z427" s="24"/>
      <c r="AA427" s="24">
        <v>0</v>
      </c>
      <c r="AB427" s="24"/>
      <c r="AC427" s="24">
        <v>0</v>
      </c>
      <c r="AD427" s="24"/>
      <c r="AE427" s="24">
        <f t="shared" si="12"/>
        <v>3614559</v>
      </c>
      <c r="AF427" s="24"/>
      <c r="AG427" s="65">
        <f>-323285-540925-28455</f>
        <v>-892665</v>
      </c>
      <c r="AH427" s="65"/>
      <c r="AI427" s="65">
        <f>472239+1174955+35257</f>
        <v>1682451</v>
      </c>
      <c r="AJ427" s="65"/>
      <c r="AK427" s="65">
        <f>148954+634027+6802</f>
        <v>789783</v>
      </c>
      <c r="AM427" s="24">
        <f>+'Gov Rev'!AI424-'Gov Exp'!AE427+'Gov Exp'!AI427-'Gov Exp'!AK427</f>
        <v>0</v>
      </c>
    </row>
    <row r="428" spans="1:39" ht="12.6" hidden="1" customHeight="1">
      <c r="A428" s="15" t="s">
        <v>691</v>
      </c>
      <c r="C428" s="15" t="s">
        <v>295</v>
      </c>
      <c r="E428" s="24">
        <v>0</v>
      </c>
      <c r="G428" s="24">
        <v>0</v>
      </c>
      <c r="I428" s="24">
        <v>0</v>
      </c>
      <c r="K428" s="24">
        <v>0</v>
      </c>
      <c r="M428" s="24">
        <v>0</v>
      </c>
      <c r="O428" s="24">
        <v>0</v>
      </c>
      <c r="Q428" s="24">
        <v>0</v>
      </c>
      <c r="S428" s="24">
        <v>0</v>
      </c>
      <c r="U428" s="24">
        <v>0</v>
      </c>
      <c r="W428" s="24">
        <v>0</v>
      </c>
      <c r="Y428" s="24">
        <v>0</v>
      </c>
      <c r="AA428" s="24">
        <v>0</v>
      </c>
      <c r="AC428" s="24">
        <v>0</v>
      </c>
      <c r="AE428" s="24">
        <f t="shared" si="12"/>
        <v>0</v>
      </c>
      <c r="AF428" s="24"/>
      <c r="AM428" s="24">
        <f>+'Gov Rev'!AI425-'Gov Exp'!AE428+'Gov Exp'!AI428-'Gov Exp'!AK428</f>
        <v>0</v>
      </c>
    </row>
    <row r="429" spans="1:39" s="31" customFormat="1" ht="12.75" hidden="1">
      <c r="A429" s="15" t="s">
        <v>96</v>
      </c>
      <c r="B429" s="15"/>
      <c r="C429" s="15" t="s">
        <v>778</v>
      </c>
      <c r="D429" s="28"/>
      <c r="E429" s="24">
        <v>0</v>
      </c>
      <c r="F429" s="24"/>
      <c r="G429" s="24">
        <v>0</v>
      </c>
      <c r="H429" s="24"/>
      <c r="I429" s="24">
        <v>0</v>
      </c>
      <c r="J429" s="24"/>
      <c r="K429" s="24">
        <v>0</v>
      </c>
      <c r="L429" s="24"/>
      <c r="M429" s="24">
        <v>0</v>
      </c>
      <c r="N429" s="24"/>
      <c r="O429" s="24">
        <v>0</v>
      </c>
      <c r="P429" s="24"/>
      <c r="Q429" s="24">
        <v>0</v>
      </c>
      <c r="R429" s="24"/>
      <c r="S429" s="24">
        <v>0</v>
      </c>
      <c r="T429" s="24"/>
      <c r="U429" s="24">
        <v>0</v>
      </c>
      <c r="V429" s="24"/>
      <c r="W429" s="24">
        <v>0</v>
      </c>
      <c r="X429" s="24"/>
      <c r="Y429" s="24">
        <v>0</v>
      </c>
      <c r="Z429" s="24"/>
      <c r="AA429" s="24">
        <v>0</v>
      </c>
      <c r="AB429" s="24"/>
      <c r="AC429" s="24">
        <v>0</v>
      </c>
      <c r="AD429" s="24"/>
      <c r="AE429" s="24">
        <f t="shared" si="12"/>
        <v>0</v>
      </c>
      <c r="AF429" s="24"/>
      <c r="AG429" s="65"/>
      <c r="AH429" s="65"/>
      <c r="AI429" s="65"/>
      <c r="AJ429" s="65"/>
      <c r="AK429" s="65"/>
      <c r="AM429" s="24">
        <f>+'Gov Rev'!AI426-'Gov Exp'!AE429+'Gov Exp'!AI429-'Gov Exp'!AK429</f>
        <v>0</v>
      </c>
    </row>
    <row r="430" spans="1:39" ht="12.75" hidden="1">
      <c r="A430" s="15" t="s">
        <v>55</v>
      </c>
      <c r="C430" s="15" t="s">
        <v>768</v>
      </c>
      <c r="D430" s="28"/>
      <c r="E430" s="24">
        <v>0</v>
      </c>
      <c r="G430" s="24">
        <v>0</v>
      </c>
      <c r="I430" s="24">
        <v>0</v>
      </c>
      <c r="K430" s="24">
        <v>0</v>
      </c>
      <c r="M430" s="24">
        <v>0</v>
      </c>
      <c r="O430" s="24">
        <v>0</v>
      </c>
      <c r="Q430" s="24">
        <v>0</v>
      </c>
      <c r="S430" s="24">
        <v>0</v>
      </c>
      <c r="U430" s="24">
        <v>0</v>
      </c>
      <c r="W430" s="24">
        <v>0</v>
      </c>
      <c r="Y430" s="24">
        <v>0</v>
      </c>
      <c r="AA430" s="24">
        <v>0</v>
      </c>
      <c r="AC430" s="24">
        <v>0</v>
      </c>
      <c r="AE430" s="24">
        <f t="shared" si="12"/>
        <v>0</v>
      </c>
      <c r="AF430" s="24"/>
      <c r="AM430" s="24">
        <f>+'Gov Rev'!AI428-'Gov Exp'!AE430+'Gov Exp'!AI430-'Gov Exp'!AK430</f>
        <v>0</v>
      </c>
    </row>
    <row r="431" spans="1:39" s="31" customFormat="1" hidden="1">
      <c r="A431" s="15" t="s">
        <v>610</v>
      </c>
      <c r="B431" s="15"/>
      <c r="C431" s="15" t="s">
        <v>606</v>
      </c>
      <c r="D431" s="15"/>
      <c r="E431" s="24">
        <v>0</v>
      </c>
      <c r="F431" s="24"/>
      <c r="G431" s="24">
        <v>0</v>
      </c>
      <c r="H431" s="24"/>
      <c r="I431" s="24">
        <v>0</v>
      </c>
      <c r="J431" s="24"/>
      <c r="K431" s="24">
        <v>0</v>
      </c>
      <c r="L431" s="24"/>
      <c r="M431" s="24">
        <v>0</v>
      </c>
      <c r="N431" s="24"/>
      <c r="O431" s="24">
        <v>0</v>
      </c>
      <c r="P431" s="24"/>
      <c r="Q431" s="24">
        <v>0</v>
      </c>
      <c r="R431" s="24"/>
      <c r="S431" s="24">
        <v>0</v>
      </c>
      <c r="T431" s="24"/>
      <c r="U431" s="24">
        <v>0</v>
      </c>
      <c r="V431" s="24"/>
      <c r="W431" s="24">
        <v>0</v>
      </c>
      <c r="X431" s="24"/>
      <c r="Y431" s="24">
        <v>0</v>
      </c>
      <c r="Z431" s="24"/>
      <c r="AA431" s="24">
        <v>0</v>
      </c>
      <c r="AB431" s="24"/>
      <c r="AC431" s="24">
        <v>0</v>
      </c>
      <c r="AD431" s="24"/>
      <c r="AE431" s="24">
        <f t="shared" si="12"/>
        <v>0</v>
      </c>
      <c r="AF431" s="24"/>
      <c r="AG431" s="65"/>
      <c r="AH431" s="65"/>
      <c r="AI431" s="65"/>
      <c r="AJ431" s="65"/>
      <c r="AK431" s="65"/>
      <c r="AM431" s="24">
        <f>+'Gov Rev'!AI429-'Gov Exp'!AE431+'Gov Exp'!AI431-'Gov Exp'!AK431</f>
        <v>0</v>
      </c>
    </row>
    <row r="432" spans="1:39" s="31" customFormat="1" ht="12.75" hidden="1">
      <c r="A432" s="15" t="s">
        <v>97</v>
      </c>
      <c r="B432" s="15"/>
      <c r="C432" s="15" t="s">
        <v>778</v>
      </c>
      <c r="D432" s="28"/>
      <c r="E432" s="24">
        <v>0</v>
      </c>
      <c r="F432" s="24"/>
      <c r="G432" s="24">
        <v>0</v>
      </c>
      <c r="H432" s="24"/>
      <c r="I432" s="24">
        <v>0</v>
      </c>
      <c r="J432" s="24"/>
      <c r="K432" s="24">
        <v>0</v>
      </c>
      <c r="L432" s="24"/>
      <c r="M432" s="24">
        <v>0</v>
      </c>
      <c r="N432" s="24"/>
      <c r="O432" s="24">
        <v>0</v>
      </c>
      <c r="P432" s="24"/>
      <c r="Q432" s="24">
        <v>0</v>
      </c>
      <c r="R432" s="24"/>
      <c r="S432" s="24">
        <v>0</v>
      </c>
      <c r="T432" s="24"/>
      <c r="U432" s="24">
        <v>0</v>
      </c>
      <c r="V432" s="24"/>
      <c r="W432" s="24">
        <v>0</v>
      </c>
      <c r="X432" s="24"/>
      <c r="Y432" s="24">
        <v>0</v>
      </c>
      <c r="Z432" s="24"/>
      <c r="AA432" s="24">
        <v>0</v>
      </c>
      <c r="AB432" s="24"/>
      <c r="AC432" s="24">
        <v>0</v>
      </c>
      <c r="AD432" s="24"/>
      <c r="AE432" s="24">
        <f t="shared" si="12"/>
        <v>0</v>
      </c>
      <c r="AF432" s="24"/>
      <c r="AG432" s="65"/>
      <c r="AH432" s="65"/>
      <c r="AI432" s="65"/>
      <c r="AJ432" s="65"/>
      <c r="AK432" s="65"/>
      <c r="AM432" s="24">
        <f>+'Gov Rev'!AI430-'Gov Exp'!AE432+'Gov Exp'!AI432-'Gov Exp'!AK432</f>
        <v>0</v>
      </c>
    </row>
    <row r="433" spans="1:39" s="31" customFormat="1" hidden="1">
      <c r="A433" s="15" t="s">
        <v>418</v>
      </c>
      <c r="B433" s="15"/>
      <c r="C433" s="15" t="s">
        <v>416</v>
      </c>
      <c r="D433" s="15"/>
      <c r="E433" s="24">
        <v>0</v>
      </c>
      <c r="F433" s="24"/>
      <c r="G433" s="24">
        <v>0</v>
      </c>
      <c r="H433" s="24"/>
      <c r="I433" s="24">
        <v>0</v>
      </c>
      <c r="J433" s="24"/>
      <c r="K433" s="24">
        <v>0</v>
      </c>
      <c r="L433" s="24"/>
      <c r="M433" s="24">
        <v>0</v>
      </c>
      <c r="N433" s="24"/>
      <c r="O433" s="24">
        <v>0</v>
      </c>
      <c r="P433" s="24"/>
      <c r="Q433" s="24">
        <v>0</v>
      </c>
      <c r="R433" s="24"/>
      <c r="S433" s="24">
        <v>0</v>
      </c>
      <c r="T433" s="24"/>
      <c r="U433" s="24">
        <v>0</v>
      </c>
      <c r="V433" s="24"/>
      <c r="W433" s="24">
        <v>0</v>
      </c>
      <c r="X433" s="24"/>
      <c r="Y433" s="24">
        <v>0</v>
      </c>
      <c r="Z433" s="24"/>
      <c r="AA433" s="24">
        <v>0</v>
      </c>
      <c r="AB433" s="24"/>
      <c r="AC433" s="24">
        <v>0</v>
      </c>
      <c r="AD433" s="24"/>
      <c r="AE433" s="24">
        <f t="shared" si="12"/>
        <v>0</v>
      </c>
      <c r="AF433" s="24"/>
      <c r="AG433" s="65"/>
      <c r="AH433" s="65"/>
      <c r="AI433" s="65"/>
      <c r="AJ433" s="65"/>
      <c r="AK433" s="65"/>
      <c r="AM433" s="24">
        <f>+'Gov Rev'!AI431-'Gov Exp'!AE433+'Gov Exp'!AI433-'Gov Exp'!AK433</f>
        <v>0</v>
      </c>
    </row>
    <row r="434" spans="1:39" ht="12.6" hidden="1" customHeight="1">
      <c r="A434" s="15" t="s">
        <v>293</v>
      </c>
      <c r="C434" s="15" t="s">
        <v>292</v>
      </c>
      <c r="E434" s="24">
        <v>0</v>
      </c>
      <c r="G434" s="24">
        <v>0</v>
      </c>
      <c r="I434" s="24">
        <v>0</v>
      </c>
      <c r="K434" s="24">
        <v>0</v>
      </c>
      <c r="M434" s="24">
        <v>0</v>
      </c>
      <c r="O434" s="24">
        <v>0</v>
      </c>
      <c r="Q434" s="24">
        <v>0</v>
      </c>
      <c r="S434" s="24">
        <v>0</v>
      </c>
      <c r="U434" s="24">
        <v>0</v>
      </c>
      <c r="W434" s="24">
        <v>0</v>
      </c>
      <c r="Y434" s="24">
        <v>0</v>
      </c>
      <c r="AA434" s="24">
        <v>0</v>
      </c>
      <c r="AC434" s="24">
        <v>0</v>
      </c>
      <c r="AE434" s="24">
        <f t="shared" si="12"/>
        <v>0</v>
      </c>
      <c r="AF434" s="24"/>
      <c r="AM434" s="24">
        <f>+'Gov Rev'!AI432-'Gov Exp'!AE434+'Gov Exp'!AI434-'Gov Exp'!AK434</f>
        <v>0</v>
      </c>
    </row>
    <row r="435" spans="1:39" ht="12.6" hidden="1" customHeight="1">
      <c r="A435" s="15" t="s">
        <v>692</v>
      </c>
      <c r="C435" s="15" t="s">
        <v>677</v>
      </c>
      <c r="E435" s="24">
        <v>0</v>
      </c>
      <c r="G435" s="24">
        <v>0</v>
      </c>
      <c r="I435" s="24">
        <v>0</v>
      </c>
      <c r="K435" s="24">
        <v>0</v>
      </c>
      <c r="M435" s="24">
        <v>0</v>
      </c>
      <c r="O435" s="24">
        <v>0</v>
      </c>
      <c r="Q435" s="24">
        <v>0</v>
      </c>
      <c r="S435" s="24">
        <v>0</v>
      </c>
      <c r="U435" s="24">
        <v>0</v>
      </c>
      <c r="W435" s="24">
        <v>0</v>
      </c>
      <c r="Y435" s="24">
        <v>0</v>
      </c>
      <c r="AA435" s="24">
        <v>0</v>
      </c>
      <c r="AC435" s="24">
        <v>0</v>
      </c>
      <c r="AE435" s="24">
        <f t="shared" si="12"/>
        <v>0</v>
      </c>
      <c r="AF435" s="24"/>
      <c r="AM435" s="24">
        <f>+'Gov Rev'!AI433-'Gov Exp'!AE435+'Gov Exp'!AI435-'Gov Exp'!AK435</f>
        <v>0</v>
      </c>
    </row>
    <row r="436" spans="1:39" ht="12.6" hidden="1" customHeight="1">
      <c r="A436" s="15" t="s">
        <v>289</v>
      </c>
      <c r="C436" s="15" t="s">
        <v>287</v>
      </c>
      <c r="E436" s="24">
        <v>0</v>
      </c>
      <c r="G436" s="24">
        <v>0</v>
      </c>
      <c r="I436" s="24">
        <v>0</v>
      </c>
      <c r="K436" s="24">
        <v>0</v>
      </c>
      <c r="M436" s="24">
        <v>0</v>
      </c>
      <c r="O436" s="24">
        <v>0</v>
      </c>
      <c r="Q436" s="24">
        <v>0</v>
      </c>
      <c r="S436" s="24">
        <v>0</v>
      </c>
      <c r="U436" s="24">
        <v>0</v>
      </c>
      <c r="W436" s="24">
        <v>0</v>
      </c>
      <c r="Y436" s="24">
        <v>0</v>
      </c>
      <c r="AA436" s="24">
        <v>0</v>
      </c>
      <c r="AC436" s="24">
        <v>0</v>
      </c>
      <c r="AE436" s="24">
        <f t="shared" si="12"/>
        <v>0</v>
      </c>
      <c r="AF436" s="24"/>
      <c r="AM436" s="24">
        <f>+'Gov Rev'!AI434-'Gov Exp'!AE436+'Gov Exp'!AI436-'Gov Exp'!AK436</f>
        <v>0</v>
      </c>
    </row>
    <row r="437" spans="1:39" s="31" customFormat="1" ht="12.75" hidden="1">
      <c r="A437" s="15" t="s">
        <v>124</v>
      </c>
      <c r="B437" s="15"/>
      <c r="C437" s="15" t="s">
        <v>788</v>
      </c>
      <c r="D437" s="28"/>
      <c r="E437" s="24">
        <v>0</v>
      </c>
      <c r="F437" s="24"/>
      <c r="G437" s="24">
        <v>0</v>
      </c>
      <c r="H437" s="24"/>
      <c r="I437" s="24">
        <v>0</v>
      </c>
      <c r="J437" s="24"/>
      <c r="K437" s="24">
        <v>0</v>
      </c>
      <c r="L437" s="24"/>
      <c r="M437" s="24">
        <v>0</v>
      </c>
      <c r="N437" s="24"/>
      <c r="O437" s="24">
        <v>0</v>
      </c>
      <c r="P437" s="24"/>
      <c r="Q437" s="24">
        <v>0</v>
      </c>
      <c r="R437" s="24"/>
      <c r="S437" s="24">
        <v>0</v>
      </c>
      <c r="T437" s="24"/>
      <c r="U437" s="24">
        <v>0</v>
      </c>
      <c r="V437" s="24"/>
      <c r="W437" s="24">
        <v>0</v>
      </c>
      <c r="X437" s="24"/>
      <c r="Y437" s="24">
        <v>0</v>
      </c>
      <c r="Z437" s="24"/>
      <c r="AA437" s="24">
        <v>0</v>
      </c>
      <c r="AB437" s="24"/>
      <c r="AC437" s="24">
        <v>0</v>
      </c>
      <c r="AD437" s="24"/>
      <c r="AE437" s="24">
        <f t="shared" si="12"/>
        <v>0</v>
      </c>
      <c r="AF437" s="24"/>
      <c r="AG437" s="65"/>
      <c r="AH437" s="65"/>
      <c r="AI437" s="65"/>
      <c r="AJ437" s="65"/>
      <c r="AK437" s="65"/>
      <c r="AM437" s="24">
        <f>+'Gov Rev'!AI435-'Gov Exp'!AE437+'Gov Exp'!AI437-'Gov Exp'!AK437</f>
        <v>0</v>
      </c>
    </row>
    <row r="438" spans="1:39" ht="12.75" hidden="1">
      <c r="A438" s="15" t="s">
        <v>849</v>
      </c>
      <c r="C438" s="15" t="s">
        <v>766</v>
      </c>
      <c r="D438" s="28"/>
      <c r="E438" s="24">
        <v>0</v>
      </c>
      <c r="G438" s="24">
        <v>0</v>
      </c>
      <c r="I438" s="24">
        <v>0</v>
      </c>
      <c r="K438" s="24">
        <v>0</v>
      </c>
      <c r="M438" s="24">
        <v>0</v>
      </c>
      <c r="O438" s="24">
        <v>0</v>
      </c>
      <c r="Q438" s="24">
        <v>0</v>
      </c>
      <c r="S438" s="24">
        <v>0</v>
      </c>
      <c r="U438" s="24">
        <v>0</v>
      </c>
      <c r="W438" s="24">
        <v>0</v>
      </c>
      <c r="Y438" s="24">
        <v>0</v>
      </c>
      <c r="AA438" s="24">
        <v>0</v>
      </c>
      <c r="AC438" s="24">
        <v>0</v>
      </c>
      <c r="AE438" s="24">
        <f t="shared" si="12"/>
        <v>0</v>
      </c>
      <c r="AF438" s="24"/>
      <c r="AM438" s="24">
        <f>+'Gov Rev'!AI435-'Gov Exp'!AE438+'Gov Exp'!AI438-'Gov Exp'!AK438</f>
        <v>0</v>
      </c>
    </row>
    <row r="439" spans="1:39" s="31" customFormat="1" ht="12.6" customHeight="1">
      <c r="A439" s="15" t="s">
        <v>314</v>
      </c>
      <c r="B439" s="15"/>
      <c r="C439" s="15" t="s">
        <v>312</v>
      </c>
      <c r="D439" s="15"/>
      <c r="E439" s="24">
        <v>3987</v>
      </c>
      <c r="F439" s="24"/>
      <c r="G439" s="24">
        <v>618</v>
      </c>
      <c r="H439" s="24"/>
      <c r="I439" s="24">
        <v>0</v>
      </c>
      <c r="J439" s="24"/>
      <c r="K439" s="24">
        <v>0</v>
      </c>
      <c r="L439" s="24"/>
      <c r="M439" s="24">
        <v>2472</v>
      </c>
      <c r="N439" s="24"/>
      <c r="O439" s="24">
        <v>2985</v>
      </c>
      <c r="P439" s="24"/>
      <c r="Q439" s="24">
        <f>21960+7215</f>
        <v>29175</v>
      </c>
      <c r="R439" s="24"/>
      <c r="S439" s="24">
        <v>0</v>
      </c>
      <c r="T439" s="24"/>
      <c r="U439" s="24">
        <v>0</v>
      </c>
      <c r="V439" s="24"/>
      <c r="W439" s="24">
        <v>0</v>
      </c>
      <c r="X439" s="24"/>
      <c r="Y439" s="24">
        <v>0</v>
      </c>
      <c r="Z439" s="24"/>
      <c r="AA439" s="24">
        <v>0</v>
      </c>
      <c r="AB439" s="24"/>
      <c r="AC439" s="24">
        <v>0</v>
      </c>
      <c r="AD439" s="24"/>
      <c r="AE439" s="24">
        <f t="shared" si="12"/>
        <v>39237</v>
      </c>
      <c r="AF439" s="24"/>
      <c r="AG439" s="65">
        <f>8045+3158</f>
        <v>11203</v>
      </c>
      <c r="AH439" s="65"/>
      <c r="AI439" s="65">
        <f>44025+39343-1</f>
        <v>83367</v>
      </c>
      <c r="AJ439" s="65"/>
      <c r="AK439" s="65">
        <f>35980+42501</f>
        <v>78481</v>
      </c>
      <c r="AM439" s="24">
        <f>+'Gov Rev'!AI436-'Gov Exp'!AE439+'Gov Exp'!AI439-'Gov Exp'!AK439</f>
        <v>0</v>
      </c>
    </row>
    <row r="440" spans="1:39" s="31" customFormat="1" ht="12.6" customHeight="1">
      <c r="A440" s="15" t="s">
        <v>334</v>
      </c>
      <c r="B440" s="15"/>
      <c r="C440" s="15" t="s">
        <v>329</v>
      </c>
      <c r="D440" s="15"/>
      <c r="E440" s="24">
        <v>2623</v>
      </c>
      <c r="F440" s="24"/>
      <c r="G440" s="24">
        <v>629</v>
      </c>
      <c r="H440" s="24"/>
      <c r="I440" s="24">
        <v>18581</v>
      </c>
      <c r="J440" s="24"/>
      <c r="K440" s="24">
        <v>0</v>
      </c>
      <c r="L440" s="24"/>
      <c r="M440" s="24">
        <v>2877</v>
      </c>
      <c r="N440" s="24"/>
      <c r="O440" s="24">
        <v>0</v>
      </c>
      <c r="P440" s="24"/>
      <c r="Q440" s="24">
        <v>39738</v>
      </c>
      <c r="R440" s="24"/>
      <c r="S440" s="24">
        <v>66492</v>
      </c>
      <c r="T440" s="24"/>
      <c r="U440" s="24">
        <v>0</v>
      </c>
      <c r="V440" s="24"/>
      <c r="W440" s="24">
        <v>0</v>
      </c>
      <c r="X440" s="24"/>
      <c r="Y440" s="24">
        <v>0</v>
      </c>
      <c r="Z440" s="24"/>
      <c r="AA440" s="24">
        <v>0</v>
      </c>
      <c r="AB440" s="24"/>
      <c r="AC440" s="24">
        <v>0</v>
      </c>
      <c r="AD440" s="24"/>
      <c r="AE440" s="24">
        <f t="shared" si="12"/>
        <v>130940</v>
      </c>
      <c r="AF440" s="24"/>
      <c r="AG440" s="65">
        <v>-8484</v>
      </c>
      <c r="AH440" s="65"/>
      <c r="AI440" s="65">
        <v>308093</v>
      </c>
      <c r="AJ440" s="65"/>
      <c r="AK440" s="65">
        <v>299609</v>
      </c>
      <c r="AM440" s="24">
        <f>+'Gov Rev'!AI437-'Gov Exp'!AE440+'Gov Exp'!AI440-'Gov Exp'!AK440</f>
        <v>0</v>
      </c>
    </row>
    <row r="441" spans="1:39" s="29" customFormat="1">
      <c r="A441" s="24" t="s">
        <v>556</v>
      </c>
      <c r="B441" s="24"/>
      <c r="C441" s="24" t="s">
        <v>554</v>
      </c>
      <c r="D441" s="24"/>
      <c r="E441" s="24">
        <f>884374+366819</f>
        <v>1251193</v>
      </c>
      <c r="F441" s="24"/>
      <c r="G441" s="24">
        <v>34939</v>
      </c>
      <c r="H441" s="24"/>
      <c r="I441" s="24">
        <v>49602</v>
      </c>
      <c r="J441" s="24"/>
      <c r="K441" s="24">
        <v>5132</v>
      </c>
      <c r="L441" s="24"/>
      <c r="M441" s="24">
        <v>0</v>
      </c>
      <c r="N441" s="24"/>
      <c r="O441" s="24">
        <f>376378+80658</f>
        <v>457036</v>
      </c>
      <c r="P441" s="24"/>
      <c r="Q441" s="24">
        <f>632659+6785</f>
        <v>639444</v>
      </c>
      <c r="R441" s="24"/>
      <c r="S441" s="24">
        <f>156307+113835+502832</f>
        <v>772974</v>
      </c>
      <c r="T441" s="24"/>
      <c r="U441" s="24">
        <f>29723+78239</f>
        <v>107962</v>
      </c>
      <c r="V441" s="24"/>
      <c r="W441" s="24">
        <f>20476+5571</f>
        <v>26047</v>
      </c>
      <c r="X441" s="24"/>
      <c r="Y441" s="24">
        <v>50000</v>
      </c>
      <c r="Z441" s="24"/>
      <c r="AA441" s="24">
        <v>0</v>
      </c>
      <c r="AB441" s="24"/>
      <c r="AC441" s="24">
        <v>0</v>
      </c>
      <c r="AD441" s="24"/>
      <c r="AE441" s="24">
        <f t="shared" si="12"/>
        <v>3394329</v>
      </c>
      <c r="AF441" s="24"/>
      <c r="AG441" s="65">
        <f>24494-122622</f>
        <v>-98128</v>
      </c>
      <c r="AH441" s="65"/>
      <c r="AI441" s="65">
        <f>586146+256018</f>
        <v>842164</v>
      </c>
      <c r="AJ441" s="65"/>
      <c r="AK441" s="65">
        <f>610639+133396</f>
        <v>744035</v>
      </c>
      <c r="AM441" s="24">
        <f>+'Gov Rev'!AI438-'Gov Exp'!AE441+'Gov Exp'!AI441-'Gov Exp'!AK441</f>
        <v>0</v>
      </c>
    </row>
    <row r="442" spans="1:39" ht="12.75" hidden="1">
      <c r="A442" s="15" t="s">
        <v>176</v>
      </c>
      <c r="C442" s="15" t="s">
        <v>805</v>
      </c>
      <c r="D442" s="28"/>
      <c r="E442" s="24">
        <v>0</v>
      </c>
      <c r="G442" s="24">
        <v>0</v>
      </c>
      <c r="I442" s="24">
        <v>0</v>
      </c>
      <c r="K442" s="24">
        <v>0</v>
      </c>
      <c r="M442" s="24">
        <v>0</v>
      </c>
      <c r="O442" s="24">
        <v>0</v>
      </c>
      <c r="Q442" s="24">
        <v>0</v>
      </c>
      <c r="S442" s="24">
        <v>0</v>
      </c>
      <c r="U442" s="24">
        <v>0</v>
      </c>
      <c r="W442" s="24">
        <v>0</v>
      </c>
      <c r="Y442" s="24">
        <v>0</v>
      </c>
      <c r="AA442" s="24">
        <v>0</v>
      </c>
      <c r="AC442" s="24">
        <v>0</v>
      </c>
      <c r="AE442" s="24">
        <f t="shared" si="12"/>
        <v>0</v>
      </c>
      <c r="AF442" s="24"/>
      <c r="AM442" s="24">
        <f>+'Gov Rev'!AI439-'Gov Exp'!AE442+'Gov Exp'!AI442-'Gov Exp'!AK442</f>
        <v>0</v>
      </c>
    </row>
    <row r="443" spans="1:39">
      <c r="A443" s="15" t="s">
        <v>498</v>
      </c>
      <c r="C443" s="15" t="s">
        <v>207</v>
      </c>
      <c r="E443" s="24">
        <f>605648+613+25401</f>
        <v>631662</v>
      </c>
      <c r="G443" s="24">
        <v>8484</v>
      </c>
      <c r="I443" s="24">
        <f>43050+7244</f>
        <v>50294</v>
      </c>
      <c r="K443" s="24">
        <f>602+54615</f>
        <v>55217</v>
      </c>
      <c r="M443" s="24">
        <v>0</v>
      </c>
      <c r="O443" s="24">
        <f>161303+209761+54018</f>
        <v>425082</v>
      </c>
      <c r="Q443" s="24">
        <f>223582+240+8323</f>
        <v>232145</v>
      </c>
      <c r="S443" s="24">
        <f>80732+12087</f>
        <v>92819</v>
      </c>
      <c r="U443" s="24">
        <v>0</v>
      </c>
      <c r="W443" s="24">
        <v>0</v>
      </c>
      <c r="Y443" s="24">
        <v>62000</v>
      </c>
      <c r="AA443" s="24">
        <f>75000+75000</f>
        <v>150000</v>
      </c>
      <c r="AC443" s="24">
        <v>23878</v>
      </c>
      <c r="AE443" s="24">
        <f t="shared" si="12"/>
        <v>1731581</v>
      </c>
      <c r="AF443" s="24"/>
      <c r="AG443" s="64">
        <f>156797+102633-48101</f>
        <v>211329</v>
      </c>
      <c r="AI443" s="64">
        <f>873069+418366+129002</f>
        <v>1420437</v>
      </c>
      <c r="AK443" s="64">
        <f>1029866+520999+80901</f>
        <v>1631766</v>
      </c>
      <c r="AM443" s="24">
        <f>+'Gov Rev'!AI440-'Gov Exp'!AE443+'Gov Exp'!AI443-'Gov Exp'!AK443</f>
        <v>0</v>
      </c>
    </row>
    <row r="444" spans="1:39" s="31" customFormat="1" ht="12.75" hidden="1">
      <c r="A444" s="15" t="s">
        <v>114</v>
      </c>
      <c r="B444" s="15"/>
      <c r="C444" s="15" t="s">
        <v>669</v>
      </c>
      <c r="D444" s="28"/>
      <c r="E444" s="24">
        <v>0</v>
      </c>
      <c r="F444" s="24"/>
      <c r="G444" s="24">
        <v>0</v>
      </c>
      <c r="H444" s="24"/>
      <c r="I444" s="24">
        <v>0</v>
      </c>
      <c r="J444" s="24"/>
      <c r="K444" s="24">
        <v>0</v>
      </c>
      <c r="L444" s="24"/>
      <c r="M444" s="24">
        <v>0</v>
      </c>
      <c r="N444" s="24"/>
      <c r="O444" s="24">
        <v>0</v>
      </c>
      <c r="P444" s="24"/>
      <c r="Q444" s="24">
        <v>0</v>
      </c>
      <c r="R444" s="24"/>
      <c r="S444" s="24">
        <v>0</v>
      </c>
      <c r="T444" s="24"/>
      <c r="U444" s="24">
        <v>0</v>
      </c>
      <c r="V444" s="24"/>
      <c r="W444" s="24">
        <v>0</v>
      </c>
      <c r="X444" s="24"/>
      <c r="Y444" s="24">
        <v>0</v>
      </c>
      <c r="Z444" s="24"/>
      <c r="AA444" s="24">
        <v>0</v>
      </c>
      <c r="AB444" s="24"/>
      <c r="AC444" s="24">
        <v>0</v>
      </c>
      <c r="AD444" s="24"/>
      <c r="AE444" s="24">
        <f t="shared" ref="AE444:AE478" si="13">SUM(E444:AC444)</f>
        <v>0</v>
      </c>
      <c r="AF444" s="24"/>
      <c r="AG444" s="65"/>
      <c r="AH444" s="65"/>
      <c r="AI444" s="65"/>
      <c r="AJ444" s="65"/>
      <c r="AK444" s="65"/>
      <c r="AM444" s="24">
        <f>+'Gov Rev'!AI441-'Gov Exp'!AE444+'Gov Exp'!AI444-'Gov Exp'!AK444</f>
        <v>0</v>
      </c>
    </row>
    <row r="445" spans="1:39" s="31" customFormat="1" ht="12.6" customHeight="1">
      <c r="A445" s="15" t="s">
        <v>325</v>
      </c>
      <c r="B445" s="15"/>
      <c r="C445" s="15" t="s">
        <v>316</v>
      </c>
      <c r="D445" s="15"/>
      <c r="E445" s="24">
        <f>2738580+274899</f>
        <v>3013479</v>
      </c>
      <c r="F445" s="24"/>
      <c r="G445" s="24">
        <v>858</v>
      </c>
      <c r="H445" s="24"/>
      <c r="I445" s="24">
        <v>201710</v>
      </c>
      <c r="J445" s="24"/>
      <c r="K445" s="24">
        <f>230478+15491</f>
        <v>245969</v>
      </c>
      <c r="L445" s="24"/>
      <c r="M445" s="24">
        <v>211171</v>
      </c>
      <c r="N445" s="24"/>
      <c r="O445" s="24">
        <f>60293+1534010</f>
        <v>1594303</v>
      </c>
      <c r="P445" s="24"/>
      <c r="Q445" s="24">
        <f>1117888+19945</f>
        <v>1137833</v>
      </c>
      <c r="R445" s="24"/>
      <c r="S445" s="24">
        <v>19376</v>
      </c>
      <c r="T445" s="24"/>
      <c r="U445" s="24">
        <v>2026909</v>
      </c>
      <c r="V445" s="24"/>
      <c r="W445" s="24">
        <v>0</v>
      </c>
      <c r="X445" s="24"/>
      <c r="Y445" s="24">
        <f>277000+176500</f>
        <v>453500</v>
      </c>
      <c r="Z445" s="24"/>
      <c r="AA445" s="24">
        <v>0</v>
      </c>
      <c r="AB445" s="24"/>
      <c r="AC445" s="24">
        <v>1360134</v>
      </c>
      <c r="AD445" s="24"/>
      <c r="AE445" s="24">
        <f t="shared" si="13"/>
        <v>10265242</v>
      </c>
      <c r="AF445" s="24"/>
      <c r="AG445" s="65">
        <f>-749393+7376+23688+413622</f>
        <v>-304707</v>
      </c>
      <c r="AH445" s="65"/>
      <c r="AI445" s="65">
        <f>962620+559571+90+70726</f>
        <v>1593007</v>
      </c>
      <c r="AJ445" s="65"/>
      <c r="AK445" s="65">
        <f>213227+566947+23778+484348</f>
        <v>1288300</v>
      </c>
      <c r="AM445" s="24">
        <f>+'Gov Rev'!AI442-'Gov Exp'!AE445+'Gov Exp'!AI445-'Gov Exp'!AK445</f>
        <v>0</v>
      </c>
    </row>
    <row r="446" spans="1:39">
      <c r="A446" s="15" t="s">
        <v>325</v>
      </c>
      <c r="C446" s="15" t="s">
        <v>500</v>
      </c>
      <c r="E446" s="24">
        <v>169984</v>
      </c>
      <c r="G446" s="24">
        <v>0</v>
      </c>
      <c r="I446" s="24">
        <v>13284</v>
      </c>
      <c r="K446" s="24">
        <v>0</v>
      </c>
      <c r="M446" s="24">
        <v>0</v>
      </c>
      <c r="O446" s="24">
        <v>20206</v>
      </c>
      <c r="Q446" s="24">
        <f>97812+2281</f>
        <v>100093</v>
      </c>
      <c r="S446" s="24">
        <f>476707+33048</f>
        <v>509755</v>
      </c>
      <c r="U446" s="24">
        <v>13811</v>
      </c>
      <c r="W446" s="24">
        <v>1910</v>
      </c>
      <c r="Y446" s="24">
        <v>35000</v>
      </c>
      <c r="AA446" s="24">
        <v>0</v>
      </c>
      <c r="AC446" s="24">
        <v>0</v>
      </c>
      <c r="AE446" s="24">
        <f t="shared" si="13"/>
        <v>864043</v>
      </c>
      <c r="AF446" s="24"/>
      <c r="AG446" s="64">
        <f>-21515-291876-5434</f>
        <v>-318825</v>
      </c>
      <c r="AI446" s="64">
        <f>46819+499748+84683</f>
        <v>631250</v>
      </c>
      <c r="AK446" s="64">
        <f>25304+207872+79249</f>
        <v>312425</v>
      </c>
      <c r="AM446" s="24">
        <f>+'Gov Rev'!AI443-'Gov Exp'!AE446+'Gov Exp'!AI446-'Gov Exp'!AK446</f>
        <v>0</v>
      </c>
    </row>
    <row r="447" spans="1:39" s="31" customFormat="1" ht="12.75" hidden="1">
      <c r="A447" s="15" t="s">
        <v>75</v>
      </c>
      <c r="B447" s="15"/>
      <c r="C447" s="15" t="s">
        <v>773</v>
      </c>
      <c r="D447" s="28"/>
      <c r="E447" s="24">
        <v>0</v>
      </c>
      <c r="F447" s="24"/>
      <c r="G447" s="24">
        <v>0</v>
      </c>
      <c r="H447" s="24"/>
      <c r="I447" s="24">
        <v>0</v>
      </c>
      <c r="J447" s="24"/>
      <c r="K447" s="24">
        <v>0</v>
      </c>
      <c r="L447" s="24"/>
      <c r="M447" s="24">
        <v>0</v>
      </c>
      <c r="N447" s="24"/>
      <c r="O447" s="24">
        <v>0</v>
      </c>
      <c r="P447" s="24"/>
      <c r="Q447" s="24">
        <v>0</v>
      </c>
      <c r="R447" s="24"/>
      <c r="S447" s="24">
        <v>0</v>
      </c>
      <c r="T447" s="24"/>
      <c r="U447" s="24">
        <v>0</v>
      </c>
      <c r="V447" s="24"/>
      <c r="W447" s="24">
        <v>0</v>
      </c>
      <c r="X447" s="24"/>
      <c r="Y447" s="24">
        <v>0</v>
      </c>
      <c r="Z447" s="24"/>
      <c r="AA447" s="24">
        <v>0</v>
      </c>
      <c r="AB447" s="24"/>
      <c r="AC447" s="24">
        <v>0</v>
      </c>
      <c r="AD447" s="24"/>
      <c r="AE447" s="24">
        <f t="shared" si="13"/>
        <v>0</v>
      </c>
      <c r="AF447" s="24"/>
      <c r="AG447" s="65"/>
      <c r="AH447" s="65"/>
      <c r="AI447" s="65"/>
      <c r="AJ447" s="65"/>
      <c r="AK447" s="65"/>
      <c r="AM447" s="24">
        <f>+'Gov Rev'!AI444-'Gov Exp'!AE447+'Gov Exp'!AI447-'Gov Exp'!AK447</f>
        <v>0</v>
      </c>
    </row>
    <row r="448" spans="1:39" ht="12.75" hidden="1">
      <c r="A448" s="15" t="s">
        <v>71</v>
      </c>
      <c r="C448" s="15" t="s">
        <v>772</v>
      </c>
      <c r="D448" s="28"/>
      <c r="E448" s="24">
        <v>0</v>
      </c>
      <c r="G448" s="24">
        <v>0</v>
      </c>
      <c r="I448" s="24">
        <v>0</v>
      </c>
      <c r="K448" s="24">
        <v>0</v>
      </c>
      <c r="M448" s="24">
        <v>0</v>
      </c>
      <c r="O448" s="24">
        <v>0</v>
      </c>
      <c r="Q448" s="24">
        <v>0</v>
      </c>
      <c r="S448" s="24">
        <v>0</v>
      </c>
      <c r="U448" s="24">
        <v>0</v>
      </c>
      <c r="W448" s="24">
        <v>0</v>
      </c>
      <c r="Y448" s="24">
        <v>0</v>
      </c>
      <c r="AA448" s="24">
        <v>0</v>
      </c>
      <c r="AC448" s="24">
        <v>0</v>
      </c>
      <c r="AE448" s="24">
        <f t="shared" si="13"/>
        <v>0</v>
      </c>
      <c r="AF448" s="24"/>
      <c r="AM448" s="24">
        <f>+'Gov Rev'!AI445-'Gov Exp'!AE448+'Gov Exp'!AI448-'Gov Exp'!AK448</f>
        <v>0</v>
      </c>
    </row>
    <row r="449" spans="1:39">
      <c r="A449" s="15" t="s">
        <v>578</v>
      </c>
      <c r="C449" s="15" t="s">
        <v>577</v>
      </c>
      <c r="E449" s="24">
        <f>40633+40041</f>
        <v>80674</v>
      </c>
      <c r="G449" s="24">
        <v>4987</v>
      </c>
      <c r="I449" s="24">
        <f>2216+595</f>
        <v>2811</v>
      </c>
      <c r="K449" s="24">
        <v>82</v>
      </c>
      <c r="M449" s="24">
        <v>0</v>
      </c>
      <c r="O449" s="24">
        <v>41324</v>
      </c>
      <c r="Q449" s="24">
        <v>67645</v>
      </c>
      <c r="S449" s="24">
        <f>70459+24810+123628</f>
        <v>218897</v>
      </c>
      <c r="U449" s="24">
        <v>0</v>
      </c>
      <c r="W449" s="24">
        <v>0</v>
      </c>
      <c r="Y449" s="24">
        <f>23443+8870</f>
        <v>32313</v>
      </c>
      <c r="AA449" s="24">
        <v>0</v>
      </c>
      <c r="AC449" s="24">
        <v>49510</v>
      </c>
      <c r="AE449" s="24">
        <f t="shared" si="13"/>
        <v>498243</v>
      </c>
      <c r="AF449" s="24"/>
      <c r="AG449" s="64">
        <f>17982+8230+10725</f>
        <v>36937</v>
      </c>
      <c r="AI449" s="64">
        <f>249928+43933+32931</f>
        <v>326792</v>
      </c>
      <c r="AK449" s="64">
        <f>267910+52163+43656</f>
        <v>363729</v>
      </c>
      <c r="AM449" s="24">
        <f>+'Gov Rev'!AI446-'Gov Exp'!AE449+'Gov Exp'!AI449-'Gov Exp'!AK449</f>
        <v>0</v>
      </c>
    </row>
    <row r="450" spans="1:39" ht="12.75" hidden="1">
      <c r="A450" s="15" t="s">
        <v>229</v>
      </c>
      <c r="C450" s="15" t="s">
        <v>822</v>
      </c>
      <c r="D450" s="28"/>
      <c r="E450" s="24">
        <v>0</v>
      </c>
      <c r="G450" s="24">
        <v>0</v>
      </c>
      <c r="I450" s="24">
        <v>0</v>
      </c>
      <c r="K450" s="24">
        <v>0</v>
      </c>
      <c r="M450" s="24">
        <v>0</v>
      </c>
      <c r="O450" s="24">
        <v>0</v>
      </c>
      <c r="Q450" s="24">
        <v>0</v>
      </c>
      <c r="S450" s="24">
        <v>0</v>
      </c>
      <c r="U450" s="24">
        <v>0</v>
      </c>
      <c r="W450" s="24">
        <v>0</v>
      </c>
      <c r="Y450" s="24">
        <v>0</v>
      </c>
      <c r="AA450" s="24">
        <v>0</v>
      </c>
      <c r="AC450" s="24">
        <v>0</v>
      </c>
      <c r="AE450" s="24">
        <f t="shared" si="13"/>
        <v>0</v>
      </c>
      <c r="AF450" s="24"/>
      <c r="AM450" s="24">
        <f>+'Gov Rev'!AI447-'Gov Exp'!AE450+'Gov Exp'!AI450-'Gov Exp'!AK450</f>
        <v>0</v>
      </c>
    </row>
    <row r="451" spans="1:39" ht="12.75" hidden="1">
      <c r="A451" s="15" t="s">
        <v>190</v>
      </c>
      <c r="C451" s="15" t="s">
        <v>809</v>
      </c>
      <c r="D451" s="28"/>
      <c r="E451" s="24">
        <v>0</v>
      </c>
      <c r="G451" s="24">
        <v>0</v>
      </c>
      <c r="I451" s="24">
        <v>0</v>
      </c>
      <c r="K451" s="24">
        <v>0</v>
      </c>
      <c r="M451" s="24">
        <v>0</v>
      </c>
      <c r="O451" s="24">
        <v>0</v>
      </c>
      <c r="Q451" s="24">
        <v>0</v>
      </c>
      <c r="S451" s="24">
        <v>0</v>
      </c>
      <c r="U451" s="24">
        <v>0</v>
      </c>
      <c r="W451" s="24">
        <v>0</v>
      </c>
      <c r="Y451" s="24">
        <v>0</v>
      </c>
      <c r="AA451" s="24">
        <v>0</v>
      </c>
      <c r="AC451" s="24">
        <v>0</v>
      </c>
      <c r="AE451" s="24">
        <f t="shared" si="13"/>
        <v>0</v>
      </c>
      <c r="AF451" s="24"/>
      <c r="AM451" s="24">
        <f>+'Gov Rev'!AI448-'Gov Exp'!AE451+'Gov Exp'!AI451-'Gov Exp'!AK451</f>
        <v>0</v>
      </c>
    </row>
    <row r="452" spans="1:39" ht="12.75">
      <c r="A452" s="15" t="s">
        <v>681</v>
      </c>
      <c r="C452" s="15" t="s">
        <v>677</v>
      </c>
      <c r="D452" s="28"/>
      <c r="E452" s="24">
        <f>456170+108725</f>
        <v>564895</v>
      </c>
      <c r="G452" s="24">
        <v>14830</v>
      </c>
      <c r="I452" s="24">
        <v>6662</v>
      </c>
      <c r="K452" s="24">
        <v>3565</v>
      </c>
      <c r="M452" s="24">
        <v>0</v>
      </c>
      <c r="O452" s="24">
        <f>2032+128456</f>
        <v>130488</v>
      </c>
      <c r="Q452" s="24">
        <f>608282+63495+17060</f>
        <v>688837</v>
      </c>
      <c r="S452" s="24">
        <v>0</v>
      </c>
      <c r="U452" s="24">
        <v>0</v>
      </c>
      <c r="W452" s="24">
        <v>0</v>
      </c>
      <c r="Y452" s="24">
        <f>48955+9165</f>
        <v>58120</v>
      </c>
      <c r="AA452" s="24">
        <v>0</v>
      </c>
      <c r="AC452" s="24">
        <v>0</v>
      </c>
      <c r="AE452" s="24">
        <f t="shared" si="13"/>
        <v>1467397</v>
      </c>
      <c r="AF452" s="24"/>
      <c r="AG452" s="64">
        <f>-147283+4089+30000+33021</f>
        <v>-80173</v>
      </c>
      <c r="AI452" s="64">
        <f>562325+4855+112190+252642</f>
        <v>932012</v>
      </c>
      <c r="AK452" s="64">
        <f>415042+256731+142190+37876</f>
        <v>851839</v>
      </c>
      <c r="AM452" s="24">
        <f>+'Gov Rev'!AI449-'Gov Exp'!AE452+'Gov Exp'!AI452-'Gov Exp'!AK452</f>
        <v>0</v>
      </c>
    </row>
    <row r="453" spans="1:39" ht="12.6" customHeight="1">
      <c r="A453" s="15" t="s">
        <v>335</v>
      </c>
      <c r="C453" s="15" t="s">
        <v>329</v>
      </c>
      <c r="E453" s="24">
        <v>7207</v>
      </c>
      <c r="G453" s="24">
        <v>1821</v>
      </c>
      <c r="I453" s="24">
        <v>15589</v>
      </c>
      <c r="K453" s="24">
        <v>0</v>
      </c>
      <c r="M453" s="24">
        <v>0</v>
      </c>
      <c r="O453" s="24">
        <f>297+11103</f>
        <v>11400</v>
      </c>
      <c r="Q453" s="24">
        <v>22113</v>
      </c>
      <c r="S453" s="24">
        <v>88156</v>
      </c>
      <c r="U453" s="24">
        <v>4173</v>
      </c>
      <c r="W453" s="24">
        <v>0</v>
      </c>
      <c r="Y453" s="24">
        <v>0</v>
      </c>
      <c r="AA453" s="24">
        <f>22500+4173+2500</f>
        <v>29173</v>
      </c>
      <c r="AC453" s="24">
        <v>0</v>
      </c>
      <c r="AE453" s="24">
        <f t="shared" si="13"/>
        <v>179632</v>
      </c>
      <c r="AF453" s="24"/>
      <c r="AG453" s="64">
        <f>-3072+8251+11844</f>
        <v>17023</v>
      </c>
      <c r="AI453" s="64">
        <f>318864+58626+10212</f>
        <v>387702</v>
      </c>
      <c r="AK453" s="64">
        <f>315792+66877+22055+1</f>
        <v>404725</v>
      </c>
      <c r="AM453" s="24">
        <f>+'Gov Rev'!AI450-'Gov Exp'!AE453+'Gov Exp'!AI453-'Gov Exp'!AK453</f>
        <v>0</v>
      </c>
    </row>
    <row r="454" spans="1:39" ht="12.6" customHeight="1">
      <c r="A454" s="15" t="s">
        <v>344</v>
      </c>
      <c r="C454" s="15" t="s">
        <v>343</v>
      </c>
      <c r="E454" s="24">
        <v>11978</v>
      </c>
      <c r="G454" s="24">
        <v>483</v>
      </c>
      <c r="I454" s="24">
        <v>0</v>
      </c>
      <c r="K454" s="24">
        <v>13468</v>
      </c>
      <c r="M454" s="24">
        <v>0</v>
      </c>
      <c r="O454" s="24">
        <f>28036+343474</f>
        <v>371510</v>
      </c>
      <c r="Q454" s="24">
        <v>24600</v>
      </c>
      <c r="S454" s="24">
        <v>32851</v>
      </c>
      <c r="U454" s="24">
        <v>0</v>
      </c>
      <c r="W454" s="24">
        <v>0</v>
      </c>
      <c r="Y454" s="24">
        <v>5711</v>
      </c>
      <c r="AA454" s="24">
        <v>0</v>
      </c>
      <c r="AC454" s="24">
        <v>0</v>
      </c>
      <c r="AE454" s="24">
        <f t="shared" si="13"/>
        <v>460601</v>
      </c>
      <c r="AF454" s="24"/>
      <c r="AG454" s="64">
        <f>-17842-7230+5711</f>
        <v>-19361</v>
      </c>
      <c r="AI454" s="64">
        <f>19866+31844</f>
        <v>51710</v>
      </c>
      <c r="AK454" s="64">
        <f>2024+30325</f>
        <v>32349</v>
      </c>
      <c r="AM454" s="24">
        <f>+'Gov Rev'!AI451-'Gov Exp'!AE454+'Gov Exp'!AI454-'Gov Exp'!AK454</f>
        <v>0</v>
      </c>
    </row>
    <row r="455" spans="1:39" ht="12.75" hidden="1">
      <c r="A455" s="15" t="s">
        <v>207</v>
      </c>
      <c r="C455" s="15" t="s">
        <v>813</v>
      </c>
      <c r="D455" s="28"/>
      <c r="E455" s="24">
        <v>0</v>
      </c>
      <c r="G455" s="24">
        <v>0</v>
      </c>
      <c r="I455" s="24">
        <v>0</v>
      </c>
      <c r="K455" s="24">
        <v>0</v>
      </c>
      <c r="M455" s="24">
        <v>0</v>
      </c>
      <c r="O455" s="24">
        <v>0</v>
      </c>
      <c r="Q455" s="24">
        <v>0</v>
      </c>
      <c r="S455" s="24">
        <v>0</v>
      </c>
      <c r="U455" s="24">
        <v>0</v>
      </c>
      <c r="W455" s="24">
        <v>0</v>
      </c>
      <c r="Y455" s="24">
        <v>0</v>
      </c>
      <c r="AA455" s="24">
        <v>0</v>
      </c>
      <c r="AC455" s="24">
        <v>0</v>
      </c>
      <c r="AE455" s="24">
        <f t="shared" si="13"/>
        <v>0</v>
      </c>
      <c r="AF455" s="24"/>
      <c r="AM455" s="24">
        <f>+'Gov Rev'!AI452-'Gov Exp'!AE455+'Gov Exp'!AI455-'Gov Exp'!AK455</f>
        <v>0</v>
      </c>
    </row>
    <row r="456" spans="1:39">
      <c r="A456" s="15" t="s">
        <v>457</v>
      </c>
      <c r="C456" s="15" t="s">
        <v>456</v>
      </c>
      <c r="E456" s="24">
        <f>2433581+387202</f>
        <v>2820783</v>
      </c>
      <c r="G456" s="24">
        <v>28326</v>
      </c>
      <c r="I456" s="24">
        <f>281010+111184</f>
        <v>392194</v>
      </c>
      <c r="K456" s="24">
        <v>0</v>
      </c>
      <c r="M456" s="24">
        <f>309826+156916</f>
        <v>466742</v>
      </c>
      <c r="O456" s="24">
        <f>381774+128593</f>
        <v>510367</v>
      </c>
      <c r="Q456" s="24">
        <v>871076</v>
      </c>
      <c r="S456" s="24">
        <f>1285636+93250+573086</f>
        <v>1951972</v>
      </c>
      <c r="U456" s="24">
        <f>69959+200000</f>
        <v>269959</v>
      </c>
      <c r="W456" s="24">
        <v>201111</v>
      </c>
      <c r="Y456" s="24">
        <v>3180000</v>
      </c>
      <c r="AA456" s="24">
        <v>0</v>
      </c>
      <c r="AC456" s="24">
        <v>0</v>
      </c>
      <c r="AE456" s="24">
        <f t="shared" si="13"/>
        <v>10692530</v>
      </c>
      <c r="AF456" s="24"/>
      <c r="AG456" s="64">
        <f>3087508+-155636-73650-4154197-29798</f>
        <v>-1325773</v>
      </c>
      <c r="AI456" s="64">
        <f>3854911+999825+1005324+4556576+2469000+1645634</f>
        <v>14531270</v>
      </c>
      <c r="AK456" s="64">
        <f>6942419+844189+931674+402379+2469000+1615836</f>
        <v>13205497</v>
      </c>
      <c r="AM456" s="24">
        <f>+'Gov Rev'!AI454-'Gov Exp'!AE456+'Gov Exp'!AI456-'Gov Exp'!AK456</f>
        <v>0</v>
      </c>
    </row>
    <row r="457" spans="1:39" hidden="1">
      <c r="A457" s="15" t="s">
        <v>520</v>
      </c>
      <c r="C457" s="15" t="s">
        <v>517</v>
      </c>
      <c r="E457" s="24">
        <v>0</v>
      </c>
      <c r="G457" s="24">
        <v>0</v>
      </c>
      <c r="I457" s="24">
        <v>0</v>
      </c>
      <c r="K457" s="24">
        <v>0</v>
      </c>
      <c r="M457" s="24">
        <v>0</v>
      </c>
      <c r="O457" s="24">
        <v>0</v>
      </c>
      <c r="Q457" s="24">
        <v>0</v>
      </c>
      <c r="S457" s="24">
        <v>0</v>
      </c>
      <c r="U457" s="24">
        <v>0</v>
      </c>
      <c r="W457" s="24">
        <v>0</v>
      </c>
      <c r="Y457" s="24">
        <v>0</v>
      </c>
      <c r="AA457" s="24">
        <v>0</v>
      </c>
      <c r="AC457" s="24">
        <v>0</v>
      </c>
      <c r="AE457" s="24">
        <f t="shared" si="13"/>
        <v>0</v>
      </c>
      <c r="AF457" s="24"/>
      <c r="AM457" s="24">
        <f>+'Gov Rev'!AI455-'Gov Exp'!AE457+'Gov Exp'!AI457-'Gov Exp'!AK457</f>
        <v>0</v>
      </c>
    </row>
    <row r="458" spans="1:39" s="24" customFormat="1" ht="12.75" hidden="1">
      <c r="A458" s="24" t="s">
        <v>216</v>
      </c>
      <c r="C458" s="24" t="s">
        <v>817</v>
      </c>
      <c r="D458" s="85"/>
      <c r="E458" s="24">
        <v>0</v>
      </c>
      <c r="G458" s="24">
        <v>0</v>
      </c>
      <c r="I458" s="24">
        <v>0</v>
      </c>
      <c r="K458" s="24">
        <v>0</v>
      </c>
      <c r="M458" s="24">
        <v>0</v>
      </c>
      <c r="O458" s="24">
        <v>0</v>
      </c>
      <c r="Q458" s="24">
        <v>0</v>
      </c>
      <c r="S458" s="24">
        <v>0</v>
      </c>
      <c r="U458" s="24">
        <v>0</v>
      </c>
      <c r="W458" s="24">
        <v>0</v>
      </c>
      <c r="Y458" s="24">
        <v>0</v>
      </c>
      <c r="AA458" s="24">
        <v>0</v>
      </c>
      <c r="AC458" s="24">
        <v>0</v>
      </c>
      <c r="AE458" s="24">
        <f t="shared" si="13"/>
        <v>0</v>
      </c>
      <c r="AG458" s="64"/>
      <c r="AH458" s="64"/>
      <c r="AI458" s="64"/>
      <c r="AJ458" s="64"/>
      <c r="AK458" s="64"/>
      <c r="AM458" s="24">
        <f>+'Gov Rev'!AI456-'Gov Exp'!AE458+'Gov Exp'!AI458-'Gov Exp'!AK458</f>
        <v>0</v>
      </c>
    </row>
    <row r="459" spans="1:39" ht="12.75" hidden="1">
      <c r="A459" s="15" t="s">
        <v>39</v>
      </c>
      <c r="C459" s="15" t="s">
        <v>761</v>
      </c>
      <c r="D459" s="28"/>
      <c r="E459" s="24">
        <v>0</v>
      </c>
      <c r="G459" s="24">
        <v>0</v>
      </c>
      <c r="I459" s="24">
        <v>0</v>
      </c>
      <c r="K459" s="24">
        <v>0</v>
      </c>
      <c r="M459" s="24">
        <v>0</v>
      </c>
      <c r="O459" s="24">
        <v>0</v>
      </c>
      <c r="Q459" s="24">
        <v>0</v>
      </c>
      <c r="S459" s="24">
        <v>0</v>
      </c>
      <c r="U459" s="24">
        <v>0</v>
      </c>
      <c r="W459" s="24">
        <v>0</v>
      </c>
      <c r="Y459" s="24">
        <v>0</v>
      </c>
      <c r="AA459" s="24">
        <v>0</v>
      </c>
      <c r="AC459" s="24">
        <v>0</v>
      </c>
      <c r="AE459" s="24">
        <f t="shared" si="13"/>
        <v>0</v>
      </c>
      <c r="AF459" s="24"/>
      <c r="AM459" s="24">
        <f>+'Gov Rev'!AI457-'Gov Exp'!AE459+'Gov Exp'!AI459-'Gov Exp'!AK459</f>
        <v>0</v>
      </c>
    </row>
    <row r="460" spans="1:39">
      <c r="A460" s="15" t="s">
        <v>916</v>
      </c>
      <c r="C460" s="15" t="s">
        <v>329</v>
      </c>
      <c r="E460" s="24">
        <v>6571</v>
      </c>
      <c r="G460" s="24">
        <v>544</v>
      </c>
      <c r="I460" s="24">
        <f>9129+10233</f>
        <v>19362</v>
      </c>
      <c r="K460" s="24">
        <v>0</v>
      </c>
      <c r="M460" s="24">
        <v>178</v>
      </c>
      <c r="O460" s="24">
        <f>16411+9593</f>
        <v>26004</v>
      </c>
      <c r="Q460" s="24">
        <v>18864</v>
      </c>
      <c r="S460" s="24">
        <v>0</v>
      </c>
      <c r="U460" s="24">
        <v>0</v>
      </c>
      <c r="W460" s="24">
        <v>0</v>
      </c>
      <c r="Y460" s="24">
        <v>0</v>
      </c>
      <c r="AA460" s="24">
        <v>0</v>
      </c>
      <c r="AC460" s="24">
        <v>0</v>
      </c>
      <c r="AE460" s="24">
        <f t="shared" si="13"/>
        <v>71523</v>
      </c>
      <c r="AF460" s="24"/>
      <c r="AG460" s="64">
        <f>-6501+3640</f>
        <v>-2861</v>
      </c>
      <c r="AI460" s="64">
        <f>24577+20842</f>
        <v>45419</v>
      </c>
      <c r="AK460" s="64">
        <f>18076+24482</f>
        <v>42558</v>
      </c>
      <c r="AM460" s="24">
        <f>+'Gov Rev'!AI458-'Gov Exp'!AE460+'Gov Exp'!AI460-'Gov Exp'!AK460</f>
        <v>0</v>
      </c>
    </row>
    <row r="461" spans="1:39">
      <c r="A461" s="15" t="s">
        <v>521</v>
      </c>
      <c r="C461" s="15" t="s">
        <v>517</v>
      </c>
      <c r="E461" s="24">
        <f>184449+270</f>
        <v>184719</v>
      </c>
      <c r="G461" s="24">
        <v>7049</v>
      </c>
      <c r="I461" s="24">
        <v>4764</v>
      </c>
      <c r="K461" s="24">
        <v>0</v>
      </c>
      <c r="M461" s="24">
        <v>16715</v>
      </c>
      <c r="O461" s="24">
        <f>6127+65353+1799</f>
        <v>73279</v>
      </c>
      <c r="Q461" s="24">
        <f>129583+27961</f>
        <v>157544</v>
      </c>
      <c r="S461" s="24">
        <f>244548+21555</f>
        <v>266103</v>
      </c>
      <c r="U461" s="24">
        <v>0</v>
      </c>
      <c r="W461" s="24">
        <v>0</v>
      </c>
      <c r="Y461" s="24">
        <v>6000</v>
      </c>
      <c r="AA461" s="24">
        <v>0</v>
      </c>
      <c r="AC461" s="24">
        <v>0</v>
      </c>
      <c r="AE461" s="24">
        <f t="shared" si="13"/>
        <v>716173</v>
      </c>
      <c r="AF461" s="24"/>
      <c r="AG461" s="64">
        <f>17902-9102-90341-13884</f>
        <v>-95425</v>
      </c>
      <c r="AI461" s="64">
        <f>96324+30526+330055+38901</f>
        <v>495806</v>
      </c>
      <c r="AK461" s="64">
        <f>114226+21424+239714+25017</f>
        <v>400381</v>
      </c>
      <c r="AM461" s="24">
        <f>+'Gov Rev'!AI459-'Gov Exp'!AE461+'Gov Exp'!AI461-'Gov Exp'!AK461</f>
        <v>0</v>
      </c>
    </row>
    <row r="462" spans="1:39">
      <c r="A462" s="15" t="s">
        <v>570</v>
      </c>
      <c r="C462" s="15" t="s">
        <v>565</v>
      </c>
      <c r="E462" s="24">
        <v>2515</v>
      </c>
      <c r="G462" s="24">
        <v>138</v>
      </c>
      <c r="I462" s="24">
        <v>0</v>
      </c>
      <c r="K462" s="24">
        <v>26</v>
      </c>
      <c r="M462" s="24">
        <v>0</v>
      </c>
      <c r="O462" s="24">
        <v>8166</v>
      </c>
      <c r="Q462" s="24">
        <v>10495</v>
      </c>
      <c r="S462" s="24">
        <v>0</v>
      </c>
      <c r="U462" s="24">
        <v>0</v>
      </c>
      <c r="W462" s="24">
        <v>0</v>
      </c>
      <c r="Y462" s="24">
        <v>0</v>
      </c>
      <c r="AA462" s="24">
        <v>0</v>
      </c>
      <c r="AC462" s="24">
        <v>0</v>
      </c>
      <c r="AE462" s="24">
        <f t="shared" si="13"/>
        <v>21340</v>
      </c>
      <c r="AF462" s="24"/>
      <c r="AG462" s="64">
        <f>9117+6476</f>
        <v>15593</v>
      </c>
      <c r="AI462" s="64">
        <f>60407+76852</f>
        <v>137259</v>
      </c>
      <c r="AK462" s="64">
        <f>69524+83328</f>
        <v>152852</v>
      </c>
      <c r="AM462" s="24">
        <f>+'Gov Rev'!AI460-'Gov Exp'!AE462+'Gov Exp'!AI462-'Gov Exp'!AK462</f>
        <v>0</v>
      </c>
    </row>
    <row r="463" spans="1:39">
      <c r="A463" s="15" t="s">
        <v>400</v>
      </c>
      <c r="C463" s="15" t="s">
        <v>396</v>
      </c>
      <c r="E463" s="24">
        <v>700</v>
      </c>
      <c r="G463" s="24">
        <v>410</v>
      </c>
      <c r="I463" s="24">
        <v>0</v>
      </c>
      <c r="K463" s="24">
        <v>0</v>
      </c>
      <c r="M463" s="24">
        <v>167</v>
      </c>
      <c r="O463" s="24">
        <v>991</v>
      </c>
      <c r="Q463" s="24">
        <f>7715+984+140</f>
        <v>8839</v>
      </c>
      <c r="S463" s="24">
        <v>0</v>
      </c>
      <c r="U463" s="24">
        <v>0</v>
      </c>
      <c r="W463" s="24">
        <v>0</v>
      </c>
      <c r="Y463" s="24">
        <v>0</v>
      </c>
      <c r="AA463" s="24">
        <v>0</v>
      </c>
      <c r="AC463" s="24">
        <v>0</v>
      </c>
      <c r="AE463" s="24">
        <f t="shared" si="13"/>
        <v>11107</v>
      </c>
      <c r="AF463" s="24"/>
      <c r="AG463" s="64">
        <f>-1442+2315+194-1975-140</f>
        <v>-1048</v>
      </c>
      <c r="AI463" s="64">
        <f>2429+5835+762</f>
        <v>9026</v>
      </c>
      <c r="AK463" s="64">
        <f>987+6175+816</f>
        <v>7978</v>
      </c>
      <c r="AM463" s="24">
        <f>+'Gov Rev'!AI461-'Gov Exp'!AE463+'Gov Exp'!AI463-'Gov Exp'!AK463</f>
        <v>0</v>
      </c>
    </row>
    <row r="464" spans="1:39">
      <c r="A464" s="15" t="s">
        <v>500</v>
      </c>
      <c r="C464" s="15" t="s">
        <v>500</v>
      </c>
      <c r="E464" s="24">
        <f>58143+471865</f>
        <v>530008</v>
      </c>
      <c r="G464" s="24">
        <v>19402</v>
      </c>
      <c r="I464" s="24">
        <f>28215+82775</f>
        <v>110990</v>
      </c>
      <c r="K464" s="24">
        <v>10607</v>
      </c>
      <c r="M464" s="24">
        <v>6086</v>
      </c>
      <c r="O464" s="24">
        <f>8318+115041</f>
        <v>123359</v>
      </c>
      <c r="Q464" s="24">
        <v>328542</v>
      </c>
      <c r="S464" s="24">
        <f>54456+22971+1165988</f>
        <v>1243415</v>
      </c>
      <c r="U464" s="24">
        <v>355300</v>
      </c>
      <c r="W464" s="24">
        <v>9494</v>
      </c>
      <c r="Y464" s="24">
        <v>85000</v>
      </c>
      <c r="AA464" s="24">
        <v>0</v>
      </c>
      <c r="AC464" s="24">
        <v>517794</v>
      </c>
      <c r="AE464" s="24">
        <f t="shared" si="13"/>
        <v>3339997</v>
      </c>
      <c r="AF464" s="24"/>
      <c r="AG464" s="64">
        <f>-100841+228883+14677+22676</f>
        <v>165395</v>
      </c>
      <c r="AI464" s="64">
        <f>677800+875929+29496+18944</f>
        <v>1602169</v>
      </c>
      <c r="AK464" s="64">
        <f>576959+1104812+44173+41620</f>
        <v>1767564</v>
      </c>
      <c r="AM464" s="24">
        <f>+'Gov Rev'!AI462-'Gov Exp'!AE464+'Gov Exp'!AI464-'Gov Exp'!AK464</f>
        <v>0</v>
      </c>
    </row>
    <row r="465" spans="1:40" hidden="1">
      <c r="A465" s="15" t="s">
        <v>502</v>
      </c>
      <c r="C465" s="15" t="s">
        <v>500</v>
      </c>
      <c r="E465" s="24">
        <v>0</v>
      </c>
      <c r="G465" s="24">
        <v>0</v>
      </c>
      <c r="I465" s="24">
        <v>0</v>
      </c>
      <c r="K465" s="24">
        <v>0</v>
      </c>
      <c r="M465" s="24">
        <v>0</v>
      </c>
      <c r="O465" s="24">
        <v>0</v>
      </c>
      <c r="Q465" s="24">
        <v>0</v>
      </c>
      <c r="S465" s="24">
        <v>0</v>
      </c>
      <c r="U465" s="24">
        <v>0</v>
      </c>
      <c r="W465" s="24">
        <v>0</v>
      </c>
      <c r="Y465" s="24">
        <v>0</v>
      </c>
      <c r="AA465" s="24">
        <v>0</v>
      </c>
      <c r="AC465" s="24">
        <v>0</v>
      </c>
      <c r="AE465" s="24">
        <f t="shared" si="13"/>
        <v>0</v>
      </c>
      <c r="AF465" s="24"/>
      <c r="AM465" s="24">
        <f>+'Gov Rev'!AI463-'Gov Exp'!AE465+'Gov Exp'!AI465-'Gov Exp'!AK465</f>
        <v>0</v>
      </c>
    </row>
    <row r="466" spans="1:40" ht="12.75">
      <c r="A466" s="15" t="s">
        <v>682</v>
      </c>
      <c r="C466" s="15" t="s">
        <v>665</v>
      </c>
      <c r="D466" s="28"/>
      <c r="E466" s="24">
        <f>85326+160140</f>
        <v>245466</v>
      </c>
      <c r="G466" s="24">
        <v>0</v>
      </c>
      <c r="I466" s="24">
        <v>0</v>
      </c>
      <c r="K466" s="24">
        <v>24126</v>
      </c>
      <c r="M466" s="24">
        <v>0</v>
      </c>
      <c r="O466" s="24">
        <v>58943</v>
      </c>
      <c r="Q466" s="24">
        <f>174035+12155</f>
        <v>186190</v>
      </c>
      <c r="S466" s="24">
        <v>0</v>
      </c>
      <c r="U466" s="24">
        <v>0</v>
      </c>
      <c r="W466" s="24">
        <v>0</v>
      </c>
      <c r="Y466" s="24">
        <v>0</v>
      </c>
      <c r="AA466" s="24">
        <v>0</v>
      </c>
      <c r="AC466" s="24">
        <v>0</v>
      </c>
      <c r="AE466" s="24">
        <f t="shared" si="13"/>
        <v>514725</v>
      </c>
      <c r="AF466" s="24"/>
      <c r="AG466" s="64">
        <f>-29064-42520</f>
        <v>-71584</v>
      </c>
      <c r="AI466" s="64">
        <f>85592+146466</f>
        <v>232058</v>
      </c>
      <c r="AK466" s="64">
        <f>56528+103946</f>
        <v>160474</v>
      </c>
      <c r="AL466" s="24"/>
      <c r="AM466" s="24">
        <f>+'Gov Rev'!AI464-'Gov Exp'!AE466+'Gov Exp'!AI466-'Gov Exp'!AK466</f>
        <v>0</v>
      </c>
      <c r="AN466" s="24"/>
    </row>
    <row r="467" spans="1:40" hidden="1">
      <c r="A467" s="15" t="s">
        <v>611</v>
      </c>
      <c r="C467" s="15" t="s">
        <v>606</v>
      </c>
      <c r="E467" s="24">
        <v>0</v>
      </c>
      <c r="G467" s="24">
        <v>0</v>
      </c>
      <c r="I467" s="24">
        <v>0</v>
      </c>
      <c r="K467" s="24">
        <v>0</v>
      </c>
      <c r="M467" s="24">
        <v>0</v>
      </c>
      <c r="O467" s="24">
        <v>0</v>
      </c>
      <c r="Q467" s="24">
        <v>0</v>
      </c>
      <c r="S467" s="24">
        <v>0</v>
      </c>
      <c r="U467" s="24">
        <v>0</v>
      </c>
      <c r="W467" s="24">
        <v>0</v>
      </c>
      <c r="Y467" s="24">
        <v>0</v>
      </c>
      <c r="AA467" s="24">
        <v>0</v>
      </c>
      <c r="AC467" s="24">
        <v>0</v>
      </c>
      <c r="AE467" s="24">
        <f t="shared" si="13"/>
        <v>0</v>
      </c>
      <c r="AF467" s="41"/>
      <c r="AM467" s="24">
        <f>+'Gov Rev'!AI465-'Gov Exp'!AE467+'Gov Exp'!AI467-'Gov Exp'!AK467</f>
        <v>0</v>
      </c>
    </row>
    <row r="468" spans="1:40" hidden="1">
      <c r="A468" s="15" t="s">
        <v>557</v>
      </c>
      <c r="C468" s="15" t="s">
        <v>554</v>
      </c>
      <c r="E468" s="24">
        <v>0</v>
      </c>
      <c r="G468" s="24">
        <v>0</v>
      </c>
      <c r="I468" s="24">
        <v>0</v>
      </c>
      <c r="K468" s="24">
        <v>0</v>
      </c>
      <c r="M468" s="24">
        <v>0</v>
      </c>
      <c r="O468" s="24">
        <v>0</v>
      </c>
      <c r="Q468" s="24">
        <v>0</v>
      </c>
      <c r="S468" s="24">
        <v>0</v>
      </c>
      <c r="U468" s="24">
        <v>0</v>
      </c>
      <c r="W468" s="24">
        <v>0</v>
      </c>
      <c r="Y468" s="24">
        <v>0</v>
      </c>
      <c r="AA468" s="24">
        <v>0</v>
      </c>
      <c r="AC468" s="24">
        <v>0</v>
      </c>
      <c r="AE468" s="24">
        <f t="shared" si="13"/>
        <v>0</v>
      </c>
      <c r="AF468" s="24"/>
      <c r="AM468" s="24">
        <f>+'Gov Rev'!AI466-'Gov Exp'!AE468+'Gov Exp'!AI468-'Gov Exp'!AK468</f>
        <v>0</v>
      </c>
    </row>
    <row r="469" spans="1:40" s="31" customFormat="1">
      <c r="A469" s="15" t="s">
        <v>433</v>
      </c>
      <c r="B469" s="15"/>
      <c r="C469" s="15" t="s">
        <v>430</v>
      </c>
      <c r="D469" s="15"/>
      <c r="E469" s="24">
        <f>545648+19992</f>
        <v>565640</v>
      </c>
      <c r="F469" s="24"/>
      <c r="G469" s="24">
        <v>12631</v>
      </c>
      <c r="H469" s="24"/>
      <c r="I469" s="24">
        <v>20520</v>
      </c>
      <c r="J469" s="24"/>
      <c r="K469" s="24">
        <v>5438</v>
      </c>
      <c r="L469" s="24"/>
      <c r="M469" s="24">
        <f>120+29558</f>
        <v>29678</v>
      </c>
      <c r="N469" s="24"/>
      <c r="O469" s="24">
        <v>261543</v>
      </c>
      <c r="P469" s="24"/>
      <c r="Q469" s="24">
        <f>187913+61665</f>
        <v>249578</v>
      </c>
      <c r="R469" s="24"/>
      <c r="S469" s="24">
        <f>196416+429270</f>
        <v>625686</v>
      </c>
      <c r="T469" s="24"/>
      <c r="U469" s="24">
        <v>111511</v>
      </c>
      <c r="V469" s="24"/>
      <c r="W469" s="24">
        <v>0</v>
      </c>
      <c r="X469" s="24"/>
      <c r="Y469" s="24">
        <f>58451+6150</f>
        <v>64601</v>
      </c>
      <c r="Z469" s="24"/>
      <c r="AA469" s="24">
        <v>0</v>
      </c>
      <c r="AB469" s="24"/>
      <c r="AC469" s="24">
        <v>0</v>
      </c>
      <c r="AD469" s="24"/>
      <c r="AE469" s="24">
        <f t="shared" si="13"/>
        <v>1946826</v>
      </c>
      <c r="AF469" s="24"/>
      <c r="AG469" s="65">
        <f>-293557-121057-4992</f>
        <v>-419606</v>
      </c>
      <c r="AH469" s="65"/>
      <c r="AI469" s="65">
        <f>1045361+186174+45000</f>
        <v>1276535</v>
      </c>
      <c r="AJ469" s="65"/>
      <c r="AK469" s="65">
        <f>751802+65117+40008</f>
        <v>856927</v>
      </c>
      <c r="AM469" s="24">
        <f>+'Gov Rev'!AI467-'Gov Exp'!AE469+'Gov Exp'!AI469-'Gov Exp'!AK469</f>
        <v>0</v>
      </c>
    </row>
    <row r="470" spans="1:40" ht="12.75">
      <c r="A470" s="15" t="s">
        <v>683</v>
      </c>
      <c r="C470" s="15" t="s">
        <v>672</v>
      </c>
      <c r="D470" s="28"/>
      <c r="E470" s="24">
        <f>97200+47819+88</f>
        <v>145107</v>
      </c>
      <c r="G470" s="24">
        <v>0</v>
      </c>
      <c r="I470" s="24">
        <v>1419</v>
      </c>
      <c r="K470" s="24">
        <v>0</v>
      </c>
      <c r="M470" s="24">
        <v>0</v>
      </c>
      <c r="O470" s="24">
        <f>3385+38726+305</f>
        <v>42416</v>
      </c>
      <c r="Q470" s="24">
        <v>154256</v>
      </c>
      <c r="S470" s="24">
        <v>0</v>
      </c>
      <c r="U470" s="24">
        <f>7500+120500</f>
        <v>128000</v>
      </c>
      <c r="W470" s="24">
        <f>2477+50115</f>
        <v>52592</v>
      </c>
      <c r="Y470" s="24">
        <v>0</v>
      </c>
      <c r="AA470" s="24">
        <v>0</v>
      </c>
      <c r="AC470" s="24">
        <v>0</v>
      </c>
      <c r="AE470" s="24">
        <f t="shared" si="13"/>
        <v>523790</v>
      </c>
      <c r="AF470" s="24"/>
      <c r="AG470" s="64">
        <f>19821-6939+2321-35341-48295</f>
        <v>-68433</v>
      </c>
      <c r="AI470" s="64">
        <f>70673+15181+11099+35341+48295</f>
        <v>180589</v>
      </c>
      <c r="AK470" s="64">
        <f>90495+8342+13420</f>
        <v>112257</v>
      </c>
      <c r="AM470" s="24">
        <f>+'Gov Rev'!AI468-'Gov Exp'!AE470+'Gov Exp'!AI470-'Gov Exp'!AK470</f>
        <v>0</v>
      </c>
    </row>
    <row r="471" spans="1:40">
      <c r="A471" s="15" t="s">
        <v>485</v>
      </c>
      <c r="C471" s="15" t="s">
        <v>482</v>
      </c>
      <c r="E471" s="24">
        <v>323602</v>
      </c>
      <c r="G471" s="24">
        <v>0</v>
      </c>
      <c r="I471" s="24">
        <v>11800</v>
      </c>
      <c r="K471" s="24">
        <v>2478</v>
      </c>
      <c r="M471" s="24">
        <v>0</v>
      </c>
      <c r="O471" s="24">
        <f>33051+8008</f>
        <v>41059</v>
      </c>
      <c r="Q471" s="24">
        <f>91949+2736</f>
        <v>94685</v>
      </c>
      <c r="S471" s="24">
        <f>25589+39970+3352</f>
        <v>68911</v>
      </c>
      <c r="U471" s="24">
        <v>24934</v>
      </c>
      <c r="W471" s="24">
        <v>0</v>
      </c>
      <c r="Y471" s="24">
        <f>1102+3856</f>
        <v>4958</v>
      </c>
      <c r="AA471" s="24">
        <v>0</v>
      </c>
      <c r="AC471" s="24">
        <f>38638+13172</f>
        <v>51810</v>
      </c>
      <c r="AE471" s="24">
        <f t="shared" si="13"/>
        <v>624237</v>
      </c>
      <c r="AF471" s="24"/>
      <c r="AG471" s="64">
        <f>65579+39549</f>
        <v>105128</v>
      </c>
      <c r="AI471" s="64">
        <f>231739+258333</f>
        <v>490072</v>
      </c>
      <c r="AK471" s="64">
        <f>297318+297882</f>
        <v>595200</v>
      </c>
      <c r="AM471" s="24">
        <f>+'Gov Rev'!AI469-'Gov Exp'!AE471+'Gov Exp'!AI471-'Gov Exp'!AK471</f>
        <v>0</v>
      </c>
    </row>
    <row r="472" spans="1:40">
      <c r="A472" s="15" t="s">
        <v>491</v>
      </c>
      <c r="C472" s="15" t="s">
        <v>488</v>
      </c>
      <c r="E472" s="24">
        <v>6404</v>
      </c>
      <c r="G472" s="24">
        <v>0</v>
      </c>
      <c r="I472" s="24">
        <v>0</v>
      </c>
      <c r="K472" s="24">
        <v>0</v>
      </c>
      <c r="M472" s="24">
        <v>0</v>
      </c>
      <c r="O472" s="24">
        <f>37354+30370</f>
        <v>67724</v>
      </c>
      <c r="Q472" s="24">
        <v>40224</v>
      </c>
      <c r="S472" s="24">
        <v>0</v>
      </c>
      <c r="U472" s="24">
        <v>0</v>
      </c>
      <c r="W472" s="24">
        <v>0</v>
      </c>
      <c r="Y472" s="24">
        <v>0</v>
      </c>
      <c r="AA472" s="24">
        <v>0</v>
      </c>
      <c r="AC472" s="24">
        <v>0</v>
      </c>
      <c r="AE472" s="24">
        <f t="shared" si="13"/>
        <v>114352</v>
      </c>
      <c r="AF472" s="24"/>
      <c r="AG472" s="64">
        <f>15675+2611</f>
        <v>18286</v>
      </c>
      <c r="AI472" s="64">
        <f>85234+1613</f>
        <v>86847</v>
      </c>
      <c r="AK472" s="64">
        <f>100909+4225</f>
        <v>105134</v>
      </c>
      <c r="AM472" s="24">
        <f>+'Gov Rev'!AI470-'Gov Exp'!AE472+'Gov Exp'!AI472-'Gov Exp'!AK472</f>
        <v>0</v>
      </c>
    </row>
    <row r="473" spans="1:40" hidden="1">
      <c r="A473" s="15" t="s">
        <v>509</v>
      </c>
      <c r="C473" s="15" t="s">
        <v>510</v>
      </c>
      <c r="E473" s="24">
        <v>0</v>
      </c>
      <c r="G473" s="24">
        <v>0</v>
      </c>
      <c r="I473" s="24">
        <v>0</v>
      </c>
      <c r="K473" s="24">
        <v>0</v>
      </c>
      <c r="M473" s="24">
        <v>0</v>
      </c>
      <c r="O473" s="24">
        <v>0</v>
      </c>
      <c r="Q473" s="24">
        <v>0</v>
      </c>
      <c r="S473" s="24">
        <v>0</v>
      </c>
      <c r="U473" s="24">
        <v>0</v>
      </c>
      <c r="W473" s="24">
        <v>0</v>
      </c>
      <c r="Y473" s="24">
        <v>0</v>
      </c>
      <c r="AA473" s="24">
        <v>0</v>
      </c>
      <c r="AC473" s="24">
        <v>0</v>
      </c>
      <c r="AE473" s="24">
        <f t="shared" si="13"/>
        <v>0</v>
      </c>
      <c r="AF473" s="24"/>
      <c r="AM473" s="24">
        <f>+'Gov Rev'!AI471-'Gov Exp'!AE473+'Gov Exp'!AI473-'Gov Exp'!AK473</f>
        <v>0</v>
      </c>
    </row>
    <row r="474" spans="1:40" ht="12.75">
      <c r="A474" s="15" t="s">
        <v>917</v>
      </c>
      <c r="C474" s="15" t="s">
        <v>601</v>
      </c>
      <c r="D474" s="28"/>
      <c r="E474" s="24">
        <f>409780+3189</f>
        <v>412969</v>
      </c>
      <c r="G474" s="24">
        <f>8682+1307</f>
        <v>9989</v>
      </c>
      <c r="I474" s="24">
        <v>32529</v>
      </c>
      <c r="K474" s="24">
        <f>67741+100000</f>
        <v>167741</v>
      </c>
      <c r="M474" s="24">
        <v>25255</v>
      </c>
      <c r="O474" s="24">
        <f>135955+104826</f>
        <v>240781</v>
      </c>
      <c r="Q474" s="24">
        <v>225491</v>
      </c>
      <c r="S474" s="24">
        <v>0</v>
      </c>
      <c r="U474" s="24">
        <v>33957</v>
      </c>
      <c r="W474" s="24">
        <v>10843</v>
      </c>
      <c r="Y474" s="24">
        <v>0</v>
      </c>
      <c r="AA474" s="24">
        <v>0</v>
      </c>
      <c r="AC474" s="24">
        <v>0</v>
      </c>
      <c r="AE474" s="24">
        <f t="shared" si="13"/>
        <v>1159555</v>
      </c>
      <c r="AF474" s="24"/>
      <c r="AG474" s="64">
        <f>-14373-86211-22964</f>
        <v>-123548</v>
      </c>
      <c r="AI474" s="64">
        <f>125844+195068+346313</f>
        <v>667225</v>
      </c>
      <c r="AK474" s="64">
        <f>111471+108857+323349</f>
        <v>543677</v>
      </c>
      <c r="AM474" s="24">
        <f>+'Gov Rev'!AI472-'Gov Exp'!AE474+'Gov Exp'!AI474-'Gov Exp'!AK474</f>
        <v>0</v>
      </c>
    </row>
    <row r="475" spans="1:40" ht="12.75" hidden="1">
      <c r="A475" s="15" t="s">
        <v>54</v>
      </c>
      <c r="C475" s="15" t="s">
        <v>767</v>
      </c>
      <c r="D475" s="28"/>
      <c r="E475" s="24">
        <v>0</v>
      </c>
      <c r="G475" s="24">
        <v>0</v>
      </c>
      <c r="I475" s="24">
        <v>0</v>
      </c>
      <c r="K475" s="24">
        <v>0</v>
      </c>
      <c r="M475" s="24">
        <v>0</v>
      </c>
      <c r="O475" s="24">
        <v>0</v>
      </c>
      <c r="Q475" s="24">
        <v>0</v>
      </c>
      <c r="S475" s="24">
        <v>0</v>
      </c>
      <c r="U475" s="24">
        <v>0</v>
      </c>
      <c r="W475" s="24">
        <v>0</v>
      </c>
      <c r="Y475" s="24">
        <v>0</v>
      </c>
      <c r="AA475" s="24">
        <v>0</v>
      </c>
      <c r="AC475" s="24">
        <v>0</v>
      </c>
      <c r="AE475" s="24">
        <f t="shared" si="13"/>
        <v>0</v>
      </c>
      <c r="AF475" s="24"/>
      <c r="AM475" s="24">
        <f>+'Gov Rev'!AI473-'Gov Exp'!AE475+'Gov Exp'!AI475-'Gov Exp'!AK475</f>
        <v>0</v>
      </c>
    </row>
    <row r="476" spans="1:40" hidden="1">
      <c r="A476" s="15" t="s">
        <v>461</v>
      </c>
      <c r="C476" s="15" t="s">
        <v>432</v>
      </c>
      <c r="E476" s="24">
        <v>0</v>
      </c>
      <c r="G476" s="24">
        <v>0</v>
      </c>
      <c r="I476" s="24">
        <v>0</v>
      </c>
      <c r="K476" s="24">
        <v>0</v>
      </c>
      <c r="M476" s="24">
        <v>0</v>
      </c>
      <c r="O476" s="24">
        <v>0</v>
      </c>
      <c r="Q476" s="24">
        <v>0</v>
      </c>
      <c r="S476" s="24">
        <v>0</v>
      </c>
      <c r="U476" s="24">
        <v>0</v>
      </c>
      <c r="W476" s="24">
        <v>0</v>
      </c>
      <c r="Y476" s="24">
        <v>0</v>
      </c>
      <c r="AA476" s="24">
        <v>0</v>
      </c>
      <c r="AC476" s="24">
        <v>0</v>
      </c>
      <c r="AE476" s="24">
        <f t="shared" si="13"/>
        <v>0</v>
      </c>
      <c r="AF476" s="24"/>
      <c r="AM476" s="24">
        <f>+'Gov Rev'!AI474-'Gov Exp'!AE476+'Gov Exp'!AI476-'Gov Exp'!AK476</f>
        <v>0</v>
      </c>
    </row>
    <row r="477" spans="1:40" s="31" customFormat="1">
      <c r="A477" s="15" t="s">
        <v>918</v>
      </c>
      <c r="B477" s="15"/>
      <c r="C477" s="15" t="s">
        <v>308</v>
      </c>
      <c r="D477" s="15"/>
      <c r="E477" s="24">
        <v>2107</v>
      </c>
      <c r="F477" s="24"/>
      <c r="G477" s="24">
        <v>0</v>
      </c>
      <c r="H477" s="24"/>
      <c r="I477" s="24">
        <v>6956</v>
      </c>
      <c r="J477" s="24"/>
      <c r="K477" s="24">
        <v>0</v>
      </c>
      <c r="L477" s="24"/>
      <c r="M477" s="24">
        <v>0</v>
      </c>
      <c r="N477" s="24"/>
      <c r="O477" s="24">
        <v>0</v>
      </c>
      <c r="P477" s="24"/>
      <c r="Q477" s="24">
        <v>8150</v>
      </c>
      <c r="R477" s="24"/>
      <c r="S477" s="24">
        <v>0</v>
      </c>
      <c r="T477" s="24"/>
      <c r="U477" s="24">
        <v>0</v>
      </c>
      <c r="V477" s="24"/>
      <c r="W477" s="24">
        <v>0</v>
      </c>
      <c r="X477" s="24"/>
      <c r="Y477" s="24">
        <v>0</v>
      </c>
      <c r="Z477" s="24"/>
      <c r="AA477" s="24">
        <v>0</v>
      </c>
      <c r="AB477" s="24"/>
      <c r="AC477" s="24">
        <v>0</v>
      </c>
      <c r="AD477" s="24"/>
      <c r="AE477" s="24">
        <f t="shared" si="13"/>
        <v>17213</v>
      </c>
      <c r="AF477" s="24"/>
      <c r="AG477" s="65">
        <f>-4106+9840</f>
        <v>5734</v>
      </c>
      <c r="AH477" s="65"/>
      <c r="AI477" s="65">
        <f>91826+68109</f>
        <v>159935</v>
      </c>
      <c r="AJ477" s="65"/>
      <c r="AK477" s="65">
        <f>87720+77949</f>
        <v>165669</v>
      </c>
      <c r="AM477" s="24">
        <f>+'Gov Rev'!AI475-'Gov Exp'!AE477+'Gov Exp'!AI477-'Gov Exp'!AK477</f>
        <v>0</v>
      </c>
    </row>
    <row r="478" spans="1:40" s="31" customFormat="1" hidden="1">
      <c r="A478" s="15" t="s">
        <v>376</v>
      </c>
      <c r="B478" s="15"/>
      <c r="C478" s="15" t="s">
        <v>375</v>
      </c>
      <c r="D478" s="15"/>
      <c r="E478" s="24">
        <v>0</v>
      </c>
      <c r="F478" s="24"/>
      <c r="G478" s="24">
        <v>0</v>
      </c>
      <c r="H478" s="24"/>
      <c r="I478" s="24">
        <v>0</v>
      </c>
      <c r="J478" s="24"/>
      <c r="K478" s="24">
        <v>0</v>
      </c>
      <c r="L478" s="24"/>
      <c r="M478" s="24">
        <v>0</v>
      </c>
      <c r="N478" s="24"/>
      <c r="O478" s="24">
        <v>0</v>
      </c>
      <c r="P478" s="24"/>
      <c r="Q478" s="24">
        <v>0</v>
      </c>
      <c r="R478" s="24"/>
      <c r="S478" s="24">
        <v>0</v>
      </c>
      <c r="T478" s="24"/>
      <c r="U478" s="24">
        <v>0</v>
      </c>
      <c r="V478" s="24"/>
      <c r="W478" s="24">
        <v>0</v>
      </c>
      <c r="X478" s="24"/>
      <c r="Y478" s="24">
        <v>0</v>
      </c>
      <c r="Z478" s="24"/>
      <c r="AA478" s="24">
        <v>0</v>
      </c>
      <c r="AB478" s="24"/>
      <c r="AC478" s="24">
        <v>0</v>
      </c>
      <c r="AD478" s="24"/>
      <c r="AE478" s="24">
        <f t="shared" si="13"/>
        <v>0</v>
      </c>
      <c r="AF478" s="24"/>
      <c r="AG478" s="65"/>
      <c r="AH478" s="65"/>
      <c r="AI478" s="65"/>
      <c r="AJ478" s="65"/>
      <c r="AK478" s="65"/>
      <c r="AM478" s="24">
        <f>+'Gov Rev'!AI476-'Gov Exp'!AE478+'Gov Exp'!AI478-'Gov Exp'!AK478</f>
        <v>0</v>
      </c>
    </row>
    <row r="479" spans="1:40" s="31" customFormat="1" hidden="1">
      <c r="A479" s="15"/>
      <c r="B479" s="15"/>
      <c r="C479" s="15"/>
      <c r="D479" s="15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 t="s">
        <v>869</v>
      </c>
      <c r="AF479" s="24"/>
      <c r="AG479" s="65"/>
      <c r="AH479" s="65"/>
      <c r="AI479" s="65"/>
      <c r="AJ479" s="65"/>
      <c r="AK479" s="65"/>
      <c r="AM479" s="24"/>
    </row>
    <row r="480" spans="1:40" s="41" customFormat="1" ht="12.75" hidden="1">
      <c r="A480" s="41" t="s">
        <v>163</v>
      </c>
      <c r="C480" s="41" t="s">
        <v>800</v>
      </c>
      <c r="D480" s="83"/>
      <c r="E480" s="41">
        <v>0</v>
      </c>
      <c r="G480" s="41">
        <v>0</v>
      </c>
      <c r="I480" s="41">
        <v>0</v>
      </c>
      <c r="K480" s="41">
        <v>0</v>
      </c>
      <c r="M480" s="41">
        <v>0</v>
      </c>
      <c r="O480" s="41">
        <v>0</v>
      </c>
      <c r="Q480" s="41">
        <v>0</v>
      </c>
      <c r="S480" s="41">
        <v>0</v>
      </c>
      <c r="U480" s="41">
        <v>0</v>
      </c>
      <c r="W480" s="41">
        <v>0</v>
      </c>
      <c r="Y480" s="41">
        <v>0</v>
      </c>
      <c r="AA480" s="41">
        <v>0</v>
      </c>
      <c r="AC480" s="41">
        <v>0</v>
      </c>
      <c r="AE480" s="41">
        <f t="shared" ref="AE480:AE511" si="14">SUM(E480:AC480)</f>
        <v>0</v>
      </c>
      <c r="AG480" s="64"/>
      <c r="AH480" s="64"/>
      <c r="AI480" s="64"/>
      <c r="AJ480" s="64"/>
      <c r="AK480" s="64"/>
      <c r="AM480" s="24">
        <f>+'Gov Rev'!AI477-'Gov Exp'!AE480+'Gov Exp'!AI480-'Gov Exp'!AK480</f>
        <v>0</v>
      </c>
    </row>
    <row r="481" spans="1:39" ht="12.75" hidden="1">
      <c r="A481" s="15" t="s">
        <v>244</v>
      </c>
      <c r="C481" s="15" t="s">
        <v>826</v>
      </c>
      <c r="D481" s="28"/>
      <c r="E481" s="24">
        <v>0</v>
      </c>
      <c r="G481" s="24">
        <v>0</v>
      </c>
      <c r="I481" s="24">
        <v>0</v>
      </c>
      <c r="K481" s="24">
        <v>0</v>
      </c>
      <c r="M481" s="24">
        <v>0</v>
      </c>
      <c r="O481" s="24">
        <v>0</v>
      </c>
      <c r="Q481" s="24">
        <v>0</v>
      </c>
      <c r="S481" s="24">
        <v>0</v>
      </c>
      <c r="U481" s="24">
        <v>0</v>
      </c>
      <c r="W481" s="24">
        <v>0</v>
      </c>
      <c r="Y481" s="24">
        <v>0</v>
      </c>
      <c r="AA481" s="24">
        <v>0</v>
      </c>
      <c r="AC481" s="24">
        <v>0</v>
      </c>
      <c r="AE481" s="24">
        <f t="shared" si="14"/>
        <v>0</v>
      </c>
      <c r="AF481" s="24"/>
      <c r="AM481" s="24">
        <f>+'Gov Rev'!AI478-'Gov Exp'!AE481+'Gov Exp'!AI481-'Gov Exp'!AK481</f>
        <v>0</v>
      </c>
    </row>
    <row r="482" spans="1:39" ht="12.75" hidden="1">
      <c r="A482" s="15" t="s">
        <v>64</v>
      </c>
      <c r="C482" s="15" t="s">
        <v>771</v>
      </c>
      <c r="D482" s="28"/>
      <c r="E482" s="24">
        <v>0</v>
      </c>
      <c r="G482" s="24">
        <v>0</v>
      </c>
      <c r="I482" s="24">
        <v>0</v>
      </c>
      <c r="K482" s="24">
        <v>0</v>
      </c>
      <c r="M482" s="24">
        <v>0</v>
      </c>
      <c r="O482" s="24">
        <v>0</v>
      </c>
      <c r="Q482" s="24">
        <v>0</v>
      </c>
      <c r="S482" s="24">
        <v>0</v>
      </c>
      <c r="U482" s="24">
        <v>0</v>
      </c>
      <c r="W482" s="24">
        <v>0</v>
      </c>
      <c r="Y482" s="24">
        <v>0</v>
      </c>
      <c r="AA482" s="24">
        <v>0</v>
      </c>
      <c r="AC482" s="24">
        <v>0</v>
      </c>
      <c r="AE482" s="24">
        <f t="shared" si="14"/>
        <v>0</v>
      </c>
      <c r="AF482" s="24"/>
      <c r="AM482" s="24">
        <f>+'Gov Rev'!AI479-'Gov Exp'!AE482+'Gov Exp'!AI482-'Gov Exp'!AK482</f>
        <v>0</v>
      </c>
    </row>
    <row r="483" spans="1:39" ht="12.75" hidden="1">
      <c r="A483" s="15" t="s">
        <v>209</v>
      </c>
      <c r="C483" s="15" t="s">
        <v>814</v>
      </c>
      <c r="D483" s="28"/>
      <c r="E483" s="24">
        <v>0</v>
      </c>
      <c r="G483" s="24">
        <v>0</v>
      </c>
      <c r="I483" s="24">
        <v>0</v>
      </c>
      <c r="K483" s="24">
        <v>0</v>
      </c>
      <c r="M483" s="24">
        <v>0</v>
      </c>
      <c r="O483" s="24">
        <v>0</v>
      </c>
      <c r="Q483" s="24">
        <v>0</v>
      </c>
      <c r="S483" s="24">
        <v>0</v>
      </c>
      <c r="U483" s="24">
        <v>0</v>
      </c>
      <c r="W483" s="24">
        <v>0</v>
      </c>
      <c r="Y483" s="24">
        <v>0</v>
      </c>
      <c r="AA483" s="24">
        <v>0</v>
      </c>
      <c r="AC483" s="24">
        <v>0</v>
      </c>
      <c r="AE483" s="24">
        <f t="shared" si="14"/>
        <v>0</v>
      </c>
      <c r="AF483" s="24"/>
      <c r="AM483" s="24">
        <f>+'Gov Rev'!AI480-'Gov Exp'!AE483+'Gov Exp'!AI483-'Gov Exp'!AK483</f>
        <v>0</v>
      </c>
    </row>
    <row r="484" spans="1:39" ht="12.75" hidden="1">
      <c r="A484" s="15" t="s">
        <v>146</v>
      </c>
      <c r="C484" s="15" t="s">
        <v>795</v>
      </c>
      <c r="D484" s="28"/>
      <c r="E484" s="24">
        <v>0</v>
      </c>
      <c r="G484" s="24">
        <v>0</v>
      </c>
      <c r="I484" s="24">
        <v>0</v>
      </c>
      <c r="K484" s="24">
        <v>0</v>
      </c>
      <c r="M484" s="24">
        <v>0</v>
      </c>
      <c r="O484" s="24">
        <v>0</v>
      </c>
      <c r="Q484" s="24">
        <v>0</v>
      </c>
      <c r="S484" s="24">
        <v>0</v>
      </c>
      <c r="U484" s="24">
        <v>0</v>
      </c>
      <c r="W484" s="24">
        <v>0</v>
      </c>
      <c r="Y484" s="24">
        <v>0</v>
      </c>
      <c r="AA484" s="24">
        <v>0</v>
      </c>
      <c r="AC484" s="24">
        <v>0</v>
      </c>
      <c r="AE484" s="24">
        <f t="shared" si="14"/>
        <v>0</v>
      </c>
      <c r="AF484" s="24"/>
      <c r="AM484" s="24">
        <f>+'Gov Rev'!AI481-'Gov Exp'!AE484+'Gov Exp'!AI484-'Gov Exp'!AK484</f>
        <v>0</v>
      </c>
    </row>
    <row r="485" spans="1:39" s="31" customFormat="1" hidden="1">
      <c r="A485" s="15" t="s">
        <v>512</v>
      </c>
      <c r="B485" s="15"/>
      <c r="C485" s="15" t="s">
        <v>513</v>
      </c>
      <c r="D485" s="15"/>
      <c r="E485" s="24">
        <v>0</v>
      </c>
      <c r="F485" s="24"/>
      <c r="G485" s="24">
        <v>0</v>
      </c>
      <c r="H485" s="24"/>
      <c r="I485" s="24">
        <v>0</v>
      </c>
      <c r="J485" s="24"/>
      <c r="K485" s="24">
        <v>0</v>
      </c>
      <c r="L485" s="24"/>
      <c r="M485" s="24">
        <v>0</v>
      </c>
      <c r="N485" s="24"/>
      <c r="O485" s="24">
        <v>0</v>
      </c>
      <c r="P485" s="24"/>
      <c r="Q485" s="24">
        <v>0</v>
      </c>
      <c r="R485" s="24"/>
      <c r="S485" s="24">
        <v>0</v>
      </c>
      <c r="T485" s="24"/>
      <c r="U485" s="24">
        <v>0</v>
      </c>
      <c r="V485" s="24"/>
      <c r="W485" s="24">
        <v>0</v>
      </c>
      <c r="X485" s="24"/>
      <c r="Y485" s="24">
        <v>0</v>
      </c>
      <c r="Z485" s="24"/>
      <c r="AA485" s="24">
        <v>0</v>
      </c>
      <c r="AB485" s="24"/>
      <c r="AC485" s="24">
        <v>0</v>
      </c>
      <c r="AD485" s="24"/>
      <c r="AE485" s="24">
        <f t="shared" si="14"/>
        <v>0</v>
      </c>
      <c r="AF485" s="24"/>
      <c r="AG485" s="65"/>
      <c r="AH485" s="65"/>
      <c r="AI485" s="65"/>
      <c r="AJ485" s="65"/>
      <c r="AK485" s="65"/>
      <c r="AM485" s="24">
        <f>+'Gov Rev'!AI482-'Gov Exp'!AE485+'Gov Exp'!AI485-'Gov Exp'!AK485</f>
        <v>0</v>
      </c>
    </row>
    <row r="486" spans="1:39" ht="12.75" hidden="1">
      <c r="A486" s="15" t="s">
        <v>684</v>
      </c>
      <c r="C486" s="15" t="s">
        <v>672</v>
      </c>
      <c r="D486" s="28"/>
      <c r="E486" s="24">
        <v>0</v>
      </c>
      <c r="G486" s="24">
        <v>0</v>
      </c>
      <c r="I486" s="24">
        <v>0</v>
      </c>
      <c r="K486" s="24">
        <v>0</v>
      </c>
      <c r="M486" s="24">
        <v>0</v>
      </c>
      <c r="O486" s="24">
        <v>0</v>
      </c>
      <c r="Q486" s="24">
        <v>0</v>
      </c>
      <c r="S486" s="24">
        <v>0</v>
      </c>
      <c r="U486" s="24">
        <v>0</v>
      </c>
      <c r="W486" s="24">
        <v>0</v>
      </c>
      <c r="Y486" s="24">
        <v>0</v>
      </c>
      <c r="AA486" s="24">
        <v>0</v>
      </c>
      <c r="AC486" s="24">
        <v>0</v>
      </c>
      <c r="AE486" s="24">
        <f t="shared" si="14"/>
        <v>0</v>
      </c>
      <c r="AF486" s="24"/>
      <c r="AM486" s="24">
        <f>+'Gov Rev'!AI483-'Gov Exp'!AE486+'Gov Exp'!AI486-'Gov Exp'!AK486</f>
        <v>0</v>
      </c>
    </row>
    <row r="487" spans="1:39" ht="12.75" hidden="1">
      <c r="A487" s="15" t="s">
        <v>157</v>
      </c>
      <c r="C487" s="15" t="s">
        <v>798</v>
      </c>
      <c r="D487" s="28"/>
      <c r="E487" s="24">
        <v>0</v>
      </c>
      <c r="G487" s="24">
        <v>0</v>
      </c>
      <c r="I487" s="24">
        <v>0</v>
      </c>
      <c r="K487" s="24">
        <v>0</v>
      </c>
      <c r="M487" s="24">
        <v>0</v>
      </c>
      <c r="O487" s="24">
        <v>0</v>
      </c>
      <c r="Q487" s="24">
        <v>0</v>
      </c>
      <c r="S487" s="24">
        <v>0</v>
      </c>
      <c r="U487" s="24">
        <v>0</v>
      </c>
      <c r="W487" s="24">
        <v>0</v>
      </c>
      <c r="Y487" s="24">
        <v>0</v>
      </c>
      <c r="AA487" s="24">
        <v>0</v>
      </c>
      <c r="AC487" s="24">
        <v>0</v>
      </c>
      <c r="AE487" s="24">
        <f t="shared" si="14"/>
        <v>0</v>
      </c>
      <c r="AF487" s="24"/>
      <c r="AM487" s="24">
        <f>+'Gov Rev'!AI484-'Gov Exp'!AE487+'Gov Exp'!AI487-'Gov Exp'!AK487</f>
        <v>0</v>
      </c>
    </row>
    <row r="488" spans="1:39">
      <c r="A488" s="15" t="s">
        <v>921</v>
      </c>
      <c r="C488" s="15" t="s">
        <v>541</v>
      </c>
      <c r="E488" s="24">
        <f>33981+1702</f>
        <v>35683</v>
      </c>
      <c r="G488" s="24">
        <v>682</v>
      </c>
      <c r="I488" s="24">
        <v>0</v>
      </c>
      <c r="K488" s="24">
        <v>128</v>
      </c>
      <c r="M488" s="24">
        <f>1690+6261</f>
        <v>7951</v>
      </c>
      <c r="O488" s="24">
        <v>0</v>
      </c>
      <c r="Q488" s="24">
        <f>27034+17804</f>
        <v>44838</v>
      </c>
      <c r="S488" s="24">
        <v>0</v>
      </c>
      <c r="U488" s="24">
        <v>0</v>
      </c>
      <c r="W488" s="24">
        <v>0</v>
      </c>
      <c r="Y488" s="24">
        <v>0</v>
      </c>
      <c r="AA488" s="24">
        <v>0</v>
      </c>
      <c r="AC488" s="24">
        <v>0</v>
      </c>
      <c r="AE488" s="24">
        <f t="shared" si="14"/>
        <v>89282</v>
      </c>
      <c r="AF488" s="24"/>
      <c r="AG488" s="64">
        <f>6494+26666-25767</f>
        <v>7393</v>
      </c>
      <c r="AI488" s="64">
        <f>12647+11399</f>
        <v>24046</v>
      </c>
      <c r="AK488" s="64">
        <f>19141+12298</f>
        <v>31439</v>
      </c>
      <c r="AM488" s="24">
        <f>+'Gov Rev'!AI485-'Gov Exp'!AE488+'Gov Exp'!AI488-'Gov Exp'!AK488</f>
        <v>0</v>
      </c>
    </row>
    <row r="489" spans="1:39">
      <c r="A489" s="15" t="s">
        <v>685</v>
      </c>
      <c r="C489" s="15" t="s">
        <v>565</v>
      </c>
      <c r="E489" s="24">
        <v>25318</v>
      </c>
      <c r="G489" s="24">
        <v>4116</v>
      </c>
      <c r="I489" s="24">
        <v>0</v>
      </c>
      <c r="K489" s="24">
        <v>0</v>
      </c>
      <c r="M489" s="24">
        <v>0</v>
      </c>
      <c r="O489" s="24">
        <f>32961+1573+7181</f>
        <v>41715</v>
      </c>
      <c r="Q489" s="24">
        <v>61116</v>
      </c>
      <c r="S489" s="24">
        <v>1340</v>
      </c>
      <c r="U489" s="24">
        <v>0</v>
      </c>
      <c r="W489" s="24">
        <v>0</v>
      </c>
      <c r="Y489" s="24">
        <v>0</v>
      </c>
      <c r="AA489" s="24">
        <v>0</v>
      </c>
      <c r="AC489" s="24">
        <v>0</v>
      </c>
      <c r="AE489" s="24">
        <f t="shared" si="14"/>
        <v>133605</v>
      </c>
      <c r="AF489" s="24"/>
      <c r="AG489" s="64">
        <f>15868-1260</f>
        <v>14608</v>
      </c>
      <c r="AI489" s="64">
        <f>-1528+81177+1260</f>
        <v>80909</v>
      </c>
      <c r="AK489" s="64">
        <f>14340+16649+64528</f>
        <v>95517</v>
      </c>
      <c r="AM489" s="24">
        <f>+'Gov Rev'!AI486-'Gov Exp'!AE489+'Gov Exp'!AI489-'Gov Exp'!AK489</f>
        <v>0</v>
      </c>
    </row>
    <row r="490" spans="1:39" s="31" customFormat="1" ht="12" hidden="1" customHeight="1">
      <c r="A490" s="15" t="s">
        <v>303</v>
      </c>
      <c r="B490" s="15"/>
      <c r="C490" s="15" t="s">
        <v>299</v>
      </c>
      <c r="D490" s="15"/>
      <c r="E490" s="24">
        <v>0</v>
      </c>
      <c r="F490" s="24"/>
      <c r="G490" s="24">
        <v>0</v>
      </c>
      <c r="H490" s="24"/>
      <c r="I490" s="24">
        <v>0</v>
      </c>
      <c r="J490" s="24"/>
      <c r="K490" s="24">
        <v>0</v>
      </c>
      <c r="L490" s="24"/>
      <c r="M490" s="24">
        <v>0</v>
      </c>
      <c r="N490" s="24"/>
      <c r="O490" s="24">
        <v>0</v>
      </c>
      <c r="P490" s="24"/>
      <c r="Q490" s="24">
        <v>0</v>
      </c>
      <c r="R490" s="24"/>
      <c r="S490" s="24">
        <v>0</v>
      </c>
      <c r="T490" s="24"/>
      <c r="U490" s="24">
        <v>0</v>
      </c>
      <c r="V490" s="24"/>
      <c r="W490" s="24">
        <v>0</v>
      </c>
      <c r="X490" s="24"/>
      <c r="Y490" s="24">
        <v>0</v>
      </c>
      <c r="Z490" s="24"/>
      <c r="AA490" s="24">
        <v>0</v>
      </c>
      <c r="AB490" s="24"/>
      <c r="AC490" s="24">
        <v>0</v>
      </c>
      <c r="AD490" s="24"/>
      <c r="AE490" s="24">
        <f t="shared" si="14"/>
        <v>0</v>
      </c>
      <c r="AF490" s="24"/>
      <c r="AG490" s="65"/>
      <c r="AH490" s="65"/>
      <c r="AI490" s="65"/>
      <c r="AJ490" s="65"/>
      <c r="AK490" s="65"/>
      <c r="AM490" s="24">
        <f>+'Gov Rev'!AI487-'Gov Exp'!AE490+'Gov Exp'!AI490-'Gov Exp'!AK490</f>
        <v>0</v>
      </c>
    </row>
    <row r="491" spans="1:39" ht="12.75" hidden="1">
      <c r="A491" s="15" t="s">
        <v>259</v>
      </c>
      <c r="C491" s="15" t="s">
        <v>830</v>
      </c>
      <c r="D491" s="28"/>
      <c r="E491" s="24">
        <v>0</v>
      </c>
      <c r="G491" s="24">
        <v>0</v>
      </c>
      <c r="I491" s="24">
        <v>0</v>
      </c>
      <c r="K491" s="24">
        <v>0</v>
      </c>
      <c r="M491" s="24">
        <v>0</v>
      </c>
      <c r="O491" s="24">
        <v>0</v>
      </c>
      <c r="Q491" s="24">
        <v>0</v>
      </c>
      <c r="S491" s="24">
        <v>0</v>
      </c>
      <c r="U491" s="24">
        <v>0</v>
      </c>
      <c r="W491" s="24">
        <v>0</v>
      </c>
      <c r="Y491" s="24">
        <v>0</v>
      </c>
      <c r="AA491" s="24">
        <v>0</v>
      </c>
      <c r="AC491" s="24">
        <v>0</v>
      </c>
      <c r="AE491" s="24">
        <f t="shared" si="14"/>
        <v>0</v>
      </c>
      <c r="AF491" s="24"/>
      <c r="AM491" s="24">
        <f>+'Gov Rev'!AI488-'Gov Exp'!AE491+'Gov Exp'!AI491-'Gov Exp'!AK491</f>
        <v>0</v>
      </c>
    </row>
    <row r="492" spans="1:39" hidden="1">
      <c r="A492" s="15" t="s">
        <v>474</v>
      </c>
      <c r="C492" s="15" t="s">
        <v>473</v>
      </c>
      <c r="E492" s="24">
        <v>0</v>
      </c>
      <c r="G492" s="24">
        <v>0</v>
      </c>
      <c r="I492" s="24">
        <v>0</v>
      </c>
      <c r="K492" s="24">
        <v>0</v>
      </c>
      <c r="M492" s="24">
        <v>0</v>
      </c>
      <c r="O492" s="24">
        <v>0</v>
      </c>
      <c r="Q492" s="24">
        <v>0</v>
      </c>
      <c r="S492" s="24">
        <v>0</v>
      </c>
      <c r="U492" s="24">
        <v>0</v>
      </c>
      <c r="W492" s="24">
        <v>0</v>
      </c>
      <c r="Y492" s="24">
        <v>0</v>
      </c>
      <c r="AA492" s="24">
        <v>0</v>
      </c>
      <c r="AC492" s="24">
        <v>0</v>
      </c>
      <c r="AE492" s="24">
        <f t="shared" si="14"/>
        <v>0</v>
      </c>
      <c r="AF492" s="24"/>
      <c r="AM492" s="24">
        <f>+'Gov Rev'!AI489-'Gov Exp'!AE492+'Gov Exp'!AI492-'Gov Exp'!AK492</f>
        <v>0</v>
      </c>
    </row>
    <row r="493" spans="1:39" ht="12.75" hidden="1">
      <c r="A493" s="15" t="s">
        <v>19</v>
      </c>
      <c r="C493" s="15" t="s">
        <v>755</v>
      </c>
      <c r="D493" s="28"/>
      <c r="E493" s="24">
        <v>0</v>
      </c>
      <c r="G493" s="24">
        <v>0</v>
      </c>
      <c r="I493" s="24">
        <v>0</v>
      </c>
      <c r="K493" s="24">
        <v>0</v>
      </c>
      <c r="M493" s="24">
        <v>0</v>
      </c>
      <c r="O493" s="24">
        <v>0</v>
      </c>
      <c r="Q493" s="24">
        <v>0</v>
      </c>
      <c r="S493" s="24">
        <v>0</v>
      </c>
      <c r="U493" s="24">
        <v>0</v>
      </c>
      <c r="W493" s="24">
        <v>0</v>
      </c>
      <c r="Y493" s="24">
        <v>0</v>
      </c>
      <c r="AA493" s="24">
        <v>0</v>
      </c>
      <c r="AC493" s="24">
        <v>0</v>
      </c>
      <c r="AE493" s="24">
        <f t="shared" si="14"/>
        <v>0</v>
      </c>
      <c r="AF493" s="24"/>
      <c r="AM493" s="24">
        <f>+'Gov Rev'!AI490-'Gov Exp'!AE493+'Gov Exp'!AI493-'Gov Exp'!AK493</f>
        <v>0</v>
      </c>
    </row>
    <row r="494" spans="1:39" hidden="1">
      <c r="A494" s="15" t="s">
        <v>127</v>
      </c>
      <c r="C494" s="15" t="s">
        <v>437</v>
      </c>
      <c r="E494" s="24">
        <v>0</v>
      </c>
      <c r="G494" s="24">
        <v>0</v>
      </c>
      <c r="I494" s="24">
        <v>0</v>
      </c>
      <c r="K494" s="24">
        <v>0</v>
      </c>
      <c r="M494" s="24">
        <v>0</v>
      </c>
      <c r="O494" s="24">
        <v>0</v>
      </c>
      <c r="Q494" s="24">
        <v>0</v>
      </c>
      <c r="S494" s="24">
        <v>0</v>
      </c>
      <c r="U494" s="24">
        <v>0</v>
      </c>
      <c r="W494" s="24">
        <v>0</v>
      </c>
      <c r="Y494" s="24">
        <v>0</v>
      </c>
      <c r="AA494" s="24">
        <v>0</v>
      </c>
      <c r="AC494" s="24">
        <v>0</v>
      </c>
      <c r="AE494" s="24">
        <f t="shared" si="14"/>
        <v>0</v>
      </c>
      <c r="AF494" s="24"/>
      <c r="AM494" s="24">
        <f>+'Gov Rev'!AI491-'Gov Exp'!AE494+'Gov Exp'!AI494-'Gov Exp'!AK494</f>
        <v>0</v>
      </c>
    </row>
    <row r="495" spans="1:39" ht="12.75" hidden="1">
      <c r="A495" s="15" t="s">
        <v>127</v>
      </c>
      <c r="C495" s="15" t="s">
        <v>789</v>
      </c>
      <c r="D495" s="28"/>
      <c r="E495" s="24">
        <v>0</v>
      </c>
      <c r="G495" s="24">
        <v>0</v>
      </c>
      <c r="I495" s="24">
        <v>0</v>
      </c>
      <c r="K495" s="24">
        <v>0</v>
      </c>
      <c r="M495" s="24">
        <v>0</v>
      </c>
      <c r="O495" s="24">
        <v>0</v>
      </c>
      <c r="Q495" s="24">
        <v>0</v>
      </c>
      <c r="S495" s="24">
        <v>0</v>
      </c>
      <c r="U495" s="24">
        <v>0</v>
      </c>
      <c r="W495" s="24">
        <v>0</v>
      </c>
      <c r="Y495" s="24">
        <v>0</v>
      </c>
      <c r="AA495" s="24">
        <v>0</v>
      </c>
      <c r="AC495" s="24">
        <v>0</v>
      </c>
      <c r="AE495" s="24">
        <f t="shared" si="14"/>
        <v>0</v>
      </c>
      <c r="AF495" s="24"/>
      <c r="AM495" s="24">
        <f>+'Gov Rev'!AI492-'Gov Exp'!AE495+'Gov Exp'!AI495-'Gov Exp'!AK495</f>
        <v>0</v>
      </c>
    </row>
    <row r="496" spans="1:39" ht="12.75" hidden="1">
      <c r="A496" s="15" t="s">
        <v>150</v>
      </c>
      <c r="C496" s="15" t="s">
        <v>796</v>
      </c>
      <c r="D496" s="28"/>
      <c r="E496" s="24">
        <v>0</v>
      </c>
      <c r="G496" s="24">
        <v>0</v>
      </c>
      <c r="I496" s="24">
        <v>0</v>
      </c>
      <c r="K496" s="24">
        <v>0</v>
      </c>
      <c r="M496" s="24">
        <v>0</v>
      </c>
      <c r="O496" s="24">
        <v>0</v>
      </c>
      <c r="Q496" s="24">
        <v>0</v>
      </c>
      <c r="S496" s="24">
        <v>0</v>
      </c>
      <c r="U496" s="24">
        <v>0</v>
      </c>
      <c r="W496" s="24">
        <v>0</v>
      </c>
      <c r="Y496" s="24">
        <v>0</v>
      </c>
      <c r="AA496" s="24">
        <v>0</v>
      </c>
      <c r="AC496" s="24">
        <v>0</v>
      </c>
      <c r="AE496" s="24">
        <f t="shared" si="14"/>
        <v>0</v>
      </c>
      <c r="AF496" s="24"/>
      <c r="AM496" s="24">
        <f>+'Gov Rev'!AI493-'Gov Exp'!AE496+'Gov Exp'!AI496-'Gov Exp'!AK496</f>
        <v>0</v>
      </c>
    </row>
    <row r="497" spans="1:39" ht="12.75" hidden="1">
      <c r="A497" s="15" t="s">
        <v>181</v>
      </c>
      <c r="C497" s="15" t="s">
        <v>807</v>
      </c>
      <c r="D497" s="28"/>
      <c r="E497" s="24">
        <v>0</v>
      </c>
      <c r="G497" s="24">
        <v>0</v>
      </c>
      <c r="I497" s="24">
        <v>0</v>
      </c>
      <c r="K497" s="24">
        <v>0</v>
      </c>
      <c r="M497" s="24">
        <v>0</v>
      </c>
      <c r="O497" s="24">
        <v>0</v>
      </c>
      <c r="Q497" s="24">
        <v>0</v>
      </c>
      <c r="S497" s="24">
        <v>0</v>
      </c>
      <c r="U497" s="24">
        <v>0</v>
      </c>
      <c r="W497" s="24">
        <v>0</v>
      </c>
      <c r="Y497" s="24">
        <v>0</v>
      </c>
      <c r="AA497" s="24">
        <v>0</v>
      </c>
      <c r="AC497" s="24">
        <v>0</v>
      </c>
      <c r="AE497" s="24">
        <f t="shared" si="14"/>
        <v>0</v>
      </c>
      <c r="AF497" s="24"/>
      <c r="AM497" s="24">
        <f>+'Gov Rev'!AI494-'Gov Exp'!AE497+'Gov Exp'!AI497-'Gov Exp'!AK497</f>
        <v>0</v>
      </c>
    </row>
    <row r="498" spans="1:39" s="31" customFormat="1" ht="12.75" hidden="1">
      <c r="A498" s="15" t="s">
        <v>89</v>
      </c>
      <c r="B498" s="15"/>
      <c r="C498" s="15" t="s">
        <v>777</v>
      </c>
      <c r="D498" s="28"/>
      <c r="E498" s="24">
        <v>0</v>
      </c>
      <c r="F498" s="24"/>
      <c r="G498" s="24">
        <v>0</v>
      </c>
      <c r="H498" s="24"/>
      <c r="I498" s="24">
        <v>0</v>
      </c>
      <c r="J498" s="24"/>
      <c r="K498" s="24">
        <v>0</v>
      </c>
      <c r="L498" s="24"/>
      <c r="M498" s="24">
        <v>0</v>
      </c>
      <c r="N498" s="24"/>
      <c r="O498" s="24">
        <v>0</v>
      </c>
      <c r="P498" s="24"/>
      <c r="Q498" s="24">
        <v>0</v>
      </c>
      <c r="R498" s="24"/>
      <c r="S498" s="24">
        <v>0</v>
      </c>
      <c r="T498" s="24"/>
      <c r="U498" s="24">
        <v>0</v>
      </c>
      <c r="V498" s="24"/>
      <c r="W498" s="24">
        <v>0</v>
      </c>
      <c r="X498" s="24"/>
      <c r="Y498" s="24">
        <v>0</v>
      </c>
      <c r="Z498" s="24"/>
      <c r="AA498" s="24">
        <v>0</v>
      </c>
      <c r="AB498" s="24"/>
      <c r="AC498" s="24">
        <v>0</v>
      </c>
      <c r="AD498" s="24"/>
      <c r="AE498" s="24">
        <f t="shared" si="14"/>
        <v>0</v>
      </c>
      <c r="AF498" s="24"/>
      <c r="AG498" s="65"/>
      <c r="AH498" s="65"/>
      <c r="AI498" s="65"/>
      <c r="AJ498" s="65"/>
      <c r="AK498" s="65"/>
      <c r="AM498" s="24">
        <f>+'Gov Rev'!AI495-'Gov Exp'!AE498+'Gov Exp'!AI498-'Gov Exp'!AK498</f>
        <v>0</v>
      </c>
    </row>
    <row r="499" spans="1:39" s="29" customFormat="1" ht="12.75" hidden="1">
      <c r="A499" s="24" t="s">
        <v>134</v>
      </c>
      <c r="B499" s="24"/>
      <c r="C499" s="24" t="s">
        <v>791</v>
      </c>
      <c r="D499" s="85"/>
      <c r="E499" s="24">
        <v>0</v>
      </c>
      <c r="F499" s="24"/>
      <c r="G499" s="24">
        <v>0</v>
      </c>
      <c r="H499" s="24"/>
      <c r="I499" s="24">
        <v>0</v>
      </c>
      <c r="J499" s="24"/>
      <c r="K499" s="24">
        <v>0</v>
      </c>
      <c r="L499" s="24"/>
      <c r="M499" s="24">
        <v>0</v>
      </c>
      <c r="N499" s="24"/>
      <c r="O499" s="24">
        <v>0</v>
      </c>
      <c r="P499" s="24"/>
      <c r="Q499" s="24">
        <v>0</v>
      </c>
      <c r="R499" s="24"/>
      <c r="S499" s="24">
        <v>0</v>
      </c>
      <c r="T499" s="24"/>
      <c r="U499" s="24">
        <v>0</v>
      </c>
      <c r="V499" s="24"/>
      <c r="W499" s="24">
        <v>0</v>
      </c>
      <c r="X499" s="24"/>
      <c r="Y499" s="24">
        <v>0</v>
      </c>
      <c r="Z499" s="24"/>
      <c r="AA499" s="24">
        <v>0</v>
      </c>
      <c r="AB499" s="24"/>
      <c r="AC499" s="24">
        <v>0</v>
      </c>
      <c r="AD499" s="24"/>
      <c r="AE499" s="24">
        <f t="shared" si="14"/>
        <v>0</v>
      </c>
      <c r="AF499" s="24"/>
      <c r="AG499" s="65"/>
      <c r="AH499" s="65"/>
      <c r="AI499" s="65"/>
      <c r="AJ499" s="65"/>
      <c r="AK499" s="65"/>
      <c r="AM499" s="24">
        <f>+'Gov Rev'!AI496-'Gov Exp'!AE499+'Gov Exp'!AI499-'Gov Exp'!AK499</f>
        <v>0</v>
      </c>
    </row>
    <row r="500" spans="1:39" ht="12.75" hidden="1">
      <c r="A500" s="15" t="s">
        <v>158</v>
      </c>
      <c r="C500" s="15" t="s">
        <v>798</v>
      </c>
      <c r="D500" s="28"/>
      <c r="E500" s="24">
        <v>0</v>
      </c>
      <c r="G500" s="24">
        <v>0</v>
      </c>
      <c r="I500" s="24">
        <v>0</v>
      </c>
      <c r="K500" s="24">
        <v>0</v>
      </c>
      <c r="M500" s="24">
        <v>0</v>
      </c>
      <c r="O500" s="24">
        <v>0</v>
      </c>
      <c r="Q500" s="24">
        <v>0</v>
      </c>
      <c r="S500" s="24">
        <v>0</v>
      </c>
      <c r="U500" s="24">
        <v>0</v>
      </c>
      <c r="W500" s="24">
        <v>0</v>
      </c>
      <c r="Y500" s="24">
        <v>0</v>
      </c>
      <c r="AA500" s="24">
        <v>0</v>
      </c>
      <c r="AC500" s="24">
        <v>0</v>
      </c>
      <c r="AE500" s="24">
        <f t="shared" si="14"/>
        <v>0</v>
      </c>
      <c r="AF500" s="24"/>
      <c r="AM500" s="24">
        <f>+'Gov Rev'!AI496-'Gov Exp'!AE500+'Gov Exp'!AI500-'Gov Exp'!AK500</f>
        <v>0</v>
      </c>
    </row>
    <row r="501" spans="1:39">
      <c r="A501" s="15" t="s">
        <v>535</v>
      </c>
      <c r="C501" s="15" t="s">
        <v>534</v>
      </c>
      <c r="E501" s="24">
        <f>9360+52092</f>
        <v>61452</v>
      </c>
      <c r="G501" s="24">
        <v>930</v>
      </c>
      <c r="I501" s="24">
        <v>0</v>
      </c>
      <c r="K501" s="24">
        <v>0</v>
      </c>
      <c r="M501" s="24">
        <v>0</v>
      </c>
      <c r="O501" s="24">
        <v>1822</v>
      </c>
      <c r="Q501" s="24">
        <f>3810+5142</f>
        <v>8952</v>
      </c>
      <c r="S501" s="24">
        <v>2661</v>
      </c>
      <c r="U501" s="24">
        <v>0</v>
      </c>
      <c r="W501" s="24">
        <v>0</v>
      </c>
      <c r="Y501" s="24">
        <v>0</v>
      </c>
      <c r="AA501" s="24">
        <v>0</v>
      </c>
      <c r="AC501" s="24">
        <v>0</v>
      </c>
      <c r="AD501" s="38"/>
      <c r="AE501" s="24">
        <f t="shared" si="14"/>
        <v>75817</v>
      </c>
      <c r="AF501" s="24"/>
      <c r="AG501" s="64">
        <f>13918+59056+2661</f>
        <v>75635</v>
      </c>
      <c r="AI501" s="64">
        <f>15063+99622+862</f>
        <v>115547</v>
      </c>
      <c r="AK501" s="64">
        <f>28981+131712+1636</f>
        <v>162329</v>
      </c>
      <c r="AM501" s="24">
        <f>+'Gov Rev'!AI497-'Gov Exp'!AE501+'Gov Exp'!AI501-'Gov Exp'!AK501</f>
        <v>0</v>
      </c>
    </row>
    <row r="502" spans="1:39" hidden="1">
      <c r="A502" s="15" t="s">
        <v>392</v>
      </c>
      <c r="C502" s="15" t="s">
        <v>388</v>
      </c>
      <c r="E502" s="24">
        <v>0</v>
      </c>
      <c r="G502" s="24">
        <v>0</v>
      </c>
      <c r="I502" s="24">
        <v>0</v>
      </c>
      <c r="K502" s="24">
        <v>0</v>
      </c>
      <c r="M502" s="24">
        <v>0</v>
      </c>
      <c r="O502" s="24">
        <v>0</v>
      </c>
      <c r="Q502" s="24">
        <v>0</v>
      </c>
      <c r="S502" s="24">
        <v>0</v>
      </c>
      <c r="U502" s="24">
        <v>0</v>
      </c>
      <c r="W502" s="24">
        <v>0</v>
      </c>
      <c r="Y502" s="24">
        <v>0</v>
      </c>
      <c r="AA502" s="24">
        <v>0</v>
      </c>
      <c r="AC502" s="24">
        <v>0</v>
      </c>
      <c r="AE502" s="24">
        <f t="shared" si="14"/>
        <v>0</v>
      </c>
      <c r="AF502" s="24"/>
      <c r="AM502" s="24">
        <f>+'Gov Rev'!AI498-'Gov Exp'!AE502+'Gov Exp'!AI502-'Gov Exp'!AK502</f>
        <v>0</v>
      </c>
    </row>
    <row r="503" spans="1:39" s="24" customFormat="1" hidden="1">
      <c r="A503" s="24" t="s">
        <v>228</v>
      </c>
      <c r="C503" s="24" t="s">
        <v>554</v>
      </c>
      <c r="E503" s="24">
        <v>0</v>
      </c>
      <c r="G503" s="24">
        <v>0</v>
      </c>
      <c r="I503" s="24">
        <v>0</v>
      </c>
      <c r="K503" s="24">
        <v>0</v>
      </c>
      <c r="M503" s="24">
        <v>0</v>
      </c>
      <c r="O503" s="24">
        <v>0</v>
      </c>
      <c r="Q503" s="24">
        <v>0</v>
      </c>
      <c r="S503" s="24">
        <v>0</v>
      </c>
      <c r="U503" s="24">
        <v>0</v>
      </c>
      <c r="W503" s="24">
        <v>0</v>
      </c>
      <c r="Y503" s="24">
        <v>0</v>
      </c>
      <c r="AA503" s="24">
        <v>0</v>
      </c>
      <c r="AC503" s="24">
        <v>0</v>
      </c>
      <c r="AE503" s="24">
        <f t="shared" si="14"/>
        <v>0</v>
      </c>
      <c r="AG503" s="64"/>
      <c r="AH503" s="64"/>
      <c r="AI503" s="64"/>
      <c r="AJ503" s="64"/>
      <c r="AK503" s="64"/>
      <c r="AM503" s="24">
        <f>+'Gov Rev'!AI499-'Gov Exp'!AE503+'Gov Exp'!AI503-'Gov Exp'!AK503</f>
        <v>0</v>
      </c>
    </row>
    <row r="504" spans="1:39" hidden="1">
      <c r="A504" s="15" t="s">
        <v>539</v>
      </c>
      <c r="C504" s="15" t="s">
        <v>537</v>
      </c>
      <c r="E504" s="24">
        <v>0</v>
      </c>
      <c r="G504" s="24">
        <v>0</v>
      </c>
      <c r="I504" s="24">
        <v>0</v>
      </c>
      <c r="K504" s="24">
        <v>0</v>
      </c>
      <c r="M504" s="24">
        <v>0</v>
      </c>
      <c r="O504" s="24">
        <v>0</v>
      </c>
      <c r="Q504" s="24">
        <v>0</v>
      </c>
      <c r="S504" s="24">
        <v>0</v>
      </c>
      <c r="U504" s="24">
        <v>0</v>
      </c>
      <c r="W504" s="24">
        <v>0</v>
      </c>
      <c r="Y504" s="24">
        <v>0</v>
      </c>
      <c r="AA504" s="24">
        <v>0</v>
      </c>
      <c r="AC504" s="24">
        <v>0</v>
      </c>
      <c r="AE504" s="24">
        <f t="shared" si="14"/>
        <v>0</v>
      </c>
      <c r="AF504" s="24"/>
      <c r="AM504" s="24">
        <f>+'Gov Rev'!AI501-'Gov Exp'!AE504+'Gov Exp'!AI504-'Gov Exp'!AK504</f>
        <v>0</v>
      </c>
    </row>
    <row r="505" spans="1:39" hidden="1">
      <c r="A505" s="15" t="s">
        <v>558</v>
      </c>
      <c r="C505" s="15" t="s">
        <v>554</v>
      </c>
      <c r="E505" s="24">
        <v>0</v>
      </c>
      <c r="G505" s="24">
        <v>0</v>
      </c>
      <c r="I505" s="24">
        <v>0</v>
      </c>
      <c r="K505" s="24">
        <v>0</v>
      </c>
      <c r="M505" s="24">
        <v>0</v>
      </c>
      <c r="O505" s="24">
        <v>0</v>
      </c>
      <c r="Q505" s="24">
        <v>0</v>
      </c>
      <c r="S505" s="24">
        <v>0</v>
      </c>
      <c r="U505" s="24">
        <v>0</v>
      </c>
      <c r="W505" s="24">
        <v>0</v>
      </c>
      <c r="Y505" s="24">
        <v>0</v>
      </c>
      <c r="AA505" s="24">
        <v>0</v>
      </c>
      <c r="AC505" s="24">
        <v>0</v>
      </c>
      <c r="AE505" s="24">
        <f t="shared" si="14"/>
        <v>0</v>
      </c>
      <c r="AF505" s="24"/>
      <c r="AM505" s="24">
        <f>+'Gov Rev'!AI502-'Gov Exp'!AE505+'Gov Exp'!AI505-'Gov Exp'!AK505</f>
        <v>0</v>
      </c>
    </row>
    <row r="506" spans="1:39" ht="12.75" hidden="1">
      <c r="A506" s="15" t="s">
        <v>119</v>
      </c>
      <c r="C506" s="15" t="s">
        <v>786</v>
      </c>
      <c r="D506" s="28"/>
      <c r="E506" s="24">
        <v>0</v>
      </c>
      <c r="G506" s="24">
        <v>0</v>
      </c>
      <c r="I506" s="24">
        <v>0</v>
      </c>
      <c r="K506" s="24">
        <v>0</v>
      </c>
      <c r="M506" s="24">
        <v>0</v>
      </c>
      <c r="O506" s="24">
        <v>0</v>
      </c>
      <c r="Q506" s="24">
        <v>0</v>
      </c>
      <c r="S506" s="24">
        <v>0</v>
      </c>
      <c r="U506" s="24">
        <v>0</v>
      </c>
      <c r="W506" s="24">
        <v>0</v>
      </c>
      <c r="Y506" s="24">
        <v>0</v>
      </c>
      <c r="AA506" s="24">
        <v>0</v>
      </c>
      <c r="AC506" s="24">
        <v>0</v>
      </c>
      <c r="AE506" s="24">
        <f t="shared" si="14"/>
        <v>0</v>
      </c>
      <c r="AF506" s="24"/>
      <c r="AM506" s="24">
        <f>+'Gov Rev'!AI503-'Gov Exp'!AE506+'Gov Exp'!AI506-'Gov Exp'!AK506</f>
        <v>0</v>
      </c>
    </row>
    <row r="507" spans="1:39" ht="12.75" hidden="1">
      <c r="A507" s="15" t="s">
        <v>238</v>
      </c>
      <c r="C507" s="15" t="s">
        <v>824</v>
      </c>
      <c r="D507" s="28"/>
      <c r="E507" s="24">
        <v>0</v>
      </c>
      <c r="G507" s="24">
        <v>0</v>
      </c>
      <c r="I507" s="24">
        <v>0</v>
      </c>
      <c r="K507" s="24">
        <v>0</v>
      </c>
      <c r="M507" s="24">
        <v>0</v>
      </c>
      <c r="O507" s="24">
        <v>0</v>
      </c>
      <c r="Q507" s="24">
        <v>0</v>
      </c>
      <c r="S507" s="24">
        <v>0</v>
      </c>
      <c r="U507" s="24">
        <v>0</v>
      </c>
      <c r="W507" s="24">
        <v>0</v>
      </c>
      <c r="Y507" s="24">
        <v>0</v>
      </c>
      <c r="AA507" s="24">
        <v>0</v>
      </c>
      <c r="AC507" s="24">
        <v>0</v>
      </c>
      <c r="AE507" s="24">
        <f t="shared" si="14"/>
        <v>0</v>
      </c>
      <c r="AF507" s="24"/>
      <c r="AM507" s="24">
        <f>+'Gov Rev'!AI504-'Gov Exp'!AE507+'Gov Exp'!AI507-'Gov Exp'!AK507</f>
        <v>0</v>
      </c>
    </row>
    <row r="508" spans="1:39" s="31" customFormat="1" hidden="1">
      <c r="A508" s="15" t="s">
        <v>401</v>
      </c>
      <c r="B508" s="15"/>
      <c r="C508" s="15" t="s">
        <v>396</v>
      </c>
      <c r="D508" s="15"/>
      <c r="E508" s="24">
        <v>0</v>
      </c>
      <c r="F508" s="24"/>
      <c r="G508" s="24">
        <v>0</v>
      </c>
      <c r="H508" s="24"/>
      <c r="I508" s="24">
        <v>0</v>
      </c>
      <c r="J508" s="24"/>
      <c r="K508" s="24">
        <v>0</v>
      </c>
      <c r="L508" s="24"/>
      <c r="M508" s="24">
        <v>0</v>
      </c>
      <c r="N508" s="24"/>
      <c r="O508" s="24">
        <v>0</v>
      </c>
      <c r="P508" s="24"/>
      <c r="Q508" s="24">
        <v>0</v>
      </c>
      <c r="R508" s="24"/>
      <c r="S508" s="24">
        <v>0</v>
      </c>
      <c r="T508" s="24"/>
      <c r="U508" s="24">
        <v>0</v>
      </c>
      <c r="V508" s="24"/>
      <c r="W508" s="24">
        <v>0</v>
      </c>
      <c r="X508" s="24"/>
      <c r="Y508" s="24">
        <v>0</v>
      </c>
      <c r="Z508" s="24"/>
      <c r="AA508" s="24">
        <v>0</v>
      </c>
      <c r="AB508" s="24"/>
      <c r="AC508" s="24">
        <v>0</v>
      </c>
      <c r="AD508" s="24"/>
      <c r="AE508" s="24">
        <f t="shared" si="14"/>
        <v>0</v>
      </c>
      <c r="AF508" s="24"/>
      <c r="AG508" s="65"/>
      <c r="AH508" s="65"/>
      <c r="AI508" s="65"/>
      <c r="AJ508" s="65"/>
      <c r="AK508" s="65"/>
      <c r="AM508" s="24">
        <f>+'Gov Rev'!AI505-'Gov Exp'!AE508+'Gov Exp'!AI508-'Gov Exp'!AK508</f>
        <v>0</v>
      </c>
    </row>
    <row r="509" spans="1:39" ht="12.75" hidden="1">
      <c r="A509" s="15" t="s">
        <v>81</v>
      </c>
      <c r="C509" s="15" t="s">
        <v>775</v>
      </c>
      <c r="D509" s="28"/>
      <c r="E509" s="24">
        <v>0</v>
      </c>
      <c r="G509" s="24">
        <v>0</v>
      </c>
      <c r="I509" s="24">
        <v>0</v>
      </c>
      <c r="K509" s="24">
        <v>0</v>
      </c>
      <c r="M509" s="24">
        <v>0</v>
      </c>
      <c r="O509" s="24">
        <v>0</v>
      </c>
      <c r="Q509" s="24">
        <v>0</v>
      </c>
      <c r="S509" s="24">
        <v>0</v>
      </c>
      <c r="U509" s="24">
        <v>0</v>
      </c>
      <c r="W509" s="24">
        <v>0</v>
      </c>
      <c r="Y509" s="24">
        <v>0</v>
      </c>
      <c r="AA509" s="24">
        <v>0</v>
      </c>
      <c r="AC509" s="24">
        <v>0</v>
      </c>
      <c r="AE509" s="24">
        <f t="shared" si="14"/>
        <v>0</v>
      </c>
      <c r="AF509" s="24"/>
      <c r="AM509" s="24">
        <f>+'Gov Rev'!AI506-'Gov Exp'!AE509+'Gov Exp'!AI509-'Gov Exp'!AK509</f>
        <v>0</v>
      </c>
    </row>
    <row r="510" spans="1:39" ht="12.6" hidden="1" customHeight="1">
      <c r="A510" s="15" t="s">
        <v>284</v>
      </c>
      <c r="C510" s="15" t="s">
        <v>283</v>
      </c>
      <c r="E510" s="24">
        <v>0</v>
      </c>
      <c r="G510" s="24">
        <v>0</v>
      </c>
      <c r="I510" s="24">
        <v>0</v>
      </c>
      <c r="K510" s="24">
        <v>0</v>
      </c>
      <c r="M510" s="24">
        <v>0</v>
      </c>
      <c r="O510" s="24">
        <v>0</v>
      </c>
      <c r="Q510" s="24">
        <v>0</v>
      </c>
      <c r="S510" s="24">
        <v>0</v>
      </c>
      <c r="U510" s="24">
        <v>0</v>
      </c>
      <c r="W510" s="24">
        <v>0</v>
      </c>
      <c r="Y510" s="24">
        <v>0</v>
      </c>
      <c r="AA510" s="24">
        <v>0</v>
      </c>
      <c r="AC510" s="24">
        <v>0</v>
      </c>
      <c r="AE510" s="24">
        <f t="shared" si="14"/>
        <v>0</v>
      </c>
      <c r="AF510" s="24"/>
      <c r="AM510" s="24">
        <f>+'Gov Rev'!AI507-'Gov Exp'!AE510+'Gov Exp'!AI510-'Gov Exp'!AK510</f>
        <v>0</v>
      </c>
    </row>
    <row r="511" spans="1:39" ht="12.75" hidden="1">
      <c r="A511" s="15" t="s">
        <v>260</v>
      </c>
      <c r="C511" s="15" t="s">
        <v>830</v>
      </c>
      <c r="D511" s="28"/>
      <c r="E511" s="24">
        <v>0</v>
      </c>
      <c r="G511" s="24">
        <v>0</v>
      </c>
      <c r="I511" s="24">
        <v>0</v>
      </c>
      <c r="K511" s="24">
        <v>0</v>
      </c>
      <c r="M511" s="24">
        <v>0</v>
      </c>
      <c r="O511" s="24">
        <v>0</v>
      </c>
      <c r="Q511" s="24">
        <v>0</v>
      </c>
      <c r="S511" s="24">
        <v>0</v>
      </c>
      <c r="U511" s="24">
        <v>0</v>
      </c>
      <c r="W511" s="24">
        <v>0</v>
      </c>
      <c r="Y511" s="24">
        <v>0</v>
      </c>
      <c r="AA511" s="24">
        <v>0</v>
      </c>
      <c r="AC511" s="24">
        <v>0</v>
      </c>
      <c r="AE511" s="24">
        <f t="shared" si="14"/>
        <v>0</v>
      </c>
      <c r="AF511" s="24"/>
      <c r="AM511" s="24">
        <f>+'Gov Rev'!AI508-'Gov Exp'!AE511+'Gov Exp'!AI511-'Gov Exp'!AK511</f>
        <v>0</v>
      </c>
    </row>
    <row r="512" spans="1:39" s="31" customFormat="1" ht="12.6" customHeight="1">
      <c r="A512" s="15" t="s">
        <v>356</v>
      </c>
      <c r="B512" s="15"/>
      <c r="C512" s="15" t="s">
        <v>353</v>
      </c>
      <c r="D512" s="15"/>
      <c r="E512" s="24">
        <v>62201</v>
      </c>
      <c r="F512" s="24"/>
      <c r="G512" s="24">
        <v>4385</v>
      </c>
      <c r="H512" s="24"/>
      <c r="I512" s="24">
        <v>6560</v>
      </c>
      <c r="J512" s="24"/>
      <c r="K512" s="24">
        <v>7249</v>
      </c>
      <c r="L512" s="24"/>
      <c r="M512" s="24">
        <v>57528</v>
      </c>
      <c r="N512" s="24"/>
      <c r="O512" s="24">
        <f>26300+8424</f>
        <v>34724</v>
      </c>
      <c r="P512" s="24"/>
      <c r="Q512" s="24">
        <v>72387</v>
      </c>
      <c r="R512" s="24"/>
      <c r="S512" s="24">
        <v>0</v>
      </c>
      <c r="T512" s="24"/>
      <c r="U512" s="24">
        <v>0</v>
      </c>
      <c r="V512" s="24"/>
      <c r="W512" s="24">
        <v>0</v>
      </c>
      <c r="X512" s="24"/>
      <c r="Y512" s="24">
        <v>0</v>
      </c>
      <c r="Z512" s="24"/>
      <c r="AA512" s="24">
        <v>0</v>
      </c>
      <c r="AB512" s="24"/>
      <c r="AC512" s="24">
        <v>0</v>
      </c>
      <c r="AD512" s="24"/>
      <c r="AE512" s="24">
        <f t="shared" ref="AE512:AE545" si="15">SUM(E512:AC512)</f>
        <v>245034</v>
      </c>
      <c r="AF512" s="24"/>
      <c r="AG512" s="65">
        <f>-41157+13058</f>
        <v>-28099</v>
      </c>
      <c r="AH512" s="65"/>
      <c r="AI512" s="65">
        <f>645448+63884</f>
        <v>709332</v>
      </c>
      <c r="AJ512" s="65"/>
      <c r="AK512" s="65">
        <f>604291+76942</f>
        <v>681233</v>
      </c>
      <c r="AM512" s="24">
        <f>+'Gov Rev'!AI509-'Gov Exp'!AE512+'Gov Exp'!AI512-'Gov Exp'!AK512</f>
        <v>0</v>
      </c>
    </row>
    <row r="513" spans="1:39" ht="12.75">
      <c r="A513" s="15" t="s">
        <v>676</v>
      </c>
      <c r="C513" s="15" t="s">
        <v>677</v>
      </c>
      <c r="D513" s="28"/>
      <c r="E513" s="24">
        <f>43128+123153</f>
        <v>166281</v>
      </c>
      <c r="G513" s="24">
        <v>26303</v>
      </c>
      <c r="I513" s="24">
        <v>0</v>
      </c>
      <c r="K513" s="24">
        <v>48772</v>
      </c>
      <c r="M513" s="24">
        <v>0</v>
      </c>
      <c r="O513" s="24">
        <v>88808</v>
      </c>
      <c r="Q513" s="24">
        <v>102225</v>
      </c>
      <c r="S513" s="24">
        <v>15823</v>
      </c>
      <c r="U513" s="24">
        <v>0</v>
      </c>
      <c r="W513" s="24">
        <v>0</v>
      </c>
      <c r="Y513" s="24">
        <v>0</v>
      </c>
      <c r="AA513" s="24">
        <f>5520+5520</f>
        <v>11040</v>
      </c>
      <c r="AC513" s="24">
        <v>3000</v>
      </c>
      <c r="AE513" s="24">
        <f t="shared" si="15"/>
        <v>462252</v>
      </c>
      <c r="AF513" s="24"/>
      <c r="AG513" s="64">
        <f>-23690+40815</f>
        <v>17125</v>
      </c>
      <c r="AI513" s="64">
        <f>270996+268145</f>
        <v>539141</v>
      </c>
      <c r="AK513" s="64">
        <f>247305+308959</f>
        <v>556264</v>
      </c>
      <c r="AM513" s="24">
        <f>+'Gov Rev'!AI510-'Gov Exp'!AE513+'Gov Exp'!AI513-'Gov Exp'!AK513</f>
        <v>0</v>
      </c>
    </row>
    <row r="514" spans="1:39" ht="12.75" hidden="1">
      <c r="A514" s="15" t="s">
        <v>138</v>
      </c>
      <c r="C514" s="15" t="s">
        <v>792</v>
      </c>
      <c r="D514" s="28"/>
      <c r="E514" s="24">
        <v>0</v>
      </c>
      <c r="G514" s="24">
        <v>0</v>
      </c>
      <c r="I514" s="24">
        <v>0</v>
      </c>
      <c r="K514" s="24">
        <v>0</v>
      </c>
      <c r="M514" s="24">
        <v>0</v>
      </c>
      <c r="O514" s="24">
        <v>0</v>
      </c>
      <c r="Q514" s="24">
        <v>0</v>
      </c>
      <c r="S514" s="24">
        <v>0</v>
      </c>
      <c r="U514" s="24">
        <v>0</v>
      </c>
      <c r="W514" s="24">
        <v>0</v>
      </c>
      <c r="Y514" s="24">
        <v>0</v>
      </c>
      <c r="AA514" s="24">
        <v>0</v>
      </c>
      <c r="AC514" s="24">
        <v>0</v>
      </c>
      <c r="AE514" s="24">
        <f t="shared" si="15"/>
        <v>0</v>
      </c>
      <c r="AF514" s="24"/>
      <c r="AM514" s="24">
        <f>+'Gov Rev'!AI511-'Gov Exp'!AE514+'Gov Exp'!AI514-'Gov Exp'!AK514</f>
        <v>0</v>
      </c>
    </row>
    <row r="515" spans="1:39" ht="12.75">
      <c r="A515" s="15" t="s">
        <v>678</v>
      </c>
      <c r="C515" s="15" t="s">
        <v>677</v>
      </c>
      <c r="D515" s="28"/>
      <c r="E515" s="24">
        <f>2229+11755</f>
        <v>13984</v>
      </c>
      <c r="G515" s="24">
        <v>1868</v>
      </c>
      <c r="I515" s="24">
        <v>3736</v>
      </c>
      <c r="K515" s="24">
        <v>332</v>
      </c>
      <c r="M515" s="24">
        <v>0</v>
      </c>
      <c r="O515" s="24">
        <f>4183+44002</f>
        <v>48185</v>
      </c>
      <c r="Q515" s="24">
        <f>105755+493</f>
        <v>106248</v>
      </c>
      <c r="S515" s="24">
        <v>51247</v>
      </c>
      <c r="U515" s="24">
        <f>98717+49674</f>
        <v>148391</v>
      </c>
      <c r="W515" s="24">
        <f>21684+1794</f>
        <v>23478</v>
      </c>
      <c r="Y515" s="24">
        <f>24025+8052</f>
        <v>32077</v>
      </c>
      <c r="AA515" s="24">
        <v>0</v>
      </c>
      <c r="AC515" s="24">
        <v>33685</v>
      </c>
      <c r="AE515" s="24">
        <f t="shared" si="15"/>
        <v>463231</v>
      </c>
      <c r="AF515" s="24"/>
      <c r="AG515" s="64">
        <f>2772+700-96376-36751</f>
        <v>-129655</v>
      </c>
      <c r="AI515" s="64">
        <f>748+114502+345354+42858</f>
        <v>503462</v>
      </c>
      <c r="AK515" s="64">
        <f>3520+115203+248977+6107</f>
        <v>373807</v>
      </c>
      <c r="AM515" s="24">
        <f>+'Gov Rev'!AI512-'Gov Exp'!AE515+'Gov Exp'!AI515-'Gov Exp'!AK515</f>
        <v>0</v>
      </c>
    </row>
    <row r="516" spans="1:39" hidden="1">
      <c r="A516" s="15" t="s">
        <v>471</v>
      </c>
      <c r="C516" s="15" t="s">
        <v>469</v>
      </c>
      <c r="E516" s="24">
        <v>0</v>
      </c>
      <c r="G516" s="24">
        <v>0</v>
      </c>
      <c r="I516" s="24">
        <v>0</v>
      </c>
      <c r="K516" s="24">
        <v>0</v>
      </c>
      <c r="M516" s="24">
        <v>0</v>
      </c>
      <c r="O516" s="24">
        <v>0</v>
      </c>
      <c r="Q516" s="24">
        <v>0</v>
      </c>
      <c r="S516" s="24">
        <v>0</v>
      </c>
      <c r="U516" s="24">
        <v>0</v>
      </c>
      <c r="W516" s="24">
        <v>0</v>
      </c>
      <c r="Y516" s="24">
        <v>0</v>
      </c>
      <c r="AA516" s="24">
        <v>0</v>
      </c>
      <c r="AC516" s="24">
        <v>0</v>
      </c>
      <c r="AE516" s="24">
        <f t="shared" si="15"/>
        <v>0</v>
      </c>
      <c r="AF516" s="41"/>
      <c r="AM516" s="24">
        <f>+'Gov Rev'!AI513-'Gov Exp'!AE516+'Gov Exp'!AI516-'Gov Exp'!AK516</f>
        <v>0</v>
      </c>
    </row>
    <row r="517" spans="1:39" ht="12.75">
      <c r="A517" s="15" t="s">
        <v>836</v>
      </c>
      <c r="C517" s="15" t="s">
        <v>807</v>
      </c>
      <c r="D517" s="28"/>
      <c r="E517" s="24">
        <f>12820+23379</f>
        <v>36199</v>
      </c>
      <c r="G517" s="24">
        <v>905</v>
      </c>
      <c r="I517" s="24">
        <v>6</v>
      </c>
      <c r="K517" s="24">
        <f>300+411</f>
        <v>711</v>
      </c>
      <c r="M517" s="24">
        <v>3318</v>
      </c>
      <c r="O517" s="24">
        <v>28498</v>
      </c>
      <c r="Q517" s="24">
        <f>22495+4573</f>
        <v>27068</v>
      </c>
      <c r="S517" s="24">
        <v>0</v>
      </c>
      <c r="U517" s="24">
        <v>0</v>
      </c>
      <c r="W517" s="24">
        <v>7795</v>
      </c>
      <c r="Y517" s="24">
        <f>250+11053</f>
        <v>11303</v>
      </c>
      <c r="AA517" s="24">
        <v>0</v>
      </c>
      <c r="AC517" s="24">
        <v>0</v>
      </c>
      <c r="AE517" s="24">
        <f t="shared" si="15"/>
        <v>115803</v>
      </c>
      <c r="AF517" s="24"/>
      <c r="AG517" s="64">
        <f>-3646+1799</f>
        <v>-1847</v>
      </c>
      <c r="AI517" s="64">
        <f>12549+40135</f>
        <v>52684</v>
      </c>
      <c r="AK517" s="64">
        <f>8903+41934</f>
        <v>50837</v>
      </c>
      <c r="AM517" s="24">
        <f>+'Gov Rev'!AI514-'Gov Exp'!AE517+'Gov Exp'!AI517-'Gov Exp'!AK517</f>
        <v>0</v>
      </c>
    </row>
    <row r="518" spans="1:39" s="31" customFormat="1" ht="12.75" hidden="1">
      <c r="A518" s="15" t="s">
        <v>45</v>
      </c>
      <c r="B518" s="15"/>
      <c r="C518" s="15" t="s">
        <v>763</v>
      </c>
      <c r="D518" s="28"/>
      <c r="E518" s="24">
        <v>0</v>
      </c>
      <c r="F518" s="24"/>
      <c r="G518" s="24">
        <v>0</v>
      </c>
      <c r="H518" s="24"/>
      <c r="I518" s="24">
        <v>0</v>
      </c>
      <c r="J518" s="24"/>
      <c r="K518" s="24">
        <v>0</v>
      </c>
      <c r="L518" s="24"/>
      <c r="M518" s="24">
        <v>0</v>
      </c>
      <c r="N518" s="24"/>
      <c r="O518" s="24">
        <v>0</v>
      </c>
      <c r="P518" s="24"/>
      <c r="Q518" s="24">
        <v>0</v>
      </c>
      <c r="R518" s="24"/>
      <c r="S518" s="24">
        <v>0</v>
      </c>
      <c r="T518" s="24"/>
      <c r="U518" s="24">
        <v>0</v>
      </c>
      <c r="V518" s="24"/>
      <c r="W518" s="24">
        <v>0</v>
      </c>
      <c r="X518" s="24"/>
      <c r="Y518" s="24">
        <v>0</v>
      </c>
      <c r="Z518" s="24"/>
      <c r="AA518" s="24">
        <v>0</v>
      </c>
      <c r="AB518" s="24"/>
      <c r="AC518" s="24">
        <v>0</v>
      </c>
      <c r="AD518" s="24"/>
      <c r="AE518" s="24">
        <f t="shared" si="15"/>
        <v>0</v>
      </c>
      <c r="AF518" s="24"/>
      <c r="AG518" s="65"/>
      <c r="AH518" s="65"/>
      <c r="AI518" s="65"/>
      <c r="AJ518" s="65"/>
      <c r="AK518" s="65"/>
      <c r="AM518" s="24">
        <f>+'Gov Rev'!AI515-'Gov Exp'!AE518+'Gov Exp'!AI518-'Gov Exp'!AK518</f>
        <v>0</v>
      </c>
    </row>
    <row r="519" spans="1:39" ht="12.75">
      <c r="A519" s="15" t="s">
        <v>837</v>
      </c>
      <c r="C519" s="15" t="s">
        <v>665</v>
      </c>
      <c r="D519" s="28"/>
      <c r="E519" s="24">
        <v>2107</v>
      </c>
      <c r="G519" s="24">
        <v>0</v>
      </c>
      <c r="I519" s="24">
        <v>1108</v>
      </c>
      <c r="K519" s="24">
        <v>0</v>
      </c>
      <c r="M519" s="24">
        <v>364</v>
      </c>
      <c r="O519" s="24">
        <v>0</v>
      </c>
      <c r="Q519" s="24">
        <v>6646</v>
      </c>
      <c r="S519" s="24">
        <v>0</v>
      </c>
      <c r="U519" s="24">
        <v>0</v>
      </c>
      <c r="W519" s="24">
        <v>0</v>
      </c>
      <c r="Y519" s="24">
        <v>0</v>
      </c>
      <c r="AA519" s="24">
        <v>0</v>
      </c>
      <c r="AC519" s="24">
        <v>0</v>
      </c>
      <c r="AE519" s="24">
        <f t="shared" si="15"/>
        <v>10225</v>
      </c>
      <c r="AF519" s="24"/>
      <c r="AG519" s="64">
        <f>-6288+4738</f>
        <v>-1550</v>
      </c>
      <c r="AI519" s="64">
        <f>12289+19398</f>
        <v>31687</v>
      </c>
      <c r="AK519" s="64">
        <f>6001+4738+19398</f>
        <v>30137</v>
      </c>
      <c r="AM519" s="24">
        <f>+'Gov Rev'!AI516-'Gov Exp'!AE519+'Gov Exp'!AI519-'Gov Exp'!AK519</f>
        <v>0</v>
      </c>
    </row>
    <row r="520" spans="1:39" hidden="1">
      <c r="A520" s="15" t="s">
        <v>492</v>
      </c>
      <c r="C520" s="15" t="s">
        <v>488</v>
      </c>
      <c r="E520" s="24">
        <v>0</v>
      </c>
      <c r="G520" s="24">
        <v>0</v>
      </c>
      <c r="I520" s="24">
        <v>0</v>
      </c>
      <c r="K520" s="24">
        <v>0</v>
      </c>
      <c r="M520" s="24">
        <v>0</v>
      </c>
      <c r="O520" s="24">
        <v>0</v>
      </c>
      <c r="Q520" s="24">
        <v>0</v>
      </c>
      <c r="S520" s="24">
        <v>0</v>
      </c>
      <c r="U520" s="24">
        <v>0</v>
      </c>
      <c r="W520" s="24">
        <v>0</v>
      </c>
      <c r="Y520" s="24">
        <v>0</v>
      </c>
      <c r="AA520" s="24">
        <v>0</v>
      </c>
      <c r="AC520" s="24">
        <v>0</v>
      </c>
      <c r="AE520" s="24">
        <f t="shared" si="15"/>
        <v>0</v>
      </c>
      <c r="AF520" s="24"/>
      <c r="AM520" s="24">
        <f>+'Gov Rev'!AI517-'Gov Exp'!AE520+'Gov Exp'!AI520-'Gov Exp'!AK520</f>
        <v>0</v>
      </c>
    </row>
    <row r="521" spans="1:39" ht="12.6" customHeight="1">
      <c r="A521" s="15" t="s">
        <v>336</v>
      </c>
      <c r="C521" s="15" t="s">
        <v>329</v>
      </c>
      <c r="E521" s="24">
        <v>7326</v>
      </c>
      <c r="G521" s="24">
        <v>571</v>
      </c>
      <c r="I521" s="24">
        <v>500</v>
      </c>
      <c r="K521" s="24">
        <v>0</v>
      </c>
      <c r="M521" s="24">
        <v>9212</v>
      </c>
      <c r="O521" s="24">
        <f>162+18360</f>
        <v>18522</v>
      </c>
      <c r="Q521" s="24">
        <v>22178</v>
      </c>
      <c r="S521" s="24">
        <f>174+229006</f>
        <v>229180</v>
      </c>
      <c r="U521" s="24">
        <f>21448+5102</f>
        <v>26550</v>
      </c>
      <c r="W521" s="24">
        <v>0</v>
      </c>
      <c r="Y521" s="24">
        <f>2064+2063</f>
        <v>4127</v>
      </c>
      <c r="AA521" s="24">
        <v>0</v>
      </c>
      <c r="AC521" s="24">
        <v>19</v>
      </c>
      <c r="AE521" s="24">
        <f t="shared" si="15"/>
        <v>318185</v>
      </c>
      <c r="AF521" s="24"/>
      <c r="AG521" s="64">
        <f>5503+8437+2871-6172</f>
        <v>10639</v>
      </c>
      <c r="AI521" s="64">
        <f>31770+14720+13275+7165</f>
        <v>66930</v>
      </c>
      <c r="AK521" s="64">
        <f>37273+23157+16146+993</f>
        <v>77569</v>
      </c>
      <c r="AM521" s="24">
        <f>+'Gov Rev'!AI518-'Gov Exp'!AE521+'Gov Exp'!AI521-'Gov Exp'!AK521</f>
        <v>0</v>
      </c>
    </row>
    <row r="522" spans="1:39" s="31" customFormat="1" ht="12.75">
      <c r="A522" s="15" t="s">
        <v>922</v>
      </c>
      <c r="B522" s="15"/>
      <c r="C522" s="15" t="s">
        <v>565</v>
      </c>
      <c r="D522" s="28"/>
      <c r="E522" s="24">
        <f>10087+2200</f>
        <v>12287</v>
      </c>
      <c r="F522" s="24"/>
      <c r="G522" s="24">
        <v>218</v>
      </c>
      <c r="H522" s="24"/>
      <c r="I522" s="24">
        <v>31</v>
      </c>
      <c r="J522" s="24"/>
      <c r="K522" s="24">
        <v>61</v>
      </c>
      <c r="L522" s="24"/>
      <c r="M522" s="24">
        <f>3924+5377</f>
        <v>9301</v>
      </c>
      <c r="N522" s="24"/>
      <c r="O522" s="24">
        <f>72+11212</f>
        <v>11284</v>
      </c>
      <c r="P522" s="24"/>
      <c r="Q522" s="24">
        <f>38983+152</f>
        <v>39135</v>
      </c>
      <c r="R522" s="24"/>
      <c r="S522" s="24">
        <v>8097</v>
      </c>
      <c r="T522" s="24"/>
      <c r="U522" s="24">
        <v>0</v>
      </c>
      <c r="V522" s="24"/>
      <c r="W522" s="24">
        <v>0</v>
      </c>
      <c r="X522" s="24"/>
      <c r="Y522" s="24">
        <v>0</v>
      </c>
      <c r="Z522" s="24"/>
      <c r="AA522" s="24">
        <v>0</v>
      </c>
      <c r="AB522" s="24"/>
      <c r="AC522" s="24">
        <v>0</v>
      </c>
      <c r="AD522" s="24"/>
      <c r="AE522" s="24">
        <f t="shared" si="15"/>
        <v>80414</v>
      </c>
      <c r="AF522" s="24"/>
      <c r="AG522" s="65">
        <f>-4841-380+16618</f>
        <v>11397</v>
      </c>
      <c r="AH522" s="65"/>
      <c r="AI522" s="65">
        <f>12093+11515+6258</f>
        <v>29866</v>
      </c>
      <c r="AJ522" s="65"/>
      <c r="AK522" s="65">
        <f>7252+11135+22876</f>
        <v>41263</v>
      </c>
      <c r="AM522" s="24">
        <f>+'Gov Rev'!AI519-'Gov Exp'!AE522+'Gov Exp'!AI522-'Gov Exp'!AK522</f>
        <v>0</v>
      </c>
    </row>
    <row r="523" spans="1:39" s="31" customFormat="1" ht="12.75" hidden="1">
      <c r="A523" s="15" t="s">
        <v>860</v>
      </c>
      <c r="B523" s="15"/>
      <c r="C523" s="15" t="s">
        <v>791</v>
      </c>
      <c r="D523" s="28"/>
      <c r="E523" s="24">
        <v>0</v>
      </c>
      <c r="F523" s="24"/>
      <c r="G523" s="24">
        <v>0</v>
      </c>
      <c r="H523" s="24"/>
      <c r="I523" s="24">
        <v>0</v>
      </c>
      <c r="J523" s="24"/>
      <c r="K523" s="24">
        <v>0</v>
      </c>
      <c r="L523" s="24"/>
      <c r="M523" s="24">
        <v>0</v>
      </c>
      <c r="N523" s="24"/>
      <c r="O523" s="24">
        <v>0</v>
      </c>
      <c r="P523" s="24"/>
      <c r="Q523" s="24">
        <v>0</v>
      </c>
      <c r="R523" s="24"/>
      <c r="S523" s="24">
        <v>0</v>
      </c>
      <c r="T523" s="24"/>
      <c r="U523" s="24">
        <v>0</v>
      </c>
      <c r="V523" s="24"/>
      <c r="W523" s="24">
        <v>0</v>
      </c>
      <c r="X523" s="24"/>
      <c r="Y523" s="24">
        <v>0</v>
      </c>
      <c r="Z523" s="24"/>
      <c r="AA523" s="24">
        <v>0</v>
      </c>
      <c r="AB523" s="24"/>
      <c r="AC523" s="24">
        <v>0</v>
      </c>
      <c r="AD523" s="24"/>
      <c r="AE523" s="24">
        <f t="shared" si="15"/>
        <v>0</v>
      </c>
      <c r="AF523" s="24"/>
      <c r="AG523" s="65"/>
      <c r="AH523" s="65"/>
      <c r="AI523" s="65"/>
      <c r="AJ523" s="65"/>
      <c r="AK523" s="65"/>
      <c r="AM523" s="24">
        <f>+'Gov Rev'!AI520-'Gov Exp'!AE523+'Gov Exp'!AI523-'Gov Exp'!AK523</f>
        <v>0</v>
      </c>
    </row>
    <row r="524" spans="1:39" s="31" customFormat="1" ht="12.75" hidden="1">
      <c r="A524" s="15" t="s">
        <v>65</v>
      </c>
      <c r="B524" s="15"/>
      <c r="C524" s="15" t="s">
        <v>771</v>
      </c>
      <c r="D524" s="28"/>
      <c r="E524" s="24">
        <v>0</v>
      </c>
      <c r="F524" s="24"/>
      <c r="G524" s="24">
        <v>0</v>
      </c>
      <c r="H524" s="24"/>
      <c r="I524" s="24">
        <v>0</v>
      </c>
      <c r="J524" s="24"/>
      <c r="K524" s="24">
        <v>0</v>
      </c>
      <c r="L524" s="24"/>
      <c r="M524" s="24">
        <v>0</v>
      </c>
      <c r="N524" s="24"/>
      <c r="O524" s="24">
        <v>0</v>
      </c>
      <c r="P524" s="24"/>
      <c r="Q524" s="24">
        <v>0</v>
      </c>
      <c r="R524" s="24"/>
      <c r="S524" s="24">
        <v>0</v>
      </c>
      <c r="T524" s="24"/>
      <c r="U524" s="24">
        <v>0</v>
      </c>
      <c r="V524" s="24"/>
      <c r="W524" s="24">
        <v>0</v>
      </c>
      <c r="X524" s="24"/>
      <c r="Y524" s="24">
        <v>0</v>
      </c>
      <c r="Z524" s="24"/>
      <c r="AA524" s="24">
        <v>0</v>
      </c>
      <c r="AB524" s="24"/>
      <c r="AC524" s="24">
        <v>0</v>
      </c>
      <c r="AD524" s="24"/>
      <c r="AE524" s="24">
        <f t="shared" si="15"/>
        <v>0</v>
      </c>
      <c r="AF524" s="24"/>
      <c r="AG524" s="65"/>
      <c r="AH524" s="65"/>
      <c r="AI524" s="65"/>
      <c r="AJ524" s="65"/>
      <c r="AK524" s="65"/>
      <c r="AM524" s="24">
        <f>+'Gov Rev'!AI521-'Gov Exp'!AE524+'Gov Exp'!AI524-'Gov Exp'!AK524</f>
        <v>0</v>
      </c>
    </row>
    <row r="525" spans="1:39" hidden="1">
      <c r="A525" s="15" t="s">
        <v>448</v>
      </c>
      <c r="C525" s="15" t="s">
        <v>447</v>
      </c>
      <c r="E525" s="24">
        <v>0</v>
      </c>
      <c r="G525" s="24">
        <v>0</v>
      </c>
      <c r="I525" s="24">
        <v>0</v>
      </c>
      <c r="K525" s="24">
        <v>0</v>
      </c>
      <c r="M525" s="24">
        <v>0</v>
      </c>
      <c r="O525" s="24">
        <v>0</v>
      </c>
      <c r="Q525" s="24">
        <v>0</v>
      </c>
      <c r="S525" s="24">
        <v>0</v>
      </c>
      <c r="U525" s="24">
        <v>0</v>
      </c>
      <c r="W525" s="24">
        <v>0</v>
      </c>
      <c r="Y525" s="24">
        <v>0</v>
      </c>
      <c r="AA525" s="24">
        <v>0</v>
      </c>
      <c r="AC525" s="24">
        <v>0</v>
      </c>
      <c r="AE525" s="24">
        <f t="shared" si="15"/>
        <v>0</v>
      </c>
      <c r="AF525" s="24"/>
      <c r="AM525" s="24">
        <f>+'Gov Rev'!AI522-'Gov Exp'!AE525+'Gov Exp'!AI525-'Gov Exp'!AK525</f>
        <v>0</v>
      </c>
    </row>
    <row r="526" spans="1:39">
      <c r="A526" s="15" t="s">
        <v>543</v>
      </c>
      <c r="C526" s="15" t="s">
        <v>541</v>
      </c>
      <c r="E526" s="24">
        <f>29224+14498</f>
        <v>43722</v>
      </c>
      <c r="G526" s="24">
        <v>3130</v>
      </c>
      <c r="I526" s="24">
        <v>41454</v>
      </c>
      <c r="K526" s="24">
        <v>206</v>
      </c>
      <c r="M526" s="24">
        <v>5986</v>
      </c>
      <c r="O526" s="24">
        <v>21376</v>
      </c>
      <c r="Q526" s="24">
        <v>218432</v>
      </c>
      <c r="S526" s="24">
        <v>105872</v>
      </c>
      <c r="U526" s="24">
        <v>0</v>
      </c>
      <c r="W526" s="24">
        <v>3682</v>
      </c>
      <c r="Y526" s="24">
        <f>4844+330</f>
        <v>5174</v>
      </c>
      <c r="AA526" s="24">
        <v>0</v>
      </c>
      <c r="AC526" s="24">
        <v>0</v>
      </c>
      <c r="AE526" s="24">
        <f t="shared" si="15"/>
        <v>449034</v>
      </c>
      <c r="AF526" s="24"/>
      <c r="AG526" s="64">
        <f>192165+12413+6845+4987</f>
        <v>216410</v>
      </c>
      <c r="AI526" s="64">
        <f>497556+52040+2385+114314</f>
        <v>666295</v>
      </c>
      <c r="AK526" s="64">
        <f>689721+64453+9230+119301</f>
        <v>882705</v>
      </c>
      <c r="AM526" s="24">
        <f>+'Gov Rev'!AI523-'Gov Exp'!AE526+'Gov Exp'!AI526-'Gov Exp'!AK526</f>
        <v>0</v>
      </c>
    </row>
    <row r="527" spans="1:39" hidden="1">
      <c r="A527" s="15" t="s">
        <v>711</v>
      </c>
      <c r="C527" s="15" t="s">
        <v>467</v>
      </c>
      <c r="E527" s="24">
        <v>0</v>
      </c>
      <c r="G527" s="24">
        <v>0</v>
      </c>
      <c r="I527" s="24">
        <v>0</v>
      </c>
      <c r="K527" s="24">
        <v>0</v>
      </c>
      <c r="M527" s="24">
        <v>0</v>
      </c>
      <c r="O527" s="24">
        <v>0</v>
      </c>
      <c r="Q527" s="24">
        <v>0</v>
      </c>
      <c r="S527" s="24">
        <v>0</v>
      </c>
      <c r="U527" s="24">
        <v>0</v>
      </c>
      <c r="W527" s="24">
        <v>0</v>
      </c>
      <c r="Y527" s="24">
        <v>0</v>
      </c>
      <c r="AA527" s="24">
        <v>0</v>
      </c>
      <c r="AC527" s="24">
        <v>0</v>
      </c>
      <c r="AE527" s="24">
        <f t="shared" si="15"/>
        <v>0</v>
      </c>
      <c r="AF527" s="24"/>
      <c r="AM527" s="24">
        <f>+'Gov Rev'!AI524-'Gov Exp'!AE527+'Gov Exp'!AI527-'Gov Exp'!AK527</f>
        <v>0</v>
      </c>
    </row>
    <row r="528" spans="1:39" s="31" customFormat="1" ht="12.6" hidden="1" customHeight="1">
      <c r="A528" s="15" t="s">
        <v>304</v>
      </c>
      <c r="B528" s="15"/>
      <c r="C528" s="15" t="s">
        <v>299</v>
      </c>
      <c r="D528" s="15"/>
      <c r="E528" s="24">
        <v>0</v>
      </c>
      <c r="F528" s="24"/>
      <c r="G528" s="24">
        <v>0</v>
      </c>
      <c r="H528" s="24"/>
      <c r="I528" s="24">
        <v>0</v>
      </c>
      <c r="J528" s="24"/>
      <c r="K528" s="24">
        <v>0</v>
      </c>
      <c r="L528" s="24"/>
      <c r="M528" s="24">
        <v>0</v>
      </c>
      <c r="N528" s="24"/>
      <c r="O528" s="24">
        <v>0</v>
      </c>
      <c r="P528" s="24"/>
      <c r="Q528" s="24">
        <v>0</v>
      </c>
      <c r="R528" s="24"/>
      <c r="S528" s="24">
        <v>0</v>
      </c>
      <c r="T528" s="24"/>
      <c r="U528" s="24">
        <v>0</v>
      </c>
      <c r="V528" s="24"/>
      <c r="W528" s="24">
        <v>0</v>
      </c>
      <c r="X528" s="24"/>
      <c r="Y528" s="24">
        <v>0</v>
      </c>
      <c r="Z528" s="24"/>
      <c r="AA528" s="24">
        <v>0</v>
      </c>
      <c r="AB528" s="24"/>
      <c r="AC528" s="24">
        <v>0</v>
      </c>
      <c r="AD528" s="24"/>
      <c r="AE528" s="24">
        <f t="shared" si="15"/>
        <v>0</v>
      </c>
      <c r="AF528" s="24"/>
      <c r="AG528" s="65"/>
      <c r="AH528" s="65"/>
      <c r="AI528" s="65"/>
      <c r="AJ528" s="65"/>
      <c r="AK528" s="65"/>
      <c r="AM528" s="24">
        <f>+'Gov Rev'!AI525-'Gov Exp'!AE528+'Gov Exp'!AI528-'Gov Exp'!AK528</f>
        <v>0</v>
      </c>
    </row>
    <row r="529" spans="1:39" ht="12.75" hidden="1">
      <c r="A529" s="15" t="s">
        <v>161</v>
      </c>
      <c r="C529" s="15" t="s">
        <v>799</v>
      </c>
      <c r="D529" s="28"/>
      <c r="E529" s="24">
        <v>0</v>
      </c>
      <c r="G529" s="24">
        <v>0</v>
      </c>
      <c r="I529" s="24">
        <v>0</v>
      </c>
      <c r="K529" s="24">
        <v>0</v>
      </c>
      <c r="M529" s="24">
        <v>0</v>
      </c>
      <c r="O529" s="24">
        <v>0</v>
      </c>
      <c r="Q529" s="24">
        <v>0</v>
      </c>
      <c r="S529" s="24">
        <v>0</v>
      </c>
      <c r="U529" s="24">
        <v>0</v>
      </c>
      <c r="W529" s="24">
        <v>0</v>
      </c>
      <c r="Y529" s="24">
        <v>0</v>
      </c>
      <c r="AA529" s="24">
        <v>0</v>
      </c>
      <c r="AC529" s="24">
        <v>0</v>
      </c>
      <c r="AE529" s="24">
        <f t="shared" si="15"/>
        <v>0</v>
      </c>
      <c r="AF529" s="24"/>
      <c r="AM529" s="24">
        <f>+'Gov Rev'!AI526-'Gov Exp'!AE529+'Gov Exp'!AI529-'Gov Exp'!AK529</f>
        <v>0</v>
      </c>
    </row>
    <row r="530" spans="1:39" s="31" customFormat="1" ht="12.75" hidden="1">
      <c r="A530" s="15" t="s">
        <v>46</v>
      </c>
      <c r="B530" s="15"/>
      <c r="C530" s="15" t="s">
        <v>763</v>
      </c>
      <c r="D530" s="28"/>
      <c r="E530" s="24">
        <v>0</v>
      </c>
      <c r="F530" s="24"/>
      <c r="G530" s="24">
        <v>0</v>
      </c>
      <c r="H530" s="24"/>
      <c r="I530" s="24">
        <v>0</v>
      </c>
      <c r="J530" s="24"/>
      <c r="K530" s="24">
        <v>0</v>
      </c>
      <c r="L530" s="24"/>
      <c r="M530" s="24">
        <v>0</v>
      </c>
      <c r="N530" s="24"/>
      <c r="O530" s="24">
        <v>0</v>
      </c>
      <c r="P530" s="24"/>
      <c r="Q530" s="24">
        <v>0</v>
      </c>
      <c r="R530" s="24"/>
      <c r="S530" s="24">
        <v>0</v>
      </c>
      <c r="T530" s="24"/>
      <c r="U530" s="24">
        <v>0</v>
      </c>
      <c r="V530" s="24"/>
      <c r="W530" s="24">
        <v>0</v>
      </c>
      <c r="X530" s="24"/>
      <c r="Y530" s="24">
        <v>0</v>
      </c>
      <c r="Z530" s="24"/>
      <c r="AA530" s="24">
        <v>0</v>
      </c>
      <c r="AB530" s="24"/>
      <c r="AC530" s="24">
        <v>0</v>
      </c>
      <c r="AD530" s="24"/>
      <c r="AE530" s="24">
        <f t="shared" si="15"/>
        <v>0</v>
      </c>
      <c r="AF530" s="24"/>
      <c r="AG530" s="65"/>
      <c r="AH530" s="65"/>
      <c r="AI530" s="65"/>
      <c r="AJ530" s="65"/>
      <c r="AK530" s="65"/>
      <c r="AM530" s="24">
        <f>+'Gov Rev'!AI527-'Gov Exp'!AE530+'Gov Exp'!AI530-'Gov Exp'!AK530</f>
        <v>0</v>
      </c>
    </row>
    <row r="531" spans="1:39" ht="12.75" hidden="1">
      <c r="A531" s="15" t="s">
        <v>25</v>
      </c>
      <c r="C531" s="15" t="s">
        <v>756</v>
      </c>
      <c r="D531" s="28"/>
      <c r="E531" s="24">
        <v>0</v>
      </c>
      <c r="G531" s="24">
        <v>0</v>
      </c>
      <c r="I531" s="24">
        <v>0</v>
      </c>
      <c r="K531" s="24">
        <v>0</v>
      </c>
      <c r="M531" s="24">
        <v>0</v>
      </c>
      <c r="O531" s="24">
        <v>0</v>
      </c>
      <c r="Q531" s="24">
        <v>0</v>
      </c>
      <c r="S531" s="24">
        <v>0</v>
      </c>
      <c r="U531" s="24">
        <v>0</v>
      </c>
      <c r="W531" s="24">
        <v>0</v>
      </c>
      <c r="Y531" s="24">
        <v>0</v>
      </c>
      <c r="AA531" s="24">
        <v>0</v>
      </c>
      <c r="AC531" s="24">
        <v>0</v>
      </c>
      <c r="AE531" s="24">
        <f t="shared" si="15"/>
        <v>0</v>
      </c>
      <c r="AF531" s="24"/>
      <c r="AM531" s="24">
        <f>+'Gov Rev'!AI528-'Gov Exp'!AE531+'Gov Exp'!AI531-'Gov Exp'!AK531</f>
        <v>0</v>
      </c>
    </row>
    <row r="532" spans="1:39" ht="12.75">
      <c r="A532" s="15" t="s">
        <v>679</v>
      </c>
      <c r="C532" s="15" t="s">
        <v>672</v>
      </c>
      <c r="D532" s="28"/>
      <c r="E532" s="24">
        <v>15214</v>
      </c>
      <c r="G532" s="24">
        <v>0</v>
      </c>
      <c r="I532" s="24">
        <v>1520</v>
      </c>
      <c r="K532" s="24">
        <v>55</v>
      </c>
      <c r="M532" s="24">
        <v>0</v>
      </c>
      <c r="O532" s="24">
        <v>21256</v>
      </c>
      <c r="Q532" s="24">
        <v>31696</v>
      </c>
      <c r="S532" s="24">
        <v>0</v>
      </c>
      <c r="U532" s="24">
        <v>0</v>
      </c>
      <c r="W532" s="24">
        <v>0</v>
      </c>
      <c r="Y532" s="24">
        <v>0</v>
      </c>
      <c r="AA532" s="24">
        <v>0</v>
      </c>
      <c r="AC532" s="24">
        <v>3129</v>
      </c>
      <c r="AE532" s="24">
        <f t="shared" si="15"/>
        <v>72870</v>
      </c>
      <c r="AF532" s="24"/>
      <c r="AG532" s="64">
        <f>253-5525</f>
        <v>-5272</v>
      </c>
      <c r="AI532" s="64">
        <f>115396+13635</f>
        <v>129031</v>
      </c>
      <c r="AK532" s="64">
        <f>115649+8110</f>
        <v>123759</v>
      </c>
      <c r="AM532" s="24">
        <f>+'Gov Rev'!AI529-'Gov Exp'!AE532+'Gov Exp'!AI532-'Gov Exp'!AK532</f>
        <v>0</v>
      </c>
    </row>
    <row r="533" spans="1:39">
      <c r="A533" s="15" t="s">
        <v>406</v>
      </c>
      <c r="C533" s="15" t="s">
        <v>403</v>
      </c>
      <c r="E533" s="24">
        <f>13647+843</f>
        <v>14490</v>
      </c>
      <c r="G533" s="24">
        <v>588</v>
      </c>
      <c r="I533" s="24">
        <v>5224</v>
      </c>
      <c r="K533" s="24">
        <v>0</v>
      </c>
      <c r="M533" s="24">
        <v>0</v>
      </c>
      <c r="O533" s="24">
        <v>42509</v>
      </c>
      <c r="Q533" s="24">
        <f>58327+5467</f>
        <v>63794</v>
      </c>
      <c r="S533" s="24">
        <v>20958</v>
      </c>
      <c r="U533" s="24">
        <v>0</v>
      </c>
      <c r="W533" s="24">
        <v>0</v>
      </c>
      <c r="Y533" s="24">
        <v>3000</v>
      </c>
      <c r="AA533" s="24">
        <v>0</v>
      </c>
      <c r="AC533" s="24">
        <f>347+1012</f>
        <v>1359</v>
      </c>
      <c r="AE533" s="24">
        <f t="shared" si="15"/>
        <v>151922</v>
      </c>
      <c r="AF533" s="24"/>
      <c r="AG533" s="64">
        <f>5778+17537</f>
        <v>23315</v>
      </c>
      <c r="AI533" s="64">
        <f>90362+139822</f>
        <v>230184</v>
      </c>
      <c r="AK533" s="64">
        <f>96140+157359</f>
        <v>253499</v>
      </c>
      <c r="AM533" s="24">
        <f>+'Gov Rev'!AI530-'Gov Exp'!AE533+'Gov Exp'!AI533-'Gov Exp'!AK533</f>
        <v>0</v>
      </c>
    </row>
    <row r="534" spans="1:39" hidden="1">
      <c r="A534" s="15" t="s">
        <v>579</v>
      </c>
      <c r="C534" s="15" t="s">
        <v>577</v>
      </c>
      <c r="E534" s="24">
        <v>0</v>
      </c>
      <c r="G534" s="24">
        <v>0</v>
      </c>
      <c r="I534" s="24">
        <v>0</v>
      </c>
      <c r="K534" s="24">
        <v>0</v>
      </c>
      <c r="M534" s="24">
        <v>0</v>
      </c>
      <c r="O534" s="24">
        <v>0</v>
      </c>
      <c r="Q534" s="24">
        <v>0</v>
      </c>
      <c r="S534" s="24">
        <v>0</v>
      </c>
      <c r="U534" s="24">
        <v>0</v>
      </c>
      <c r="W534" s="24">
        <v>0</v>
      </c>
      <c r="Y534" s="24">
        <v>0</v>
      </c>
      <c r="AA534" s="24">
        <v>0</v>
      </c>
      <c r="AC534" s="24">
        <v>0</v>
      </c>
      <c r="AE534" s="24">
        <f t="shared" si="15"/>
        <v>0</v>
      </c>
      <c r="AF534" s="24"/>
      <c r="AM534" s="24"/>
    </row>
    <row r="535" spans="1:39" ht="12.75">
      <c r="A535" s="15" t="s">
        <v>680</v>
      </c>
      <c r="C535" s="15" t="s">
        <v>665</v>
      </c>
      <c r="D535" s="28"/>
      <c r="E535" s="24">
        <f>96422+5896</f>
        <v>102318</v>
      </c>
      <c r="G535" s="24">
        <v>2783</v>
      </c>
      <c r="I535" s="24">
        <v>0</v>
      </c>
      <c r="K535" s="24">
        <v>0</v>
      </c>
      <c r="M535" s="24">
        <v>0</v>
      </c>
      <c r="O535" s="24">
        <v>21167</v>
      </c>
      <c r="Q535" s="24">
        <v>65655</v>
      </c>
      <c r="S535" s="24">
        <f>4600+53519</f>
        <v>58119</v>
      </c>
      <c r="U535" s="24">
        <v>29172</v>
      </c>
      <c r="W535" s="24">
        <v>0</v>
      </c>
      <c r="Y535" s="24">
        <v>0</v>
      </c>
      <c r="AA535" s="24">
        <v>0</v>
      </c>
      <c r="AC535" s="24">
        <v>0</v>
      </c>
      <c r="AE535" s="24">
        <f t="shared" si="15"/>
        <v>279214</v>
      </c>
      <c r="AF535" s="24"/>
      <c r="AG535" s="64">
        <f>8583+7686-53519</f>
        <v>-37250</v>
      </c>
      <c r="AI535" s="64">
        <f>23244+11826+83903</f>
        <v>118973</v>
      </c>
      <c r="AK535" s="64">
        <f>38827+19313+30383</f>
        <v>88523</v>
      </c>
      <c r="AM535" s="24">
        <f>+'Gov Rev'!AI533-'Gov Exp'!AE535+'Gov Exp'!AI535-'Gov Exp'!AK535</f>
        <v>0</v>
      </c>
    </row>
    <row r="536" spans="1:39">
      <c r="A536" s="15" t="s">
        <v>462</v>
      </c>
      <c r="C536" s="15" t="s">
        <v>463</v>
      </c>
      <c r="E536" s="24">
        <f>816246+8949+1515</f>
        <v>826710</v>
      </c>
      <c r="G536" s="24">
        <v>15294</v>
      </c>
      <c r="I536" s="24">
        <f>55042+93226</f>
        <v>148268</v>
      </c>
      <c r="K536" s="24">
        <v>15600</v>
      </c>
      <c r="M536" s="24">
        <v>0</v>
      </c>
      <c r="O536" s="24">
        <v>228623</v>
      </c>
      <c r="Q536" s="24">
        <f>467591+1394+134626</f>
        <v>603611</v>
      </c>
      <c r="S536" s="24">
        <v>64493</v>
      </c>
      <c r="U536" s="24">
        <f>209368+114330+809104</f>
        <v>1132802</v>
      </c>
      <c r="W536" s="24">
        <v>0</v>
      </c>
      <c r="Y536" s="24">
        <v>0</v>
      </c>
      <c r="AA536" s="24">
        <v>0</v>
      </c>
      <c r="AC536" s="24">
        <f>21500+30000+111365</f>
        <v>162865</v>
      </c>
      <c r="AE536" s="24">
        <f t="shared" si="15"/>
        <v>3198266</v>
      </c>
      <c r="AF536" s="24"/>
      <c r="AG536" s="64">
        <f>92026+53124+28034+6726-35890</f>
        <v>144020</v>
      </c>
      <c r="AI536" s="64">
        <f>36956+22807+31128+128211</f>
        <v>219102</v>
      </c>
      <c r="AK536" s="64">
        <f>128982+53124+50841+37854+92322-1</f>
        <v>363122</v>
      </c>
      <c r="AM536" s="24">
        <f>+'Gov Rev'!AI534-'Gov Exp'!AE536+'Gov Exp'!AI536-'Gov Exp'!AK536</f>
        <v>0</v>
      </c>
    </row>
    <row r="537" spans="1:39" s="24" customFormat="1" ht="12.75" hidden="1">
      <c r="A537" s="24" t="s">
        <v>90</v>
      </c>
      <c r="C537" s="24" t="s">
        <v>777</v>
      </c>
      <c r="D537" s="85"/>
      <c r="E537" s="24">
        <v>0</v>
      </c>
      <c r="G537" s="24">
        <v>0</v>
      </c>
      <c r="I537" s="24">
        <v>0</v>
      </c>
      <c r="K537" s="24">
        <v>0</v>
      </c>
      <c r="M537" s="24">
        <v>0</v>
      </c>
      <c r="O537" s="24">
        <v>0</v>
      </c>
      <c r="Q537" s="24">
        <v>0</v>
      </c>
      <c r="S537" s="24">
        <v>0</v>
      </c>
      <c r="U537" s="24">
        <v>0</v>
      </c>
      <c r="W537" s="24">
        <v>0</v>
      </c>
      <c r="Y537" s="24">
        <v>0</v>
      </c>
      <c r="AA537" s="24">
        <v>0</v>
      </c>
      <c r="AC537" s="24">
        <v>0</v>
      </c>
      <c r="AE537" s="24">
        <f t="shared" si="15"/>
        <v>0</v>
      </c>
      <c r="AG537" s="64"/>
      <c r="AH537" s="64"/>
      <c r="AI537" s="64"/>
      <c r="AJ537" s="64"/>
      <c r="AK537" s="64"/>
      <c r="AM537" s="24">
        <f>+'Gov Rev'!AI535-'Gov Exp'!AE537+'Gov Exp'!AI537-'Gov Exp'!AK537</f>
        <v>0</v>
      </c>
    </row>
    <row r="538" spans="1:39" ht="12.75" hidden="1">
      <c r="A538" s="15" t="s">
        <v>27</v>
      </c>
      <c r="C538" s="15" t="s">
        <v>757</v>
      </c>
      <c r="D538" s="28"/>
      <c r="E538" s="24">
        <v>0</v>
      </c>
      <c r="G538" s="24">
        <v>0</v>
      </c>
      <c r="I538" s="24">
        <v>0</v>
      </c>
      <c r="K538" s="24">
        <v>0</v>
      </c>
      <c r="M538" s="24">
        <v>0</v>
      </c>
      <c r="O538" s="24">
        <v>0</v>
      </c>
      <c r="Q538" s="24">
        <v>0</v>
      </c>
      <c r="S538" s="24">
        <v>0</v>
      </c>
      <c r="U538" s="24">
        <v>0</v>
      </c>
      <c r="W538" s="24">
        <v>0</v>
      </c>
      <c r="Y538" s="24">
        <v>0</v>
      </c>
      <c r="AA538" s="24">
        <v>0</v>
      </c>
      <c r="AC538" s="24">
        <v>0</v>
      </c>
      <c r="AE538" s="24">
        <f t="shared" si="15"/>
        <v>0</v>
      </c>
      <c r="AF538" s="24"/>
      <c r="AM538" s="24">
        <f>+'Gov Rev'!AI536-'Gov Exp'!AE538+'Gov Exp'!AI538-'Gov Exp'!AK538</f>
        <v>0</v>
      </c>
    </row>
    <row r="539" spans="1:39" ht="12.75" hidden="1">
      <c r="A539" s="15" t="s">
        <v>154</v>
      </c>
      <c r="C539" s="15" t="s">
        <v>797</v>
      </c>
      <c r="D539" s="28"/>
      <c r="E539" s="24">
        <v>0</v>
      </c>
      <c r="G539" s="24">
        <v>0</v>
      </c>
      <c r="I539" s="24">
        <v>0</v>
      </c>
      <c r="K539" s="24">
        <v>0</v>
      </c>
      <c r="M539" s="24">
        <v>0</v>
      </c>
      <c r="O539" s="24">
        <v>0</v>
      </c>
      <c r="Q539" s="24">
        <v>0</v>
      </c>
      <c r="S539" s="24">
        <v>0</v>
      </c>
      <c r="U539" s="24">
        <v>0</v>
      </c>
      <c r="W539" s="24">
        <v>0</v>
      </c>
      <c r="Y539" s="24">
        <v>0</v>
      </c>
      <c r="AA539" s="24">
        <v>0</v>
      </c>
      <c r="AC539" s="24">
        <v>0</v>
      </c>
      <c r="AE539" s="24">
        <f t="shared" si="15"/>
        <v>0</v>
      </c>
      <c r="AF539" s="24"/>
      <c r="AM539" s="24">
        <f>+'Gov Rev'!AI537-'Gov Exp'!AE539+'Gov Exp'!AI539-'Gov Exp'!AK539</f>
        <v>0</v>
      </c>
    </row>
    <row r="540" spans="1:39" ht="12.75" hidden="1">
      <c r="A540" s="15" t="s">
        <v>20</v>
      </c>
      <c r="C540" s="15" t="s">
        <v>755</v>
      </c>
      <c r="D540" s="28"/>
      <c r="E540" s="24">
        <v>0</v>
      </c>
      <c r="G540" s="24">
        <v>0</v>
      </c>
      <c r="I540" s="24">
        <v>0</v>
      </c>
      <c r="K540" s="24">
        <v>0</v>
      </c>
      <c r="M540" s="24">
        <v>0</v>
      </c>
      <c r="O540" s="24">
        <v>0</v>
      </c>
      <c r="Q540" s="24">
        <v>0</v>
      </c>
      <c r="S540" s="24">
        <v>0</v>
      </c>
      <c r="U540" s="24">
        <v>0</v>
      </c>
      <c r="W540" s="24">
        <v>0</v>
      </c>
      <c r="Y540" s="24">
        <v>0</v>
      </c>
      <c r="AA540" s="24">
        <v>0</v>
      </c>
      <c r="AC540" s="24">
        <v>0</v>
      </c>
      <c r="AE540" s="24">
        <f t="shared" si="15"/>
        <v>0</v>
      </c>
      <c r="AF540" s="24"/>
      <c r="AM540" s="24">
        <f>+'Gov Rev'!AI538-'Gov Exp'!AE540+'Gov Exp'!AI540-'Gov Exp'!AK540</f>
        <v>0</v>
      </c>
    </row>
    <row r="541" spans="1:39" ht="12.75" hidden="1">
      <c r="A541" s="15" t="s">
        <v>187</v>
      </c>
      <c r="C541" s="15" t="s">
        <v>433</v>
      </c>
      <c r="D541" s="28"/>
      <c r="E541" s="24">
        <v>0</v>
      </c>
      <c r="G541" s="24">
        <v>0</v>
      </c>
      <c r="I541" s="24">
        <v>0</v>
      </c>
      <c r="K541" s="24">
        <v>0</v>
      </c>
      <c r="M541" s="24">
        <v>0</v>
      </c>
      <c r="O541" s="24">
        <v>0</v>
      </c>
      <c r="Q541" s="24">
        <v>0</v>
      </c>
      <c r="S541" s="24">
        <v>0</v>
      </c>
      <c r="U541" s="24">
        <v>0</v>
      </c>
      <c r="W541" s="24">
        <v>0</v>
      </c>
      <c r="Y541" s="24">
        <v>0</v>
      </c>
      <c r="AA541" s="24">
        <v>0</v>
      </c>
      <c r="AC541" s="24">
        <v>0</v>
      </c>
      <c r="AE541" s="24">
        <f t="shared" si="15"/>
        <v>0</v>
      </c>
      <c r="AF541" s="24"/>
      <c r="AM541" s="24">
        <f>+'Gov Rev'!AI539-'Gov Exp'!AE541+'Gov Exp'!AI541-'Gov Exp'!AK541</f>
        <v>0</v>
      </c>
    </row>
    <row r="542" spans="1:39" s="31" customFormat="1" ht="12.6" hidden="1" customHeight="1">
      <c r="A542" s="15" t="s">
        <v>345</v>
      </c>
      <c r="B542" s="15"/>
      <c r="C542" s="15" t="s">
        <v>343</v>
      </c>
      <c r="D542" s="15"/>
      <c r="E542" s="24">
        <v>0</v>
      </c>
      <c r="F542" s="24"/>
      <c r="G542" s="24">
        <v>0</v>
      </c>
      <c r="H542" s="24"/>
      <c r="I542" s="24">
        <v>0</v>
      </c>
      <c r="J542" s="24"/>
      <c r="K542" s="24">
        <v>0</v>
      </c>
      <c r="L542" s="24"/>
      <c r="M542" s="24">
        <v>0</v>
      </c>
      <c r="N542" s="24"/>
      <c r="O542" s="24">
        <v>0</v>
      </c>
      <c r="P542" s="24"/>
      <c r="Q542" s="24">
        <v>0</v>
      </c>
      <c r="R542" s="24"/>
      <c r="S542" s="24">
        <v>0</v>
      </c>
      <c r="T542" s="24"/>
      <c r="U542" s="24">
        <v>0</v>
      </c>
      <c r="V542" s="24"/>
      <c r="W542" s="24">
        <v>0</v>
      </c>
      <c r="X542" s="24"/>
      <c r="Y542" s="24">
        <v>0</v>
      </c>
      <c r="Z542" s="24"/>
      <c r="AA542" s="24">
        <v>0</v>
      </c>
      <c r="AB542" s="24"/>
      <c r="AC542" s="24">
        <v>0</v>
      </c>
      <c r="AD542" s="24"/>
      <c r="AE542" s="24">
        <f t="shared" si="15"/>
        <v>0</v>
      </c>
      <c r="AF542" s="24"/>
      <c r="AG542" s="65"/>
      <c r="AH542" s="65"/>
      <c r="AI542" s="65"/>
      <c r="AJ542" s="65"/>
      <c r="AK542" s="65"/>
      <c r="AM542" s="24">
        <f>+'Gov Rev'!AI540-'Gov Exp'!AE542+'Gov Exp'!AI542-'Gov Exp'!AK542</f>
        <v>0</v>
      </c>
    </row>
    <row r="543" spans="1:39">
      <c r="A543" s="15" t="s">
        <v>453</v>
      </c>
      <c r="C543" s="15" t="s">
        <v>452</v>
      </c>
      <c r="E543" s="24">
        <f>2790601+8890</f>
        <v>2799491</v>
      </c>
      <c r="G543" s="24">
        <v>0</v>
      </c>
      <c r="I543" s="24">
        <v>38296</v>
      </c>
      <c r="K543" s="24">
        <v>5927</v>
      </c>
      <c r="M543" s="24">
        <v>57638</v>
      </c>
      <c r="O543" s="24">
        <v>204723</v>
      </c>
      <c r="Q543" s="24">
        <f>843624+8958</f>
        <v>852582</v>
      </c>
      <c r="S543" s="24">
        <f>169531+57903+241538+991339</f>
        <v>1460311</v>
      </c>
      <c r="U543" s="24">
        <v>0</v>
      </c>
      <c r="W543" s="24">
        <v>0</v>
      </c>
      <c r="Y543" s="24">
        <v>454126</v>
      </c>
      <c r="AA543" s="24">
        <v>0</v>
      </c>
      <c r="AC543" s="24">
        <v>0</v>
      </c>
      <c r="AE543" s="24">
        <f t="shared" si="15"/>
        <v>5873094</v>
      </c>
      <c r="AF543" s="24"/>
      <c r="AG543" s="64">
        <f>-87075-12669-3823</f>
        <v>-103567</v>
      </c>
      <c r="AI543" s="64">
        <f>174094+80887+99317</f>
        <v>354298</v>
      </c>
      <c r="AK543" s="64">
        <f>87020+68218+95494</f>
        <v>250732</v>
      </c>
      <c r="AM543" s="24">
        <f>+'Gov Rev'!AI541-'Gov Exp'!AE543+'Gov Exp'!AI543-'Gov Exp'!AK543</f>
        <v>0</v>
      </c>
    </row>
    <row r="544" spans="1:39" ht="12.75" hidden="1">
      <c r="A544" s="15" t="s">
        <v>31</v>
      </c>
      <c r="C544" s="15" t="s">
        <v>758</v>
      </c>
      <c r="D544" s="28"/>
      <c r="E544" s="24">
        <v>0</v>
      </c>
      <c r="G544" s="24">
        <v>0</v>
      </c>
      <c r="I544" s="24">
        <v>0</v>
      </c>
      <c r="K544" s="24">
        <v>0</v>
      </c>
      <c r="M544" s="24">
        <v>0</v>
      </c>
      <c r="O544" s="24">
        <v>0</v>
      </c>
      <c r="Q544" s="24">
        <v>0</v>
      </c>
      <c r="S544" s="24">
        <v>0</v>
      </c>
      <c r="U544" s="24">
        <v>0</v>
      </c>
      <c r="W544" s="24">
        <v>0</v>
      </c>
      <c r="Y544" s="24">
        <v>0</v>
      </c>
      <c r="AA544" s="24">
        <v>0</v>
      </c>
      <c r="AC544" s="24">
        <v>0</v>
      </c>
      <c r="AE544" s="24">
        <f t="shared" si="15"/>
        <v>0</v>
      </c>
      <c r="AF544" s="24"/>
      <c r="AM544" s="24">
        <f>+'Gov Rev'!AI542-'Gov Exp'!AE544+'Gov Exp'!AI544-'Gov Exp'!AK544</f>
        <v>0</v>
      </c>
    </row>
    <row r="545" spans="1:41" ht="12.75" hidden="1">
      <c r="A545" s="15" t="s">
        <v>56</v>
      </c>
      <c r="C545" s="15" t="s">
        <v>768</v>
      </c>
      <c r="D545" s="28"/>
      <c r="E545" s="24">
        <v>0</v>
      </c>
      <c r="G545" s="24">
        <v>0</v>
      </c>
      <c r="I545" s="24">
        <v>0</v>
      </c>
      <c r="K545" s="24">
        <v>0</v>
      </c>
      <c r="M545" s="24">
        <v>0</v>
      </c>
      <c r="O545" s="24">
        <v>0</v>
      </c>
      <c r="Q545" s="24">
        <v>0</v>
      </c>
      <c r="S545" s="24">
        <v>0</v>
      </c>
      <c r="U545" s="24">
        <v>0</v>
      </c>
      <c r="W545" s="24">
        <v>0</v>
      </c>
      <c r="Y545" s="24">
        <v>0</v>
      </c>
      <c r="AA545" s="24">
        <v>0</v>
      </c>
      <c r="AC545" s="24">
        <v>0</v>
      </c>
      <c r="AE545" s="24">
        <f t="shared" si="15"/>
        <v>0</v>
      </c>
      <c r="AF545" s="24"/>
      <c r="AM545" s="24">
        <f>+'Gov Rev'!AI543-'Gov Exp'!AE545+'Gov Exp'!AI545-'Gov Exp'!AK545</f>
        <v>0</v>
      </c>
    </row>
    <row r="546" spans="1:41" s="24" customFormat="1">
      <c r="A546" s="24" t="s">
        <v>526</v>
      </c>
      <c r="C546" s="24" t="s">
        <v>523</v>
      </c>
      <c r="E546" s="24">
        <f>15000+15700</f>
        <v>30700</v>
      </c>
      <c r="G546" s="24">
        <v>510</v>
      </c>
      <c r="I546" s="24">
        <v>661</v>
      </c>
      <c r="K546" s="24">
        <v>1404</v>
      </c>
      <c r="M546" s="24">
        <v>1849</v>
      </c>
      <c r="O546" s="24">
        <f>43409+42189</f>
        <v>85598</v>
      </c>
      <c r="Q546" s="24">
        <v>46814</v>
      </c>
      <c r="S546" s="24">
        <v>0</v>
      </c>
      <c r="U546" s="24">
        <v>1805</v>
      </c>
      <c r="W546" s="24">
        <v>404</v>
      </c>
      <c r="Y546" s="24">
        <v>0</v>
      </c>
      <c r="AA546" s="24">
        <v>0</v>
      </c>
      <c r="AC546" s="24">
        <v>0</v>
      </c>
      <c r="AE546" s="24">
        <f t="shared" ref="AE546:AE578" si="16">SUM(E546:AC546)</f>
        <v>169745</v>
      </c>
      <c r="AG546" s="24">
        <f>9981+3083</f>
        <v>13064</v>
      </c>
      <c r="AI546" s="24">
        <f>36154+49384</f>
        <v>85538</v>
      </c>
      <c r="AK546" s="24">
        <f>46135+52467</f>
        <v>98602</v>
      </c>
      <c r="AM546" s="24">
        <f>+'Gov Rev'!AI544-'Gov Exp'!AE546+'Gov Exp'!AI546-'Gov Exp'!AK546</f>
        <v>0</v>
      </c>
    </row>
    <row r="547" spans="1:41">
      <c r="A547" s="15" t="s">
        <v>923</v>
      </c>
      <c r="C547" s="15" t="s">
        <v>593</v>
      </c>
      <c r="E547" s="24">
        <v>307397</v>
      </c>
      <c r="G547" s="24">
        <v>4735</v>
      </c>
      <c r="I547" s="24">
        <v>0</v>
      </c>
      <c r="K547" s="24">
        <v>0</v>
      </c>
      <c r="M547" s="24">
        <v>0</v>
      </c>
      <c r="O547" s="24">
        <v>106767</v>
      </c>
      <c r="Q547" s="24">
        <f>110817+24782</f>
        <v>135599</v>
      </c>
      <c r="S547" s="24">
        <f>40716+7918</f>
        <v>48634</v>
      </c>
      <c r="U547" s="24">
        <v>0</v>
      </c>
      <c r="W547" s="24">
        <v>0</v>
      </c>
      <c r="Y547" s="24">
        <v>275000</v>
      </c>
      <c r="AA547" s="24">
        <v>0</v>
      </c>
      <c r="AC547" s="24">
        <f>1279+1136</f>
        <v>2415</v>
      </c>
      <c r="AE547" s="24">
        <f t="shared" si="16"/>
        <v>880547</v>
      </c>
      <c r="AF547" s="24"/>
      <c r="AG547" s="64">
        <f>-521-103724</f>
        <v>-104245</v>
      </c>
      <c r="AI547" s="64">
        <f>47449+359358+5121</f>
        <v>411928</v>
      </c>
      <c r="AK547" s="64">
        <f>46928+255634+5121</f>
        <v>307683</v>
      </c>
      <c r="AM547" s="24">
        <f>+'Gov Rev'!AI545-'Gov Exp'!AE547+'Gov Exp'!AI547-'Gov Exp'!AK547</f>
        <v>0</v>
      </c>
    </row>
    <row r="548" spans="1:41">
      <c r="A548" s="15" t="s">
        <v>559</v>
      </c>
      <c r="C548" s="15" t="s">
        <v>554</v>
      </c>
      <c r="E548" s="24">
        <f>1134796+24640</f>
        <v>1159436</v>
      </c>
      <c r="G548" s="24">
        <v>28179</v>
      </c>
      <c r="I548" s="24">
        <f>76986+4659+508</f>
        <v>82153</v>
      </c>
      <c r="K548" s="24">
        <v>2019</v>
      </c>
      <c r="M548" s="24">
        <v>0</v>
      </c>
      <c r="O548" s="24">
        <f>451809+114660</f>
        <v>566469</v>
      </c>
      <c r="Q548" s="24">
        <f>405059+690+720</f>
        <v>406469</v>
      </c>
      <c r="S548" s="24">
        <f>75606+150208</f>
        <v>225814</v>
      </c>
      <c r="U548" s="24">
        <v>10000</v>
      </c>
      <c r="W548" s="24">
        <v>5228</v>
      </c>
      <c r="Y548" s="24">
        <v>90188</v>
      </c>
      <c r="AA548" s="24">
        <v>0</v>
      </c>
      <c r="AC548" s="24">
        <v>0</v>
      </c>
      <c r="AE548" s="24">
        <f t="shared" si="16"/>
        <v>2575955</v>
      </c>
      <c r="AF548" s="24"/>
      <c r="AG548" s="64">
        <f>-74518-18354+18630</f>
        <v>-74242</v>
      </c>
      <c r="AI548" s="64">
        <f>1169689+314611+369080</f>
        <v>1853380</v>
      </c>
      <c r="AK548" s="64">
        <f>1095171+296257+387710</f>
        <v>1779138</v>
      </c>
      <c r="AM548" s="24">
        <f>+'Gov Rev'!AI546-'Gov Exp'!AE548+'Gov Exp'!AI548-'Gov Exp'!AK548</f>
        <v>0</v>
      </c>
    </row>
    <row r="549" spans="1:41">
      <c r="A549" s="15" t="s">
        <v>411</v>
      </c>
      <c r="C549" s="15" t="s">
        <v>409</v>
      </c>
      <c r="E549" s="24">
        <v>3958</v>
      </c>
      <c r="G549" s="24">
        <v>2353</v>
      </c>
      <c r="I549" s="24">
        <v>0</v>
      </c>
      <c r="K549" s="24">
        <v>0</v>
      </c>
      <c r="M549" s="24">
        <v>930</v>
      </c>
      <c r="O549" s="24">
        <f>4730+12460</f>
        <v>17190</v>
      </c>
      <c r="Q549" s="24">
        <v>6289</v>
      </c>
      <c r="S549" s="24">
        <v>0</v>
      </c>
      <c r="U549" s="24">
        <v>0</v>
      </c>
      <c r="W549" s="24">
        <v>0</v>
      </c>
      <c r="Y549" s="24">
        <v>0</v>
      </c>
      <c r="AA549" s="24">
        <v>0</v>
      </c>
      <c r="AC549" s="24">
        <v>0</v>
      </c>
      <c r="AE549" s="24">
        <f t="shared" si="16"/>
        <v>30720</v>
      </c>
      <c r="AF549" s="24"/>
      <c r="AG549" s="64">
        <f>14885+-5126</f>
        <v>9759</v>
      </c>
      <c r="AI549" s="64">
        <f>50082+32394</f>
        <v>82476</v>
      </c>
      <c r="AK549" s="64">
        <f>64967+27268</f>
        <v>92235</v>
      </c>
      <c r="AM549" s="24">
        <f>+'Gov Rev'!AI547-'Gov Exp'!AE549+'Gov Exp'!AI549-'Gov Exp'!AK549</f>
        <v>0</v>
      </c>
    </row>
    <row r="550" spans="1:41">
      <c r="A550" s="15" t="s">
        <v>599</v>
      </c>
      <c r="C550" s="15" t="s">
        <v>593</v>
      </c>
      <c r="E550" s="24">
        <f>265095+1523</f>
        <v>266618</v>
      </c>
      <c r="G550" s="24">
        <v>6014</v>
      </c>
      <c r="I550" s="24">
        <v>42116</v>
      </c>
      <c r="K550" s="24">
        <v>11920</v>
      </c>
      <c r="M550" s="24">
        <v>0</v>
      </c>
      <c r="O550" s="24">
        <v>184789</v>
      </c>
      <c r="Q550" s="24">
        <v>93992</v>
      </c>
      <c r="S550" s="24">
        <v>126844</v>
      </c>
      <c r="U550" s="24">
        <v>1454</v>
      </c>
      <c r="W550" s="24">
        <v>0</v>
      </c>
      <c r="Y550" s="24">
        <f>279955+1454</f>
        <v>281409</v>
      </c>
      <c r="AA550" s="24">
        <v>0</v>
      </c>
      <c r="AC550" s="24">
        <v>6773</v>
      </c>
      <c r="AE550" s="24">
        <f t="shared" si="16"/>
        <v>1021929</v>
      </c>
      <c r="AF550" s="24"/>
      <c r="AG550" s="64">
        <f>22065+56956+1-26084</f>
        <v>52938</v>
      </c>
      <c r="AI550" s="64">
        <f>636195+67095+2+71674</f>
        <v>774966</v>
      </c>
      <c r="AK550" s="64">
        <f>658260+124051+3+45590</f>
        <v>827904</v>
      </c>
      <c r="AM550" s="24">
        <f>+'Gov Rev'!AI548-'Gov Exp'!AE550+'Gov Exp'!AI550-'Gov Exp'!AK550</f>
        <v>0</v>
      </c>
    </row>
    <row r="551" spans="1:41">
      <c r="A551" s="15" t="s">
        <v>506</v>
      </c>
      <c r="C551" s="15" t="s">
        <v>504</v>
      </c>
      <c r="E551" s="24">
        <f>78792+26916</f>
        <v>105708</v>
      </c>
      <c r="G551" s="24">
        <v>0</v>
      </c>
      <c r="I551" s="24">
        <v>1110</v>
      </c>
      <c r="K551" s="24">
        <v>294</v>
      </c>
      <c r="M551" s="24">
        <v>0</v>
      </c>
      <c r="O551" s="24">
        <v>0</v>
      </c>
      <c r="Q551" s="24">
        <f>135730+89252</f>
        <v>224982</v>
      </c>
      <c r="S551" s="24">
        <v>955</v>
      </c>
      <c r="U551" s="24">
        <v>0</v>
      </c>
      <c r="W551" s="24">
        <v>0</v>
      </c>
      <c r="Y551" s="24">
        <v>0</v>
      </c>
      <c r="AA551" s="24">
        <v>0</v>
      </c>
      <c r="AC551" s="24">
        <v>0</v>
      </c>
      <c r="AE551" s="24">
        <f t="shared" si="16"/>
        <v>333049</v>
      </c>
      <c r="AF551" s="24"/>
      <c r="AG551" s="64">
        <f>-43293+24260+70380</f>
        <v>51347</v>
      </c>
      <c r="AI551" s="64">
        <f>340067+105718-54856</f>
        <v>390929</v>
      </c>
      <c r="AK551" s="64">
        <f>296774+129978+15524</f>
        <v>442276</v>
      </c>
      <c r="AM551" s="24">
        <f>+'Gov Rev'!AI549-'Gov Exp'!AE551+'Gov Exp'!AI551-'Gov Exp'!AK551</f>
        <v>0</v>
      </c>
    </row>
    <row r="552" spans="1:41" s="24" customFormat="1" ht="12.75" hidden="1">
      <c r="A552" s="24" t="s">
        <v>839</v>
      </c>
      <c r="C552" s="24" t="s">
        <v>760</v>
      </c>
      <c r="D552" s="85"/>
      <c r="E552" s="24">
        <v>0</v>
      </c>
      <c r="G552" s="24">
        <v>0</v>
      </c>
      <c r="I552" s="24">
        <v>0</v>
      </c>
      <c r="K552" s="24">
        <v>0</v>
      </c>
      <c r="M552" s="24">
        <v>0</v>
      </c>
      <c r="O552" s="24">
        <v>0</v>
      </c>
      <c r="Q552" s="24">
        <v>0</v>
      </c>
      <c r="S552" s="24">
        <v>0</v>
      </c>
      <c r="U552" s="24">
        <v>0</v>
      </c>
      <c r="W552" s="24">
        <v>0</v>
      </c>
      <c r="Y552" s="24">
        <v>0</v>
      </c>
      <c r="AA552" s="24">
        <v>0</v>
      </c>
      <c r="AC552" s="24">
        <v>0</v>
      </c>
      <c r="AE552" s="24">
        <f t="shared" si="16"/>
        <v>0</v>
      </c>
      <c r="AG552" s="64"/>
      <c r="AH552" s="64"/>
      <c r="AI552" s="64"/>
      <c r="AJ552" s="64"/>
      <c r="AK552" s="64"/>
      <c r="AM552" s="24">
        <f>+'Gov Rev'!AI551-'Gov Exp'!AE552+'Gov Exp'!AI552-'Gov Exp'!AK552</f>
        <v>0</v>
      </c>
      <c r="AO552" s="15"/>
    </row>
    <row r="553" spans="1:41">
      <c r="A553" s="15" t="s">
        <v>926</v>
      </c>
      <c r="C553" s="15" t="s">
        <v>452</v>
      </c>
      <c r="E553" s="24">
        <v>178461</v>
      </c>
      <c r="G553" s="24">
        <f>4028+46706</f>
        <v>50734</v>
      </c>
      <c r="I553" s="24">
        <f>6222+17750</f>
        <v>23972</v>
      </c>
      <c r="K553" s="24">
        <v>0</v>
      </c>
      <c r="M553" s="24">
        <v>0</v>
      </c>
      <c r="O553" s="24">
        <f>70999+1925</f>
        <v>72924</v>
      </c>
      <c r="Q553" s="24">
        <f>108015+1779+121184</f>
        <v>230978</v>
      </c>
      <c r="S553" s="24">
        <f>26160+10850</f>
        <v>37010</v>
      </c>
      <c r="U553" s="24">
        <v>0</v>
      </c>
      <c r="W553" s="24">
        <v>0</v>
      </c>
      <c r="Y553" s="24">
        <f>141764+59112+140000+7000</f>
        <v>347876</v>
      </c>
      <c r="AA553" s="24">
        <v>0</v>
      </c>
      <c r="AC553" s="24">
        <v>3649</v>
      </c>
      <c r="AE553" s="24">
        <f t="shared" si="16"/>
        <v>945604</v>
      </c>
      <c r="AF553" s="24"/>
      <c r="AG553" s="64">
        <f>126254+-24317</f>
        <v>101937</v>
      </c>
      <c r="AI553" s="64">
        <f>18641+272394</f>
        <v>291035</v>
      </c>
      <c r="AK553" s="64">
        <f>52540+231476+16557+44</f>
        <v>300617</v>
      </c>
      <c r="AM553" s="24">
        <f>+'Gov Rev'!AI550-'Gov Exp'!AE553+'Gov Exp'!AI553-'Gov Exp'!AK553</f>
        <v>0</v>
      </c>
    </row>
    <row r="554" spans="1:41" hidden="1">
      <c r="A554" s="15" t="s">
        <v>587</v>
      </c>
      <c r="C554" s="15" t="s">
        <v>586</v>
      </c>
      <c r="E554" s="24">
        <v>0</v>
      </c>
      <c r="G554" s="24">
        <v>0</v>
      </c>
      <c r="I554" s="24">
        <v>0</v>
      </c>
      <c r="K554" s="24">
        <v>0</v>
      </c>
      <c r="M554" s="24">
        <v>0</v>
      </c>
      <c r="O554" s="24">
        <v>0</v>
      </c>
      <c r="Q554" s="24">
        <v>0</v>
      </c>
      <c r="S554" s="24">
        <v>0</v>
      </c>
      <c r="U554" s="24">
        <v>0</v>
      </c>
      <c r="W554" s="24">
        <v>0</v>
      </c>
      <c r="Y554" s="24">
        <v>0</v>
      </c>
      <c r="AA554" s="24">
        <v>0</v>
      </c>
      <c r="AC554" s="24">
        <v>0</v>
      </c>
      <c r="AE554" s="24">
        <f t="shared" si="16"/>
        <v>0</v>
      </c>
      <c r="AF554" s="24"/>
      <c r="AM554" s="24">
        <f>+'Gov Rev'!AI552-'Gov Exp'!AE554+'Gov Exp'!AI554-'Gov Exp'!AK554</f>
        <v>0</v>
      </c>
      <c r="AO554" s="31"/>
    </row>
    <row r="555" spans="1:41" s="31" customFormat="1" ht="12.75" hidden="1">
      <c r="A555" s="15" t="s">
        <v>128</v>
      </c>
      <c r="B555" s="15"/>
      <c r="C555" s="15" t="s">
        <v>789</v>
      </c>
      <c r="D555" s="28"/>
      <c r="E555" s="24">
        <v>0</v>
      </c>
      <c r="F555" s="24"/>
      <c r="G555" s="24">
        <v>0</v>
      </c>
      <c r="H555" s="24"/>
      <c r="I555" s="24">
        <v>0</v>
      </c>
      <c r="J555" s="24"/>
      <c r="K555" s="24">
        <v>0</v>
      </c>
      <c r="L555" s="24"/>
      <c r="M555" s="24">
        <v>0</v>
      </c>
      <c r="N555" s="24"/>
      <c r="O555" s="24">
        <v>0</v>
      </c>
      <c r="P555" s="24"/>
      <c r="Q555" s="24">
        <v>0</v>
      </c>
      <c r="R555" s="24"/>
      <c r="S555" s="24">
        <v>0</v>
      </c>
      <c r="T555" s="24"/>
      <c r="U555" s="24">
        <v>0</v>
      </c>
      <c r="V555" s="24"/>
      <c r="W555" s="24">
        <v>0</v>
      </c>
      <c r="X555" s="24"/>
      <c r="Y555" s="24">
        <v>0</v>
      </c>
      <c r="Z555" s="24"/>
      <c r="AA555" s="24">
        <v>0</v>
      </c>
      <c r="AB555" s="24"/>
      <c r="AC555" s="24">
        <v>0</v>
      </c>
      <c r="AD555" s="24"/>
      <c r="AE555" s="24">
        <f t="shared" si="16"/>
        <v>0</v>
      </c>
      <c r="AF555" s="24"/>
      <c r="AG555" s="65"/>
      <c r="AH555" s="65"/>
      <c r="AI555" s="65"/>
      <c r="AJ555" s="65"/>
      <c r="AK555" s="65"/>
      <c r="AM555" s="24">
        <f>+'Gov Rev'!AI553-'Gov Exp'!AE555+'Gov Exp'!AI555-'Gov Exp'!AK555</f>
        <v>0</v>
      </c>
    </row>
    <row r="556" spans="1:41" s="31" customFormat="1">
      <c r="A556" s="15" t="s">
        <v>369</v>
      </c>
      <c r="B556" s="15"/>
      <c r="C556" s="15" t="s">
        <v>368</v>
      </c>
      <c r="D556" s="15"/>
      <c r="E556" s="24">
        <f>292978+984674</f>
        <v>1277652</v>
      </c>
      <c r="F556" s="24"/>
      <c r="G556" s="24">
        <v>750</v>
      </c>
      <c r="H556" s="24"/>
      <c r="I556" s="24">
        <v>0</v>
      </c>
      <c r="J556" s="24"/>
      <c r="K556" s="24">
        <v>177763</v>
      </c>
      <c r="L556" s="24"/>
      <c r="M556" s="24">
        <v>0</v>
      </c>
      <c r="N556" s="24"/>
      <c r="O556" s="24">
        <v>384481</v>
      </c>
      <c r="P556" s="24"/>
      <c r="Q556" s="24">
        <f>371172+111936+613773</f>
        <v>1096881</v>
      </c>
      <c r="R556" s="24"/>
      <c r="S556" s="24">
        <v>0</v>
      </c>
      <c r="T556" s="24"/>
      <c r="U556" s="24">
        <v>0</v>
      </c>
      <c r="V556" s="24"/>
      <c r="W556" s="24">
        <v>0</v>
      </c>
      <c r="X556" s="24"/>
      <c r="Y556" s="24">
        <f>112133+1009000</f>
        <v>1121133</v>
      </c>
      <c r="Z556" s="24"/>
      <c r="AA556" s="24">
        <v>0</v>
      </c>
      <c r="AB556" s="24"/>
      <c r="AC556" s="24">
        <v>0</v>
      </c>
      <c r="AD556" s="24"/>
      <c r="AE556" s="24">
        <f t="shared" si="16"/>
        <v>4058660</v>
      </c>
      <c r="AF556" s="24"/>
      <c r="AG556" s="65">
        <f>-54988-32825+90793+261943+160716-146429</f>
        <v>279210</v>
      </c>
      <c r="AH556" s="65"/>
      <c r="AI556" s="65">
        <f>241436+260939+64864+232282+45175+288189</f>
        <v>1132885</v>
      </c>
      <c r="AJ556" s="65"/>
      <c r="AK556" s="65">
        <f>186438+228114+125657+494225+205891+141760</f>
        <v>1382085</v>
      </c>
      <c r="AM556" s="24">
        <f>+'Gov Rev'!AI554-'Gov Exp'!AE556+'Gov Exp'!AI556-'Gov Exp'!AK556</f>
        <v>0</v>
      </c>
    </row>
    <row r="557" spans="1:41" hidden="1">
      <c r="A557" s="15" t="s">
        <v>527</v>
      </c>
      <c r="C557" s="15" t="s">
        <v>528</v>
      </c>
      <c r="E557" s="24">
        <v>0</v>
      </c>
      <c r="G557" s="24">
        <v>0</v>
      </c>
      <c r="I557" s="24">
        <v>0</v>
      </c>
      <c r="K557" s="24">
        <v>0</v>
      </c>
      <c r="M557" s="24">
        <v>0</v>
      </c>
      <c r="O557" s="24">
        <v>0</v>
      </c>
      <c r="Q557" s="24">
        <v>0</v>
      </c>
      <c r="S557" s="24">
        <v>0</v>
      </c>
      <c r="U557" s="24">
        <v>0</v>
      </c>
      <c r="W557" s="24">
        <v>0</v>
      </c>
      <c r="Y557" s="24">
        <v>0</v>
      </c>
      <c r="AA557" s="24">
        <v>0</v>
      </c>
      <c r="AC557" s="24">
        <v>0</v>
      </c>
      <c r="AE557" s="24">
        <f t="shared" si="16"/>
        <v>0</v>
      </c>
      <c r="AF557" s="24"/>
      <c r="AM557" s="24">
        <f>+'Gov Rev'!AI555-'Gov Exp'!AE557+'Gov Exp'!AI557-'Gov Exp'!AK557</f>
        <v>0</v>
      </c>
    </row>
    <row r="558" spans="1:41" s="31" customFormat="1" ht="12.75">
      <c r="A558" s="15" t="s">
        <v>142</v>
      </c>
      <c r="B558" s="15"/>
      <c r="C558" s="15" t="s">
        <v>794</v>
      </c>
      <c r="D558" s="28"/>
      <c r="E558" s="24">
        <f>28863+4080</f>
        <v>32943</v>
      </c>
      <c r="F558" s="24"/>
      <c r="G558" s="24">
        <v>0</v>
      </c>
      <c r="H558" s="24"/>
      <c r="I558" s="24">
        <v>904</v>
      </c>
      <c r="J558" s="24"/>
      <c r="K558" s="24">
        <v>0</v>
      </c>
      <c r="L558" s="24"/>
      <c r="M558" s="24">
        <v>18339</v>
      </c>
      <c r="N558" s="24"/>
      <c r="O558" s="24">
        <v>0</v>
      </c>
      <c r="P558" s="24"/>
      <c r="Q558" s="24">
        <v>56630</v>
      </c>
      <c r="R558" s="24"/>
      <c r="S558" s="24">
        <v>0</v>
      </c>
      <c r="T558" s="24"/>
      <c r="U558" s="24">
        <v>0</v>
      </c>
      <c r="V558" s="24"/>
      <c r="W558" s="24">
        <v>0</v>
      </c>
      <c r="X558" s="24"/>
      <c r="Y558" s="24">
        <v>0</v>
      </c>
      <c r="Z558" s="24"/>
      <c r="AA558" s="24">
        <v>0</v>
      </c>
      <c r="AB558" s="24"/>
      <c r="AC558" s="24">
        <v>0</v>
      </c>
      <c r="AD558" s="24"/>
      <c r="AE558" s="24">
        <f t="shared" si="16"/>
        <v>108816</v>
      </c>
      <c r="AF558" s="24"/>
      <c r="AG558" s="65">
        <f>425+1565</f>
        <v>1990</v>
      </c>
      <c r="AH558" s="65"/>
      <c r="AI558" s="65">
        <f>-4851+799</f>
        <v>-4052</v>
      </c>
      <c r="AJ558" s="65"/>
      <c r="AK558" s="65">
        <f>-4426+2364</f>
        <v>-2062</v>
      </c>
      <c r="AM558" s="24">
        <f>+'Gov Rev'!AI556-'Gov Exp'!AE558+'Gov Exp'!AI558-'Gov Exp'!AK558</f>
        <v>0</v>
      </c>
    </row>
    <row r="559" spans="1:41" ht="12.75" hidden="1">
      <c r="A559" s="15" t="s">
        <v>35</v>
      </c>
      <c r="C559" s="15" t="s">
        <v>760</v>
      </c>
      <c r="D559" s="28"/>
      <c r="E559" s="24">
        <v>0</v>
      </c>
      <c r="G559" s="24">
        <v>0</v>
      </c>
      <c r="I559" s="24">
        <v>0</v>
      </c>
      <c r="K559" s="24">
        <v>0</v>
      </c>
      <c r="M559" s="24">
        <v>0</v>
      </c>
      <c r="O559" s="24">
        <v>0</v>
      </c>
      <c r="Q559" s="24">
        <v>0</v>
      </c>
      <c r="S559" s="24">
        <v>0</v>
      </c>
      <c r="U559" s="24">
        <v>0</v>
      </c>
      <c r="W559" s="24">
        <v>0</v>
      </c>
      <c r="Y559" s="24">
        <v>0</v>
      </c>
      <c r="AA559" s="24">
        <v>0</v>
      </c>
      <c r="AC559" s="24">
        <v>0</v>
      </c>
      <c r="AE559" s="24">
        <f t="shared" si="16"/>
        <v>0</v>
      </c>
      <c r="AF559" s="24"/>
      <c r="AM559" s="24">
        <f>+'Gov Rev'!AI557-'Gov Exp'!AE559+'Gov Exp'!AI559-'Gov Exp'!AK559</f>
        <v>0</v>
      </c>
    </row>
    <row r="560" spans="1:41" ht="12.75" hidden="1">
      <c r="A560" s="15" t="s">
        <v>217</v>
      </c>
      <c r="C560" s="15" t="s">
        <v>817</v>
      </c>
      <c r="D560" s="28"/>
      <c r="E560" s="24">
        <v>0</v>
      </c>
      <c r="G560" s="24">
        <v>0</v>
      </c>
      <c r="I560" s="24">
        <v>0</v>
      </c>
      <c r="K560" s="24">
        <v>0</v>
      </c>
      <c r="M560" s="24">
        <v>0</v>
      </c>
      <c r="O560" s="24">
        <v>0</v>
      </c>
      <c r="Q560" s="24">
        <v>0</v>
      </c>
      <c r="S560" s="24">
        <v>0</v>
      </c>
      <c r="U560" s="24">
        <v>0</v>
      </c>
      <c r="W560" s="24">
        <v>0</v>
      </c>
      <c r="Y560" s="24">
        <v>0</v>
      </c>
      <c r="AA560" s="24">
        <v>0</v>
      </c>
      <c r="AC560" s="24">
        <v>0</v>
      </c>
      <c r="AE560" s="24">
        <f t="shared" si="16"/>
        <v>0</v>
      </c>
      <c r="AF560" s="24"/>
      <c r="AM560" s="24">
        <f>+'Gov Rev'!AI558-'Gov Exp'!AE560+'Gov Exp'!AI560-'Gov Exp'!AK560</f>
        <v>0</v>
      </c>
    </row>
    <row r="561" spans="1:39" ht="12.75" hidden="1">
      <c r="A561" s="15" t="s">
        <v>865</v>
      </c>
      <c r="C561" s="15" t="s">
        <v>805</v>
      </c>
      <c r="D561" s="28"/>
      <c r="E561" s="24">
        <v>0</v>
      </c>
      <c r="G561" s="24">
        <v>0</v>
      </c>
      <c r="I561" s="24">
        <v>0</v>
      </c>
      <c r="K561" s="24">
        <v>0</v>
      </c>
      <c r="M561" s="24">
        <v>0</v>
      </c>
      <c r="O561" s="24">
        <v>0</v>
      </c>
      <c r="Q561" s="24">
        <v>0</v>
      </c>
      <c r="S561" s="24">
        <v>0</v>
      </c>
      <c r="U561" s="24">
        <v>0</v>
      </c>
      <c r="W561" s="24">
        <v>0</v>
      </c>
      <c r="Y561" s="24">
        <v>0</v>
      </c>
      <c r="AA561" s="24">
        <v>0</v>
      </c>
      <c r="AC561" s="24">
        <v>0</v>
      </c>
      <c r="AE561" s="24">
        <f t="shared" si="16"/>
        <v>0</v>
      </c>
      <c r="AF561" s="24"/>
      <c r="AM561" s="24">
        <f>+'Gov Rev'!AI559-'Gov Exp'!AE561+'Gov Exp'!AI561-'Gov Exp'!AK561</f>
        <v>0</v>
      </c>
    </row>
    <row r="562" spans="1:39" ht="12.75" hidden="1">
      <c r="A562" s="15" t="s">
        <v>845</v>
      </c>
      <c r="C562" s="15" t="s">
        <v>804</v>
      </c>
      <c r="D562" s="28"/>
      <c r="E562" s="24">
        <v>0</v>
      </c>
      <c r="G562" s="24">
        <v>0</v>
      </c>
      <c r="I562" s="24">
        <v>0</v>
      </c>
      <c r="K562" s="24">
        <v>0</v>
      </c>
      <c r="M562" s="24">
        <v>0</v>
      </c>
      <c r="O562" s="24">
        <v>0</v>
      </c>
      <c r="Q562" s="24">
        <v>0</v>
      </c>
      <c r="S562" s="24">
        <v>0</v>
      </c>
      <c r="U562" s="24">
        <v>0</v>
      </c>
      <c r="W562" s="24">
        <v>0</v>
      </c>
      <c r="Y562" s="24">
        <v>0</v>
      </c>
      <c r="AA562" s="24">
        <v>0</v>
      </c>
      <c r="AC562" s="24">
        <v>0</v>
      </c>
      <c r="AE562" s="24">
        <f t="shared" si="16"/>
        <v>0</v>
      </c>
      <c r="AF562" s="24"/>
      <c r="AM562" s="24">
        <f>+'Gov Rev'!AI560-'Gov Exp'!AE562+'Gov Exp'!AI562-'Gov Exp'!AK562</f>
        <v>0</v>
      </c>
    </row>
    <row r="563" spans="1:39" ht="12.75" hidden="1">
      <c r="A563" s="15" t="s">
        <v>861</v>
      </c>
      <c r="C563" s="15" t="s">
        <v>797</v>
      </c>
      <c r="D563" s="28"/>
      <c r="E563" s="24">
        <v>0</v>
      </c>
      <c r="G563" s="24">
        <v>0</v>
      </c>
      <c r="I563" s="24">
        <v>0</v>
      </c>
      <c r="K563" s="24">
        <v>0</v>
      </c>
      <c r="M563" s="24">
        <v>0</v>
      </c>
      <c r="O563" s="24">
        <v>0</v>
      </c>
      <c r="Q563" s="24">
        <v>0</v>
      </c>
      <c r="S563" s="24">
        <v>0</v>
      </c>
      <c r="U563" s="24">
        <v>0</v>
      </c>
      <c r="W563" s="24">
        <v>0</v>
      </c>
      <c r="Y563" s="24">
        <v>0</v>
      </c>
      <c r="AA563" s="24">
        <v>0</v>
      </c>
      <c r="AC563" s="24">
        <v>0</v>
      </c>
      <c r="AE563" s="24">
        <f t="shared" si="16"/>
        <v>0</v>
      </c>
      <c r="AF563" s="41"/>
      <c r="AM563" s="24">
        <f>+'Gov Rev'!AI561-'Gov Exp'!AE563+'Gov Exp'!AI563-'Gov Exp'!AK563</f>
        <v>0</v>
      </c>
    </row>
    <row r="564" spans="1:39" ht="12.75" hidden="1">
      <c r="A564" s="15" t="s">
        <v>6</v>
      </c>
      <c r="C564" s="15" t="s">
        <v>751</v>
      </c>
      <c r="D564" s="28"/>
      <c r="E564" s="24">
        <v>0</v>
      </c>
      <c r="G564" s="24">
        <v>0</v>
      </c>
      <c r="I564" s="24">
        <v>0</v>
      </c>
      <c r="K564" s="24">
        <v>0</v>
      </c>
      <c r="M564" s="24">
        <v>0</v>
      </c>
      <c r="O564" s="24">
        <v>0</v>
      </c>
      <c r="Q564" s="24">
        <v>0</v>
      </c>
      <c r="S564" s="24">
        <v>0</v>
      </c>
      <c r="U564" s="24">
        <v>0</v>
      </c>
      <c r="W564" s="24">
        <v>0</v>
      </c>
      <c r="Y564" s="24">
        <v>0</v>
      </c>
      <c r="AA564" s="24">
        <v>0</v>
      </c>
      <c r="AC564" s="24">
        <v>0</v>
      </c>
      <c r="AE564" s="24">
        <f t="shared" si="16"/>
        <v>0</v>
      </c>
      <c r="AF564" s="24"/>
      <c r="AM564" s="24">
        <f>+'Gov Rev'!AI562-'Gov Exp'!AE564+'Gov Exp'!AI564-'Gov Exp'!AK564</f>
        <v>0</v>
      </c>
    </row>
    <row r="565" spans="1:39" s="31" customFormat="1" ht="12.75" hidden="1">
      <c r="A565" s="15" t="s">
        <v>85</v>
      </c>
      <c r="B565" s="15"/>
      <c r="C565" s="15" t="s">
        <v>776</v>
      </c>
      <c r="D565" s="28"/>
      <c r="E565" s="24">
        <v>0</v>
      </c>
      <c r="F565" s="24"/>
      <c r="G565" s="24">
        <v>0</v>
      </c>
      <c r="H565" s="24"/>
      <c r="I565" s="24">
        <v>0</v>
      </c>
      <c r="J565" s="24"/>
      <c r="K565" s="24">
        <v>0</v>
      </c>
      <c r="L565" s="24"/>
      <c r="M565" s="24">
        <v>0</v>
      </c>
      <c r="N565" s="24"/>
      <c r="O565" s="24">
        <v>0</v>
      </c>
      <c r="P565" s="24"/>
      <c r="Q565" s="24">
        <v>0</v>
      </c>
      <c r="R565" s="24"/>
      <c r="S565" s="24">
        <v>0</v>
      </c>
      <c r="T565" s="24"/>
      <c r="U565" s="24">
        <v>0</v>
      </c>
      <c r="V565" s="24"/>
      <c r="W565" s="24">
        <v>0</v>
      </c>
      <c r="X565" s="24"/>
      <c r="Y565" s="24">
        <v>0</v>
      </c>
      <c r="Z565" s="24"/>
      <c r="AA565" s="24">
        <v>0</v>
      </c>
      <c r="AB565" s="24"/>
      <c r="AC565" s="24">
        <v>0</v>
      </c>
      <c r="AD565" s="24"/>
      <c r="AE565" s="24">
        <f t="shared" si="16"/>
        <v>0</v>
      </c>
      <c r="AF565" s="24"/>
      <c r="AG565" s="65"/>
      <c r="AH565" s="65"/>
      <c r="AI565" s="65"/>
      <c r="AJ565" s="65"/>
      <c r="AK565" s="65"/>
      <c r="AM565" s="24">
        <f>+'Gov Rev'!AI563-'Gov Exp'!AE565+'Gov Exp'!AI565-'Gov Exp'!AK565</f>
        <v>0</v>
      </c>
    </row>
    <row r="566" spans="1:39" ht="12.75">
      <c r="D566" s="28"/>
      <c r="AE566" s="24" t="s">
        <v>869</v>
      </c>
      <c r="AF566" s="24"/>
      <c r="AM566" s="24"/>
    </row>
    <row r="567" spans="1:39" s="41" customFormat="1">
      <c r="A567" s="41" t="s">
        <v>444</v>
      </c>
      <c r="C567" s="41" t="s">
        <v>439</v>
      </c>
      <c r="E567" s="41">
        <f>48832+624</f>
        <v>49456</v>
      </c>
      <c r="G567" s="41">
        <v>737</v>
      </c>
      <c r="I567" s="41">
        <v>4084</v>
      </c>
      <c r="K567" s="41">
        <v>889</v>
      </c>
      <c r="M567" s="41">
        <v>0</v>
      </c>
      <c r="O567" s="41">
        <v>46081</v>
      </c>
      <c r="Q567" s="41">
        <f>54099+2221</f>
        <v>56320</v>
      </c>
      <c r="S567" s="41">
        <v>0</v>
      </c>
      <c r="U567" s="41">
        <v>0</v>
      </c>
      <c r="W567" s="41">
        <v>0</v>
      </c>
      <c r="Y567" s="41">
        <v>0</v>
      </c>
      <c r="AA567" s="41">
        <v>0</v>
      </c>
      <c r="AC567" s="41">
        <v>0</v>
      </c>
      <c r="AE567" s="41">
        <f t="shared" si="16"/>
        <v>157567</v>
      </c>
      <c r="AG567" s="41">
        <f>-1256-9704</f>
        <v>-10960</v>
      </c>
      <c r="AI567" s="41">
        <f>3038+39232</f>
        <v>42270</v>
      </c>
      <c r="AK567" s="41">
        <f>1813+29528</f>
        <v>31341</v>
      </c>
      <c r="AM567" s="41">
        <f>+'Gov Rev'!AI564-'Gov Exp'!AE567+'Gov Exp'!AI567-'Gov Exp'!AK567</f>
        <v>0</v>
      </c>
    </row>
    <row r="568" spans="1:39" ht="12.75" hidden="1">
      <c r="A568" s="15" t="s">
        <v>33</v>
      </c>
      <c r="C568" s="15" t="s">
        <v>759</v>
      </c>
      <c r="D568" s="28"/>
      <c r="E568" s="24">
        <v>0</v>
      </c>
      <c r="G568" s="24">
        <v>0</v>
      </c>
      <c r="I568" s="24">
        <v>0</v>
      </c>
      <c r="K568" s="24">
        <v>0</v>
      </c>
      <c r="M568" s="24">
        <v>0</v>
      </c>
      <c r="O568" s="24">
        <v>0</v>
      </c>
      <c r="Q568" s="24">
        <v>0</v>
      </c>
      <c r="S568" s="24">
        <v>0</v>
      </c>
      <c r="U568" s="24">
        <v>0</v>
      </c>
      <c r="W568" s="24">
        <v>0</v>
      </c>
      <c r="Y568" s="24">
        <v>0</v>
      </c>
      <c r="AA568" s="24">
        <v>0</v>
      </c>
      <c r="AC568" s="24">
        <v>0</v>
      </c>
      <c r="AE568" s="24">
        <f t="shared" si="16"/>
        <v>0</v>
      </c>
      <c r="AF568" s="24"/>
      <c r="AM568" s="24">
        <f>+'Gov Rev'!AI565-'Gov Exp'!AE568+'Gov Exp'!AI568-'Gov Exp'!AK568</f>
        <v>0</v>
      </c>
    </row>
    <row r="569" spans="1:39">
      <c r="A569" s="15" t="s">
        <v>480</v>
      </c>
      <c r="C569" s="15" t="s">
        <v>477</v>
      </c>
      <c r="E569" s="24">
        <v>3482</v>
      </c>
      <c r="G569" s="24">
        <v>344</v>
      </c>
      <c r="I569" s="24">
        <v>0</v>
      </c>
      <c r="K569" s="24">
        <v>0</v>
      </c>
      <c r="M569" s="24">
        <v>0</v>
      </c>
      <c r="O569" s="24">
        <v>1217</v>
      </c>
      <c r="Q569" s="24">
        <v>3118</v>
      </c>
      <c r="S569" s="24">
        <v>0</v>
      </c>
      <c r="U569" s="24">
        <v>0</v>
      </c>
      <c r="W569" s="24">
        <v>0</v>
      </c>
      <c r="Y569" s="24">
        <v>0</v>
      </c>
      <c r="AA569" s="24">
        <v>0</v>
      </c>
      <c r="AC569" s="24">
        <v>0</v>
      </c>
      <c r="AE569" s="24">
        <f t="shared" si="16"/>
        <v>8161</v>
      </c>
      <c r="AF569" s="24"/>
      <c r="AG569" s="64">
        <f>1237+2509</f>
        <v>3746</v>
      </c>
      <c r="AI569" s="64">
        <f>5825+20932</f>
        <v>26757</v>
      </c>
      <c r="AK569" s="64">
        <f>7062+23441</f>
        <v>30503</v>
      </c>
      <c r="AM569" s="24">
        <f>+'Gov Rev'!AI566-'Gov Exp'!AE569+'Gov Exp'!AI569-'Gov Exp'!AK569</f>
        <v>0</v>
      </c>
    </row>
    <row r="570" spans="1:39" ht="12.75" hidden="1">
      <c r="A570" s="15" t="s">
        <v>169</v>
      </c>
      <c r="C570" s="15" t="s">
        <v>803</v>
      </c>
      <c r="D570" s="28"/>
      <c r="E570" s="24">
        <v>0</v>
      </c>
      <c r="G570" s="24">
        <v>0</v>
      </c>
      <c r="I570" s="24">
        <v>0</v>
      </c>
      <c r="K570" s="24">
        <v>0</v>
      </c>
      <c r="M570" s="24">
        <v>0</v>
      </c>
      <c r="O570" s="24">
        <v>0</v>
      </c>
      <c r="Q570" s="24">
        <v>0</v>
      </c>
      <c r="S570" s="24">
        <v>0</v>
      </c>
      <c r="U570" s="24">
        <v>0</v>
      </c>
      <c r="W570" s="24">
        <v>0</v>
      </c>
      <c r="Y570" s="24">
        <v>0</v>
      </c>
      <c r="AA570" s="24">
        <v>0</v>
      </c>
      <c r="AC570" s="24">
        <v>0</v>
      </c>
      <c r="AE570" s="24">
        <f t="shared" si="16"/>
        <v>0</v>
      </c>
      <c r="AF570" s="24"/>
      <c r="AM570" s="24">
        <f>+'Gov Rev'!AI567-'Gov Exp'!AE570+'Gov Exp'!AI570-'Gov Exp'!AK570</f>
        <v>0</v>
      </c>
    </row>
    <row r="571" spans="1:39" hidden="1">
      <c r="A571" s="15" t="s">
        <v>571</v>
      </c>
      <c r="C571" s="15" t="s">
        <v>565</v>
      </c>
      <c r="E571" s="24">
        <v>0</v>
      </c>
      <c r="G571" s="24">
        <v>0</v>
      </c>
      <c r="I571" s="24">
        <v>0</v>
      </c>
      <c r="K571" s="24">
        <v>0</v>
      </c>
      <c r="M571" s="24">
        <v>0</v>
      </c>
      <c r="O571" s="24">
        <v>0</v>
      </c>
      <c r="Q571" s="24">
        <v>0</v>
      </c>
      <c r="S571" s="24">
        <v>0</v>
      </c>
      <c r="U571" s="24">
        <v>0</v>
      </c>
      <c r="W571" s="24">
        <v>0</v>
      </c>
      <c r="Y571" s="24">
        <v>0</v>
      </c>
      <c r="AA571" s="24">
        <v>0</v>
      </c>
      <c r="AC571" s="24">
        <v>0</v>
      </c>
      <c r="AE571" s="24">
        <f t="shared" si="16"/>
        <v>0</v>
      </c>
      <c r="AF571" s="24"/>
      <c r="AM571" s="24">
        <f>+'Gov Rev'!AI568-'Gov Exp'!AE571+'Gov Exp'!AI571-'Gov Exp'!AK571</f>
        <v>0</v>
      </c>
    </row>
    <row r="572" spans="1:39">
      <c r="A572" s="15" t="s">
        <v>572</v>
      </c>
      <c r="C572" s="15" t="s">
        <v>565</v>
      </c>
      <c r="E572" s="24">
        <v>363266</v>
      </c>
      <c r="G572" s="24">
        <v>1894</v>
      </c>
      <c r="I572" s="24">
        <v>42076</v>
      </c>
      <c r="K572" s="24">
        <v>2262</v>
      </c>
      <c r="M572" s="24">
        <v>69892</v>
      </c>
      <c r="O572" s="24">
        <v>122469</v>
      </c>
      <c r="Q572" s="24">
        <f>221550+24601</f>
        <v>246151</v>
      </c>
      <c r="S572" s="24">
        <f>171768+118411</f>
        <v>290179</v>
      </c>
      <c r="U572" s="24">
        <v>0</v>
      </c>
      <c r="W572" s="24">
        <v>0</v>
      </c>
      <c r="Y572" s="24">
        <v>320000</v>
      </c>
      <c r="AA572" s="24">
        <v>0</v>
      </c>
      <c r="AC572" s="24">
        <v>9974</v>
      </c>
      <c r="AE572" s="24">
        <f t="shared" si="16"/>
        <v>1468163</v>
      </c>
      <c r="AF572" s="24"/>
      <c r="AG572" s="64">
        <f>-77830+29044</f>
        <v>-48786</v>
      </c>
      <c r="AI572" s="64">
        <f>294340+268562</f>
        <v>562902</v>
      </c>
      <c r="AK572" s="64">
        <f>216511+297607</f>
        <v>514118</v>
      </c>
      <c r="AM572" s="24">
        <f>+'Gov Rev'!AI569-'Gov Exp'!AE572+'Gov Exp'!AI572-'Gov Exp'!AK572</f>
        <v>0</v>
      </c>
    </row>
    <row r="573" spans="1:39" hidden="1">
      <c r="A573" s="15" t="s">
        <v>424</v>
      </c>
      <c r="C573" s="15" t="s">
        <v>420</v>
      </c>
      <c r="E573" s="24">
        <v>0</v>
      </c>
      <c r="G573" s="24">
        <v>0</v>
      </c>
      <c r="I573" s="24">
        <v>0</v>
      </c>
      <c r="K573" s="24">
        <v>0</v>
      </c>
      <c r="M573" s="24">
        <v>0</v>
      </c>
      <c r="O573" s="24">
        <v>0</v>
      </c>
      <c r="Q573" s="24">
        <v>0</v>
      </c>
      <c r="S573" s="24">
        <v>0</v>
      </c>
      <c r="U573" s="24">
        <v>0</v>
      </c>
      <c r="W573" s="24">
        <v>0</v>
      </c>
      <c r="Y573" s="24">
        <v>0</v>
      </c>
      <c r="AA573" s="24">
        <v>0</v>
      </c>
      <c r="AC573" s="24">
        <v>0</v>
      </c>
      <c r="AE573" s="24">
        <f t="shared" si="16"/>
        <v>0</v>
      </c>
      <c r="AF573" s="24"/>
      <c r="AM573" s="24">
        <f>+'Gov Rev'!AI570-'Gov Exp'!AE573+'Gov Exp'!AI573-'Gov Exp'!AK573</f>
        <v>0</v>
      </c>
    </row>
    <row r="574" spans="1:39">
      <c r="A574" s="15" t="s">
        <v>603</v>
      </c>
      <c r="C574" s="15" t="s">
        <v>601</v>
      </c>
      <c r="E574" s="24">
        <v>240924</v>
      </c>
      <c r="G574" s="24">
        <v>16938</v>
      </c>
      <c r="I574" s="24">
        <v>14183</v>
      </c>
      <c r="K574" s="24">
        <v>7451</v>
      </c>
      <c r="M574" s="24">
        <v>8190</v>
      </c>
      <c r="O574" s="24">
        <v>124996</v>
      </c>
      <c r="Q574" s="24">
        <v>239271</v>
      </c>
      <c r="S574" s="24">
        <v>0</v>
      </c>
      <c r="U574" s="24">
        <v>0</v>
      </c>
      <c r="W574" s="24">
        <v>0</v>
      </c>
      <c r="Y574" s="24">
        <v>82500</v>
      </c>
      <c r="AA574" s="24">
        <v>0</v>
      </c>
      <c r="AC574" s="24">
        <v>0</v>
      </c>
      <c r="AE574" s="24">
        <f t="shared" si="16"/>
        <v>734453</v>
      </c>
      <c r="AF574" s="24"/>
      <c r="AG574" s="64">
        <f>-25368+38072</f>
        <v>12704</v>
      </c>
      <c r="AI574" s="64">
        <f>648633+104369</f>
        <v>753002</v>
      </c>
      <c r="AK574" s="64">
        <f>623265+142441</f>
        <v>765706</v>
      </c>
      <c r="AM574" s="24">
        <f>+'Gov Rev'!AI571-'Gov Exp'!AE574+'Gov Exp'!AI574-'Gov Exp'!AK574</f>
        <v>0</v>
      </c>
    </row>
    <row r="575" spans="1:39" ht="12.75" hidden="1">
      <c r="A575" s="15" t="s">
        <v>196</v>
      </c>
      <c r="C575" s="15" t="s">
        <v>811</v>
      </c>
      <c r="D575" s="28"/>
      <c r="E575" s="24">
        <v>0</v>
      </c>
      <c r="G575" s="24">
        <v>0</v>
      </c>
      <c r="I575" s="24">
        <v>0</v>
      </c>
      <c r="K575" s="24">
        <v>0</v>
      </c>
      <c r="M575" s="24">
        <v>0</v>
      </c>
      <c r="O575" s="24">
        <v>0</v>
      </c>
      <c r="Q575" s="24">
        <v>0</v>
      </c>
      <c r="S575" s="24">
        <v>0</v>
      </c>
      <c r="U575" s="24">
        <v>0</v>
      </c>
      <c r="W575" s="24">
        <v>0</v>
      </c>
      <c r="Y575" s="24">
        <v>0</v>
      </c>
      <c r="AA575" s="24">
        <v>0</v>
      </c>
      <c r="AC575" s="24">
        <v>0</v>
      </c>
      <c r="AE575" s="24">
        <f t="shared" si="16"/>
        <v>0</v>
      </c>
      <c r="AF575" s="24"/>
      <c r="AM575" s="24">
        <f>+'Gov Rev'!AI572-'Gov Exp'!AE575+'Gov Exp'!AI575-'Gov Exp'!AK575</f>
        <v>0</v>
      </c>
    </row>
    <row r="576" spans="1:39" s="31" customFormat="1" ht="12.75" hidden="1">
      <c r="A576" s="15" t="s">
        <v>66</v>
      </c>
      <c r="B576" s="15"/>
      <c r="C576" s="15" t="s">
        <v>771</v>
      </c>
      <c r="D576" s="28"/>
      <c r="E576" s="24">
        <v>0</v>
      </c>
      <c r="F576" s="24"/>
      <c r="G576" s="24">
        <v>0</v>
      </c>
      <c r="H576" s="24"/>
      <c r="I576" s="24">
        <v>0</v>
      </c>
      <c r="J576" s="24"/>
      <c r="K576" s="24">
        <v>0</v>
      </c>
      <c r="L576" s="24"/>
      <c r="M576" s="24">
        <v>0</v>
      </c>
      <c r="N576" s="24"/>
      <c r="O576" s="24">
        <v>0</v>
      </c>
      <c r="P576" s="24"/>
      <c r="Q576" s="24">
        <v>0</v>
      </c>
      <c r="R576" s="24"/>
      <c r="S576" s="24">
        <v>0</v>
      </c>
      <c r="T576" s="24"/>
      <c r="U576" s="24">
        <v>0</v>
      </c>
      <c r="V576" s="24"/>
      <c r="W576" s="24">
        <v>0</v>
      </c>
      <c r="X576" s="24"/>
      <c r="Y576" s="24">
        <v>0</v>
      </c>
      <c r="Z576" s="24"/>
      <c r="AA576" s="24">
        <v>0</v>
      </c>
      <c r="AB576" s="24"/>
      <c r="AC576" s="24">
        <v>0</v>
      </c>
      <c r="AD576" s="24"/>
      <c r="AE576" s="24">
        <f t="shared" si="16"/>
        <v>0</v>
      </c>
      <c r="AF576" s="24"/>
      <c r="AG576" s="65"/>
      <c r="AH576" s="65"/>
      <c r="AI576" s="65"/>
      <c r="AJ576" s="65"/>
      <c r="AK576" s="65"/>
      <c r="AM576" s="24">
        <f>+'Gov Rev'!AI573-'Gov Exp'!AE576+'Gov Exp'!AI576-'Gov Exp'!AK576</f>
        <v>0</v>
      </c>
    </row>
    <row r="577" spans="1:39">
      <c r="A577" s="15" t="s">
        <v>573</v>
      </c>
      <c r="C577" s="15" t="s">
        <v>565</v>
      </c>
      <c r="E577" s="24">
        <f>362397+95354</f>
        <v>457751</v>
      </c>
      <c r="G577" s="24">
        <v>2474</v>
      </c>
      <c r="I577" s="24">
        <v>27501</v>
      </c>
      <c r="K577" s="24">
        <v>10720</v>
      </c>
      <c r="M577" s="24">
        <v>109819</v>
      </c>
      <c r="O577" s="24">
        <f>4085+305867</f>
        <v>309952</v>
      </c>
      <c r="Q577" s="24">
        <f>454410+2672</f>
        <v>457082</v>
      </c>
      <c r="S577" s="24">
        <f>235353+370354</f>
        <v>605707</v>
      </c>
      <c r="U577" s="24">
        <v>0</v>
      </c>
      <c r="W577" s="24">
        <v>204124</v>
      </c>
      <c r="Y577" s="24">
        <f>320000+15257</f>
        <v>335257</v>
      </c>
      <c r="AA577" s="24">
        <v>0</v>
      </c>
      <c r="AC577" s="24">
        <v>15596</v>
      </c>
      <c r="AE577" s="24">
        <f t="shared" si="16"/>
        <v>2535983</v>
      </c>
      <c r="AF577" s="24"/>
      <c r="AG577" s="64">
        <f>-369616-61655</f>
        <v>-431271</v>
      </c>
      <c r="AI577" s="64">
        <f>794662+384282</f>
        <v>1178944</v>
      </c>
      <c r="AK577" s="64">
        <f>425046+322627</f>
        <v>747673</v>
      </c>
      <c r="AM577" s="24">
        <f>+'Gov Rev'!AI574-'Gov Exp'!AE577+'Gov Exp'!AI577-'Gov Exp'!AK577</f>
        <v>0</v>
      </c>
    </row>
    <row r="578" spans="1:39" ht="12.75" hidden="1">
      <c r="A578" s="15" t="s">
        <v>178</v>
      </c>
      <c r="C578" s="15" t="s">
        <v>806</v>
      </c>
      <c r="D578" s="28"/>
      <c r="E578" s="24">
        <v>0</v>
      </c>
      <c r="G578" s="24">
        <v>0</v>
      </c>
      <c r="I578" s="24">
        <v>0</v>
      </c>
      <c r="K578" s="24">
        <v>0</v>
      </c>
      <c r="M578" s="24">
        <v>0</v>
      </c>
      <c r="O578" s="24">
        <v>0</v>
      </c>
      <c r="Q578" s="24">
        <v>0</v>
      </c>
      <c r="S578" s="24">
        <v>0</v>
      </c>
      <c r="U578" s="24">
        <v>0</v>
      </c>
      <c r="W578" s="24">
        <v>0</v>
      </c>
      <c r="Y578" s="24">
        <v>0</v>
      </c>
      <c r="AA578" s="24">
        <v>0</v>
      </c>
      <c r="AC578" s="24">
        <v>0</v>
      </c>
      <c r="AE578" s="24">
        <f t="shared" si="16"/>
        <v>0</v>
      </c>
      <c r="AF578" s="24"/>
      <c r="AM578" s="24">
        <f>+'Gov Rev'!AI575-'Gov Exp'!AE578+'Gov Exp'!AI578-'Gov Exp'!AK578</f>
        <v>0</v>
      </c>
    </row>
    <row r="579" spans="1:39" ht="12.6" hidden="1" customHeight="1">
      <c r="A579" s="15" t="s">
        <v>47</v>
      </c>
      <c r="C579" s="15" t="s">
        <v>305</v>
      </c>
      <c r="E579" s="24">
        <v>0</v>
      </c>
      <c r="G579" s="24">
        <v>0</v>
      </c>
      <c r="I579" s="24">
        <v>0</v>
      </c>
      <c r="K579" s="24">
        <v>0</v>
      </c>
      <c r="M579" s="24">
        <v>0</v>
      </c>
      <c r="O579" s="24">
        <v>0</v>
      </c>
      <c r="Q579" s="24">
        <v>0</v>
      </c>
      <c r="S579" s="24">
        <v>0</v>
      </c>
      <c r="U579" s="24">
        <v>0</v>
      </c>
      <c r="W579" s="24">
        <v>0</v>
      </c>
      <c r="Y579" s="24">
        <v>0</v>
      </c>
      <c r="AA579" s="24">
        <v>0</v>
      </c>
      <c r="AC579" s="24">
        <v>0</v>
      </c>
      <c r="AE579" s="24">
        <f t="shared" ref="AE579:AE612" si="17">SUM(E579:AC579)</f>
        <v>0</v>
      </c>
      <c r="AF579" s="24"/>
      <c r="AM579" s="24">
        <f>+'Gov Rev'!AI576-'Gov Exp'!AE579+'Gov Exp'!AI579-'Gov Exp'!AK579</f>
        <v>0</v>
      </c>
    </row>
    <row r="580" spans="1:39" s="31" customFormat="1" ht="12.6" customHeight="1">
      <c r="A580" s="15" t="s">
        <v>346</v>
      </c>
      <c r="B580" s="15"/>
      <c r="C580" s="15" t="s">
        <v>343</v>
      </c>
      <c r="D580" s="15"/>
      <c r="E580" s="24">
        <v>1121668</v>
      </c>
      <c r="F580" s="24"/>
      <c r="G580" s="24">
        <v>23785</v>
      </c>
      <c r="H580" s="24"/>
      <c r="I580" s="24">
        <v>18054</v>
      </c>
      <c r="J580" s="24"/>
      <c r="K580" s="24">
        <v>148703</v>
      </c>
      <c r="L580" s="24"/>
      <c r="M580" s="24">
        <v>0</v>
      </c>
      <c r="N580" s="24"/>
      <c r="O580" s="24">
        <f>547931-113+2500</f>
        <v>550318</v>
      </c>
      <c r="P580" s="24"/>
      <c r="Q580" s="24">
        <v>726189</v>
      </c>
      <c r="R580" s="24"/>
      <c r="S580" s="24">
        <f>418532+408873+1868767+46274+88</f>
        <v>2742534</v>
      </c>
      <c r="T580" s="24"/>
      <c r="U580" s="24">
        <f>2462800+189000</f>
        <v>2651800</v>
      </c>
      <c r="V580" s="24"/>
      <c r="W580" s="24">
        <f>78168+6145</f>
        <v>84313</v>
      </c>
      <c r="X580" s="24"/>
      <c r="Y580" s="24">
        <v>985299</v>
      </c>
      <c r="Z580" s="24"/>
      <c r="AA580" s="24">
        <v>0</v>
      </c>
      <c r="AB580" s="24"/>
      <c r="AC580" s="24">
        <v>0</v>
      </c>
      <c r="AD580" s="24"/>
      <c r="AE580" s="24">
        <f t="shared" si="17"/>
        <v>9052663</v>
      </c>
      <c r="AF580" s="24"/>
      <c r="AG580" s="65">
        <f>-1069000+160414+486146+76299</f>
        <v>-346141</v>
      </c>
      <c r="AH580" s="65"/>
      <c r="AI580" s="65">
        <f>2044463+77372+319277</f>
        <v>2441112</v>
      </c>
      <c r="AJ580" s="65"/>
      <c r="AK580" s="65">
        <f>975463+237786+486146+395576-1</f>
        <v>2094970</v>
      </c>
      <c r="AM580" s="24">
        <f>+'Gov Rev'!AI577-'Gov Exp'!AE580+'Gov Exp'!AI580-'Gov Exp'!AK580</f>
        <v>0</v>
      </c>
    </row>
    <row r="581" spans="1:39" s="31" customFormat="1" hidden="1">
      <c r="A581" s="15" t="s">
        <v>362</v>
      </c>
      <c r="B581" s="15"/>
      <c r="C581" s="15" t="s">
        <v>358</v>
      </c>
      <c r="D581" s="15"/>
      <c r="E581" s="24">
        <v>0</v>
      </c>
      <c r="F581" s="24"/>
      <c r="G581" s="24">
        <v>0</v>
      </c>
      <c r="H581" s="24"/>
      <c r="I581" s="24">
        <v>0</v>
      </c>
      <c r="J581" s="24"/>
      <c r="K581" s="24">
        <v>0</v>
      </c>
      <c r="L581" s="24"/>
      <c r="M581" s="24">
        <v>0</v>
      </c>
      <c r="N581" s="24"/>
      <c r="O581" s="24">
        <v>0</v>
      </c>
      <c r="P581" s="24"/>
      <c r="Q581" s="24">
        <v>0</v>
      </c>
      <c r="R581" s="24"/>
      <c r="S581" s="24">
        <v>0</v>
      </c>
      <c r="T581" s="24"/>
      <c r="U581" s="24">
        <v>0</v>
      </c>
      <c r="V581" s="24"/>
      <c r="W581" s="24">
        <v>0</v>
      </c>
      <c r="X581" s="24"/>
      <c r="Y581" s="24">
        <v>0</v>
      </c>
      <c r="Z581" s="24"/>
      <c r="AA581" s="24">
        <v>0</v>
      </c>
      <c r="AB581" s="24"/>
      <c r="AC581" s="24">
        <v>0</v>
      </c>
      <c r="AD581" s="24"/>
      <c r="AE581" s="24">
        <f t="shared" si="17"/>
        <v>0</v>
      </c>
      <c r="AF581" s="24"/>
      <c r="AG581" s="65"/>
      <c r="AH581" s="65"/>
      <c r="AI581" s="65"/>
      <c r="AJ581" s="65"/>
      <c r="AK581" s="65"/>
      <c r="AM581" s="24">
        <f>+'Gov Rev'!AI578-'Gov Exp'!AE581+'Gov Exp'!AI581-'Gov Exp'!AK581</f>
        <v>0</v>
      </c>
    </row>
    <row r="582" spans="1:39" ht="12.75" hidden="1">
      <c r="A582" s="15" t="s">
        <v>159</v>
      </c>
      <c r="C582" s="15" t="s">
        <v>798</v>
      </c>
      <c r="D582" s="28"/>
      <c r="E582" s="24">
        <v>0</v>
      </c>
      <c r="G582" s="24">
        <v>0</v>
      </c>
      <c r="I582" s="24">
        <v>0</v>
      </c>
      <c r="K582" s="24">
        <v>0</v>
      </c>
      <c r="M582" s="24">
        <v>0</v>
      </c>
      <c r="O582" s="24">
        <v>0</v>
      </c>
      <c r="Q582" s="24">
        <v>0</v>
      </c>
      <c r="S582" s="24">
        <v>0</v>
      </c>
      <c r="U582" s="24">
        <v>0</v>
      </c>
      <c r="W582" s="24">
        <v>0</v>
      </c>
      <c r="Y582" s="24">
        <v>0</v>
      </c>
      <c r="AA582" s="24">
        <v>0</v>
      </c>
      <c r="AC582" s="24">
        <v>0</v>
      </c>
      <c r="AE582" s="24">
        <f t="shared" si="17"/>
        <v>0</v>
      </c>
      <c r="AF582" s="24"/>
      <c r="AM582" s="24">
        <f>+'Gov Rev'!AI579-'Gov Exp'!AE582+'Gov Exp'!AI582-'Gov Exp'!AK582</f>
        <v>0</v>
      </c>
    </row>
    <row r="583" spans="1:39" ht="12.75" hidden="1">
      <c r="A583" s="15" t="s">
        <v>191</v>
      </c>
      <c r="C583" s="15" t="s">
        <v>809</v>
      </c>
      <c r="D583" s="28"/>
      <c r="E583" s="24">
        <v>0</v>
      </c>
      <c r="G583" s="24">
        <v>0</v>
      </c>
      <c r="I583" s="24">
        <v>0</v>
      </c>
      <c r="K583" s="24">
        <v>0</v>
      </c>
      <c r="M583" s="24">
        <v>0</v>
      </c>
      <c r="O583" s="24">
        <v>0</v>
      </c>
      <c r="Q583" s="24">
        <v>0</v>
      </c>
      <c r="S583" s="24">
        <v>0</v>
      </c>
      <c r="U583" s="24">
        <v>0</v>
      </c>
      <c r="W583" s="24">
        <v>0</v>
      </c>
      <c r="Y583" s="24">
        <v>0</v>
      </c>
      <c r="AA583" s="24">
        <v>0</v>
      </c>
      <c r="AC583" s="24">
        <v>0</v>
      </c>
      <c r="AE583" s="24">
        <f t="shared" si="17"/>
        <v>0</v>
      </c>
      <c r="AF583" s="24"/>
      <c r="AM583" s="24">
        <f>+'Gov Rev'!AI580-'Gov Exp'!AE583+'Gov Exp'!AI583-'Gov Exp'!AK583</f>
        <v>0</v>
      </c>
    </row>
    <row r="584" spans="1:39" s="29" customFormat="1">
      <c r="A584" s="24" t="s">
        <v>385</v>
      </c>
      <c r="B584" s="24"/>
      <c r="C584" s="24" t="s">
        <v>378</v>
      </c>
      <c r="D584" s="24"/>
      <c r="E584" s="24">
        <f>727766+805</f>
        <v>728571</v>
      </c>
      <c r="F584" s="24"/>
      <c r="G584" s="24">
        <v>3124</v>
      </c>
      <c r="H584" s="24"/>
      <c r="I584" s="24">
        <v>478</v>
      </c>
      <c r="J584" s="24"/>
      <c r="K584" s="24">
        <f>74572+47989</f>
        <v>122561</v>
      </c>
      <c r="L584" s="24"/>
      <c r="M584" s="24">
        <v>87985</v>
      </c>
      <c r="N584" s="24"/>
      <c r="O584" s="24">
        <f>186381+56797+900+48800</f>
        <v>292878</v>
      </c>
      <c r="P584" s="24"/>
      <c r="Q584" s="24">
        <f>358519+127903</f>
        <v>486422</v>
      </c>
      <c r="R584" s="24"/>
      <c r="S584" s="24">
        <f>11323+30377+1</f>
        <v>41701</v>
      </c>
      <c r="T584" s="24"/>
      <c r="U584" s="24">
        <v>0</v>
      </c>
      <c r="V584" s="24"/>
      <c r="W584" s="24">
        <v>0</v>
      </c>
      <c r="X584" s="24"/>
      <c r="Y584" s="24">
        <v>0</v>
      </c>
      <c r="Z584" s="24"/>
      <c r="AA584" s="24">
        <v>0</v>
      </c>
      <c r="AB584" s="24"/>
      <c r="AC584" s="24">
        <v>0</v>
      </c>
      <c r="AD584" s="38"/>
      <c r="AE584" s="24">
        <f t="shared" si="17"/>
        <v>1763720</v>
      </c>
      <c r="AF584" s="24"/>
      <c r="AG584" s="65">
        <f>294733+46307+19-26025</f>
        <v>315034</v>
      </c>
      <c r="AH584" s="65"/>
      <c r="AI584" s="65">
        <f>1420515+292366+92129+83745</f>
        <v>1888755</v>
      </c>
      <c r="AJ584" s="65"/>
      <c r="AK584" s="65">
        <f>1715248+338673+92148+54720</f>
        <v>2200789</v>
      </c>
      <c r="AM584" s="24">
        <f>+'Gov Rev'!AI581-'Gov Exp'!AE584+'Gov Exp'!AI584-'Gov Exp'!AK584</f>
        <v>0</v>
      </c>
    </row>
    <row r="585" spans="1:39" hidden="1">
      <c r="A585" s="15" t="s">
        <v>507</v>
      </c>
      <c r="C585" s="15" t="s">
        <v>504</v>
      </c>
      <c r="E585" s="24">
        <v>0</v>
      </c>
      <c r="G585" s="24">
        <v>0</v>
      </c>
      <c r="I585" s="24">
        <v>0</v>
      </c>
      <c r="K585" s="24">
        <v>0</v>
      </c>
      <c r="M585" s="24">
        <v>0</v>
      </c>
      <c r="O585" s="24">
        <v>0</v>
      </c>
      <c r="Q585" s="24">
        <v>0</v>
      </c>
      <c r="S585" s="24">
        <v>0</v>
      </c>
      <c r="U585" s="24">
        <v>0</v>
      </c>
      <c r="W585" s="24">
        <v>0</v>
      </c>
      <c r="Y585" s="24">
        <v>0</v>
      </c>
      <c r="AA585" s="24">
        <v>0</v>
      </c>
      <c r="AC585" s="24">
        <v>0</v>
      </c>
      <c r="AE585" s="24">
        <f t="shared" si="17"/>
        <v>0</v>
      </c>
      <c r="AF585" s="24"/>
      <c r="AM585" s="24">
        <f>+'Gov Rev'!AI582-'Gov Exp'!AE585+'Gov Exp'!AI585-'Gov Exp'!AK585</f>
        <v>0</v>
      </c>
    </row>
    <row r="586" spans="1:39" s="31" customFormat="1" ht="12.75" hidden="1">
      <c r="A586" s="15" t="s">
        <v>67</v>
      </c>
      <c r="B586" s="15"/>
      <c r="C586" s="15" t="s">
        <v>771</v>
      </c>
      <c r="D586" s="28"/>
      <c r="E586" s="24">
        <v>0</v>
      </c>
      <c r="F586" s="24"/>
      <c r="G586" s="24">
        <v>0</v>
      </c>
      <c r="H586" s="24"/>
      <c r="I586" s="24">
        <v>0</v>
      </c>
      <c r="J586" s="24"/>
      <c r="K586" s="24">
        <v>0</v>
      </c>
      <c r="L586" s="24"/>
      <c r="M586" s="24">
        <v>0</v>
      </c>
      <c r="N586" s="24"/>
      <c r="O586" s="24">
        <v>0</v>
      </c>
      <c r="P586" s="24"/>
      <c r="Q586" s="24">
        <v>0</v>
      </c>
      <c r="R586" s="24"/>
      <c r="S586" s="24">
        <v>0</v>
      </c>
      <c r="T586" s="24"/>
      <c r="U586" s="24">
        <v>0</v>
      </c>
      <c r="V586" s="24"/>
      <c r="W586" s="24">
        <v>0</v>
      </c>
      <c r="X586" s="24"/>
      <c r="Y586" s="24">
        <v>0</v>
      </c>
      <c r="Z586" s="24"/>
      <c r="AA586" s="24">
        <v>0</v>
      </c>
      <c r="AB586" s="24"/>
      <c r="AC586" s="24">
        <v>0</v>
      </c>
      <c r="AD586" s="24"/>
      <c r="AE586" s="24">
        <f t="shared" si="17"/>
        <v>0</v>
      </c>
      <c r="AF586" s="24"/>
      <c r="AG586" s="65"/>
      <c r="AH586" s="65"/>
      <c r="AI586" s="65"/>
      <c r="AJ586" s="65"/>
      <c r="AK586" s="65"/>
      <c r="AM586" s="24">
        <f>+'Gov Rev'!AI583-'Gov Exp'!AE586+'Gov Exp'!AI586-'Gov Exp'!AK586</f>
        <v>0</v>
      </c>
    </row>
    <row r="587" spans="1:39" s="31" customFormat="1" ht="12.75" hidden="1">
      <c r="A587" s="15" t="s">
        <v>120</v>
      </c>
      <c r="B587" s="15"/>
      <c r="C587" s="15" t="s">
        <v>786</v>
      </c>
      <c r="D587" s="28"/>
      <c r="E587" s="24">
        <v>0</v>
      </c>
      <c r="F587" s="24"/>
      <c r="G587" s="24">
        <v>0</v>
      </c>
      <c r="H587" s="24"/>
      <c r="I587" s="24">
        <v>0</v>
      </c>
      <c r="J587" s="24"/>
      <c r="K587" s="24">
        <v>0</v>
      </c>
      <c r="L587" s="24"/>
      <c r="M587" s="24">
        <v>0</v>
      </c>
      <c r="N587" s="24"/>
      <c r="O587" s="24">
        <v>0</v>
      </c>
      <c r="P587" s="24"/>
      <c r="Q587" s="24">
        <v>0</v>
      </c>
      <c r="R587" s="24"/>
      <c r="S587" s="24">
        <v>0</v>
      </c>
      <c r="T587" s="24"/>
      <c r="U587" s="24">
        <v>0</v>
      </c>
      <c r="V587" s="24"/>
      <c r="W587" s="24">
        <v>0</v>
      </c>
      <c r="X587" s="24"/>
      <c r="Y587" s="24">
        <v>0</v>
      </c>
      <c r="Z587" s="24"/>
      <c r="AA587" s="24">
        <v>0</v>
      </c>
      <c r="AB587" s="24"/>
      <c r="AC587" s="24">
        <v>0</v>
      </c>
      <c r="AD587" s="24"/>
      <c r="AE587" s="24">
        <f t="shared" si="17"/>
        <v>0</v>
      </c>
      <c r="AF587" s="24"/>
      <c r="AG587" s="65"/>
      <c r="AH587" s="65"/>
      <c r="AI587" s="65"/>
      <c r="AJ587" s="65"/>
      <c r="AK587" s="65"/>
      <c r="AM587" s="24">
        <f>+'Gov Rev'!AI584-'Gov Exp'!AE587+'Gov Exp'!AI587-'Gov Exp'!AK587</f>
        <v>0</v>
      </c>
    </row>
    <row r="588" spans="1:39" s="31" customFormat="1">
      <c r="A588" s="15" t="s">
        <v>434</v>
      </c>
      <c r="B588" s="15"/>
      <c r="C588" s="15" t="s">
        <v>430</v>
      </c>
      <c r="D588" s="15"/>
      <c r="E588" s="24">
        <f>242111+1937+258</f>
        <v>244306</v>
      </c>
      <c r="F588" s="24"/>
      <c r="G588" s="24">
        <v>6731</v>
      </c>
      <c r="H588" s="24"/>
      <c r="I588" s="24">
        <v>37813</v>
      </c>
      <c r="J588" s="24"/>
      <c r="K588" s="24">
        <v>10831</v>
      </c>
      <c r="L588" s="24"/>
      <c r="M588" s="24">
        <v>70490</v>
      </c>
      <c r="N588" s="24"/>
      <c r="O588" s="24">
        <f>58850+3801</f>
        <v>62651</v>
      </c>
      <c r="P588" s="24"/>
      <c r="Q588" s="24">
        <v>109808</v>
      </c>
      <c r="R588" s="24"/>
      <c r="S588" s="24">
        <v>0</v>
      </c>
      <c r="T588" s="24"/>
      <c r="U588" s="24">
        <v>0</v>
      </c>
      <c r="V588" s="24"/>
      <c r="W588" s="24">
        <v>0</v>
      </c>
      <c r="X588" s="24"/>
      <c r="Y588" s="24">
        <v>80000</v>
      </c>
      <c r="Z588" s="24"/>
      <c r="AA588" s="24">
        <v>0</v>
      </c>
      <c r="AB588" s="24"/>
      <c r="AC588" s="24">
        <v>0</v>
      </c>
      <c r="AD588" s="24"/>
      <c r="AE588" s="24">
        <f t="shared" si="17"/>
        <v>622630</v>
      </c>
      <c r="AF588" s="24"/>
      <c r="AG588" s="65">
        <f>-72711+52170.78-1448.92+1+99.07</f>
        <v>-21889.07</v>
      </c>
      <c r="AH588" s="65"/>
      <c r="AI588" s="65">
        <f>589159+9988.15+3498.11+40.93</f>
        <v>602686.19000000006</v>
      </c>
      <c r="AJ588" s="65"/>
      <c r="AK588" s="65">
        <f>516448+62158.93+2049.19+140</f>
        <v>580796.12</v>
      </c>
      <c r="AM588" s="24">
        <f>+'Gov Rev'!AI585-'Gov Exp'!AE588+'Gov Exp'!AI588-'Gov Exp'!AK588</f>
        <v>7.000000006519258E-2</v>
      </c>
    </row>
    <row r="589" spans="1:39" s="31" customFormat="1" ht="12.75" hidden="1">
      <c r="A589" s="15" t="s">
        <v>862</v>
      </c>
      <c r="B589" s="15"/>
      <c r="C589" s="15" t="s">
        <v>765</v>
      </c>
      <c r="D589" s="28"/>
      <c r="E589" s="24">
        <v>0</v>
      </c>
      <c r="F589" s="24"/>
      <c r="G589" s="24">
        <v>0</v>
      </c>
      <c r="H589" s="24"/>
      <c r="I589" s="24">
        <v>0</v>
      </c>
      <c r="J589" s="24"/>
      <c r="K589" s="24">
        <v>0</v>
      </c>
      <c r="L589" s="24"/>
      <c r="M589" s="24">
        <v>0</v>
      </c>
      <c r="N589" s="24"/>
      <c r="O589" s="24">
        <v>0</v>
      </c>
      <c r="P589" s="24"/>
      <c r="Q589" s="24">
        <v>0</v>
      </c>
      <c r="R589" s="24"/>
      <c r="S589" s="24">
        <v>0</v>
      </c>
      <c r="T589" s="24"/>
      <c r="U589" s="24">
        <v>0</v>
      </c>
      <c r="V589" s="24"/>
      <c r="W589" s="24">
        <v>0</v>
      </c>
      <c r="X589" s="24"/>
      <c r="Y589" s="24">
        <v>0</v>
      </c>
      <c r="Z589" s="24"/>
      <c r="AA589" s="24">
        <v>0</v>
      </c>
      <c r="AB589" s="24"/>
      <c r="AC589" s="24">
        <v>0</v>
      </c>
      <c r="AD589" s="24"/>
      <c r="AE589" s="24">
        <f t="shared" si="17"/>
        <v>0</v>
      </c>
      <c r="AF589" s="24"/>
      <c r="AG589" s="65"/>
      <c r="AH589" s="65"/>
      <c r="AI589" s="65"/>
      <c r="AJ589" s="65"/>
      <c r="AK589" s="65"/>
      <c r="AM589" s="24">
        <f>+'Gov Rev'!AI586-'Gov Exp'!AE589+'Gov Exp'!AI589-'Gov Exp'!AK589</f>
        <v>0</v>
      </c>
    </row>
    <row r="590" spans="1:39" hidden="1">
      <c r="A590" s="15" t="s">
        <v>612</v>
      </c>
      <c r="C590" s="15" t="s">
        <v>606</v>
      </c>
      <c r="E590" s="24">
        <v>0</v>
      </c>
      <c r="G590" s="24">
        <v>0</v>
      </c>
      <c r="I590" s="24">
        <v>0</v>
      </c>
      <c r="K590" s="24">
        <v>0</v>
      </c>
      <c r="M590" s="24">
        <v>0</v>
      </c>
      <c r="O590" s="24">
        <v>0</v>
      </c>
      <c r="Q590" s="24">
        <v>0</v>
      </c>
      <c r="S590" s="24">
        <v>0</v>
      </c>
      <c r="U590" s="24">
        <v>0</v>
      </c>
      <c r="W590" s="24">
        <v>0</v>
      </c>
      <c r="Y590" s="24">
        <v>0</v>
      </c>
      <c r="AA590" s="24">
        <v>0</v>
      </c>
      <c r="AC590" s="24">
        <v>0</v>
      </c>
      <c r="AE590" s="24">
        <f t="shared" si="17"/>
        <v>0</v>
      </c>
      <c r="AF590" s="24"/>
      <c r="AM590" s="24">
        <f>+'Gov Rev'!AI587-'Gov Exp'!AE590+'Gov Exp'!AI590-'Gov Exp'!AK590</f>
        <v>0</v>
      </c>
    </row>
    <row r="591" spans="1:39" hidden="1">
      <c r="A591" s="15" t="s">
        <v>565</v>
      </c>
      <c r="C591" s="15" t="s">
        <v>565</v>
      </c>
      <c r="E591" s="24">
        <v>0</v>
      </c>
      <c r="G591" s="24">
        <v>0</v>
      </c>
      <c r="I591" s="24">
        <v>0</v>
      </c>
      <c r="K591" s="24">
        <v>0</v>
      </c>
      <c r="M591" s="24">
        <v>0</v>
      </c>
      <c r="O591" s="24">
        <v>0</v>
      </c>
      <c r="Q591" s="24">
        <v>0</v>
      </c>
      <c r="S591" s="24">
        <v>0</v>
      </c>
      <c r="U591" s="24">
        <v>0</v>
      </c>
      <c r="W591" s="24">
        <v>0</v>
      </c>
      <c r="Y591" s="24">
        <v>0</v>
      </c>
      <c r="AA591" s="24">
        <v>0</v>
      </c>
      <c r="AC591" s="24">
        <v>0</v>
      </c>
      <c r="AE591" s="24">
        <f t="shared" si="17"/>
        <v>0</v>
      </c>
      <c r="AF591" s="24"/>
      <c r="AM591" s="24">
        <f>+'Gov Rev'!AI588-'Gov Exp'!AE591+'Gov Exp'!AI591-'Gov Exp'!AK591</f>
        <v>0</v>
      </c>
    </row>
    <row r="592" spans="1:39" s="31" customFormat="1" ht="12.6" customHeight="1">
      <c r="A592" s="15" t="s">
        <v>337</v>
      </c>
      <c r="B592" s="15"/>
      <c r="C592" s="15" t="s">
        <v>329</v>
      </c>
      <c r="D592" s="15"/>
      <c r="E592" s="24">
        <f>262202+358206</f>
        <v>620408</v>
      </c>
      <c r="F592" s="24"/>
      <c r="G592" s="24">
        <f>4567+1067</f>
        <v>5634</v>
      </c>
      <c r="H592" s="24"/>
      <c r="I592" s="24">
        <v>1698</v>
      </c>
      <c r="J592" s="24"/>
      <c r="K592" s="24">
        <v>0</v>
      </c>
      <c r="L592" s="24"/>
      <c r="M592" s="24">
        <v>65537</v>
      </c>
      <c r="N592" s="24"/>
      <c r="O592" s="24">
        <f>15640+114639+261439</f>
        <v>391718</v>
      </c>
      <c r="P592" s="24"/>
      <c r="Q592" s="24">
        <f>185062+42667</f>
        <v>227729</v>
      </c>
      <c r="R592" s="24"/>
      <c r="S592" s="24">
        <v>0</v>
      </c>
      <c r="T592" s="24"/>
      <c r="U592" s="24">
        <v>29653</v>
      </c>
      <c r="V592" s="24"/>
      <c r="W592" s="24">
        <v>12951</v>
      </c>
      <c r="X592" s="24"/>
      <c r="Y592" s="24">
        <v>339505</v>
      </c>
      <c r="Z592" s="24"/>
      <c r="AA592" s="24">
        <v>0</v>
      </c>
      <c r="AB592" s="24"/>
      <c r="AC592" s="24">
        <v>0</v>
      </c>
      <c r="AD592" s="24"/>
      <c r="AE592" s="24">
        <f t="shared" si="17"/>
        <v>1694833</v>
      </c>
      <c r="AF592" s="24"/>
      <c r="AG592" s="65">
        <f>4788-109184+126861+1</f>
        <v>22466</v>
      </c>
      <c r="AH592" s="65"/>
      <c r="AI592" s="65">
        <f>31735+169343+520</f>
        <v>201598</v>
      </c>
      <c r="AJ592" s="65"/>
      <c r="AK592" s="65">
        <f>36523+60159+127381+1</f>
        <v>224064</v>
      </c>
      <c r="AM592" s="24">
        <f>+'Gov Rev'!AI589-'Gov Exp'!AE592+'Gov Exp'!AI592-'Gov Exp'!AK592</f>
        <v>0</v>
      </c>
    </row>
    <row r="593" spans="1:39" hidden="1">
      <c r="A593" s="15" t="s">
        <v>574</v>
      </c>
      <c r="C593" s="15" t="s">
        <v>575</v>
      </c>
      <c r="E593" s="24">
        <v>0</v>
      </c>
      <c r="G593" s="24">
        <v>0</v>
      </c>
      <c r="I593" s="24">
        <v>0</v>
      </c>
      <c r="K593" s="24">
        <v>0</v>
      </c>
      <c r="M593" s="24">
        <v>0</v>
      </c>
      <c r="O593" s="24">
        <v>0</v>
      </c>
      <c r="Q593" s="24">
        <v>0</v>
      </c>
      <c r="S593" s="24">
        <v>0</v>
      </c>
      <c r="U593" s="24">
        <v>0</v>
      </c>
      <c r="W593" s="24">
        <v>0</v>
      </c>
      <c r="Y593" s="24">
        <v>0</v>
      </c>
      <c r="AA593" s="24">
        <v>0</v>
      </c>
      <c r="AC593" s="24">
        <v>0</v>
      </c>
      <c r="AE593" s="24">
        <f t="shared" si="17"/>
        <v>0</v>
      </c>
      <c r="AF593" s="24"/>
      <c r="AM593" s="24">
        <f>+'Gov Rev'!AI590-'Gov Exp'!AE593+'Gov Exp'!AI593-'Gov Exp'!AK593</f>
        <v>0</v>
      </c>
    </row>
    <row r="594" spans="1:39" ht="12.75" hidden="1">
      <c r="A594" s="15" t="s">
        <v>13</v>
      </c>
      <c r="C594" s="15" t="s">
        <v>754</v>
      </c>
      <c r="D594" s="28"/>
      <c r="E594" s="24">
        <v>0</v>
      </c>
      <c r="G594" s="24">
        <v>0</v>
      </c>
      <c r="I594" s="24">
        <v>0</v>
      </c>
      <c r="K594" s="24">
        <v>0</v>
      </c>
      <c r="M594" s="24">
        <v>0</v>
      </c>
      <c r="O594" s="24">
        <v>0</v>
      </c>
      <c r="Q594" s="24">
        <v>0</v>
      </c>
      <c r="S594" s="24">
        <v>0</v>
      </c>
      <c r="U594" s="24">
        <v>0</v>
      </c>
      <c r="W594" s="24">
        <v>0</v>
      </c>
      <c r="Y594" s="24">
        <v>0</v>
      </c>
      <c r="AA594" s="24">
        <v>0</v>
      </c>
      <c r="AC594" s="24">
        <v>0</v>
      </c>
      <c r="AE594" s="24">
        <f t="shared" si="17"/>
        <v>0</v>
      </c>
      <c r="AF594" s="24"/>
      <c r="AM594" s="24">
        <f>+'Gov Rev'!AI591-'Gov Exp'!AE594+'Gov Exp'!AI594-'Gov Exp'!AK594</f>
        <v>0</v>
      </c>
    </row>
    <row r="595" spans="1:39" ht="12.75" hidden="1">
      <c r="A595" s="15" t="s">
        <v>76</v>
      </c>
      <c r="C595" s="15" t="s">
        <v>773</v>
      </c>
      <c r="D595" s="28"/>
      <c r="E595" s="24">
        <v>0</v>
      </c>
      <c r="G595" s="24">
        <v>0</v>
      </c>
      <c r="I595" s="24">
        <v>0</v>
      </c>
      <c r="K595" s="24">
        <v>0</v>
      </c>
      <c r="M595" s="24">
        <v>0</v>
      </c>
      <c r="O595" s="24">
        <v>0</v>
      </c>
      <c r="Q595" s="24">
        <v>0</v>
      </c>
      <c r="S595" s="24">
        <v>0</v>
      </c>
      <c r="U595" s="24">
        <v>0</v>
      </c>
      <c r="W595" s="24">
        <v>0</v>
      </c>
      <c r="Y595" s="24">
        <v>0</v>
      </c>
      <c r="AA595" s="24">
        <v>0</v>
      </c>
      <c r="AC595" s="24">
        <v>0</v>
      </c>
      <c r="AE595" s="24">
        <f t="shared" si="17"/>
        <v>0</v>
      </c>
      <c r="AF595" s="24"/>
      <c r="AM595" s="24">
        <f>+'Gov Rev'!AI592-'Gov Exp'!AE595+'Gov Exp'!AI595-'Gov Exp'!AK595</f>
        <v>0</v>
      </c>
    </row>
    <row r="596" spans="1:39" s="31" customFormat="1">
      <c r="A596" s="15" t="s">
        <v>445</v>
      </c>
      <c r="B596" s="15"/>
      <c r="C596" s="15" t="s">
        <v>439</v>
      </c>
      <c r="D596" s="15"/>
      <c r="E596" s="24">
        <f>11005+379142+31582+5013</f>
        <v>426742</v>
      </c>
      <c r="F596" s="24"/>
      <c r="G596" s="24">
        <f>2098+9663</f>
        <v>11761</v>
      </c>
      <c r="H596" s="24"/>
      <c r="I596" s="24">
        <v>2943</v>
      </c>
      <c r="J596" s="24"/>
      <c r="K596" s="24">
        <f>228+25000</f>
        <v>25228</v>
      </c>
      <c r="L596" s="24"/>
      <c r="M596" s="24">
        <v>3075</v>
      </c>
      <c r="N596" s="24"/>
      <c r="O596" s="24">
        <v>184782</v>
      </c>
      <c r="P596" s="24"/>
      <c r="Q596" s="24">
        <f>267873+500+635+20609</f>
        <v>289617</v>
      </c>
      <c r="R596" s="24"/>
      <c r="S596" s="24">
        <f>7200+23994+1098+8499</f>
        <v>40791</v>
      </c>
      <c r="T596" s="24"/>
      <c r="U596" s="24">
        <v>0</v>
      </c>
      <c r="V596" s="24"/>
      <c r="W596" s="24">
        <v>0</v>
      </c>
      <c r="X596" s="24"/>
      <c r="Y596" s="24">
        <v>150000</v>
      </c>
      <c r="Z596" s="24"/>
      <c r="AA596" s="24">
        <v>0</v>
      </c>
      <c r="AB596" s="24"/>
      <c r="AC596" s="24">
        <v>0</v>
      </c>
      <c r="AD596" s="24"/>
      <c r="AE596" s="24">
        <f t="shared" si="17"/>
        <v>1134939</v>
      </c>
      <c r="AF596" s="24"/>
      <c r="AG596" s="65">
        <f>-14439-59244+8400-115+452+562+31923+435-3241</f>
        <v>-35267</v>
      </c>
      <c r="AH596" s="65"/>
      <c r="AI596" s="65">
        <f>77300+59739+66043+291+3180+4857+12125+19801+10575+3241</f>
        <v>257152</v>
      </c>
      <c r="AJ596" s="65"/>
      <c r="AK596" s="65">
        <f>62861+495+74443+176+452+3180+4857+12687+51724+11010</f>
        <v>221885</v>
      </c>
      <c r="AM596" s="24">
        <f>+'Gov Rev'!AI593-'Gov Exp'!AE596+'Gov Exp'!AI596-'Gov Exp'!AK596</f>
        <v>0</v>
      </c>
    </row>
    <row r="597" spans="1:39" s="31" customFormat="1">
      <c r="A597" s="15" t="s">
        <v>449</v>
      </c>
      <c r="B597" s="15"/>
      <c r="C597" s="15" t="s">
        <v>447</v>
      </c>
      <c r="D597" s="15"/>
      <c r="E597" s="24">
        <v>0</v>
      </c>
      <c r="F597" s="24"/>
      <c r="G597" s="24">
        <v>0</v>
      </c>
      <c r="H597" s="24"/>
      <c r="I597" s="24">
        <v>0</v>
      </c>
      <c r="J597" s="24"/>
      <c r="K597" s="24">
        <v>0</v>
      </c>
      <c r="L597" s="24"/>
      <c r="M597" s="24">
        <v>0</v>
      </c>
      <c r="N597" s="24"/>
      <c r="O597" s="24">
        <v>0</v>
      </c>
      <c r="P597" s="24"/>
      <c r="Q597" s="24">
        <f>43331+7655</f>
        <v>50986</v>
      </c>
      <c r="R597" s="24"/>
      <c r="S597" s="24">
        <v>0</v>
      </c>
      <c r="T597" s="24"/>
      <c r="U597" s="24">
        <v>3700</v>
      </c>
      <c r="V597" s="24"/>
      <c r="W597" s="24">
        <v>229</v>
      </c>
      <c r="X597" s="24"/>
      <c r="Y597" s="24">
        <v>0</v>
      </c>
      <c r="Z597" s="24"/>
      <c r="AA597" s="24">
        <v>0</v>
      </c>
      <c r="AB597" s="24"/>
      <c r="AC597" s="24">
        <v>0</v>
      </c>
      <c r="AD597" s="24"/>
      <c r="AE597" s="24">
        <f t="shared" si="17"/>
        <v>54915</v>
      </c>
      <c r="AF597" s="24"/>
      <c r="AG597" s="65">
        <f>-6818+220</f>
        <v>-6598</v>
      </c>
      <c r="AH597" s="65"/>
      <c r="AI597" s="65">
        <f>42291+11122</f>
        <v>53413</v>
      </c>
      <c r="AJ597" s="65"/>
      <c r="AK597" s="65">
        <f>35473+11342</f>
        <v>46815</v>
      </c>
      <c r="AM597" s="24">
        <f>+'Gov Rev'!AI594-'Gov Exp'!AE597+'Gov Exp'!AI597-'Gov Exp'!AK597</f>
        <v>0</v>
      </c>
    </row>
    <row r="598" spans="1:39" s="31" customFormat="1" ht="12.6" customHeight="1">
      <c r="A598" s="15" t="s">
        <v>326</v>
      </c>
      <c r="B598" s="15"/>
      <c r="C598" s="15" t="s">
        <v>316</v>
      </c>
      <c r="D598" s="15"/>
      <c r="E598" s="24">
        <f>3527623+496350</f>
        <v>4023973</v>
      </c>
      <c r="F598" s="24"/>
      <c r="G598" s="24">
        <v>11413</v>
      </c>
      <c r="H598" s="24"/>
      <c r="I598" s="24">
        <f>393009+315435</f>
        <v>708444</v>
      </c>
      <c r="J598" s="24"/>
      <c r="K598" s="24">
        <v>0</v>
      </c>
      <c r="L598" s="24"/>
      <c r="M598" s="24">
        <v>185370</v>
      </c>
      <c r="N598" s="24"/>
      <c r="O598" s="24">
        <f>867727+264651</f>
        <v>1132378</v>
      </c>
      <c r="P598" s="24"/>
      <c r="Q598" s="24">
        <v>1873844</v>
      </c>
      <c r="R598" s="24"/>
      <c r="S598" s="24">
        <f>714515+167703+1201314</f>
        <v>2083532</v>
      </c>
      <c r="T598" s="24"/>
      <c r="U598" s="24">
        <v>475000</v>
      </c>
      <c r="V598" s="24"/>
      <c r="W598" s="24">
        <v>206848</v>
      </c>
      <c r="X598" s="24"/>
      <c r="Y598" s="24">
        <v>1106700</v>
      </c>
      <c r="Z598" s="24"/>
      <c r="AA598" s="24">
        <v>0</v>
      </c>
      <c r="AB598" s="24"/>
      <c r="AC598" s="24">
        <v>0</v>
      </c>
      <c r="AD598" s="24"/>
      <c r="AE598" s="24">
        <f t="shared" si="17"/>
        <v>11807502</v>
      </c>
      <c r="AF598" s="24"/>
      <c r="AG598" s="65">
        <f>-34245-294791-55376-347532</f>
        <v>-731944</v>
      </c>
      <c r="AH598" s="65"/>
      <c r="AI598" s="65">
        <f>2630829+880133+243705+2405978</f>
        <v>6160645</v>
      </c>
      <c r="AJ598" s="65"/>
      <c r="AK598" s="65">
        <f>2596584+585342+188329+2058446</f>
        <v>5428701</v>
      </c>
      <c r="AM598" s="24">
        <f>+'Gov Rev'!AI595-'Gov Exp'!AE598+'Gov Exp'!AI598-'Gov Exp'!AK598</f>
        <v>0</v>
      </c>
    </row>
    <row r="599" spans="1:39" s="31" customFormat="1" ht="12.75" hidden="1">
      <c r="A599" s="15" t="s">
        <v>77</v>
      </c>
      <c r="B599" s="15"/>
      <c r="C599" s="15" t="s">
        <v>773</v>
      </c>
      <c r="D599" s="28"/>
      <c r="E599" s="24">
        <v>0</v>
      </c>
      <c r="F599" s="24"/>
      <c r="G599" s="24">
        <v>0</v>
      </c>
      <c r="H599" s="24"/>
      <c r="I599" s="24">
        <v>0</v>
      </c>
      <c r="J599" s="24"/>
      <c r="K599" s="24">
        <v>0</v>
      </c>
      <c r="L599" s="24"/>
      <c r="M599" s="24">
        <v>0</v>
      </c>
      <c r="N599" s="24"/>
      <c r="O599" s="24">
        <v>0</v>
      </c>
      <c r="P599" s="24"/>
      <c r="Q599" s="24">
        <v>0</v>
      </c>
      <c r="R599" s="24"/>
      <c r="S599" s="24">
        <v>0</v>
      </c>
      <c r="T599" s="24"/>
      <c r="U599" s="24">
        <v>0</v>
      </c>
      <c r="V599" s="24"/>
      <c r="W599" s="24">
        <v>0</v>
      </c>
      <c r="X599" s="24"/>
      <c r="Y599" s="24">
        <v>0</v>
      </c>
      <c r="Z599" s="24"/>
      <c r="AA599" s="24">
        <v>0</v>
      </c>
      <c r="AB599" s="24"/>
      <c r="AC599" s="24">
        <v>0</v>
      </c>
      <c r="AD599" s="24"/>
      <c r="AE599" s="24">
        <f t="shared" si="17"/>
        <v>0</v>
      </c>
      <c r="AF599" s="24"/>
      <c r="AG599" s="65"/>
      <c r="AH599" s="65"/>
      <c r="AI599" s="65"/>
      <c r="AJ599" s="65"/>
      <c r="AK599" s="65"/>
      <c r="AM599" s="24">
        <f>+'Gov Rev'!AI596-'Gov Exp'!AE599+'Gov Exp'!AI599-'Gov Exp'!AK599</f>
        <v>0</v>
      </c>
    </row>
    <row r="600" spans="1:39" s="31" customFormat="1">
      <c r="A600" s="15" t="s">
        <v>393</v>
      </c>
      <c r="B600" s="15"/>
      <c r="C600" s="15" t="s">
        <v>388</v>
      </c>
      <c r="D600" s="15"/>
      <c r="E600" s="24">
        <f>12716+7020</f>
        <v>19736</v>
      </c>
      <c r="F600" s="24"/>
      <c r="G600" s="24">
        <v>1580</v>
      </c>
      <c r="H600" s="24"/>
      <c r="I600" s="24">
        <v>394</v>
      </c>
      <c r="J600" s="24"/>
      <c r="K600" s="24">
        <v>3425</v>
      </c>
      <c r="L600" s="24"/>
      <c r="M600" s="24">
        <v>952</v>
      </c>
      <c r="N600" s="24"/>
      <c r="O600" s="24">
        <f>22584+269504</f>
        <v>292088</v>
      </c>
      <c r="P600" s="24"/>
      <c r="Q600" s="24">
        <f>29635+15+120</f>
        <v>29770</v>
      </c>
      <c r="R600" s="24"/>
      <c r="S600" s="24">
        <v>0</v>
      </c>
      <c r="T600" s="24"/>
      <c r="U600" s="24">
        <f>8000+74595</f>
        <v>82595</v>
      </c>
      <c r="V600" s="24"/>
      <c r="W600" s="24">
        <v>98892</v>
      </c>
      <c r="X600" s="24"/>
      <c r="Y600" s="24">
        <v>0</v>
      </c>
      <c r="Z600" s="24"/>
      <c r="AA600" s="24">
        <v>0</v>
      </c>
      <c r="AB600" s="24"/>
      <c r="AC600" s="24">
        <v>0</v>
      </c>
      <c r="AD600" s="24"/>
      <c r="AE600" s="24">
        <f t="shared" si="17"/>
        <v>529432</v>
      </c>
      <c r="AF600" s="24"/>
      <c r="AG600" s="65">
        <f>-4044+7684-6617</f>
        <v>-2977</v>
      </c>
      <c r="AH600" s="65"/>
      <c r="AI600" s="65">
        <f>49584+68095+64495+119086</f>
        <v>301260</v>
      </c>
      <c r="AJ600" s="65"/>
      <c r="AK600" s="65">
        <f>45540+75780+57878+119086-1</f>
        <v>298283</v>
      </c>
      <c r="AM600" s="24">
        <f>+'Gov Rev'!AI597-'Gov Exp'!AE600+'Gov Exp'!AI600-'Gov Exp'!AK600</f>
        <v>0</v>
      </c>
    </row>
    <row r="601" spans="1:39" s="31" customFormat="1" hidden="1">
      <c r="A601" s="15" t="s">
        <v>394</v>
      </c>
      <c r="B601" s="15"/>
      <c r="C601" s="15" t="s">
        <v>388</v>
      </c>
      <c r="D601" s="15"/>
      <c r="E601" s="24">
        <v>0</v>
      </c>
      <c r="F601" s="24"/>
      <c r="G601" s="24">
        <v>0</v>
      </c>
      <c r="H601" s="24"/>
      <c r="I601" s="24">
        <v>0</v>
      </c>
      <c r="J601" s="24"/>
      <c r="K601" s="24">
        <v>0</v>
      </c>
      <c r="L601" s="24"/>
      <c r="M601" s="24">
        <v>0</v>
      </c>
      <c r="N601" s="24"/>
      <c r="O601" s="24">
        <v>0</v>
      </c>
      <c r="P601" s="24"/>
      <c r="Q601" s="24">
        <v>0</v>
      </c>
      <c r="R601" s="24"/>
      <c r="S601" s="24">
        <v>0</v>
      </c>
      <c r="T601" s="24"/>
      <c r="U601" s="24">
        <v>0</v>
      </c>
      <c r="V601" s="24"/>
      <c r="W601" s="24">
        <v>0</v>
      </c>
      <c r="X601" s="24"/>
      <c r="Y601" s="24">
        <v>0</v>
      </c>
      <c r="Z601" s="24"/>
      <c r="AA601" s="24">
        <v>0</v>
      </c>
      <c r="AB601" s="24"/>
      <c r="AC601" s="24">
        <v>0</v>
      </c>
      <c r="AD601" s="24"/>
      <c r="AE601" s="24">
        <f t="shared" si="17"/>
        <v>0</v>
      </c>
      <c r="AF601" s="24"/>
      <c r="AG601" s="65"/>
      <c r="AH601" s="65"/>
      <c r="AI601" s="65"/>
      <c r="AJ601" s="65"/>
      <c r="AK601" s="65"/>
      <c r="AM601" s="24">
        <f>+'Gov Rev'!AI598-'Gov Exp'!AE601+'Gov Exp'!AI601-'Gov Exp'!AK601</f>
        <v>0</v>
      </c>
    </row>
    <row r="602" spans="1:39" hidden="1">
      <c r="A602" s="15" t="s">
        <v>580</v>
      </c>
      <c r="C602" s="15" t="s">
        <v>577</v>
      </c>
      <c r="E602" s="24">
        <v>0</v>
      </c>
      <c r="G602" s="24">
        <v>0</v>
      </c>
      <c r="I602" s="24">
        <v>0</v>
      </c>
      <c r="K602" s="24">
        <v>0</v>
      </c>
      <c r="M602" s="24">
        <v>0</v>
      </c>
      <c r="O602" s="24">
        <v>0</v>
      </c>
      <c r="Q602" s="24">
        <v>0</v>
      </c>
      <c r="S602" s="24">
        <v>0</v>
      </c>
      <c r="U602" s="24">
        <v>0</v>
      </c>
      <c r="W602" s="24">
        <v>0</v>
      </c>
      <c r="Y602" s="24">
        <v>0</v>
      </c>
      <c r="AA602" s="24">
        <v>0</v>
      </c>
      <c r="AC602" s="24">
        <v>0</v>
      </c>
      <c r="AE602" s="24">
        <f t="shared" si="17"/>
        <v>0</v>
      </c>
      <c r="AF602" s="24"/>
      <c r="AM602" s="24">
        <f>+'Gov Rev'!AI599-'Gov Exp'!AE602+'Gov Exp'!AI602-'Gov Exp'!AK602</f>
        <v>0</v>
      </c>
    </row>
    <row r="603" spans="1:39">
      <c r="A603" s="15" t="s">
        <v>515</v>
      </c>
      <c r="C603" s="15" t="s">
        <v>513</v>
      </c>
      <c r="E603" s="24">
        <f>30834+187902</f>
        <v>218736</v>
      </c>
      <c r="G603" s="24">
        <v>0</v>
      </c>
      <c r="I603" s="24">
        <v>1662</v>
      </c>
      <c r="K603" s="24">
        <v>4395</v>
      </c>
      <c r="M603" s="24">
        <v>0</v>
      </c>
      <c r="O603" s="24">
        <v>71837</v>
      </c>
      <c r="Q603" s="24">
        <f>54915+2345</f>
        <v>57260</v>
      </c>
      <c r="S603" s="24">
        <v>16934</v>
      </c>
      <c r="U603" s="24">
        <v>6138</v>
      </c>
      <c r="W603" s="24">
        <v>0</v>
      </c>
      <c r="Y603" s="24">
        <v>0</v>
      </c>
      <c r="AA603" s="24">
        <v>0</v>
      </c>
      <c r="AC603" s="24">
        <v>0</v>
      </c>
      <c r="AE603" s="24">
        <f t="shared" si="17"/>
        <v>376962</v>
      </c>
      <c r="AF603" s="24"/>
      <c r="AG603" s="64">
        <f>-36069-18547</f>
        <v>-54616</v>
      </c>
      <c r="AI603" s="64">
        <f>65554+128480</f>
        <v>194034</v>
      </c>
      <c r="AK603" s="64">
        <f>29485+109932</f>
        <v>139417</v>
      </c>
      <c r="AM603" s="24">
        <f>+'Gov Rev'!AI600-'Gov Exp'!AE603+'Gov Exp'!AI603-'Gov Exp'!AK603</f>
        <v>0</v>
      </c>
    </row>
    <row r="604" spans="1:39" ht="12.6" customHeight="1">
      <c r="A604" s="15" t="s">
        <v>338</v>
      </c>
      <c r="C604" s="15" t="s">
        <v>329</v>
      </c>
      <c r="E604" s="24">
        <f>442336+327947</f>
        <v>770283</v>
      </c>
      <c r="G604" s="24">
        <f>17310+24470</f>
        <v>41780</v>
      </c>
      <c r="I604" s="24">
        <v>13219</v>
      </c>
      <c r="K604" s="24">
        <v>10177</v>
      </c>
      <c r="M604" s="24">
        <f>196832+24172</f>
        <v>221004</v>
      </c>
      <c r="O604" s="24">
        <v>457553</v>
      </c>
      <c r="Q604" s="24">
        <v>216491</v>
      </c>
      <c r="S604" s="24">
        <f>856848+1515290</f>
        <v>2372138</v>
      </c>
      <c r="U604" s="24">
        <f>402925+2360</f>
        <v>405285</v>
      </c>
      <c r="W604" s="24">
        <v>301465</v>
      </c>
      <c r="Y604" s="24">
        <v>896030</v>
      </c>
      <c r="AA604" s="24">
        <v>0</v>
      </c>
      <c r="AC604" s="24">
        <v>0</v>
      </c>
      <c r="AE604" s="24">
        <f t="shared" si="17"/>
        <v>5705425</v>
      </c>
      <c r="AF604" s="24"/>
      <c r="AG604" s="64">
        <f>595352+-224017-815745</f>
        <v>-444410</v>
      </c>
      <c r="AI604" s="64">
        <f>3165044+1868079+1664145</f>
        <v>6697268</v>
      </c>
      <c r="AK604" s="64">
        <f>3760386+1644062+848400</f>
        <v>6252848</v>
      </c>
      <c r="AM604" s="24">
        <f>+'Gov Rev'!AI601-'Gov Exp'!AE604+'Gov Exp'!AI604-'Gov Exp'!AK604</f>
        <v>0</v>
      </c>
    </row>
    <row r="605" spans="1:39" ht="12.75" hidden="1">
      <c r="A605" s="15" t="s">
        <v>82</v>
      </c>
      <c r="C605" s="15" t="s">
        <v>775</v>
      </c>
      <c r="D605" s="28"/>
      <c r="E605" s="24">
        <v>0</v>
      </c>
      <c r="G605" s="24">
        <v>0</v>
      </c>
      <c r="I605" s="24">
        <v>0</v>
      </c>
      <c r="K605" s="24">
        <v>0</v>
      </c>
      <c r="M605" s="24">
        <v>0</v>
      </c>
      <c r="O605" s="24">
        <v>0</v>
      </c>
      <c r="Q605" s="24">
        <v>0</v>
      </c>
      <c r="S605" s="24">
        <v>0</v>
      </c>
      <c r="U605" s="24">
        <v>0</v>
      </c>
      <c r="W605" s="24">
        <v>0</v>
      </c>
      <c r="Y605" s="24">
        <v>0</v>
      </c>
      <c r="AA605" s="24">
        <v>0</v>
      </c>
      <c r="AC605" s="24">
        <v>0</v>
      </c>
      <c r="AE605" s="24">
        <f t="shared" si="17"/>
        <v>0</v>
      </c>
      <c r="AF605" s="24"/>
      <c r="AM605" s="24">
        <f>+'Gov Rev'!AI602-'Gov Exp'!AE605+'Gov Exp'!AI605-'Gov Exp'!AK605</f>
        <v>0</v>
      </c>
    </row>
    <row r="606" spans="1:39" s="31" customFormat="1">
      <c r="A606" s="15" t="s">
        <v>435</v>
      </c>
      <c r="B606" s="15"/>
      <c r="C606" s="15" t="s">
        <v>430</v>
      </c>
      <c r="D606" s="15"/>
      <c r="E606" s="24">
        <f>540929+68682</f>
        <v>609611</v>
      </c>
      <c r="F606" s="24"/>
      <c r="G606" s="24">
        <v>15977</v>
      </c>
      <c r="H606" s="24"/>
      <c r="I606" s="24">
        <v>0</v>
      </c>
      <c r="J606" s="24"/>
      <c r="K606" s="24">
        <v>14954</v>
      </c>
      <c r="L606" s="24"/>
      <c r="M606" s="24">
        <v>33228</v>
      </c>
      <c r="N606" s="24"/>
      <c r="O606" s="24">
        <f>327037+265831</f>
        <v>592868</v>
      </c>
      <c r="P606" s="24"/>
      <c r="Q606" s="24">
        <f>279790+137</f>
        <v>279927</v>
      </c>
      <c r="R606" s="24"/>
      <c r="S606" s="24">
        <v>0</v>
      </c>
      <c r="T606" s="24"/>
      <c r="U606" s="24">
        <v>0</v>
      </c>
      <c r="V606" s="24"/>
      <c r="W606" s="24">
        <v>0</v>
      </c>
      <c r="X606" s="24"/>
      <c r="Y606" s="24">
        <v>245680</v>
      </c>
      <c r="Z606" s="24"/>
      <c r="AA606" s="24">
        <v>0</v>
      </c>
      <c r="AB606" s="24"/>
      <c r="AC606" s="24">
        <v>0</v>
      </c>
      <c r="AD606" s="24"/>
      <c r="AE606" s="24">
        <f t="shared" si="17"/>
        <v>1792245</v>
      </c>
      <c r="AF606" s="24"/>
      <c r="AG606" s="65">
        <f>-1854-45457</f>
        <v>-47311</v>
      </c>
      <c r="AH606" s="65"/>
      <c r="AI606" s="65">
        <f>755577+387946</f>
        <v>1143523</v>
      </c>
      <c r="AJ606" s="65"/>
      <c r="AK606" s="65">
        <f>753723+342489</f>
        <v>1096212</v>
      </c>
      <c r="AM606" s="24">
        <f>+'Gov Rev'!AI603-'Gov Exp'!AE606+'Gov Exp'!AI606-'Gov Exp'!AK606</f>
        <v>0</v>
      </c>
    </row>
    <row r="607" spans="1:39" s="24" customFormat="1" hidden="1">
      <c r="A607" s="24" t="s">
        <v>419</v>
      </c>
      <c r="C607" s="24" t="s">
        <v>416</v>
      </c>
      <c r="E607" s="24">
        <v>0</v>
      </c>
      <c r="G607" s="24">
        <v>0</v>
      </c>
      <c r="I607" s="24">
        <v>0</v>
      </c>
      <c r="K607" s="24">
        <v>0</v>
      </c>
      <c r="M607" s="24">
        <v>0</v>
      </c>
      <c r="O607" s="24">
        <v>0</v>
      </c>
      <c r="Q607" s="24">
        <v>0</v>
      </c>
      <c r="S607" s="24">
        <v>0</v>
      </c>
      <c r="U607" s="24">
        <v>0</v>
      </c>
      <c r="W607" s="24">
        <v>0</v>
      </c>
      <c r="Y607" s="24">
        <v>0</v>
      </c>
      <c r="AA607" s="24">
        <v>0</v>
      </c>
      <c r="AC607" s="24">
        <v>0</v>
      </c>
      <c r="AE607" s="24">
        <f t="shared" si="17"/>
        <v>0</v>
      </c>
      <c r="AG607" s="64"/>
      <c r="AH607" s="64"/>
      <c r="AI607" s="64"/>
      <c r="AJ607" s="64"/>
      <c r="AK607" s="64"/>
      <c r="AM607" s="24">
        <f>+'Gov Rev'!AI604-'Gov Exp'!AE607+'Gov Exp'!AI607-'Gov Exp'!AK607</f>
        <v>0</v>
      </c>
    </row>
    <row r="608" spans="1:39" ht="12.75" hidden="1">
      <c r="A608" s="15" t="s">
        <v>261</v>
      </c>
      <c r="C608" s="15" t="s">
        <v>830</v>
      </c>
      <c r="D608" s="28"/>
      <c r="E608" s="24">
        <v>0</v>
      </c>
      <c r="G608" s="24">
        <v>0</v>
      </c>
      <c r="I608" s="24">
        <v>0</v>
      </c>
      <c r="K608" s="24">
        <v>0</v>
      </c>
      <c r="M608" s="24">
        <v>0</v>
      </c>
      <c r="O608" s="24">
        <v>0</v>
      </c>
      <c r="Q608" s="24">
        <v>0</v>
      </c>
      <c r="S608" s="24">
        <v>0</v>
      </c>
      <c r="U608" s="24">
        <v>0</v>
      </c>
      <c r="W608" s="24">
        <v>0</v>
      </c>
      <c r="Y608" s="24">
        <v>0</v>
      </c>
      <c r="AA608" s="24">
        <v>0</v>
      </c>
      <c r="AC608" s="24">
        <v>0</v>
      </c>
      <c r="AE608" s="24">
        <f t="shared" si="17"/>
        <v>0</v>
      </c>
      <c r="AF608" s="41"/>
      <c r="AM608" s="24">
        <f>+'Gov Rev'!AI605-'Gov Exp'!AE608+'Gov Exp'!AI608-'Gov Exp'!AK608</f>
        <v>0</v>
      </c>
    </row>
    <row r="609" spans="1:39" ht="12.75" hidden="1">
      <c r="A609" s="15" t="s">
        <v>151</v>
      </c>
      <c r="C609" s="15" t="s">
        <v>796</v>
      </c>
      <c r="D609" s="28"/>
      <c r="E609" s="24">
        <v>0</v>
      </c>
      <c r="G609" s="24">
        <v>0</v>
      </c>
      <c r="I609" s="24">
        <v>0</v>
      </c>
      <c r="K609" s="24">
        <v>0</v>
      </c>
      <c r="M609" s="24">
        <v>0</v>
      </c>
      <c r="O609" s="24">
        <v>0</v>
      </c>
      <c r="Q609" s="24">
        <v>0</v>
      </c>
      <c r="S609" s="24">
        <v>0</v>
      </c>
      <c r="U609" s="24">
        <v>0</v>
      </c>
      <c r="W609" s="24">
        <v>0</v>
      </c>
      <c r="Y609" s="24">
        <v>0</v>
      </c>
      <c r="AA609" s="24">
        <v>0</v>
      </c>
      <c r="AC609" s="24">
        <v>0</v>
      </c>
      <c r="AE609" s="24">
        <f t="shared" si="17"/>
        <v>0</v>
      </c>
      <c r="AF609" s="24"/>
      <c r="AM609" s="24">
        <f>+'Gov Rev'!AI606-'Gov Exp'!AE609+'Gov Exp'!AI609-'Gov Exp'!AK609</f>
        <v>0</v>
      </c>
    </row>
    <row r="610" spans="1:39" s="31" customFormat="1" ht="12.75" hidden="1">
      <c r="A610" s="15" t="s">
        <v>50</v>
      </c>
      <c r="B610" s="15"/>
      <c r="C610" s="15" t="s">
        <v>766</v>
      </c>
      <c r="D610" s="28"/>
      <c r="E610" s="24">
        <v>0</v>
      </c>
      <c r="F610" s="24"/>
      <c r="G610" s="24">
        <v>0</v>
      </c>
      <c r="H610" s="24"/>
      <c r="I610" s="24">
        <v>0</v>
      </c>
      <c r="J610" s="24"/>
      <c r="K610" s="24">
        <v>0</v>
      </c>
      <c r="L610" s="24"/>
      <c r="M610" s="24">
        <v>0</v>
      </c>
      <c r="N610" s="24"/>
      <c r="O610" s="24">
        <v>0</v>
      </c>
      <c r="P610" s="24"/>
      <c r="Q610" s="24">
        <v>0</v>
      </c>
      <c r="R610" s="24"/>
      <c r="S610" s="24">
        <v>0</v>
      </c>
      <c r="T610" s="24"/>
      <c r="U610" s="24">
        <v>0</v>
      </c>
      <c r="V610" s="24"/>
      <c r="W610" s="24">
        <v>0</v>
      </c>
      <c r="X610" s="24"/>
      <c r="Y610" s="24">
        <v>0</v>
      </c>
      <c r="Z610" s="24"/>
      <c r="AA610" s="24">
        <v>0</v>
      </c>
      <c r="AB610" s="24"/>
      <c r="AC610" s="24">
        <v>0</v>
      </c>
      <c r="AD610" s="24"/>
      <c r="AE610" s="24">
        <f t="shared" si="17"/>
        <v>0</v>
      </c>
      <c r="AF610" s="24"/>
      <c r="AG610" s="65"/>
      <c r="AH610" s="65"/>
      <c r="AI610" s="65"/>
      <c r="AJ610" s="65"/>
      <c r="AK610" s="65"/>
      <c r="AM610" s="24">
        <f>+'Gov Rev'!AI606-'Gov Exp'!AE610+'Gov Exp'!AI610-'Gov Exp'!AK610</f>
        <v>0</v>
      </c>
    </row>
    <row r="611" spans="1:39" s="31" customFormat="1" ht="12.75" hidden="1">
      <c r="A611" s="15" t="s">
        <v>853</v>
      </c>
      <c r="B611" s="15"/>
      <c r="C611" s="15" t="s">
        <v>764</v>
      </c>
      <c r="D611" s="28"/>
      <c r="E611" s="24">
        <v>0</v>
      </c>
      <c r="F611" s="24"/>
      <c r="G611" s="24">
        <v>0</v>
      </c>
      <c r="H611" s="24"/>
      <c r="I611" s="24">
        <v>0</v>
      </c>
      <c r="J611" s="24"/>
      <c r="K611" s="24">
        <v>0</v>
      </c>
      <c r="L611" s="24"/>
      <c r="M611" s="24">
        <v>0</v>
      </c>
      <c r="N611" s="24"/>
      <c r="O611" s="24">
        <v>0</v>
      </c>
      <c r="P611" s="24"/>
      <c r="Q611" s="24">
        <v>0</v>
      </c>
      <c r="R611" s="24"/>
      <c r="S611" s="24">
        <v>0</v>
      </c>
      <c r="T611" s="24"/>
      <c r="U611" s="24">
        <v>0</v>
      </c>
      <c r="V611" s="24"/>
      <c r="W611" s="24">
        <v>0</v>
      </c>
      <c r="X611" s="24"/>
      <c r="Y611" s="24">
        <v>0</v>
      </c>
      <c r="Z611" s="24"/>
      <c r="AA611" s="24">
        <v>0</v>
      </c>
      <c r="AB611" s="24"/>
      <c r="AC611" s="24">
        <v>0</v>
      </c>
      <c r="AD611" s="24"/>
      <c r="AE611" s="24">
        <f t="shared" si="17"/>
        <v>0</v>
      </c>
      <c r="AF611" s="24"/>
      <c r="AG611" s="65"/>
      <c r="AH611" s="65"/>
      <c r="AI611" s="65"/>
      <c r="AJ611" s="65"/>
      <c r="AK611" s="65"/>
      <c r="AM611" s="24">
        <f>+'Gov Rev'!AI607-'Gov Exp'!AE611+'Gov Exp'!AI611-'Gov Exp'!AK611</f>
        <v>0</v>
      </c>
    </row>
    <row r="612" spans="1:39" ht="12.75" hidden="1">
      <c r="A612" s="15" t="s">
        <v>48</v>
      </c>
      <c r="C612" s="15" t="s">
        <v>763</v>
      </c>
      <c r="D612" s="28"/>
      <c r="E612" s="24">
        <v>0</v>
      </c>
      <c r="G612" s="24">
        <v>0</v>
      </c>
      <c r="I612" s="24">
        <v>0</v>
      </c>
      <c r="K612" s="24">
        <v>0</v>
      </c>
      <c r="M612" s="24">
        <v>0</v>
      </c>
      <c r="O612" s="24">
        <v>0</v>
      </c>
      <c r="Q612" s="24">
        <v>0</v>
      </c>
      <c r="S612" s="24">
        <v>0</v>
      </c>
      <c r="U612" s="24">
        <v>0</v>
      </c>
      <c r="W612" s="24">
        <v>0</v>
      </c>
      <c r="Y612" s="24">
        <v>0</v>
      </c>
      <c r="AA612" s="24">
        <v>0</v>
      </c>
      <c r="AC612" s="24">
        <v>0</v>
      </c>
      <c r="AE612" s="24">
        <f t="shared" si="17"/>
        <v>0</v>
      </c>
      <c r="AF612" s="24"/>
      <c r="AM612" s="24">
        <f>+'Gov Rev'!AI608-'Gov Exp'!AE612+'Gov Exp'!AI612-'Gov Exp'!AK612</f>
        <v>0</v>
      </c>
    </row>
    <row r="613" spans="1:39" ht="12.75" hidden="1">
      <c r="D613" s="28"/>
      <c r="AE613" s="24" t="s">
        <v>869</v>
      </c>
      <c r="AF613" s="24"/>
      <c r="AM613" s="24"/>
    </row>
    <row r="614" spans="1:39" s="24" customFormat="1">
      <c r="A614" s="24" t="s">
        <v>458</v>
      </c>
      <c r="C614" s="24" t="s">
        <v>456</v>
      </c>
      <c r="E614" s="24">
        <f>1895706+59315</f>
        <v>1955021</v>
      </c>
      <c r="G614" s="24">
        <v>21642</v>
      </c>
      <c r="I614" s="24">
        <f>56223+12646</f>
        <v>68869</v>
      </c>
      <c r="K614" s="24">
        <f>61304+6921</f>
        <v>68225</v>
      </c>
      <c r="M614" s="24">
        <v>248186</v>
      </c>
      <c r="O614" s="24">
        <v>252429</v>
      </c>
      <c r="Q614" s="24">
        <v>1006591</v>
      </c>
      <c r="S614" s="24">
        <f>209512+1406258</f>
        <v>1615770</v>
      </c>
      <c r="U614" s="24">
        <f>47752+2812795</f>
        <v>2860547</v>
      </c>
      <c r="W614" s="24">
        <v>0</v>
      </c>
      <c r="Y614" s="24">
        <v>2376</v>
      </c>
      <c r="AA614" s="24">
        <v>85000</v>
      </c>
      <c r="AC614" s="24">
        <v>0</v>
      </c>
      <c r="AE614" s="24">
        <f t="shared" ref="AE614:AE660" si="18">SUM(E614:AC614)</f>
        <v>8184656</v>
      </c>
      <c r="AG614" s="24">
        <f>58171-12708-47752-476394</f>
        <v>-478683</v>
      </c>
      <c r="AI614" s="24">
        <f>76866+450250+47752+1644799+1</f>
        <v>2219668</v>
      </c>
      <c r="AK614" s="24">
        <f>135037+323043+1168405</f>
        <v>1626485</v>
      </c>
      <c r="AM614" s="24">
        <f>+'Gov Rev'!AI610-'Gov Exp'!AE614+'Gov Exp'!AI614-'Gov Exp'!AK614</f>
        <v>0</v>
      </c>
    </row>
    <row r="615" spans="1:39" ht="12.6" customHeight="1">
      <c r="A615" s="15" t="s">
        <v>593</v>
      </c>
      <c r="C615" s="15" t="s">
        <v>606</v>
      </c>
      <c r="E615" s="24">
        <v>91232</v>
      </c>
      <c r="G615" s="24">
        <v>531</v>
      </c>
      <c r="I615" s="24">
        <f>1883+1891+8855</f>
        <v>12629</v>
      </c>
      <c r="K615" s="24">
        <v>7855</v>
      </c>
      <c r="M615" s="24">
        <v>1759</v>
      </c>
      <c r="O615" s="24">
        <v>0</v>
      </c>
      <c r="Q615" s="24">
        <v>59588</v>
      </c>
      <c r="S615" s="24">
        <f>8755+10910</f>
        <v>19665</v>
      </c>
      <c r="U615" s="24">
        <v>15039</v>
      </c>
      <c r="W615" s="24">
        <v>3300</v>
      </c>
      <c r="Y615" s="24">
        <v>10500</v>
      </c>
      <c r="AA615" s="24">
        <v>0</v>
      </c>
      <c r="AC615" s="24">
        <v>0</v>
      </c>
      <c r="AE615" s="24">
        <f t="shared" si="18"/>
        <v>222098</v>
      </c>
      <c r="AF615" s="24"/>
      <c r="AG615" s="64">
        <f>-14897+108040</f>
        <v>93143</v>
      </c>
      <c r="AI615" s="64">
        <f>94120+410367+17012</f>
        <v>521499</v>
      </c>
      <c r="AK615" s="64">
        <f>79221+518407+17524</f>
        <v>615152</v>
      </c>
      <c r="AM615" s="24">
        <f>+'Gov Rev'!AI611-'Gov Exp'!AE615+'Gov Exp'!AI615-'Gov Exp'!AK615</f>
        <v>0</v>
      </c>
    </row>
    <row r="616" spans="1:39" ht="12.6" hidden="1" customHeight="1">
      <c r="A616" s="15" t="s">
        <v>339</v>
      </c>
      <c r="C616" s="15" t="s">
        <v>329</v>
      </c>
      <c r="E616" s="24">
        <v>0</v>
      </c>
      <c r="G616" s="24">
        <v>0</v>
      </c>
      <c r="I616" s="24">
        <v>0</v>
      </c>
      <c r="K616" s="24">
        <v>0</v>
      </c>
      <c r="M616" s="24">
        <v>0</v>
      </c>
      <c r="O616" s="24">
        <v>0</v>
      </c>
      <c r="Q616" s="24">
        <v>0</v>
      </c>
      <c r="S616" s="24">
        <v>0</v>
      </c>
      <c r="U616" s="24">
        <v>0</v>
      </c>
      <c r="W616" s="24">
        <v>0</v>
      </c>
      <c r="Y616" s="24">
        <v>0</v>
      </c>
      <c r="AA616" s="24">
        <v>0</v>
      </c>
      <c r="AC616" s="24">
        <v>0</v>
      </c>
      <c r="AE616" s="24">
        <f t="shared" si="18"/>
        <v>0</v>
      </c>
      <c r="AF616" s="24"/>
      <c r="AM616" s="24">
        <f>+'Gov Rev'!AI612-'Gov Exp'!AE616+'Gov Exp'!AI616-'Gov Exp'!AK616</f>
        <v>0</v>
      </c>
    </row>
    <row r="617" spans="1:39">
      <c r="A617" s="15" t="s">
        <v>552</v>
      </c>
      <c r="C617" s="15" t="s">
        <v>545</v>
      </c>
      <c r="E617" s="24">
        <f>48160+67187</f>
        <v>115347</v>
      </c>
      <c r="G617" s="24">
        <v>31899</v>
      </c>
      <c r="I617" s="24">
        <v>0</v>
      </c>
      <c r="K617" s="24">
        <v>0</v>
      </c>
      <c r="M617" s="24">
        <v>0</v>
      </c>
      <c r="O617" s="24">
        <v>21135</v>
      </c>
      <c r="Q617" s="24">
        <f>70480+103673</f>
        <v>174153</v>
      </c>
      <c r="S617" s="24">
        <f>170+21353</f>
        <v>21523</v>
      </c>
      <c r="U617" s="24">
        <f>2304+14102+12917</f>
        <v>29323</v>
      </c>
      <c r="W617" s="24">
        <f>201+1206+1053</f>
        <v>2460</v>
      </c>
      <c r="Y617" s="24">
        <v>0</v>
      </c>
      <c r="AA617" s="24">
        <v>0</v>
      </c>
      <c r="AC617" s="24">
        <v>0</v>
      </c>
      <c r="AE617" s="24">
        <f t="shared" si="18"/>
        <v>395840</v>
      </c>
      <c r="AF617" s="24"/>
      <c r="AG617" s="64">
        <f>-33171-18711</f>
        <v>-51882</v>
      </c>
      <c r="AI617" s="64">
        <f>57586+216022</f>
        <v>273608</v>
      </c>
      <c r="AK617" s="64">
        <f>24415+197311</f>
        <v>221726</v>
      </c>
      <c r="AM617" s="24">
        <f>+'Gov Rev'!AI613-'Gov Exp'!AE617+'Gov Exp'!AI617-'Gov Exp'!AK617</f>
        <v>0</v>
      </c>
    </row>
    <row r="618" spans="1:39" ht="12.75" hidden="1">
      <c r="A618" s="15" t="s">
        <v>14</v>
      </c>
      <c r="C618" s="15" t="s">
        <v>754</v>
      </c>
      <c r="D618" s="28"/>
      <c r="E618" s="24">
        <v>0</v>
      </c>
      <c r="G618" s="24">
        <v>0</v>
      </c>
      <c r="I618" s="24">
        <v>0</v>
      </c>
      <c r="K618" s="24">
        <v>0</v>
      </c>
      <c r="M618" s="24">
        <v>0</v>
      </c>
      <c r="O618" s="24">
        <v>0</v>
      </c>
      <c r="Q618" s="24">
        <v>0</v>
      </c>
      <c r="S618" s="24">
        <v>0</v>
      </c>
      <c r="U618" s="24">
        <v>0</v>
      </c>
      <c r="W618" s="24">
        <v>0</v>
      </c>
      <c r="Y618" s="24">
        <v>0</v>
      </c>
      <c r="AA618" s="24">
        <v>0</v>
      </c>
      <c r="AC618" s="24">
        <v>0</v>
      </c>
      <c r="AE618" s="24">
        <f t="shared" si="18"/>
        <v>0</v>
      </c>
      <c r="AF618" s="24"/>
      <c r="AM618" s="24">
        <f>+'Gov Rev'!AI614-'Gov Exp'!AE618+'Gov Exp'!AI618-'Gov Exp'!AK618</f>
        <v>0</v>
      </c>
    </row>
    <row r="619" spans="1:39">
      <c r="A619" s="15" t="s">
        <v>588</v>
      </c>
      <c r="C619" s="15" t="s">
        <v>586</v>
      </c>
      <c r="E619" s="24">
        <f>83638+228407+2558</f>
        <v>314603</v>
      </c>
      <c r="G619" s="24">
        <v>0</v>
      </c>
      <c r="I619" s="24">
        <v>125</v>
      </c>
      <c r="K619" s="24">
        <v>0</v>
      </c>
      <c r="M619" s="24">
        <v>0</v>
      </c>
      <c r="O619" s="24">
        <f>294+116654+2605</f>
        <v>119553</v>
      </c>
      <c r="Q619" s="24">
        <f>235747+14823+22624</f>
        <v>273194</v>
      </c>
      <c r="S619" s="24">
        <f>2500+4712</f>
        <v>7212</v>
      </c>
      <c r="U619" s="24">
        <f>363038+15000+2230</f>
        <v>380268</v>
      </c>
      <c r="W619" s="24">
        <f>35280+1050+68</f>
        <v>36398</v>
      </c>
      <c r="Y619" s="24">
        <v>0</v>
      </c>
      <c r="AA619" s="24">
        <v>0</v>
      </c>
      <c r="AC619" s="24">
        <v>0</v>
      </c>
      <c r="AE619" s="24">
        <f t="shared" si="18"/>
        <v>1131353</v>
      </c>
      <c r="AF619" s="24"/>
      <c r="AG619" s="64">
        <f>61836+7373+48724+59566+19363</f>
        <v>196862</v>
      </c>
      <c r="AI619" s="64">
        <f>217488-155066-325384+141230+78438</f>
        <v>-43294</v>
      </c>
      <c r="AK619" s="64">
        <f>279325-147693-276660+200796+97801</f>
        <v>153569</v>
      </c>
      <c r="AM619" s="24">
        <f>+'Gov Rev'!AI615-'Gov Exp'!AE619+'Gov Exp'!AI619-'Gov Exp'!AK619</f>
        <v>0</v>
      </c>
    </row>
    <row r="620" spans="1:39" s="31" customFormat="1">
      <c r="A620" s="15" t="s">
        <v>454</v>
      </c>
      <c r="B620" s="15"/>
      <c r="C620" s="15" t="s">
        <v>452</v>
      </c>
      <c r="D620" s="15"/>
      <c r="E620" s="24">
        <f>855678+17657</f>
        <v>873335</v>
      </c>
      <c r="F620" s="24"/>
      <c r="G620" s="24">
        <f>3498+65983</f>
        <v>69481</v>
      </c>
      <c r="H620" s="24"/>
      <c r="I620" s="24">
        <f>50635+15551</f>
        <v>66186</v>
      </c>
      <c r="J620" s="24"/>
      <c r="K620" s="24">
        <v>117620</v>
      </c>
      <c r="L620" s="24"/>
      <c r="M620" s="24">
        <v>0</v>
      </c>
      <c r="N620" s="24"/>
      <c r="O620" s="24">
        <f>725387+127345</f>
        <v>852732</v>
      </c>
      <c r="P620" s="24"/>
      <c r="Q620" s="24">
        <v>413390</v>
      </c>
      <c r="R620" s="24"/>
      <c r="S620" s="24">
        <f>111549+820716+65764</f>
        <v>998029</v>
      </c>
      <c r="T620" s="24"/>
      <c r="U620" s="24">
        <v>56627</v>
      </c>
      <c r="V620" s="24"/>
      <c r="W620" s="24">
        <v>8478</v>
      </c>
      <c r="X620" s="24"/>
      <c r="Y620" s="24">
        <v>5500</v>
      </c>
      <c r="Z620" s="24"/>
      <c r="AA620" s="24">
        <v>0</v>
      </c>
      <c r="AB620" s="24"/>
      <c r="AC620" s="24">
        <v>0</v>
      </c>
      <c r="AD620" s="24"/>
      <c r="AE620" s="24">
        <f t="shared" si="18"/>
        <v>3461378</v>
      </c>
      <c r="AF620" s="24"/>
      <c r="AG620" s="65">
        <f>101626-70674+124479</f>
        <v>155431</v>
      </c>
      <c r="AH620" s="65"/>
      <c r="AI620" s="65">
        <f>1027204+918435+890735</f>
        <v>2836374</v>
      </c>
      <c r="AJ620" s="65"/>
      <c r="AK620" s="65">
        <f>1128830+847761+1015214</f>
        <v>2991805</v>
      </c>
      <c r="AM620" s="24">
        <f>+'Gov Rev'!AI616-'Gov Exp'!AE620+'Gov Exp'!AI620-'Gov Exp'!AK620</f>
        <v>0</v>
      </c>
    </row>
    <row r="621" spans="1:39" ht="12.6" hidden="1" customHeight="1">
      <c r="A621" s="15" t="s">
        <v>306</v>
      </c>
      <c r="C621" s="15" t="s">
        <v>305</v>
      </c>
      <c r="E621" s="24">
        <v>0</v>
      </c>
      <c r="G621" s="24">
        <v>0</v>
      </c>
      <c r="I621" s="24">
        <v>0</v>
      </c>
      <c r="K621" s="24">
        <v>0</v>
      </c>
      <c r="M621" s="24">
        <v>0</v>
      </c>
      <c r="O621" s="24">
        <v>0</v>
      </c>
      <c r="Q621" s="24">
        <v>0</v>
      </c>
      <c r="S621" s="24">
        <v>0</v>
      </c>
      <c r="U621" s="24">
        <v>0</v>
      </c>
      <c r="W621" s="24">
        <v>0</v>
      </c>
      <c r="Y621" s="24">
        <v>0</v>
      </c>
      <c r="AA621" s="24">
        <v>0</v>
      </c>
      <c r="AC621" s="24">
        <v>0</v>
      </c>
      <c r="AE621" s="24">
        <f t="shared" si="18"/>
        <v>0</v>
      </c>
      <c r="AF621" s="24"/>
      <c r="AM621" s="24">
        <f>+'Gov Rev'!AI617-'Gov Exp'!AE621+'Gov Exp'!AI621-'Gov Exp'!AK621</f>
        <v>0</v>
      </c>
    </row>
    <row r="622" spans="1:39">
      <c r="A622" s="15" t="s">
        <v>516</v>
      </c>
      <c r="C622" s="15" t="s">
        <v>513</v>
      </c>
      <c r="E622" s="24">
        <f>223446+366424</f>
        <v>589870</v>
      </c>
      <c r="G622" s="24">
        <v>3438</v>
      </c>
      <c r="I622" s="24">
        <v>1263</v>
      </c>
      <c r="K622" s="24">
        <v>5843</v>
      </c>
      <c r="M622" s="24">
        <v>1213</v>
      </c>
      <c r="O622" s="24">
        <v>129065</v>
      </c>
      <c r="Q622" s="24">
        <f>137608+27193</f>
        <v>164801</v>
      </c>
      <c r="S622" s="24">
        <f>6876+9727</f>
        <v>16603</v>
      </c>
      <c r="U622" s="24">
        <v>18446</v>
      </c>
      <c r="W622" s="24">
        <v>81844</v>
      </c>
      <c r="Y622" s="24">
        <v>0</v>
      </c>
      <c r="AA622" s="24">
        <v>0</v>
      </c>
      <c r="AC622" s="24">
        <f>33605+226870</f>
        <v>260475</v>
      </c>
      <c r="AE622" s="24">
        <f t="shared" si="18"/>
        <v>1272861</v>
      </c>
      <c r="AF622" s="24"/>
      <c r="AG622" s="64">
        <f>79148+15755+1500</f>
        <v>96403</v>
      </c>
      <c r="AI622" s="64">
        <f>213217+432704+1500-1</f>
        <v>647420</v>
      </c>
      <c r="AK622" s="64">
        <f>292365+445459</f>
        <v>737824</v>
      </c>
      <c r="AM622" s="24">
        <f>+'Gov Rev'!AI618-'Gov Exp'!AE622+'Gov Exp'!AI622-'Gov Exp'!AK622</f>
        <v>0</v>
      </c>
    </row>
    <row r="623" spans="1:39" ht="12.75" hidden="1">
      <c r="A623" s="15" t="s">
        <v>230</v>
      </c>
      <c r="C623" s="15" t="s">
        <v>822</v>
      </c>
      <c r="D623" s="28"/>
      <c r="E623" s="24">
        <v>0</v>
      </c>
      <c r="G623" s="24">
        <v>0</v>
      </c>
      <c r="I623" s="24">
        <v>0</v>
      </c>
      <c r="K623" s="24">
        <v>0</v>
      </c>
      <c r="M623" s="24">
        <v>0</v>
      </c>
      <c r="O623" s="24">
        <v>0</v>
      </c>
      <c r="Q623" s="24">
        <v>0</v>
      </c>
      <c r="S623" s="24">
        <v>0</v>
      </c>
      <c r="U623" s="24">
        <v>0</v>
      </c>
      <c r="W623" s="24">
        <v>0</v>
      </c>
      <c r="Y623" s="24">
        <v>0</v>
      </c>
      <c r="AA623" s="24">
        <v>0</v>
      </c>
      <c r="AC623" s="24">
        <v>0</v>
      </c>
      <c r="AE623" s="24">
        <f t="shared" si="18"/>
        <v>0</v>
      </c>
      <c r="AF623" s="24"/>
      <c r="AM623" s="24">
        <f>+'Gov Rev'!AI619-'Gov Exp'!AE623+'Gov Exp'!AI623-'Gov Exp'!AK623</f>
        <v>0</v>
      </c>
    </row>
    <row r="624" spans="1:39" s="31" customFormat="1" ht="12.6" customHeight="1">
      <c r="A624" s="15" t="s">
        <v>310</v>
      </c>
      <c r="B624" s="15"/>
      <c r="C624" s="15" t="s">
        <v>308</v>
      </c>
      <c r="D624" s="15"/>
      <c r="E624" s="24">
        <v>354681</v>
      </c>
      <c r="F624" s="24"/>
      <c r="G624" s="24">
        <v>0</v>
      </c>
      <c r="H624" s="24"/>
      <c r="I624" s="24">
        <v>0</v>
      </c>
      <c r="J624" s="24"/>
      <c r="K624" s="24">
        <f>2806+83877</f>
        <v>86683</v>
      </c>
      <c r="L624" s="24"/>
      <c r="M624" s="24">
        <v>14068</v>
      </c>
      <c r="N624" s="24"/>
      <c r="O624" s="24">
        <v>162068</v>
      </c>
      <c r="P624" s="24"/>
      <c r="Q624" s="24">
        <v>164226</v>
      </c>
      <c r="R624" s="24"/>
      <c r="S624" s="24">
        <v>0</v>
      </c>
      <c r="T624" s="24"/>
      <c r="U624" s="24">
        <v>0</v>
      </c>
      <c r="V624" s="24"/>
      <c r="W624" s="24">
        <v>0</v>
      </c>
      <c r="X624" s="24"/>
      <c r="Y624" s="24">
        <v>35000</v>
      </c>
      <c r="Z624" s="24"/>
      <c r="AA624" s="24">
        <v>0</v>
      </c>
      <c r="AB624" s="24"/>
      <c r="AC624" s="24">
        <v>0</v>
      </c>
      <c r="AD624" s="24"/>
      <c r="AE624" s="24">
        <f t="shared" si="18"/>
        <v>816726</v>
      </c>
      <c r="AF624" s="24"/>
      <c r="AG624" s="65">
        <f>24317-12149-6921</f>
        <v>5247</v>
      </c>
      <c r="AH624" s="65"/>
      <c r="AI624" s="65">
        <f>262726+64829+18970+10067</f>
        <v>356592</v>
      </c>
      <c r="AJ624" s="65"/>
      <c r="AK624" s="65">
        <f>287042+52680+18970+3146-1</f>
        <v>361837</v>
      </c>
      <c r="AM624" s="24">
        <f>+'Gov Rev'!AI620-'Gov Exp'!AE624+'Gov Exp'!AI624-'Gov Exp'!AK624</f>
        <v>0</v>
      </c>
    </row>
    <row r="625" spans="1:39">
      <c r="A625" s="15" t="s">
        <v>927</v>
      </c>
      <c r="C625" s="15" t="s">
        <v>517</v>
      </c>
      <c r="E625" s="24">
        <f>18550+9447</f>
        <v>27997</v>
      </c>
      <c r="G625" s="24">
        <v>0</v>
      </c>
      <c r="I625" s="24">
        <v>0</v>
      </c>
      <c r="K625" s="24">
        <v>0</v>
      </c>
      <c r="M625" s="24">
        <v>2466</v>
      </c>
      <c r="O625" s="24">
        <f>7783+45775</f>
        <v>53558</v>
      </c>
      <c r="Q625" s="24">
        <f>46951+186</f>
        <v>47137</v>
      </c>
      <c r="S625" s="24">
        <v>65500</v>
      </c>
      <c r="U625" s="24">
        <v>756</v>
      </c>
      <c r="W625" s="24">
        <v>0</v>
      </c>
      <c r="Y625" s="24">
        <v>26000</v>
      </c>
      <c r="AA625" s="24">
        <v>0</v>
      </c>
      <c r="AC625" s="24">
        <v>0</v>
      </c>
      <c r="AE625" s="24">
        <f t="shared" si="18"/>
        <v>223414</v>
      </c>
      <c r="AF625" s="24"/>
      <c r="AG625" s="64">
        <f>-48620-14453</f>
        <v>-63073</v>
      </c>
      <c r="AI625" s="64">
        <f>181600+65472+5294+9794</f>
        <v>262160</v>
      </c>
      <c r="AK625" s="64">
        <f>133636+51249+4537+10318+1</f>
        <v>199741</v>
      </c>
      <c r="AM625" s="24">
        <f>+'Gov Rev'!AI621-'Gov Exp'!AE625+'Gov Exp'!AI625-'Gov Exp'!AK625</f>
        <v>0</v>
      </c>
    </row>
    <row r="626" spans="1:39" s="31" customFormat="1" ht="12.75" hidden="1">
      <c r="A626" s="15" t="s">
        <v>135</v>
      </c>
      <c r="B626" s="15"/>
      <c r="C626" s="15" t="s">
        <v>791</v>
      </c>
      <c r="D626" s="28"/>
      <c r="E626" s="24">
        <v>0</v>
      </c>
      <c r="F626" s="24"/>
      <c r="G626" s="24">
        <v>0</v>
      </c>
      <c r="H626" s="24"/>
      <c r="I626" s="24">
        <v>0</v>
      </c>
      <c r="J626" s="24"/>
      <c r="K626" s="24">
        <v>0</v>
      </c>
      <c r="L626" s="24"/>
      <c r="M626" s="24">
        <v>0</v>
      </c>
      <c r="N626" s="24"/>
      <c r="O626" s="24">
        <v>0</v>
      </c>
      <c r="P626" s="24"/>
      <c r="Q626" s="24">
        <v>0</v>
      </c>
      <c r="R626" s="24"/>
      <c r="S626" s="24">
        <v>0</v>
      </c>
      <c r="T626" s="24"/>
      <c r="U626" s="24">
        <v>0</v>
      </c>
      <c r="V626" s="24"/>
      <c r="W626" s="24">
        <v>0</v>
      </c>
      <c r="X626" s="24"/>
      <c r="Y626" s="24">
        <v>0</v>
      </c>
      <c r="Z626" s="24"/>
      <c r="AA626" s="24">
        <v>0</v>
      </c>
      <c r="AB626" s="24"/>
      <c r="AC626" s="24">
        <v>0</v>
      </c>
      <c r="AD626" s="24"/>
      <c r="AE626" s="24">
        <f t="shared" si="18"/>
        <v>0</v>
      </c>
      <c r="AF626" s="24"/>
      <c r="AG626" s="65"/>
      <c r="AH626" s="65"/>
      <c r="AI626" s="65"/>
      <c r="AJ626" s="65"/>
      <c r="AK626" s="65"/>
      <c r="AM626" s="24">
        <f>+'Gov Rev'!AI622-'Gov Exp'!AE626+'Gov Exp'!AI626-'Gov Exp'!AK626</f>
        <v>0</v>
      </c>
    </row>
    <row r="627" spans="1:39" ht="12.75">
      <c r="A627" s="15" t="s">
        <v>928</v>
      </c>
      <c r="C627" s="15" t="s">
        <v>513</v>
      </c>
      <c r="D627" s="28"/>
      <c r="E627" s="24">
        <f>5695+56769</f>
        <v>62464</v>
      </c>
      <c r="G627" s="24">
        <v>0</v>
      </c>
      <c r="I627" s="24">
        <v>1673</v>
      </c>
      <c r="K627" s="24">
        <v>1076</v>
      </c>
      <c r="M627" s="24">
        <v>24701</v>
      </c>
      <c r="O627" s="24">
        <f>5566+17677</f>
        <v>23243</v>
      </c>
      <c r="Q627" s="24">
        <v>52226</v>
      </c>
      <c r="S627" s="24">
        <v>13469</v>
      </c>
      <c r="U627" s="24">
        <v>0</v>
      </c>
      <c r="W627" s="24">
        <v>0</v>
      </c>
      <c r="Y627" s="24">
        <v>0</v>
      </c>
      <c r="AA627" s="24">
        <v>0</v>
      </c>
      <c r="AC627" s="24">
        <v>0</v>
      </c>
      <c r="AE627" s="24">
        <f t="shared" si="18"/>
        <v>178852</v>
      </c>
      <c r="AF627" s="24"/>
      <c r="AG627" s="64">
        <f>-7411+4013</f>
        <v>-3398</v>
      </c>
      <c r="AI627" s="64">
        <f>169795+111563</f>
        <v>281358</v>
      </c>
      <c r="AK627" s="64">
        <f>162384+115576</f>
        <v>277960</v>
      </c>
      <c r="AM627" s="24">
        <f>+'Gov Rev'!AI624-'Gov Exp'!AE627+'Gov Exp'!AI627-'Gov Exp'!AK627</f>
        <v>0</v>
      </c>
    </row>
    <row r="628" spans="1:39" ht="12.75" hidden="1">
      <c r="A628" s="15" t="s">
        <v>262</v>
      </c>
      <c r="C628" s="15" t="s">
        <v>830</v>
      </c>
      <c r="D628" s="28"/>
      <c r="E628" s="24">
        <v>0</v>
      </c>
      <c r="G628" s="24">
        <v>0</v>
      </c>
      <c r="I628" s="24">
        <v>0</v>
      </c>
      <c r="K628" s="24">
        <v>0</v>
      </c>
      <c r="M628" s="24">
        <v>0</v>
      </c>
      <c r="O628" s="24">
        <v>0</v>
      </c>
      <c r="Q628" s="24">
        <v>0</v>
      </c>
      <c r="S628" s="24">
        <v>0</v>
      </c>
      <c r="U628" s="24">
        <v>0</v>
      </c>
      <c r="W628" s="24">
        <v>0</v>
      </c>
      <c r="Y628" s="24">
        <v>0</v>
      </c>
      <c r="AA628" s="24">
        <v>0</v>
      </c>
      <c r="AC628" s="24">
        <v>0</v>
      </c>
      <c r="AE628" s="24">
        <f t="shared" si="18"/>
        <v>0</v>
      </c>
      <c r="AF628" s="24"/>
      <c r="AM628" s="24">
        <f>+'Gov Rev'!AI625-'Gov Exp'!AE628+'Gov Exp'!AI628-'Gov Exp'!AK628</f>
        <v>0</v>
      </c>
    </row>
    <row r="629" spans="1:39">
      <c r="A629" s="15" t="s">
        <v>475</v>
      </c>
      <c r="C629" s="15" t="s">
        <v>473</v>
      </c>
      <c r="E629" s="24">
        <v>743738</v>
      </c>
      <c r="G629" s="24">
        <v>7500</v>
      </c>
      <c r="I629" s="24">
        <f>5838+35189</f>
        <v>41027</v>
      </c>
      <c r="K629" s="24">
        <v>2124</v>
      </c>
      <c r="M629" s="24">
        <v>0</v>
      </c>
      <c r="O629" s="24">
        <v>354011</v>
      </c>
      <c r="Q629" s="24">
        <f>415844+56</f>
        <v>415900</v>
      </c>
      <c r="S629" s="24">
        <f>125885+90000</f>
        <v>215885</v>
      </c>
      <c r="U629" s="24">
        <v>194562</v>
      </c>
      <c r="W629" s="24">
        <v>55570</v>
      </c>
      <c r="Y629" s="24">
        <v>81907</v>
      </c>
      <c r="AA629" s="24">
        <v>0</v>
      </c>
      <c r="AC629" s="24">
        <v>0</v>
      </c>
      <c r="AE629" s="24">
        <f t="shared" si="18"/>
        <v>2112224</v>
      </c>
      <c r="AF629" s="24"/>
      <c r="AG629" s="64">
        <f>168076-78695+33754</f>
        <v>123135</v>
      </c>
      <c r="AI629" s="64">
        <f>2268500+462018+1+136386</f>
        <v>2866905</v>
      </c>
      <c r="AK629" s="64">
        <f>2436576+383322+1+170141</f>
        <v>2990040</v>
      </c>
      <c r="AM629" s="24">
        <f>+'Gov Rev'!AI626-'Gov Exp'!AE629+'Gov Exp'!AI629-'Gov Exp'!AK629</f>
        <v>0</v>
      </c>
    </row>
    <row r="630" spans="1:39" s="31" customFormat="1" ht="12.6" hidden="1" customHeight="1">
      <c r="A630" s="15" t="s">
        <v>351</v>
      </c>
      <c r="B630" s="15"/>
      <c r="C630" s="15" t="s">
        <v>350</v>
      </c>
      <c r="D630" s="15"/>
      <c r="E630" s="24">
        <v>0</v>
      </c>
      <c r="F630" s="24"/>
      <c r="G630" s="24">
        <v>0</v>
      </c>
      <c r="H630" s="24"/>
      <c r="I630" s="24">
        <v>0</v>
      </c>
      <c r="J630" s="24"/>
      <c r="K630" s="24">
        <v>0</v>
      </c>
      <c r="L630" s="24"/>
      <c r="M630" s="24">
        <v>0</v>
      </c>
      <c r="N630" s="24"/>
      <c r="O630" s="24">
        <v>0</v>
      </c>
      <c r="P630" s="24"/>
      <c r="Q630" s="24">
        <v>0</v>
      </c>
      <c r="R630" s="24"/>
      <c r="S630" s="24">
        <v>0</v>
      </c>
      <c r="T630" s="24"/>
      <c r="U630" s="24">
        <v>0</v>
      </c>
      <c r="V630" s="24"/>
      <c r="W630" s="24">
        <v>0</v>
      </c>
      <c r="X630" s="24"/>
      <c r="Y630" s="24">
        <v>0</v>
      </c>
      <c r="Z630" s="24"/>
      <c r="AA630" s="24">
        <v>0</v>
      </c>
      <c r="AB630" s="24"/>
      <c r="AC630" s="24">
        <v>0</v>
      </c>
      <c r="AD630" s="24"/>
      <c r="AE630" s="24">
        <f t="shared" si="18"/>
        <v>0</v>
      </c>
      <c r="AF630" s="24"/>
      <c r="AG630" s="65"/>
      <c r="AH630" s="65"/>
      <c r="AI630" s="65"/>
      <c r="AJ630" s="65"/>
      <c r="AK630" s="65"/>
      <c r="AM630" s="24">
        <f>+'Gov Rev'!AI627-'Gov Exp'!AE630+'Gov Exp'!AI630-'Gov Exp'!AK630</f>
        <v>0</v>
      </c>
    </row>
    <row r="631" spans="1:39" ht="12.75" hidden="1">
      <c r="A631" s="15" t="s">
        <v>250</v>
      </c>
      <c r="C631" s="15" t="s">
        <v>828</v>
      </c>
      <c r="D631" s="28"/>
      <c r="E631" s="24">
        <v>0</v>
      </c>
      <c r="G631" s="24">
        <v>0</v>
      </c>
      <c r="I631" s="24">
        <v>0</v>
      </c>
      <c r="K631" s="24">
        <v>0</v>
      </c>
      <c r="M631" s="24">
        <v>0</v>
      </c>
      <c r="O631" s="24">
        <v>0</v>
      </c>
      <c r="Q631" s="24">
        <v>0</v>
      </c>
      <c r="S631" s="24">
        <v>0</v>
      </c>
      <c r="U631" s="24">
        <v>0</v>
      </c>
      <c r="W631" s="24">
        <v>0</v>
      </c>
      <c r="Y631" s="24">
        <v>0</v>
      </c>
      <c r="AA631" s="24">
        <v>0</v>
      </c>
      <c r="AC631" s="24">
        <v>0</v>
      </c>
      <c r="AE631" s="24">
        <f t="shared" si="18"/>
        <v>0</v>
      </c>
      <c r="AF631" s="24"/>
      <c r="AM631" s="24">
        <f>+'Gov Rev'!AI628-'Gov Exp'!AE631+'Gov Exp'!AI631-'Gov Exp'!AK631</f>
        <v>0</v>
      </c>
    </row>
    <row r="632" spans="1:39" ht="12.75" hidden="1">
      <c r="A632" s="15" t="s">
        <v>0</v>
      </c>
      <c r="C632" s="15" t="s">
        <v>667</v>
      </c>
      <c r="D632" s="28"/>
      <c r="E632" s="24">
        <v>0</v>
      </c>
      <c r="G632" s="24">
        <v>0</v>
      </c>
      <c r="I632" s="24">
        <v>0</v>
      </c>
      <c r="K632" s="24">
        <v>0</v>
      </c>
      <c r="M632" s="24">
        <v>0</v>
      </c>
      <c r="O632" s="24">
        <v>0</v>
      </c>
      <c r="Q632" s="24">
        <v>0</v>
      </c>
      <c r="S632" s="24">
        <v>0</v>
      </c>
      <c r="U632" s="24">
        <v>0</v>
      </c>
      <c r="W632" s="24">
        <v>0</v>
      </c>
      <c r="Y632" s="24">
        <v>0</v>
      </c>
      <c r="AA632" s="24">
        <v>0</v>
      </c>
      <c r="AC632" s="24">
        <v>0</v>
      </c>
      <c r="AE632" s="24">
        <f t="shared" si="18"/>
        <v>0</v>
      </c>
      <c r="AF632" s="24"/>
      <c r="AM632" s="24">
        <f>+'Gov Rev'!AI629-'Gov Exp'!AE632+'Gov Exp'!AI632-'Gov Exp'!AK632</f>
        <v>0</v>
      </c>
    </row>
    <row r="633" spans="1:39" hidden="1">
      <c r="A633" s="15" t="s">
        <v>604</v>
      </c>
      <c r="C633" s="15" t="s">
        <v>601</v>
      </c>
      <c r="E633" s="24">
        <v>0</v>
      </c>
      <c r="G633" s="24">
        <v>0</v>
      </c>
      <c r="I633" s="24">
        <v>0</v>
      </c>
      <c r="K633" s="24">
        <v>0</v>
      </c>
      <c r="M633" s="24">
        <v>0</v>
      </c>
      <c r="O633" s="24">
        <v>0</v>
      </c>
      <c r="Q633" s="24">
        <v>0</v>
      </c>
      <c r="S633" s="24">
        <v>0</v>
      </c>
      <c r="U633" s="24">
        <v>0</v>
      </c>
      <c r="W633" s="24">
        <v>0</v>
      </c>
      <c r="Y633" s="24">
        <v>0</v>
      </c>
      <c r="AA633" s="24">
        <v>0</v>
      </c>
      <c r="AC633" s="24">
        <v>0</v>
      </c>
      <c r="AE633" s="24">
        <f t="shared" si="18"/>
        <v>0</v>
      </c>
      <c r="AF633" s="24"/>
      <c r="AM633" s="24">
        <f>+'Gov Rev'!AI630-'Gov Exp'!AE633+'Gov Exp'!AI633-'Gov Exp'!AK633</f>
        <v>0</v>
      </c>
    </row>
    <row r="634" spans="1:39" ht="12.75" hidden="1">
      <c r="A634" s="15" t="s">
        <v>155</v>
      </c>
      <c r="C634" s="15" t="s">
        <v>797</v>
      </c>
      <c r="D634" s="28"/>
      <c r="E634" s="24">
        <v>0</v>
      </c>
      <c r="G634" s="24">
        <v>0</v>
      </c>
      <c r="I634" s="24">
        <v>0</v>
      </c>
      <c r="K634" s="24">
        <v>0</v>
      </c>
      <c r="M634" s="24">
        <v>0</v>
      </c>
      <c r="O634" s="24">
        <v>0</v>
      </c>
      <c r="Q634" s="24">
        <v>0</v>
      </c>
      <c r="S634" s="24">
        <v>0</v>
      </c>
      <c r="U634" s="24">
        <v>0</v>
      </c>
      <c r="W634" s="24">
        <v>0</v>
      </c>
      <c r="Y634" s="24">
        <v>0</v>
      </c>
      <c r="AA634" s="24">
        <v>0</v>
      </c>
      <c r="AC634" s="24">
        <v>0</v>
      </c>
      <c r="AE634" s="24">
        <f t="shared" si="18"/>
        <v>0</v>
      </c>
      <c r="AF634" s="24"/>
      <c r="AM634" s="24">
        <f>+'Gov Rev'!AI631-'Gov Exp'!AE634+'Gov Exp'!AI634-'Gov Exp'!AK634</f>
        <v>0</v>
      </c>
    </row>
    <row r="635" spans="1:39" hidden="1">
      <c r="A635" s="15" t="s">
        <v>263</v>
      </c>
      <c r="C635" s="15" t="s">
        <v>606</v>
      </c>
      <c r="E635" s="24">
        <v>0</v>
      </c>
      <c r="G635" s="24">
        <v>0</v>
      </c>
      <c r="I635" s="24">
        <v>0</v>
      </c>
      <c r="K635" s="24">
        <v>0</v>
      </c>
      <c r="M635" s="24">
        <v>0</v>
      </c>
      <c r="O635" s="24">
        <v>0</v>
      </c>
      <c r="Q635" s="24">
        <v>0</v>
      </c>
      <c r="S635" s="24">
        <v>0</v>
      </c>
      <c r="U635" s="24">
        <v>0</v>
      </c>
      <c r="W635" s="24">
        <v>0</v>
      </c>
      <c r="Y635" s="24">
        <v>0</v>
      </c>
      <c r="AA635" s="24">
        <v>0</v>
      </c>
      <c r="AC635" s="24">
        <v>0</v>
      </c>
      <c r="AE635" s="24">
        <f t="shared" si="18"/>
        <v>0</v>
      </c>
      <c r="AF635" s="24"/>
      <c r="AM635" s="24">
        <f>+'Gov Rev'!AI632-'Gov Exp'!AE635+'Gov Exp'!AI635-'Gov Exp'!AK635</f>
        <v>0</v>
      </c>
    </row>
    <row r="636" spans="1:39" ht="12.75" hidden="1">
      <c r="A636" s="15" t="s">
        <v>263</v>
      </c>
      <c r="C636" s="15" t="s">
        <v>830</v>
      </c>
      <c r="D636" s="28"/>
      <c r="E636" s="24">
        <v>0</v>
      </c>
      <c r="G636" s="24">
        <v>0</v>
      </c>
      <c r="I636" s="24">
        <v>0</v>
      </c>
      <c r="K636" s="24">
        <v>0</v>
      </c>
      <c r="M636" s="24">
        <v>0</v>
      </c>
      <c r="O636" s="24">
        <v>0</v>
      </c>
      <c r="Q636" s="24">
        <v>0</v>
      </c>
      <c r="S636" s="24">
        <v>0</v>
      </c>
      <c r="U636" s="24">
        <v>0</v>
      </c>
      <c r="W636" s="24">
        <v>0</v>
      </c>
      <c r="Y636" s="24">
        <v>0</v>
      </c>
      <c r="AA636" s="24">
        <v>0</v>
      </c>
      <c r="AC636" s="24">
        <v>0</v>
      </c>
      <c r="AE636" s="24">
        <f t="shared" si="18"/>
        <v>0</v>
      </c>
      <c r="AF636" s="24"/>
      <c r="AM636" s="24">
        <f>+'Gov Rev'!AI633-'Gov Exp'!AE636+'Gov Exp'!AI636-'Gov Exp'!AK636</f>
        <v>0</v>
      </c>
    </row>
    <row r="637" spans="1:39" s="31" customFormat="1">
      <c r="A637" s="15" t="s">
        <v>929</v>
      </c>
      <c r="B637" s="15"/>
      <c r="C637" s="15" t="s">
        <v>614</v>
      </c>
      <c r="D637" s="15"/>
      <c r="E637" s="24">
        <v>586</v>
      </c>
      <c r="F637" s="24"/>
      <c r="G637" s="24">
        <v>3126</v>
      </c>
      <c r="H637" s="24"/>
      <c r="I637" s="24">
        <v>0</v>
      </c>
      <c r="J637" s="24"/>
      <c r="K637" s="24">
        <v>0</v>
      </c>
      <c r="L637" s="24"/>
      <c r="M637" s="24">
        <v>127</v>
      </c>
      <c r="N637" s="24"/>
      <c r="O637" s="24">
        <v>15654</v>
      </c>
      <c r="P637" s="24"/>
      <c r="Q637" s="24">
        <v>41776</v>
      </c>
      <c r="R637" s="24"/>
      <c r="S637" s="24">
        <v>0</v>
      </c>
      <c r="T637" s="24"/>
      <c r="U637" s="24">
        <v>0</v>
      </c>
      <c r="V637" s="24"/>
      <c r="W637" s="24">
        <v>0</v>
      </c>
      <c r="X637" s="24"/>
      <c r="Y637" s="24">
        <v>0</v>
      </c>
      <c r="Z637" s="24"/>
      <c r="AA637" s="24">
        <v>0</v>
      </c>
      <c r="AB637" s="24"/>
      <c r="AC637" s="24">
        <v>0</v>
      </c>
      <c r="AD637" s="24"/>
      <c r="AE637" s="24">
        <f t="shared" si="18"/>
        <v>61269</v>
      </c>
      <c r="AF637" s="24"/>
      <c r="AG637" s="65">
        <f>-9419+6204</f>
        <v>-3215</v>
      </c>
      <c r="AH637" s="65"/>
      <c r="AI637" s="65">
        <f>24538+67809</f>
        <v>92347</v>
      </c>
      <c r="AJ637" s="65"/>
      <c r="AK637" s="65">
        <f>15119+74013</f>
        <v>89132</v>
      </c>
      <c r="AM637" s="24">
        <f>+'Gov Rev'!AI634-'Gov Exp'!AE637+'Gov Exp'!AI637-'Gov Exp'!AK637</f>
        <v>0</v>
      </c>
    </row>
    <row r="638" spans="1:39" s="31" customFormat="1">
      <c r="A638" s="15" t="s">
        <v>459</v>
      </c>
      <c r="B638" s="15"/>
      <c r="C638" s="15" t="s">
        <v>456</v>
      </c>
      <c r="D638" s="15"/>
      <c r="E638" s="24">
        <f>1255923+782562+4879</f>
        <v>2043364</v>
      </c>
      <c r="F638" s="24"/>
      <c r="G638" s="24">
        <v>16831</v>
      </c>
      <c r="H638" s="24"/>
      <c r="I638" s="24">
        <f>38139+43522</f>
        <v>81661</v>
      </c>
      <c r="J638" s="24"/>
      <c r="K638" s="24">
        <v>76703</v>
      </c>
      <c r="L638" s="24"/>
      <c r="M638" s="24">
        <f>203130+56587</f>
        <v>259717</v>
      </c>
      <c r="N638" s="24"/>
      <c r="O638" s="24">
        <f>172655+16922</f>
        <v>189577</v>
      </c>
      <c r="P638" s="24"/>
      <c r="Q638" s="24">
        <f>457122+129668+319231</f>
        <v>906021</v>
      </c>
      <c r="R638" s="24"/>
      <c r="S638" s="24">
        <f>54132+38243+404320</f>
        <v>496695</v>
      </c>
      <c r="T638" s="24"/>
      <c r="U638" s="24">
        <f>36840+257038</f>
        <v>293878</v>
      </c>
      <c r="V638" s="24"/>
      <c r="W638" s="24">
        <v>0</v>
      </c>
      <c r="X638" s="24"/>
      <c r="Y638" s="24">
        <f>187855+1933803+259822</f>
        <v>2381480</v>
      </c>
      <c r="Z638" s="24"/>
      <c r="AA638" s="24">
        <v>0</v>
      </c>
      <c r="AB638" s="24"/>
      <c r="AC638" s="24">
        <f>964751+515786</f>
        <v>1480537</v>
      </c>
      <c r="AD638" s="24"/>
      <c r="AE638" s="24">
        <f t="shared" si="18"/>
        <v>8226464</v>
      </c>
      <c r="AF638" s="24"/>
      <c r="AG638" s="65">
        <f>85476-333578+310215+3967</f>
        <v>66080</v>
      </c>
      <c r="AH638" s="65"/>
      <c r="AI638" s="65">
        <f>196555+1948061+114393+1105563</f>
        <v>3364572</v>
      </c>
      <c r="AJ638" s="65"/>
      <c r="AK638" s="65">
        <f>282031+1614484+424609+1109530</f>
        <v>3430654</v>
      </c>
      <c r="AM638" s="24">
        <f>+'Gov Rev'!AI635-'Gov Exp'!AE638+'Gov Exp'!AI638-'Gov Exp'!AK638</f>
        <v>0</v>
      </c>
    </row>
    <row r="639" spans="1:39">
      <c r="A639" s="15" t="s">
        <v>582</v>
      </c>
      <c r="C639" s="15" t="s">
        <v>82</v>
      </c>
      <c r="E639" s="24">
        <f>2975+16</f>
        <v>2991</v>
      </c>
      <c r="G639" s="24">
        <f>1050+1450</f>
        <v>2500</v>
      </c>
      <c r="I639" s="24">
        <v>0</v>
      </c>
      <c r="K639" s="24">
        <v>0</v>
      </c>
      <c r="M639" s="24">
        <v>216</v>
      </c>
      <c r="O639" s="24">
        <v>5452</v>
      </c>
      <c r="Q639" s="24">
        <v>9780</v>
      </c>
      <c r="S639" s="24">
        <v>0</v>
      </c>
      <c r="U639" s="24">
        <v>0</v>
      </c>
      <c r="W639" s="24">
        <v>0</v>
      </c>
      <c r="Y639" s="24">
        <v>0</v>
      </c>
      <c r="AA639" s="24">
        <v>0</v>
      </c>
      <c r="AC639" s="24">
        <v>0</v>
      </c>
      <c r="AE639" s="24">
        <f t="shared" si="18"/>
        <v>20939</v>
      </c>
      <c r="AF639" s="24"/>
      <c r="AG639" s="64">
        <f>-1221-645</f>
        <v>-1866</v>
      </c>
      <c r="AI639" s="64">
        <f>9897+32416</f>
        <v>42313</v>
      </c>
      <c r="AK639" s="64">
        <f>8676+31771</f>
        <v>40447</v>
      </c>
      <c r="AM639" s="24">
        <f>+'Gov Rev'!AI636-'Gov Exp'!AE639+'Gov Exp'!AI639-'Gov Exp'!AK639</f>
        <v>0</v>
      </c>
    </row>
    <row r="640" spans="1:39" ht="12.75" hidden="1">
      <c r="A640" s="15" t="s">
        <v>40</v>
      </c>
      <c r="C640" s="15" t="s">
        <v>761</v>
      </c>
      <c r="D640" s="28"/>
      <c r="E640" s="24">
        <v>0</v>
      </c>
      <c r="G640" s="24">
        <v>0</v>
      </c>
      <c r="I640" s="24">
        <v>0</v>
      </c>
      <c r="K640" s="24">
        <v>0</v>
      </c>
      <c r="M640" s="24">
        <v>0</v>
      </c>
      <c r="O640" s="24">
        <v>0</v>
      </c>
      <c r="Q640" s="24">
        <v>0</v>
      </c>
      <c r="S640" s="24">
        <v>0</v>
      </c>
      <c r="U640" s="24">
        <v>0</v>
      </c>
      <c r="W640" s="24">
        <v>0</v>
      </c>
      <c r="Y640" s="24">
        <v>0</v>
      </c>
      <c r="AA640" s="24">
        <v>0</v>
      </c>
      <c r="AC640" s="24">
        <v>0</v>
      </c>
      <c r="AE640" s="24">
        <f t="shared" si="18"/>
        <v>0</v>
      </c>
      <c r="AF640" s="24"/>
      <c r="AG640" s="64">
        <v>6918</v>
      </c>
      <c r="AM640" s="24">
        <f>+'Gov Rev'!AI637-'Gov Exp'!AE640+'Gov Exp'!AI640-'Gov Exp'!AK640</f>
        <v>0</v>
      </c>
    </row>
    <row r="641" spans="1:39" ht="12.75" hidden="1">
      <c r="A641" s="15" t="s">
        <v>192</v>
      </c>
      <c r="C641" s="15" t="s">
        <v>809</v>
      </c>
      <c r="D641" s="28"/>
      <c r="E641" s="24">
        <v>0</v>
      </c>
      <c r="G641" s="24">
        <v>0</v>
      </c>
      <c r="I641" s="24">
        <v>0</v>
      </c>
      <c r="K641" s="24">
        <v>0</v>
      </c>
      <c r="M641" s="24">
        <v>0</v>
      </c>
      <c r="O641" s="24">
        <v>0</v>
      </c>
      <c r="Q641" s="24">
        <v>0</v>
      </c>
      <c r="S641" s="24">
        <v>0</v>
      </c>
      <c r="U641" s="24">
        <v>0</v>
      </c>
      <c r="W641" s="24">
        <v>0</v>
      </c>
      <c r="Y641" s="24">
        <v>0</v>
      </c>
      <c r="AA641" s="24">
        <v>0</v>
      </c>
      <c r="AC641" s="24">
        <v>0</v>
      </c>
      <c r="AE641" s="24">
        <f t="shared" si="18"/>
        <v>0</v>
      </c>
      <c r="AF641" s="24"/>
      <c r="AM641" s="24">
        <f>+'Gov Rev'!AI638-'Gov Exp'!AE641+'Gov Exp'!AI641-'Gov Exp'!AK641</f>
        <v>0</v>
      </c>
    </row>
    <row r="642" spans="1:39" hidden="1">
      <c r="A642" s="15" t="s">
        <v>581</v>
      </c>
      <c r="C642" s="15" t="s">
        <v>577</v>
      </c>
      <c r="E642" s="24">
        <v>0</v>
      </c>
      <c r="G642" s="24">
        <v>0</v>
      </c>
      <c r="I642" s="24">
        <v>0</v>
      </c>
      <c r="K642" s="24">
        <v>0</v>
      </c>
      <c r="M642" s="24">
        <v>0</v>
      </c>
      <c r="O642" s="24">
        <v>0</v>
      </c>
      <c r="Q642" s="24">
        <v>0</v>
      </c>
      <c r="S642" s="24">
        <v>0</v>
      </c>
      <c r="U642" s="24">
        <v>0</v>
      </c>
      <c r="W642" s="24">
        <v>0</v>
      </c>
      <c r="Y642" s="24">
        <v>0</v>
      </c>
      <c r="AA642" s="24">
        <v>0</v>
      </c>
      <c r="AC642" s="24">
        <v>0</v>
      </c>
      <c r="AE642" s="24">
        <f t="shared" si="18"/>
        <v>0</v>
      </c>
      <c r="AF642" s="24"/>
      <c r="AM642" s="24">
        <f>+'Gov Rev'!AI639-'Gov Exp'!AE642+'Gov Exp'!AI642-'Gov Exp'!AK642</f>
        <v>0</v>
      </c>
    </row>
    <row r="643" spans="1:39" ht="12.75" hidden="1">
      <c r="A643" s="15" t="s">
        <v>863</v>
      </c>
      <c r="C643" s="15" t="s">
        <v>820</v>
      </c>
      <c r="D643" s="28"/>
      <c r="E643" s="24">
        <v>0</v>
      </c>
      <c r="G643" s="24">
        <v>0</v>
      </c>
      <c r="I643" s="24">
        <v>0</v>
      </c>
      <c r="K643" s="24">
        <v>0</v>
      </c>
      <c r="M643" s="24">
        <v>0</v>
      </c>
      <c r="O643" s="24">
        <v>0</v>
      </c>
      <c r="Q643" s="24">
        <v>0</v>
      </c>
      <c r="S643" s="24">
        <v>0</v>
      </c>
      <c r="U643" s="24">
        <v>0</v>
      </c>
      <c r="W643" s="24">
        <v>0</v>
      </c>
      <c r="Y643" s="24">
        <v>0</v>
      </c>
      <c r="AA643" s="24">
        <v>0</v>
      </c>
      <c r="AC643" s="24">
        <v>0</v>
      </c>
      <c r="AE643" s="24">
        <f t="shared" si="18"/>
        <v>0</v>
      </c>
      <c r="AF643" s="24"/>
      <c r="AM643" s="24">
        <f>+'Gov Rev'!AI640-'Gov Exp'!AE643+'Gov Exp'!AI643-'Gov Exp'!AK643</f>
        <v>0</v>
      </c>
    </row>
    <row r="644" spans="1:39">
      <c r="A644" s="15" t="s">
        <v>481</v>
      </c>
      <c r="C644" s="15" t="s">
        <v>477</v>
      </c>
      <c r="E644" s="24">
        <f>325+2662</f>
        <v>2987</v>
      </c>
      <c r="G644" s="24">
        <v>0</v>
      </c>
      <c r="I644" s="24">
        <v>0</v>
      </c>
      <c r="K644" s="24">
        <v>0</v>
      </c>
      <c r="M644" s="24">
        <v>0</v>
      </c>
      <c r="O644" s="24">
        <v>8042</v>
      </c>
      <c r="Q644" s="24">
        <f>12940+634</f>
        <v>13574</v>
      </c>
      <c r="S644" s="24">
        <v>0</v>
      </c>
      <c r="U644" s="24">
        <v>0</v>
      </c>
      <c r="W644" s="24">
        <v>0</v>
      </c>
      <c r="Y644" s="24">
        <v>0</v>
      </c>
      <c r="AA644" s="24">
        <v>0</v>
      </c>
      <c r="AC644" s="24">
        <v>0</v>
      </c>
      <c r="AE644" s="24">
        <f t="shared" si="18"/>
        <v>24603</v>
      </c>
      <c r="AF644" s="24"/>
      <c r="AG644" s="64">
        <f>-1492+754</f>
        <v>-738</v>
      </c>
      <c r="AI644" s="64">
        <f>12656+73828</f>
        <v>86484</v>
      </c>
      <c r="AK644" s="64">
        <f>11164+74582</f>
        <v>85746</v>
      </c>
      <c r="AM644" s="24">
        <f>+'Gov Rev'!AI641-'Gov Exp'!AE644+'Gov Exp'!AI644-'Gov Exp'!AK644</f>
        <v>0</v>
      </c>
    </row>
    <row r="645" spans="1:39" ht="12.75" hidden="1">
      <c r="A645" s="15" t="s">
        <v>1</v>
      </c>
      <c r="C645" s="15" t="s">
        <v>667</v>
      </c>
      <c r="D645" s="28"/>
      <c r="E645" s="24">
        <v>0</v>
      </c>
      <c r="G645" s="24">
        <v>0</v>
      </c>
      <c r="I645" s="24">
        <v>0</v>
      </c>
      <c r="K645" s="24">
        <v>0</v>
      </c>
      <c r="M645" s="24">
        <v>0</v>
      </c>
      <c r="O645" s="24">
        <v>0</v>
      </c>
      <c r="Q645" s="24">
        <v>0</v>
      </c>
      <c r="S645" s="24">
        <v>0</v>
      </c>
      <c r="U645" s="24">
        <v>0</v>
      </c>
      <c r="W645" s="24">
        <v>0</v>
      </c>
      <c r="Y645" s="24">
        <v>0</v>
      </c>
      <c r="AA645" s="24">
        <v>0</v>
      </c>
      <c r="AC645" s="24">
        <v>0</v>
      </c>
      <c r="AE645" s="24">
        <f t="shared" si="18"/>
        <v>0</v>
      </c>
      <c r="AF645" s="24"/>
      <c r="AM645" s="24">
        <f>+'Gov Rev'!AI642-'Gov Exp'!AE645+'Gov Exp'!AI645-'Gov Exp'!AK645</f>
        <v>0</v>
      </c>
    </row>
    <row r="646" spans="1:39" ht="12.75" hidden="1">
      <c r="A646" s="15" t="s">
        <v>197</v>
      </c>
      <c r="C646" s="15" t="s">
        <v>811</v>
      </c>
      <c r="D646" s="28"/>
      <c r="E646" s="24">
        <v>0</v>
      </c>
      <c r="G646" s="24">
        <v>0</v>
      </c>
      <c r="I646" s="24">
        <v>0</v>
      </c>
      <c r="K646" s="24">
        <v>0</v>
      </c>
      <c r="M646" s="24">
        <v>0</v>
      </c>
      <c r="O646" s="24">
        <v>0</v>
      </c>
      <c r="Q646" s="24">
        <v>0</v>
      </c>
      <c r="S646" s="24">
        <v>0</v>
      </c>
      <c r="U646" s="24">
        <v>0</v>
      </c>
      <c r="W646" s="24">
        <v>0</v>
      </c>
      <c r="Y646" s="24">
        <v>0</v>
      </c>
      <c r="AA646" s="24">
        <v>0</v>
      </c>
      <c r="AC646" s="24">
        <v>0</v>
      </c>
      <c r="AE646" s="24">
        <f t="shared" si="18"/>
        <v>0</v>
      </c>
      <c r="AF646" s="24"/>
      <c r="AM646" s="24">
        <f>+'Gov Rev'!AI643-'Gov Exp'!AE646+'Gov Exp'!AI646-'Gov Exp'!AK646</f>
        <v>0</v>
      </c>
    </row>
    <row r="647" spans="1:39" ht="12.75" hidden="1">
      <c r="A647" s="15" t="s">
        <v>864</v>
      </c>
      <c r="C647" s="15" t="s">
        <v>786</v>
      </c>
      <c r="D647" s="28"/>
      <c r="E647" s="24">
        <v>0</v>
      </c>
      <c r="G647" s="24">
        <v>0</v>
      </c>
      <c r="I647" s="24">
        <v>0</v>
      </c>
      <c r="K647" s="24">
        <v>0</v>
      </c>
      <c r="M647" s="24">
        <v>0</v>
      </c>
      <c r="O647" s="24">
        <v>0</v>
      </c>
      <c r="Q647" s="24">
        <v>0</v>
      </c>
      <c r="S647" s="24">
        <v>0</v>
      </c>
      <c r="U647" s="24">
        <v>0</v>
      </c>
      <c r="W647" s="24">
        <v>0</v>
      </c>
      <c r="Y647" s="24">
        <v>0</v>
      </c>
      <c r="AA647" s="24">
        <v>0</v>
      </c>
      <c r="AC647" s="24">
        <v>0</v>
      </c>
      <c r="AE647" s="24">
        <f t="shared" si="18"/>
        <v>0</v>
      </c>
      <c r="AF647" s="24"/>
      <c r="AM647" s="24">
        <f>+'Gov Rev'!AI644-'Gov Exp'!AE647+'Gov Exp'!AI647-'Gov Exp'!AK647</f>
        <v>0</v>
      </c>
    </row>
    <row r="648" spans="1:39" s="31" customFormat="1">
      <c r="A648" s="15" t="s">
        <v>386</v>
      </c>
      <c r="B648" s="15"/>
      <c r="C648" s="15" t="s">
        <v>378</v>
      </c>
      <c r="D648" s="15"/>
      <c r="E648" s="24">
        <f>2783091+152822</f>
        <v>2935913</v>
      </c>
      <c r="F648" s="24"/>
      <c r="G648" s="24">
        <v>0</v>
      </c>
      <c r="H648" s="24"/>
      <c r="I648" s="24">
        <f>439886+167335</f>
        <v>607221</v>
      </c>
      <c r="J648" s="24"/>
      <c r="K648" s="24">
        <v>191545</v>
      </c>
      <c r="L648" s="24"/>
      <c r="M648" s="24">
        <v>504814</v>
      </c>
      <c r="N648" s="24"/>
      <c r="O648" s="24">
        <v>303952</v>
      </c>
      <c r="P648" s="24"/>
      <c r="Q648" s="24">
        <f>1463189+3520</f>
        <v>1466709</v>
      </c>
      <c r="R648" s="24"/>
      <c r="S648" s="24">
        <f>32573+241256</f>
        <v>273829</v>
      </c>
      <c r="T648" s="24"/>
      <c r="U648" s="24">
        <v>2301091</v>
      </c>
      <c r="V648" s="24"/>
      <c r="W648" s="24">
        <v>123177</v>
      </c>
      <c r="X648" s="24"/>
      <c r="Y648" s="24">
        <v>343396</v>
      </c>
      <c r="Z648" s="24"/>
      <c r="AA648" s="24">
        <v>0</v>
      </c>
      <c r="AB648" s="24"/>
      <c r="AC648" s="24">
        <v>0</v>
      </c>
      <c r="AD648" s="24"/>
      <c r="AE648" s="24">
        <f t="shared" si="18"/>
        <v>9051647</v>
      </c>
      <c r="AF648" s="24"/>
      <c r="AG648" s="65">
        <f>-261691-94645+173957+263144-3117+148339</f>
        <v>225987</v>
      </c>
      <c r="AH648" s="65"/>
      <c r="AI648" s="65">
        <f>1482610+326009+298430-16767+220810+7291</f>
        <v>2318383</v>
      </c>
      <c r="AJ648" s="65"/>
      <c r="AK648" s="65">
        <f>1220919+2898+228466+472387+246378+189792+155630</f>
        <v>2516470</v>
      </c>
      <c r="AM648" s="24">
        <f>+'Gov Rev'!AI645-'Gov Exp'!AE648+'Gov Exp'!AI648-'Gov Exp'!AK648</f>
        <v>0</v>
      </c>
    </row>
    <row r="649" spans="1:39" ht="12.6" customHeight="1">
      <c r="A649" s="15" t="s">
        <v>327</v>
      </c>
      <c r="C649" s="15" t="s">
        <v>316</v>
      </c>
      <c r="E649" s="24">
        <f>1320887+134768</f>
        <v>1455655</v>
      </c>
      <c r="G649" s="24">
        <v>3699</v>
      </c>
      <c r="I649" s="24">
        <v>0</v>
      </c>
      <c r="K649" s="24">
        <v>7150</v>
      </c>
      <c r="M649" s="24">
        <v>58854</v>
      </c>
      <c r="O649" s="24">
        <f>78043+27613+486</f>
        <v>106142</v>
      </c>
      <c r="Q649" s="24">
        <f>805947+2670+1079+3553</f>
        <v>813249</v>
      </c>
      <c r="S649" s="24">
        <f>2804+28107+423</f>
        <v>31334</v>
      </c>
      <c r="U649" s="24">
        <f>11115+386020+11305</f>
        <v>408440</v>
      </c>
      <c r="W649" s="24">
        <v>0</v>
      </c>
      <c r="Y649" s="24">
        <v>12500</v>
      </c>
      <c r="AA649" s="24">
        <v>5000</v>
      </c>
      <c r="AC649" s="24">
        <v>50</v>
      </c>
      <c r="AE649" s="24">
        <f t="shared" si="18"/>
        <v>2902073</v>
      </c>
      <c r="AF649" s="24"/>
      <c r="AG649" s="64">
        <f>-49023-9337-36403-3267</f>
        <v>-98030</v>
      </c>
      <c r="AI649" s="64">
        <f>307975+167424+36624+180380</f>
        <v>692403</v>
      </c>
      <c r="AK649" s="64">
        <f>258953+158197+221+177113</f>
        <v>594484</v>
      </c>
      <c r="AM649" s="24">
        <f>+'Gov Rev'!AI646-'Gov Exp'!AE649+'Gov Exp'!AI649-'Gov Exp'!AK649</f>
        <v>0</v>
      </c>
    </row>
    <row r="650" spans="1:39" ht="12.75" hidden="1">
      <c r="A650" s="15" t="s">
        <v>166</v>
      </c>
      <c r="C650" s="15" t="s">
        <v>801</v>
      </c>
      <c r="D650" s="28"/>
      <c r="E650" s="24">
        <v>0</v>
      </c>
      <c r="G650" s="24">
        <v>0</v>
      </c>
      <c r="I650" s="24">
        <v>0</v>
      </c>
      <c r="K650" s="24">
        <v>0</v>
      </c>
      <c r="M650" s="24">
        <v>0</v>
      </c>
      <c r="O650" s="24">
        <v>0</v>
      </c>
      <c r="Q650" s="24">
        <v>0</v>
      </c>
      <c r="S650" s="24">
        <v>0</v>
      </c>
      <c r="U650" s="24">
        <v>0</v>
      </c>
      <c r="W650" s="24">
        <v>0</v>
      </c>
      <c r="Y650" s="24">
        <v>0</v>
      </c>
      <c r="AA650" s="24">
        <v>0</v>
      </c>
      <c r="AC650" s="24">
        <v>0</v>
      </c>
      <c r="AE650" s="24">
        <f t="shared" si="18"/>
        <v>0</v>
      </c>
      <c r="AF650" s="24"/>
      <c r="AM650" s="24">
        <f>+'Gov Rev'!AI647-'Gov Exp'!AE650+'Gov Exp'!AI650-'Gov Exp'!AK650</f>
        <v>0</v>
      </c>
    </row>
    <row r="651" spans="1:39" ht="12.6" hidden="1" customHeight="1">
      <c r="A651" s="15" t="s">
        <v>290</v>
      </c>
      <c r="C651" s="15" t="s">
        <v>287</v>
      </c>
      <c r="E651" s="24">
        <v>0</v>
      </c>
      <c r="G651" s="24">
        <v>0</v>
      </c>
      <c r="I651" s="24">
        <v>0</v>
      </c>
      <c r="K651" s="24">
        <v>0</v>
      </c>
      <c r="M651" s="24">
        <v>0</v>
      </c>
      <c r="O651" s="24">
        <v>0</v>
      </c>
      <c r="Q651" s="24">
        <v>0</v>
      </c>
      <c r="S651" s="24">
        <v>0</v>
      </c>
      <c r="U651" s="24">
        <v>0</v>
      </c>
      <c r="W651" s="24">
        <v>0</v>
      </c>
      <c r="Y651" s="24">
        <v>0</v>
      </c>
      <c r="AA651" s="24">
        <v>0</v>
      </c>
      <c r="AC651" s="24">
        <v>0</v>
      </c>
      <c r="AE651" s="24">
        <f t="shared" si="18"/>
        <v>0</v>
      </c>
      <c r="AF651" s="24"/>
      <c r="AM651" s="24">
        <f>+'Gov Rev'!AI648-'Gov Exp'!AE651+'Gov Exp'!AI651-'Gov Exp'!AK651</f>
        <v>0</v>
      </c>
    </row>
    <row r="652" spans="1:39">
      <c r="A652" s="15" t="s">
        <v>532</v>
      </c>
      <c r="C652" s="15" t="s">
        <v>530</v>
      </c>
      <c r="E652" s="24">
        <f>348292+2978</f>
        <v>351270</v>
      </c>
      <c r="G652" s="24">
        <v>1271</v>
      </c>
      <c r="I652" s="24">
        <f>7686+40833</f>
        <v>48519</v>
      </c>
      <c r="K652" s="24">
        <v>13830</v>
      </c>
      <c r="M652" s="24">
        <v>0</v>
      </c>
      <c r="O652" s="24">
        <f>81362+116723</f>
        <v>198085</v>
      </c>
      <c r="Q652" s="24">
        <v>105457</v>
      </c>
      <c r="S652" s="24">
        <f>8233+17354+10072</f>
        <v>35659</v>
      </c>
      <c r="U652" s="24">
        <v>0</v>
      </c>
      <c r="W652" s="24">
        <v>0</v>
      </c>
      <c r="Y652" s="24">
        <v>0</v>
      </c>
      <c r="AA652" s="24">
        <v>0</v>
      </c>
      <c r="AC652" s="24">
        <v>0</v>
      </c>
      <c r="AD652" s="38"/>
      <c r="AE652" s="24">
        <f t="shared" si="18"/>
        <v>754091</v>
      </c>
      <c r="AF652" s="24"/>
      <c r="AG652" s="64">
        <f>136960+-11340-10072</f>
        <v>115548</v>
      </c>
      <c r="AI652" s="64">
        <f>247523+134287+30223</f>
        <v>412033</v>
      </c>
      <c r="AK652" s="64">
        <f>384483+122947+20151</f>
        <v>527581</v>
      </c>
      <c r="AM652" s="24">
        <f>+'Gov Rev'!AI649-'Gov Exp'!AE652+'Gov Exp'!AI652-'Gov Exp'!AK652</f>
        <v>0</v>
      </c>
    </row>
    <row r="653" spans="1:39" ht="12.75" hidden="1">
      <c r="A653" s="15" t="s">
        <v>240</v>
      </c>
      <c r="C653" s="15" t="s">
        <v>825</v>
      </c>
      <c r="D653" s="28"/>
      <c r="E653" s="24">
        <v>0</v>
      </c>
      <c r="G653" s="24">
        <v>0</v>
      </c>
      <c r="I653" s="24">
        <v>0</v>
      </c>
      <c r="K653" s="24">
        <v>0</v>
      </c>
      <c r="M653" s="24">
        <v>0</v>
      </c>
      <c r="O653" s="24">
        <v>0</v>
      </c>
      <c r="Q653" s="24">
        <v>0</v>
      </c>
      <c r="S653" s="24">
        <v>0</v>
      </c>
      <c r="U653" s="24">
        <v>0</v>
      </c>
      <c r="W653" s="24">
        <v>0</v>
      </c>
      <c r="Y653" s="24">
        <v>0</v>
      </c>
      <c r="AA653" s="24">
        <v>0</v>
      </c>
      <c r="AC653" s="24">
        <v>0</v>
      </c>
      <c r="AE653" s="24">
        <f t="shared" si="18"/>
        <v>0</v>
      </c>
      <c r="AF653" s="24"/>
      <c r="AM653" s="24">
        <f>+'Gov Rev'!AI650-'Gov Exp'!AE653+'Gov Exp'!AI653-'Gov Exp'!AK653</f>
        <v>0</v>
      </c>
    </row>
    <row r="654" spans="1:39" ht="12.75" hidden="1">
      <c r="A654" s="15" t="s">
        <v>231</v>
      </c>
      <c r="C654" s="15" t="s">
        <v>822</v>
      </c>
      <c r="D654" s="28"/>
      <c r="E654" s="24">
        <v>0</v>
      </c>
      <c r="G654" s="24">
        <v>0</v>
      </c>
      <c r="I654" s="24">
        <v>0</v>
      </c>
      <c r="K654" s="24">
        <v>0</v>
      </c>
      <c r="M654" s="24">
        <v>0</v>
      </c>
      <c r="O654" s="24">
        <v>0</v>
      </c>
      <c r="Q654" s="24">
        <v>0</v>
      </c>
      <c r="S654" s="24">
        <v>0</v>
      </c>
      <c r="U654" s="24">
        <v>0</v>
      </c>
      <c r="W654" s="24">
        <v>0</v>
      </c>
      <c r="Y654" s="24">
        <v>0</v>
      </c>
      <c r="AA654" s="24">
        <v>0</v>
      </c>
      <c r="AC654" s="24">
        <v>0</v>
      </c>
      <c r="AE654" s="24">
        <f t="shared" si="18"/>
        <v>0</v>
      </c>
      <c r="AF654" s="24"/>
      <c r="AM654" s="24">
        <f>+'Gov Rev'!AI651-'Gov Exp'!AE654+'Gov Exp'!AI654-'Gov Exp'!AK654</f>
        <v>0</v>
      </c>
    </row>
    <row r="655" spans="1:39" s="31" customFormat="1">
      <c r="A655" s="15" t="s">
        <v>374</v>
      </c>
      <c r="B655" s="15"/>
      <c r="C655" s="15" t="s">
        <v>371</v>
      </c>
      <c r="D655" s="15"/>
      <c r="E655" s="24">
        <f>1088953+224526</f>
        <v>1313479</v>
      </c>
      <c r="F655" s="24"/>
      <c r="G655" s="24">
        <f>9514+1779</f>
        <v>11293</v>
      </c>
      <c r="H655" s="24"/>
      <c r="I655" s="24">
        <v>65294</v>
      </c>
      <c r="J655" s="24"/>
      <c r="K655" s="24">
        <v>113119</v>
      </c>
      <c r="L655" s="24"/>
      <c r="M655" s="24">
        <v>0</v>
      </c>
      <c r="N655" s="24"/>
      <c r="O655" s="24">
        <v>306725</v>
      </c>
      <c r="P655" s="24"/>
      <c r="Q655" s="24">
        <f>454168+13916</f>
        <v>468084</v>
      </c>
      <c r="R655" s="24"/>
      <c r="S655" s="24">
        <f>42360+758399+42177</f>
        <v>842936</v>
      </c>
      <c r="T655" s="24"/>
      <c r="U655" s="24">
        <v>85000</v>
      </c>
      <c r="V655" s="24"/>
      <c r="W655" s="24">
        <v>44055</v>
      </c>
      <c r="X655" s="24"/>
      <c r="Y655" s="24">
        <f>1520617+48396</f>
        <v>1569013</v>
      </c>
      <c r="Z655" s="24"/>
      <c r="AA655" s="24">
        <v>0</v>
      </c>
      <c r="AB655" s="24"/>
      <c r="AC655" s="24">
        <v>0</v>
      </c>
      <c r="AD655" s="24"/>
      <c r="AE655" s="24">
        <f t="shared" si="18"/>
        <v>4818998</v>
      </c>
      <c r="AF655" s="41"/>
      <c r="AG655" s="65">
        <f>145912+406837+5593+1</f>
        <v>558343</v>
      </c>
      <c r="AH655" s="65"/>
      <c r="AI655" s="65">
        <f>1533427+559036+103487</f>
        <v>2195950</v>
      </c>
      <c r="AJ655" s="65"/>
      <c r="AK655" s="65">
        <f>1679339+965873+159080+1</f>
        <v>2804293</v>
      </c>
      <c r="AM655" s="24">
        <f>+'Gov Rev'!AI652-'Gov Exp'!AE655+'Gov Exp'!AI655-'Gov Exp'!AK655</f>
        <v>0</v>
      </c>
    </row>
    <row r="656" spans="1:39" ht="12.6" customHeight="1">
      <c r="A656" s="15" t="s">
        <v>340</v>
      </c>
      <c r="C656" s="15" t="s">
        <v>329</v>
      </c>
      <c r="E656" s="24">
        <v>3758</v>
      </c>
      <c r="G656" s="24">
        <v>353</v>
      </c>
      <c r="I656" s="24">
        <v>0</v>
      </c>
      <c r="K656" s="24">
        <v>0</v>
      </c>
      <c r="M656" s="24">
        <v>4799</v>
      </c>
      <c r="O656" s="24">
        <v>0</v>
      </c>
      <c r="Q656" s="24">
        <f>20625+1479</f>
        <v>22104</v>
      </c>
      <c r="S656" s="24">
        <v>0</v>
      </c>
      <c r="U656" s="24">
        <v>4279</v>
      </c>
      <c r="W656" s="24">
        <v>0</v>
      </c>
      <c r="Y656" s="24">
        <v>0</v>
      </c>
      <c r="AA656" s="24">
        <v>0</v>
      </c>
      <c r="AC656" s="24">
        <v>0</v>
      </c>
      <c r="AE656" s="24">
        <f t="shared" si="18"/>
        <v>35293</v>
      </c>
      <c r="AF656" s="24"/>
      <c r="AG656" s="64">
        <f>1058+7753</f>
        <v>8811</v>
      </c>
      <c r="AI656" s="64">
        <f>69909+27905</f>
        <v>97814</v>
      </c>
      <c r="AK656" s="64">
        <f>70967+35658</f>
        <v>106625</v>
      </c>
      <c r="AM656" s="24">
        <f>+'Gov Rev'!AI653-'Gov Exp'!AE656+'Gov Exp'!AI656-'Gov Exp'!AK656</f>
        <v>0</v>
      </c>
    </row>
    <row r="657" spans="1:39" s="31" customFormat="1">
      <c r="A657" s="15" t="s">
        <v>425</v>
      </c>
      <c r="B657" s="15"/>
      <c r="C657" s="15" t="s">
        <v>420</v>
      </c>
      <c r="D657" s="15"/>
      <c r="E657" s="24">
        <f>167235+25728</f>
        <v>192963</v>
      </c>
      <c r="F657" s="24"/>
      <c r="G657" s="24">
        <v>0</v>
      </c>
      <c r="H657" s="24"/>
      <c r="I657" s="24">
        <v>0</v>
      </c>
      <c r="J657" s="24"/>
      <c r="K657" s="24">
        <v>684</v>
      </c>
      <c r="L657" s="24"/>
      <c r="M657" s="24">
        <v>0</v>
      </c>
      <c r="N657" s="24"/>
      <c r="O657" s="24">
        <f>1637+40415</f>
        <v>42052</v>
      </c>
      <c r="P657" s="24"/>
      <c r="Q657" s="24">
        <v>185806</v>
      </c>
      <c r="R657" s="24"/>
      <c r="S657" s="24">
        <v>90606</v>
      </c>
      <c r="T657" s="24"/>
      <c r="U657" s="24">
        <v>21384</v>
      </c>
      <c r="V657" s="24"/>
      <c r="W657" s="24">
        <v>0</v>
      </c>
      <c r="X657" s="24"/>
      <c r="Y657" s="24">
        <v>0</v>
      </c>
      <c r="Z657" s="24"/>
      <c r="AA657" s="24">
        <v>0</v>
      </c>
      <c r="AB657" s="24"/>
      <c r="AC657" s="24">
        <v>0</v>
      </c>
      <c r="AD657" s="24"/>
      <c r="AE657" s="24">
        <f t="shared" si="18"/>
        <v>533495</v>
      </c>
      <c r="AF657" s="24"/>
      <c r="AG657" s="65">
        <f>-21744+30621+3914-85569</f>
        <v>-72778</v>
      </c>
      <c r="AH657" s="65"/>
      <c r="AI657" s="65">
        <f>206325+217102+166018</f>
        <v>589445</v>
      </c>
      <c r="AJ657" s="65"/>
      <c r="AK657" s="65">
        <f>184581+247723+3914+80449</f>
        <v>516667</v>
      </c>
      <c r="AM657" s="24">
        <f>+'Gov Rev'!AI654-'Gov Exp'!AE657+'Gov Exp'!AI657-'Gov Exp'!AK657</f>
        <v>0</v>
      </c>
    </row>
    <row r="658" spans="1:39">
      <c r="A658" s="15" t="s">
        <v>583</v>
      </c>
      <c r="C658" s="15" t="s">
        <v>82</v>
      </c>
      <c r="E658" s="24">
        <f>7150+15875</f>
        <v>23025</v>
      </c>
      <c r="G658" s="24">
        <v>0</v>
      </c>
      <c r="I658" s="24">
        <v>629</v>
      </c>
      <c r="K658" s="24">
        <v>0</v>
      </c>
      <c r="M658" s="24">
        <v>2082</v>
      </c>
      <c r="O658" s="24">
        <v>39856</v>
      </c>
      <c r="Q658" s="24">
        <f>19218+4760</f>
        <v>23978</v>
      </c>
      <c r="S658" s="24">
        <v>0</v>
      </c>
      <c r="U658" s="24">
        <v>0</v>
      </c>
      <c r="W658" s="24">
        <v>0</v>
      </c>
      <c r="Y658" s="24">
        <v>0</v>
      </c>
      <c r="AA658" s="24">
        <v>0</v>
      </c>
      <c r="AC658" s="24">
        <v>0</v>
      </c>
      <c r="AE658" s="24">
        <f t="shared" si="18"/>
        <v>89570</v>
      </c>
      <c r="AF658" s="24"/>
      <c r="AG658" s="64">
        <f>-2335-7889+1507-2239+853-250-7738+2583</f>
        <v>-15508</v>
      </c>
      <c r="AI658" s="64">
        <f>8665+31884+12581+8947+2517+21582+29218+5263</f>
        <v>120657</v>
      </c>
      <c r="AK658" s="64">
        <f>6330+23995+14088+6608+3370+21332+21480+7846</f>
        <v>105049</v>
      </c>
      <c r="AM658" s="24">
        <f>+'Gov Rev'!AI655-'Gov Exp'!AE658+'Gov Exp'!AI658-'Gov Exp'!AK658</f>
        <v>0</v>
      </c>
    </row>
    <row r="659" spans="1:39">
      <c r="A659" s="15" t="s">
        <v>450</v>
      </c>
      <c r="C659" s="15" t="s">
        <v>447</v>
      </c>
      <c r="E659" s="24">
        <v>0</v>
      </c>
      <c r="G659" s="24">
        <v>0</v>
      </c>
      <c r="I659" s="24">
        <v>1448</v>
      </c>
      <c r="K659" s="24">
        <v>1155</v>
      </c>
      <c r="M659" s="24">
        <v>2400</v>
      </c>
      <c r="O659" s="24">
        <v>11789</v>
      </c>
      <c r="Q659" s="24">
        <v>19452</v>
      </c>
      <c r="S659" s="24">
        <v>0</v>
      </c>
      <c r="U659" s="24">
        <v>0</v>
      </c>
      <c r="W659" s="24">
        <v>0</v>
      </c>
      <c r="Y659" s="24">
        <v>0</v>
      </c>
      <c r="AA659" s="24">
        <v>0</v>
      </c>
      <c r="AC659" s="24">
        <v>0</v>
      </c>
      <c r="AE659" s="24">
        <f t="shared" si="18"/>
        <v>36244</v>
      </c>
      <c r="AF659" s="24"/>
      <c r="AG659" s="64">
        <f>-2986-73</f>
        <v>-3059</v>
      </c>
      <c r="AI659" s="64">
        <f>63937+34444</f>
        <v>98381</v>
      </c>
      <c r="AK659" s="64">
        <f>60951+34371</f>
        <v>95322</v>
      </c>
      <c r="AM659" s="24">
        <f>+'Gov Rev'!AI656-'Gov Exp'!AE659+'Gov Exp'!AI659-'Gov Exp'!AK659</f>
        <v>0</v>
      </c>
    </row>
    <row r="660" spans="1:39" ht="12.75" hidden="1">
      <c r="A660" s="15" t="s">
        <v>235</v>
      </c>
      <c r="C660" s="15" t="s">
        <v>823</v>
      </c>
      <c r="D660" s="28"/>
      <c r="E660" s="24">
        <v>0</v>
      </c>
      <c r="G660" s="24">
        <v>0</v>
      </c>
      <c r="I660" s="24">
        <v>0</v>
      </c>
      <c r="K660" s="24">
        <v>0</v>
      </c>
      <c r="M660" s="24">
        <v>0</v>
      </c>
      <c r="O660" s="24">
        <v>0</v>
      </c>
      <c r="Q660" s="24">
        <v>0</v>
      </c>
      <c r="S660" s="24">
        <v>0</v>
      </c>
      <c r="U660" s="24">
        <v>0</v>
      </c>
      <c r="W660" s="24">
        <v>0</v>
      </c>
      <c r="Y660" s="24">
        <v>0</v>
      </c>
      <c r="AA660" s="24">
        <v>0</v>
      </c>
      <c r="AC660" s="24">
        <v>0</v>
      </c>
      <c r="AE660" s="24">
        <f t="shared" si="18"/>
        <v>0</v>
      </c>
      <c r="AF660" s="24"/>
      <c r="AM660" s="24">
        <f>+'Gov Rev'!AI657-'Gov Exp'!AE660+'Gov Exp'!AI660-'Gov Exp'!AK660</f>
        <v>0</v>
      </c>
    </row>
    <row r="661" spans="1:39" s="31" customFormat="1"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15"/>
      <c r="AF661" s="15"/>
      <c r="AG661" s="65"/>
      <c r="AH661" s="65"/>
      <c r="AI661" s="65"/>
      <c r="AJ661" s="65"/>
      <c r="AK661" s="65"/>
    </row>
    <row r="662" spans="1:39" s="31" customFormat="1"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15"/>
      <c r="AF662" s="15"/>
      <c r="AG662" s="65"/>
      <c r="AH662" s="65"/>
      <c r="AI662" s="65"/>
      <c r="AJ662" s="65"/>
      <c r="AK662" s="65"/>
    </row>
    <row r="663" spans="1:39" s="31" customFormat="1"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15"/>
      <c r="AF663" s="15"/>
      <c r="AG663" s="65"/>
      <c r="AH663" s="65"/>
      <c r="AI663" s="65"/>
      <c r="AJ663" s="65"/>
      <c r="AK663" s="65"/>
    </row>
    <row r="664" spans="1:39" s="31" customFormat="1"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15"/>
      <c r="AF664" s="15"/>
      <c r="AG664" s="65"/>
      <c r="AH664" s="65"/>
      <c r="AI664" s="65"/>
      <c r="AJ664" s="65"/>
      <c r="AK664" s="65"/>
    </row>
    <row r="665" spans="1:39" s="31" customFormat="1"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15"/>
      <c r="AF665" s="15"/>
      <c r="AG665" s="65"/>
      <c r="AH665" s="65"/>
      <c r="AI665" s="65"/>
      <c r="AJ665" s="65"/>
      <c r="AK665" s="65"/>
    </row>
    <row r="666" spans="1:39" s="31" customFormat="1"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15"/>
      <c r="AF666" s="15"/>
      <c r="AG666" s="65"/>
      <c r="AH666" s="65"/>
      <c r="AI666" s="65"/>
      <c r="AJ666" s="65"/>
      <c r="AK666" s="65"/>
    </row>
    <row r="667" spans="1:39" s="31" customFormat="1"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15"/>
      <c r="AF667" s="15"/>
      <c r="AG667" s="65"/>
      <c r="AH667" s="65"/>
      <c r="AI667" s="65"/>
      <c r="AJ667" s="65"/>
      <c r="AK667" s="65"/>
    </row>
    <row r="668" spans="1:39" s="31" customFormat="1"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15"/>
      <c r="AF668" s="15"/>
      <c r="AG668" s="65"/>
      <c r="AH668" s="65"/>
      <c r="AI668" s="65"/>
      <c r="AJ668" s="65"/>
      <c r="AK668" s="65"/>
    </row>
    <row r="669" spans="1:39" s="31" customFormat="1"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15"/>
      <c r="AF669" s="15"/>
      <c r="AG669" s="65"/>
      <c r="AH669" s="65"/>
      <c r="AI669" s="65"/>
      <c r="AJ669" s="65"/>
      <c r="AK669" s="65"/>
    </row>
    <row r="670" spans="1:39" s="31" customFormat="1"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15"/>
      <c r="AF670" s="15"/>
      <c r="AG670" s="65"/>
      <c r="AH670" s="65"/>
      <c r="AI670" s="65"/>
      <c r="AJ670" s="65"/>
      <c r="AK670" s="65"/>
    </row>
    <row r="671" spans="1:39" s="31" customFormat="1"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15"/>
      <c r="AF671" s="15"/>
      <c r="AG671" s="65"/>
      <c r="AH671" s="65"/>
      <c r="AI671" s="65"/>
      <c r="AJ671" s="65"/>
      <c r="AK671" s="65"/>
    </row>
    <row r="672" spans="1:39" s="31" customFormat="1"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15"/>
      <c r="AF672" s="15"/>
      <c r="AG672" s="65"/>
      <c r="AH672" s="65"/>
      <c r="AI672" s="65"/>
      <c r="AJ672" s="65"/>
      <c r="AK672" s="65"/>
    </row>
    <row r="673" spans="5:37" s="31" customFormat="1"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15"/>
      <c r="AF673" s="15"/>
      <c r="AG673" s="65"/>
      <c r="AH673" s="65"/>
      <c r="AI673" s="65"/>
      <c r="AJ673" s="65"/>
      <c r="AK673" s="65"/>
    </row>
    <row r="674" spans="5:37" s="31" customFormat="1"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15"/>
      <c r="AF674" s="15"/>
      <c r="AG674" s="65"/>
      <c r="AH674" s="65"/>
      <c r="AI674" s="65"/>
      <c r="AJ674" s="65"/>
      <c r="AK674" s="65"/>
    </row>
    <row r="675" spans="5:37" s="31" customFormat="1"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15"/>
      <c r="AF675" s="15"/>
      <c r="AG675" s="65"/>
      <c r="AH675" s="65"/>
      <c r="AI675" s="65"/>
      <c r="AJ675" s="65"/>
      <c r="AK675" s="65"/>
    </row>
    <row r="676" spans="5:37" s="31" customFormat="1"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15"/>
      <c r="AF676" s="15"/>
      <c r="AG676" s="65"/>
      <c r="AH676" s="65"/>
      <c r="AI676" s="65"/>
      <c r="AJ676" s="65"/>
      <c r="AK676" s="65"/>
    </row>
    <row r="677" spans="5:37" s="31" customFormat="1"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15"/>
      <c r="AF677" s="15"/>
      <c r="AG677" s="65"/>
      <c r="AH677" s="65"/>
      <c r="AI677" s="65"/>
      <c r="AJ677" s="65"/>
      <c r="AK677" s="65"/>
    </row>
    <row r="678" spans="5:37" s="31" customFormat="1"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15"/>
      <c r="AF678" s="15"/>
      <c r="AG678" s="65"/>
      <c r="AH678" s="65"/>
      <c r="AI678" s="65"/>
      <c r="AJ678" s="65"/>
      <c r="AK678" s="65"/>
    </row>
    <row r="679" spans="5:37" s="31" customFormat="1"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15"/>
      <c r="AF679" s="15"/>
      <c r="AG679" s="65"/>
      <c r="AH679" s="65"/>
      <c r="AI679" s="65"/>
      <c r="AJ679" s="65"/>
      <c r="AK679" s="65"/>
    </row>
    <row r="680" spans="5:37" s="31" customFormat="1"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15"/>
      <c r="AF680" s="15"/>
      <c r="AG680" s="65"/>
      <c r="AH680" s="65"/>
      <c r="AI680" s="65"/>
      <c r="AJ680" s="65"/>
      <c r="AK680" s="65"/>
    </row>
    <row r="681" spans="5:37" s="31" customFormat="1"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15"/>
      <c r="AF681" s="15"/>
      <c r="AG681" s="65"/>
      <c r="AH681" s="65"/>
      <c r="AI681" s="65"/>
      <c r="AJ681" s="65"/>
      <c r="AK681" s="65"/>
    </row>
    <row r="682" spans="5:37" s="31" customFormat="1"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15"/>
      <c r="AF682" s="15"/>
      <c r="AG682" s="65"/>
      <c r="AH682" s="65"/>
      <c r="AI682" s="65"/>
      <c r="AJ682" s="65"/>
      <c r="AK682" s="65"/>
    </row>
    <row r="683" spans="5:37" s="31" customFormat="1"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15"/>
      <c r="AF683" s="15"/>
      <c r="AG683" s="65"/>
      <c r="AH683" s="65"/>
      <c r="AI683" s="65"/>
      <c r="AJ683" s="65"/>
      <c r="AK683" s="65"/>
    </row>
    <row r="684" spans="5:37" s="31" customFormat="1"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15"/>
      <c r="AF684" s="15"/>
      <c r="AG684" s="65"/>
      <c r="AH684" s="65"/>
      <c r="AI684" s="65"/>
      <c r="AJ684" s="65"/>
      <c r="AK684" s="65"/>
    </row>
    <row r="685" spans="5:37" s="31" customFormat="1"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15"/>
      <c r="AF685" s="15"/>
      <c r="AG685" s="65"/>
      <c r="AH685" s="65"/>
      <c r="AI685" s="65"/>
      <c r="AJ685" s="65"/>
      <c r="AK685" s="65"/>
    </row>
    <row r="686" spans="5:37" s="31" customFormat="1"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15"/>
      <c r="AF686" s="15"/>
      <c r="AG686" s="65"/>
      <c r="AH686" s="65"/>
      <c r="AI686" s="65"/>
      <c r="AJ686" s="65"/>
      <c r="AK686" s="65"/>
    </row>
    <row r="687" spans="5:37" s="31" customFormat="1"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15"/>
      <c r="AF687" s="15"/>
      <c r="AG687" s="65"/>
      <c r="AH687" s="65"/>
      <c r="AI687" s="65"/>
      <c r="AJ687" s="65"/>
      <c r="AK687" s="65"/>
    </row>
    <row r="688" spans="5:37" s="31" customFormat="1"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15"/>
      <c r="AF688" s="15"/>
      <c r="AG688" s="65"/>
      <c r="AH688" s="65"/>
      <c r="AI688" s="65"/>
      <c r="AJ688" s="65"/>
      <c r="AK688" s="65"/>
    </row>
    <row r="689" spans="5:37" s="31" customFormat="1"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15"/>
      <c r="AF689" s="15"/>
      <c r="AG689" s="65"/>
      <c r="AH689" s="65"/>
      <c r="AI689" s="65"/>
      <c r="AJ689" s="65"/>
      <c r="AK689" s="65"/>
    </row>
    <row r="690" spans="5:37" s="31" customFormat="1"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15"/>
      <c r="AF690" s="15"/>
      <c r="AG690" s="65"/>
      <c r="AH690" s="65"/>
      <c r="AI690" s="65"/>
      <c r="AJ690" s="65"/>
      <c r="AK690" s="65"/>
    </row>
    <row r="691" spans="5:37" s="31" customFormat="1"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15"/>
      <c r="AF691" s="15"/>
      <c r="AG691" s="65"/>
      <c r="AH691" s="65"/>
      <c r="AI691" s="65"/>
      <c r="AJ691" s="65"/>
      <c r="AK691" s="65"/>
    </row>
    <row r="692" spans="5:37" s="31" customFormat="1"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15"/>
      <c r="AF692" s="15"/>
      <c r="AG692" s="65"/>
      <c r="AH692" s="65"/>
      <c r="AI692" s="65"/>
      <c r="AJ692" s="65"/>
      <c r="AK692" s="65"/>
    </row>
    <row r="693" spans="5:37" s="31" customFormat="1"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15"/>
      <c r="AF693" s="15"/>
      <c r="AG693" s="65"/>
      <c r="AH693" s="65"/>
      <c r="AI693" s="65"/>
      <c r="AJ693" s="65"/>
      <c r="AK693" s="65"/>
    </row>
    <row r="694" spans="5:37" s="31" customFormat="1"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15"/>
      <c r="AF694" s="15"/>
      <c r="AG694" s="65"/>
      <c r="AH694" s="65"/>
      <c r="AI694" s="65"/>
      <c r="AJ694" s="65"/>
      <c r="AK694" s="65"/>
    </row>
    <row r="695" spans="5:37" s="31" customFormat="1"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15"/>
      <c r="AF695" s="15"/>
      <c r="AG695" s="65"/>
      <c r="AH695" s="65"/>
      <c r="AI695" s="65"/>
      <c r="AJ695" s="65"/>
      <c r="AK695" s="65"/>
    </row>
    <row r="696" spans="5:37" s="31" customFormat="1"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15"/>
      <c r="AF696" s="15"/>
      <c r="AG696" s="65"/>
      <c r="AH696" s="65"/>
      <c r="AI696" s="65"/>
      <c r="AJ696" s="65"/>
      <c r="AK696" s="65"/>
    </row>
    <row r="697" spans="5:37" s="31" customFormat="1"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15"/>
      <c r="AF697" s="15"/>
      <c r="AG697" s="65"/>
      <c r="AH697" s="65"/>
      <c r="AI697" s="65"/>
      <c r="AJ697" s="65"/>
      <c r="AK697" s="65"/>
    </row>
    <row r="698" spans="5:37" s="31" customFormat="1"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15"/>
      <c r="AF698" s="15"/>
      <c r="AG698" s="65"/>
      <c r="AH698" s="65"/>
      <c r="AI698" s="65"/>
      <c r="AJ698" s="65"/>
      <c r="AK698" s="65"/>
    </row>
    <row r="699" spans="5:37" s="31" customFormat="1"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15"/>
      <c r="AF699" s="15"/>
      <c r="AG699" s="65"/>
      <c r="AH699" s="65"/>
      <c r="AI699" s="65"/>
      <c r="AJ699" s="65"/>
      <c r="AK699" s="65"/>
    </row>
    <row r="700" spans="5:37" s="31" customFormat="1"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15"/>
      <c r="AF700" s="15"/>
      <c r="AG700" s="65"/>
      <c r="AH700" s="65"/>
      <c r="AI700" s="65"/>
      <c r="AJ700" s="65"/>
      <c r="AK700" s="65"/>
    </row>
    <row r="701" spans="5:37" s="31" customFormat="1"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15"/>
      <c r="AF701" s="15"/>
      <c r="AG701" s="65"/>
      <c r="AH701" s="65"/>
      <c r="AI701" s="65"/>
      <c r="AJ701" s="65"/>
      <c r="AK701" s="65"/>
    </row>
    <row r="702" spans="5:37" s="31" customFormat="1"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15"/>
      <c r="AF702" s="15"/>
      <c r="AG702" s="65"/>
      <c r="AH702" s="65"/>
      <c r="AI702" s="65"/>
      <c r="AJ702" s="65"/>
      <c r="AK702" s="65"/>
    </row>
    <row r="703" spans="5:37" s="31" customFormat="1"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15"/>
      <c r="AF703" s="15"/>
      <c r="AG703" s="65"/>
      <c r="AH703" s="65"/>
      <c r="AI703" s="65"/>
      <c r="AJ703" s="65"/>
      <c r="AK703" s="65"/>
    </row>
    <row r="704" spans="5:37" s="31" customFormat="1"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15"/>
      <c r="AF704" s="15"/>
      <c r="AG704" s="65"/>
      <c r="AH704" s="65"/>
      <c r="AI704" s="65"/>
      <c r="AJ704" s="65"/>
      <c r="AK704" s="65"/>
    </row>
    <row r="705" spans="5:37" s="31" customFormat="1"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15"/>
      <c r="AF705" s="15"/>
      <c r="AG705" s="65"/>
      <c r="AH705" s="65"/>
      <c r="AI705" s="65"/>
      <c r="AJ705" s="65"/>
      <c r="AK705" s="65"/>
    </row>
    <row r="706" spans="5:37" s="31" customFormat="1"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15"/>
      <c r="AF706" s="15"/>
      <c r="AG706" s="65"/>
      <c r="AH706" s="65"/>
      <c r="AI706" s="65"/>
      <c r="AJ706" s="65"/>
      <c r="AK706" s="65"/>
    </row>
    <row r="707" spans="5:37" s="31" customFormat="1"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15"/>
      <c r="AF707" s="15"/>
      <c r="AG707" s="65"/>
      <c r="AH707" s="65"/>
      <c r="AI707" s="65"/>
      <c r="AJ707" s="65"/>
      <c r="AK707" s="65"/>
    </row>
    <row r="708" spans="5:37" s="31" customFormat="1"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15"/>
      <c r="AF708" s="15"/>
      <c r="AG708" s="65"/>
      <c r="AH708" s="65"/>
      <c r="AI708" s="65"/>
      <c r="AJ708" s="65"/>
      <c r="AK708" s="65"/>
    </row>
    <row r="709" spans="5:37" s="31" customFormat="1"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15"/>
      <c r="AF709" s="15"/>
      <c r="AG709" s="65"/>
      <c r="AH709" s="65"/>
      <c r="AI709" s="65"/>
      <c r="AJ709" s="65"/>
      <c r="AK709" s="65"/>
    </row>
    <row r="710" spans="5:37" s="31" customFormat="1"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15"/>
      <c r="AF710" s="15"/>
      <c r="AG710" s="65"/>
      <c r="AH710" s="65"/>
      <c r="AI710" s="65"/>
      <c r="AJ710" s="65"/>
      <c r="AK710" s="65"/>
    </row>
    <row r="711" spans="5:37" s="31" customFormat="1"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15"/>
      <c r="AF711" s="15"/>
      <c r="AG711" s="65"/>
      <c r="AH711" s="65"/>
      <c r="AI711" s="65"/>
      <c r="AJ711" s="65"/>
      <c r="AK711" s="65"/>
    </row>
    <row r="712" spans="5:37" s="31" customFormat="1"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15"/>
      <c r="AF712" s="15"/>
      <c r="AG712" s="65"/>
      <c r="AH712" s="65"/>
      <c r="AI712" s="65"/>
      <c r="AJ712" s="65"/>
      <c r="AK712" s="65"/>
    </row>
    <row r="713" spans="5:37" s="31" customFormat="1"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15"/>
      <c r="AF713" s="15"/>
      <c r="AG713" s="65"/>
      <c r="AH713" s="65"/>
      <c r="AI713" s="65"/>
      <c r="AJ713" s="65"/>
      <c r="AK713" s="65"/>
    </row>
    <row r="714" spans="5:37" s="31" customFormat="1"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15"/>
      <c r="AF714" s="15"/>
      <c r="AG714" s="65"/>
      <c r="AH714" s="65"/>
      <c r="AI714" s="65"/>
      <c r="AJ714" s="65"/>
      <c r="AK714" s="65"/>
    </row>
    <row r="715" spans="5:37" s="31" customFormat="1"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15"/>
      <c r="AF715" s="15"/>
      <c r="AG715" s="65"/>
      <c r="AH715" s="65"/>
      <c r="AI715" s="65"/>
      <c r="AJ715" s="65"/>
      <c r="AK715" s="65"/>
    </row>
    <row r="716" spans="5:37" s="31" customFormat="1"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15"/>
      <c r="AF716" s="15"/>
      <c r="AG716" s="65"/>
      <c r="AH716" s="65"/>
      <c r="AI716" s="65"/>
      <c r="AJ716" s="65"/>
      <c r="AK716" s="65"/>
    </row>
    <row r="717" spans="5:37" s="31" customFormat="1"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15"/>
      <c r="AF717" s="15"/>
      <c r="AG717" s="65"/>
      <c r="AH717" s="65"/>
      <c r="AI717" s="65"/>
      <c r="AJ717" s="65"/>
      <c r="AK717" s="65"/>
    </row>
    <row r="718" spans="5:37" s="31" customFormat="1"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15"/>
      <c r="AF718" s="15"/>
      <c r="AG718" s="65"/>
      <c r="AH718" s="65"/>
      <c r="AI718" s="65"/>
      <c r="AJ718" s="65"/>
      <c r="AK718" s="65"/>
    </row>
    <row r="821" spans="1:2" ht="12.75">
      <c r="A821" s="89"/>
      <c r="B821" s="89"/>
    </row>
    <row r="822" spans="1:2" ht="12.75">
      <c r="A822" s="89"/>
      <c r="B822" s="89"/>
    </row>
  </sheetData>
  <phoneticPr fontId="1" type="noConversion"/>
  <printOptions horizontalCentered="1"/>
  <pageMargins left="0.75" right="0.5" top="0.5" bottom="0.5" header="0" footer="0.3"/>
  <pageSetup scale="79" firstPageNumber="30" fitToWidth="2" fitToHeight="18" pageOrder="overThenDown" orientation="portrait" useFirstPageNumber="1" horizontalDpi="1200" verticalDpi="1200" r:id="rId1"/>
  <headerFooter alignWithMargins="0">
    <oddFooter>&amp;C&amp;P</oddFooter>
  </headerFooter>
  <rowBreaks count="3" manualBreakCount="3">
    <brk id="192" max="30" man="1"/>
    <brk id="381" max="30" man="1"/>
    <brk id="566" max="30" man="1"/>
  </rowBreaks>
  <colBreaks count="1" manualBreakCount="1">
    <brk id="16" max="6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Statement of Activities</vt:lpstr>
      <vt:lpstr>Gen Rev</vt:lpstr>
      <vt:lpstr>Gen Exp</vt:lpstr>
      <vt:lpstr>Gov Rev</vt:lpstr>
      <vt:lpstr>Gov Exp</vt:lpstr>
      <vt:lpstr>'Gen Exp'!Print_Area</vt:lpstr>
      <vt:lpstr>'Gen Rev'!Print_Area</vt:lpstr>
      <vt:lpstr>'Gov Exp'!Print_Area</vt:lpstr>
      <vt:lpstr>'Gov Rev'!Print_Area</vt:lpstr>
      <vt:lpstr>'Statement of Activities'!Print_Area</vt:lpstr>
      <vt:lpstr>'Gen Exp'!Print_Titles</vt:lpstr>
      <vt:lpstr>'Gen Rev'!Print_Titles</vt:lpstr>
      <vt:lpstr>'Gov Exp'!Print_Titles</vt:lpstr>
      <vt:lpstr>'Gov Rev'!Print_Titles</vt:lpstr>
      <vt:lpstr>'Statement of Activities'!Print_Titles</vt:lpstr>
    </vt:vector>
  </TitlesOfParts>
  <Company>Auditor of State of Ohio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G. Wilcheck</dc:creator>
  <cp:lastModifiedBy>Jeffrey G .Wilcheck</cp:lastModifiedBy>
  <cp:lastPrinted>2010-06-02T17:35:59Z</cp:lastPrinted>
  <dcterms:created xsi:type="dcterms:W3CDTF">2005-07-07T14:55:27Z</dcterms:created>
  <dcterms:modified xsi:type="dcterms:W3CDTF">2010-11-19T14:24:34Z</dcterms:modified>
</cp:coreProperties>
</file>